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8BFFFF01-5D71-42E2-8E5C-1ED7544C50A5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Activity'!$A$1:$AA$70</definedName>
    <definedName name="_xlnm.Print_Area" localSheetId="2">'Other Major Airline Stats'!$A$2:$K$50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7" i="17"/>
  <c r="F7" i="17"/>
  <c r="G6" i="17"/>
  <c r="F6" i="17"/>
  <c r="X65" i="9"/>
  <c r="X64" i="9"/>
  <c r="X63" i="9"/>
  <c r="X62" i="9"/>
  <c r="X61" i="9"/>
  <c r="X60" i="9"/>
  <c r="X59" i="9"/>
  <c r="X56" i="9"/>
  <c r="X54" i="9"/>
  <c r="X52" i="9"/>
  <c r="X50" i="9"/>
  <c r="X48" i="9"/>
  <c r="X46" i="9"/>
  <c r="X44" i="9"/>
  <c r="X42" i="9"/>
  <c r="X41" i="9"/>
  <c r="X40" i="9"/>
  <c r="X39" i="9"/>
  <c r="X38" i="9"/>
  <c r="X37" i="9"/>
  <c r="X36" i="9"/>
  <c r="X33" i="9"/>
  <c r="X31" i="9"/>
  <c r="X29" i="9"/>
  <c r="X27" i="9"/>
  <c r="X26" i="9"/>
  <c r="X25" i="9"/>
  <c r="X24" i="9"/>
  <c r="X23" i="9"/>
  <c r="X22" i="9"/>
  <c r="X21" i="9"/>
  <c r="X18" i="9"/>
  <c r="X17" i="9"/>
  <c r="X16" i="9"/>
  <c r="X13" i="9"/>
  <c r="X11" i="9"/>
  <c r="X9" i="9"/>
  <c r="X8" i="9"/>
  <c r="X7" i="9"/>
  <c r="X4" i="9"/>
  <c r="F65" i="9"/>
  <c r="F64" i="9"/>
  <c r="F63" i="9"/>
  <c r="F62" i="9"/>
  <c r="F61" i="9"/>
  <c r="F60" i="9"/>
  <c r="F59" i="9"/>
  <c r="F56" i="9"/>
  <c r="F54" i="9"/>
  <c r="F52" i="9"/>
  <c r="F50" i="9"/>
  <c r="F48" i="9"/>
  <c r="F46" i="9"/>
  <c r="F44" i="9"/>
  <c r="F42" i="9"/>
  <c r="F41" i="9"/>
  <c r="F40" i="9"/>
  <c r="F39" i="9"/>
  <c r="F38" i="9"/>
  <c r="F37" i="9"/>
  <c r="F36" i="9"/>
  <c r="F33" i="9"/>
  <c r="F31" i="9"/>
  <c r="F29" i="9"/>
  <c r="F27" i="9"/>
  <c r="F26" i="9"/>
  <c r="F25" i="9"/>
  <c r="F24" i="9"/>
  <c r="F23" i="9"/>
  <c r="F22" i="9"/>
  <c r="F21" i="9"/>
  <c r="F18" i="9"/>
  <c r="F17" i="9"/>
  <c r="F16" i="9"/>
  <c r="F13" i="9"/>
  <c r="F11" i="9"/>
  <c r="F9" i="9"/>
  <c r="F8" i="9"/>
  <c r="F7" i="9"/>
  <c r="F4" i="9"/>
  <c r="O65" i="9"/>
  <c r="O64" i="9"/>
  <c r="O63" i="9"/>
  <c r="O62" i="9"/>
  <c r="O61" i="9"/>
  <c r="O60" i="9"/>
  <c r="O59" i="9"/>
  <c r="O56" i="9"/>
  <c r="O54" i="9"/>
  <c r="O52" i="9"/>
  <c r="O50" i="9"/>
  <c r="O48" i="9"/>
  <c r="O46" i="9"/>
  <c r="O44" i="9"/>
  <c r="O42" i="9"/>
  <c r="O41" i="9"/>
  <c r="O40" i="9"/>
  <c r="O39" i="9"/>
  <c r="O38" i="9"/>
  <c r="O37" i="9"/>
  <c r="O36" i="9"/>
  <c r="O33" i="9"/>
  <c r="O31" i="9"/>
  <c r="O29" i="9"/>
  <c r="O27" i="9"/>
  <c r="O26" i="9"/>
  <c r="O25" i="9"/>
  <c r="O24" i="9"/>
  <c r="O23" i="9"/>
  <c r="O22" i="9"/>
  <c r="O21" i="9"/>
  <c r="O18" i="9"/>
  <c r="O17" i="9"/>
  <c r="O16" i="9"/>
  <c r="O13" i="9"/>
  <c r="O11" i="9"/>
  <c r="O9" i="9"/>
  <c r="O8" i="9"/>
  <c r="O7" i="9"/>
  <c r="O4" i="9"/>
  <c r="E30" i="7" l="1"/>
  <c r="C65" i="9" l="1"/>
  <c r="C64" i="9"/>
  <c r="C63" i="9"/>
  <c r="C62" i="9"/>
  <c r="C61" i="9"/>
  <c r="C60" i="9"/>
  <c r="C59" i="9"/>
  <c r="C56" i="9"/>
  <c r="C54" i="9"/>
  <c r="C52" i="9"/>
  <c r="C50" i="9"/>
  <c r="C48" i="9"/>
  <c r="C46" i="9"/>
  <c r="C44" i="9"/>
  <c r="C42" i="9"/>
  <c r="C41" i="9"/>
  <c r="C40" i="9"/>
  <c r="C39" i="9"/>
  <c r="C38" i="9"/>
  <c r="C37" i="9"/>
  <c r="C36" i="9"/>
  <c r="C33" i="9"/>
  <c r="C31" i="9"/>
  <c r="C29" i="9"/>
  <c r="C27" i="9"/>
  <c r="C26" i="9"/>
  <c r="C25" i="9"/>
  <c r="C24" i="9"/>
  <c r="C23" i="9"/>
  <c r="C22" i="9"/>
  <c r="C21" i="9"/>
  <c r="C18" i="9"/>
  <c r="C17" i="9"/>
  <c r="C16" i="9"/>
  <c r="C13" i="9"/>
  <c r="C11" i="9"/>
  <c r="C9" i="9"/>
  <c r="C8" i="9"/>
  <c r="C7" i="9"/>
  <c r="C4" i="9"/>
  <c r="U65" i="9" l="1"/>
  <c r="U64" i="9"/>
  <c r="U63" i="9"/>
  <c r="U62" i="9"/>
  <c r="U61" i="9"/>
  <c r="U60" i="9"/>
  <c r="U59" i="9"/>
  <c r="U56" i="9"/>
  <c r="U54" i="9"/>
  <c r="U52" i="9"/>
  <c r="U50" i="9"/>
  <c r="U48" i="9"/>
  <c r="U46" i="9"/>
  <c r="U44" i="9"/>
  <c r="U42" i="9"/>
  <c r="U41" i="9"/>
  <c r="U40" i="9"/>
  <c r="U39" i="9"/>
  <c r="U38" i="9"/>
  <c r="U37" i="9"/>
  <c r="U36" i="9"/>
  <c r="U33" i="9"/>
  <c r="U31" i="9"/>
  <c r="U29" i="9"/>
  <c r="U27" i="9"/>
  <c r="U26" i="9"/>
  <c r="U25" i="9"/>
  <c r="U24" i="9"/>
  <c r="U23" i="9"/>
  <c r="U22" i="9"/>
  <c r="U21" i="9"/>
  <c r="U18" i="9"/>
  <c r="U17" i="9"/>
  <c r="U16" i="9"/>
  <c r="U13" i="9"/>
  <c r="U11" i="9"/>
  <c r="U9" i="9"/>
  <c r="U8" i="9"/>
  <c r="U7" i="9"/>
  <c r="U4" i="9"/>
  <c r="L65" i="9"/>
  <c r="L64" i="9"/>
  <c r="L63" i="9"/>
  <c r="L62" i="9"/>
  <c r="L61" i="9"/>
  <c r="L60" i="9"/>
  <c r="L59" i="9"/>
  <c r="L56" i="9"/>
  <c r="L54" i="9"/>
  <c r="L52" i="9"/>
  <c r="L50" i="9"/>
  <c r="L48" i="9"/>
  <c r="L46" i="9"/>
  <c r="L44" i="9"/>
  <c r="L42" i="9"/>
  <c r="L41" i="9"/>
  <c r="L40" i="9"/>
  <c r="L39" i="9"/>
  <c r="L38" i="9"/>
  <c r="L37" i="9"/>
  <c r="L36" i="9"/>
  <c r="L33" i="9"/>
  <c r="L31" i="9"/>
  <c r="L29" i="9"/>
  <c r="L27" i="9"/>
  <c r="L26" i="9"/>
  <c r="L25" i="9"/>
  <c r="L24" i="9"/>
  <c r="L23" i="9"/>
  <c r="L22" i="9"/>
  <c r="L21" i="9"/>
  <c r="L18" i="9"/>
  <c r="L17" i="9"/>
  <c r="L16" i="9"/>
  <c r="L13" i="9"/>
  <c r="L11" i="9"/>
  <c r="L9" i="9"/>
  <c r="L8" i="9"/>
  <c r="L7" i="9"/>
  <c r="L4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60" i="9"/>
  <c r="V60" i="9"/>
  <c r="P60" i="9"/>
  <c r="M60" i="9"/>
  <c r="G60" i="9"/>
  <c r="D60" i="9"/>
  <c r="Y59" i="9"/>
  <c r="V59" i="9"/>
  <c r="P59" i="9"/>
  <c r="M59" i="9"/>
  <c r="G59" i="9"/>
  <c r="D59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7" i="9"/>
  <c r="V37" i="9"/>
  <c r="P37" i="9"/>
  <c r="M37" i="9"/>
  <c r="G37" i="9"/>
  <c r="D37" i="9"/>
  <c r="Y36" i="9"/>
  <c r="V36" i="9"/>
  <c r="P36" i="9"/>
  <c r="M36" i="9"/>
  <c r="G36" i="9"/>
  <c r="D36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18" i="9"/>
  <c r="V18" i="9"/>
  <c r="P18" i="9"/>
  <c r="M18" i="9"/>
  <c r="G18" i="9"/>
  <c r="D18" i="9"/>
  <c r="Y17" i="9"/>
  <c r="V17" i="9"/>
  <c r="P17" i="9"/>
  <c r="M17" i="9"/>
  <c r="G17" i="9"/>
  <c r="D17" i="9"/>
  <c r="Y16" i="9"/>
  <c r="V16" i="9"/>
  <c r="P16" i="9"/>
  <c r="M16" i="9"/>
  <c r="G16" i="9"/>
  <c r="D16" i="9"/>
  <c r="Y13" i="9"/>
  <c r="V13" i="9"/>
  <c r="P13" i="9"/>
  <c r="M13" i="9"/>
  <c r="G13" i="9"/>
  <c r="D13" i="9"/>
  <c r="Y11" i="9"/>
  <c r="V11" i="9"/>
  <c r="P11" i="9"/>
  <c r="M11" i="9"/>
  <c r="G11" i="9"/>
  <c r="D11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O35" i="16" l="1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M29" i="17"/>
  <c r="D29" i="17"/>
  <c r="D27" i="17"/>
  <c r="P26" i="17"/>
  <c r="M26" i="17"/>
  <c r="D26" i="17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D10" i="17"/>
  <c r="P7" i="17"/>
  <c r="M7" i="17"/>
  <c r="D7" i="17"/>
  <c r="P6" i="17"/>
  <c r="M6" i="17"/>
  <c r="D6" i="17"/>
  <c r="O29" i="17"/>
  <c r="L29" i="17"/>
  <c r="C29" i="17"/>
  <c r="C27" i="17"/>
  <c r="O26" i="17"/>
  <c r="L26" i="17"/>
  <c r="C26" i="17"/>
  <c r="O22" i="17"/>
  <c r="L22" i="17"/>
  <c r="C22" i="17"/>
  <c r="O21" i="17"/>
  <c r="L21" i="17"/>
  <c r="C21" i="17"/>
  <c r="O20" i="17"/>
  <c r="L20" i="17"/>
  <c r="C20" i="17"/>
  <c r="O19" i="17"/>
  <c r="L19" i="17"/>
  <c r="C19" i="17"/>
  <c r="O16" i="17"/>
  <c r="L16" i="17"/>
  <c r="C16" i="17"/>
  <c r="O15" i="17"/>
  <c r="L15" i="17"/>
  <c r="C15" i="17"/>
  <c r="O14" i="17"/>
  <c r="L14" i="17"/>
  <c r="C14" i="17"/>
  <c r="O13" i="17"/>
  <c r="L13" i="17"/>
  <c r="C13" i="17"/>
  <c r="O12" i="17"/>
  <c r="L12" i="17"/>
  <c r="C12" i="17"/>
  <c r="O11" i="17"/>
  <c r="L11" i="17"/>
  <c r="C11" i="17"/>
  <c r="O10" i="17"/>
  <c r="L10" i="17"/>
  <c r="C10" i="17"/>
  <c r="O7" i="17"/>
  <c r="L7" i="17"/>
  <c r="C7" i="17"/>
  <c r="O6" i="17"/>
  <c r="L6" i="17"/>
  <c r="C6" i="17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O8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0" i="7"/>
  <c r="O29" i="7"/>
  <c r="J30" i="7"/>
  <c r="E29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D35" i="3" l="1"/>
  <c r="D22" i="3"/>
  <c r="D7" i="3"/>
  <c r="D44" i="3" l="1"/>
  <c r="D43" i="3"/>
  <c r="D12" i="3"/>
  <c r="D18" i="3"/>
  <c r="D23" i="3" s="1"/>
  <c r="D40" i="3"/>
  <c r="D30" i="3"/>
  <c r="D45" i="3" l="1"/>
  <c r="M28" i="7" l="1"/>
  <c r="L28" i="7"/>
  <c r="J29" i="7"/>
  <c r="E28" i="7"/>
  <c r="C28" i="7"/>
  <c r="B28" i="7"/>
  <c r="D28" i="7" l="1"/>
  <c r="N28" i="7"/>
  <c r="N10" i="17"/>
  <c r="N16" i="17" l="1"/>
  <c r="N15" i="17"/>
  <c r="E15" i="17"/>
  <c r="E10" i="17"/>
  <c r="E11" i="17"/>
  <c r="H11" i="17"/>
  <c r="Q11" i="17"/>
  <c r="E14" i="17"/>
  <c r="H14" i="17"/>
  <c r="E16" i="17"/>
  <c r="N14" i="17"/>
  <c r="H16" i="17"/>
  <c r="N11" i="17"/>
  <c r="Q14" i="17"/>
  <c r="Q16" i="17"/>
  <c r="Q15" i="17"/>
  <c r="H15" i="17"/>
  <c r="H13" i="17"/>
  <c r="Q10" i="17"/>
  <c r="H10" i="17"/>
  <c r="E13" i="17" l="1"/>
  <c r="O5" i="17"/>
  <c r="M5" i="17"/>
  <c r="L5" i="17"/>
  <c r="D5" i="17"/>
  <c r="L18" i="17"/>
  <c r="D18" i="17" l="1"/>
  <c r="M18" i="17"/>
  <c r="P5" i="17"/>
  <c r="Q5" i="17" s="1"/>
  <c r="F18" i="17"/>
  <c r="N5" i="17"/>
  <c r="G5" i="17"/>
  <c r="C18" i="17"/>
  <c r="E7" i="17"/>
  <c r="G18" i="17"/>
  <c r="H7" i="17"/>
  <c r="O18" i="17"/>
  <c r="F5" i="17"/>
  <c r="H6" i="17"/>
  <c r="C5" i="17"/>
  <c r="E5" i="17" s="1"/>
  <c r="E6" i="17"/>
  <c r="P18" i="17"/>
  <c r="H22" i="17"/>
  <c r="Q19" i="17"/>
  <c r="Q20" i="17"/>
  <c r="Q13" i="17"/>
  <c r="N22" i="17"/>
  <c r="Q22" i="17"/>
  <c r="E22" i="17"/>
  <c r="N13" i="17"/>
  <c r="Q7" i="17"/>
  <c r="Q6" i="17"/>
  <c r="N7" i="17"/>
  <c r="E19" i="17"/>
  <c r="N19" i="17"/>
  <c r="N21" i="17"/>
  <c r="Q21" i="17"/>
  <c r="N6" i="17"/>
  <c r="E21" i="17"/>
  <c r="H19" i="17"/>
  <c r="N20" i="17"/>
  <c r="H21" i="17"/>
  <c r="E20" i="17"/>
  <c r="H20" i="17"/>
  <c r="B10" i="8"/>
  <c r="L10" i="8"/>
  <c r="K10" i="8"/>
  <c r="I10" i="8"/>
  <c r="E10" i="8"/>
  <c r="E18" i="8" l="1"/>
  <c r="E23" i="8"/>
  <c r="H5" i="17"/>
  <c r="K6" i="8"/>
  <c r="K12" i="8" s="1"/>
  <c r="L23" i="8"/>
  <c r="L6" i="8"/>
  <c r="L12" i="8" s="1"/>
  <c r="K23" i="8"/>
  <c r="I18" i="8"/>
  <c r="L32" i="8"/>
  <c r="E6" i="8"/>
  <c r="E12" i="8" s="1"/>
  <c r="K31" i="8"/>
  <c r="L18" i="8"/>
  <c r="K32" i="8"/>
  <c r="L31" i="8"/>
  <c r="L28" i="8"/>
  <c r="I23" i="8"/>
  <c r="I28" i="8"/>
  <c r="I6" i="8"/>
  <c r="I12" i="8" s="1"/>
  <c r="K28" i="8"/>
  <c r="K18" i="8"/>
  <c r="E31" i="8"/>
  <c r="I32" i="8"/>
  <c r="I31" i="8"/>
  <c r="E32" i="8"/>
  <c r="E28" i="8"/>
  <c r="E33" i="8" l="1"/>
  <c r="I33" i="8"/>
  <c r="L33" i="8"/>
  <c r="K33" i="8"/>
  <c r="P25" i="17" l="1"/>
  <c r="M25" i="17"/>
  <c r="P9" i="17"/>
  <c r="M9" i="17"/>
  <c r="G9" i="17"/>
  <c r="D9" i="17"/>
  <c r="F25" i="17"/>
  <c r="O25" i="17"/>
  <c r="L25" i="17"/>
  <c r="O9" i="17"/>
  <c r="L9" i="17"/>
  <c r="C23" i="8"/>
  <c r="F18" i="8"/>
  <c r="G18" i="8"/>
  <c r="P9" i="8"/>
  <c r="P8" i="8"/>
  <c r="M27" i="7"/>
  <c r="L27" i="7"/>
  <c r="O28" i="7"/>
  <c r="J28" i="7"/>
  <c r="C27" i="7"/>
  <c r="B27" i="7"/>
  <c r="M33" i="17" l="1"/>
  <c r="C25" i="17"/>
  <c r="N9" i="17"/>
  <c r="N25" i="17"/>
  <c r="N27" i="7"/>
  <c r="P33" i="17"/>
  <c r="D25" i="17"/>
  <c r="G25" i="17"/>
  <c r="H25" i="17" s="1"/>
  <c r="E12" i="17"/>
  <c r="C9" i="17"/>
  <c r="E9" i="17" s="1"/>
  <c r="Q25" i="17"/>
  <c r="H12" i="17"/>
  <c r="F9" i="17"/>
  <c r="H9" i="17" s="1"/>
  <c r="H18" i="8"/>
  <c r="Q9" i="17"/>
  <c r="L33" i="17"/>
  <c r="O33" i="17"/>
  <c r="C18" i="8"/>
  <c r="B18" i="8"/>
  <c r="P16" i="8"/>
  <c r="D5" i="5" s="1"/>
  <c r="P17" i="8"/>
  <c r="D27" i="7"/>
  <c r="B6" i="8"/>
  <c r="P4" i="8"/>
  <c r="B19" i="1" s="1"/>
  <c r="B23" i="8"/>
  <c r="P21" i="8"/>
  <c r="P22" i="8"/>
  <c r="C28" i="8"/>
  <c r="P5" i="8"/>
  <c r="C19" i="1" s="1"/>
  <c r="B28" i="8"/>
  <c r="P26" i="8"/>
  <c r="P27" i="8"/>
  <c r="E27" i="7"/>
  <c r="J27" i="7"/>
  <c r="O27" i="7"/>
  <c r="O26" i="7"/>
  <c r="M26" i="7"/>
  <c r="L26" i="7"/>
  <c r="E26" i="7"/>
  <c r="C26" i="7"/>
  <c r="B26" i="7"/>
  <c r="G33" i="17" l="1"/>
  <c r="E25" i="17"/>
  <c r="D33" i="17"/>
  <c r="C33" i="8"/>
  <c r="F33" i="17"/>
  <c r="I9" i="17" s="1"/>
  <c r="R5" i="17"/>
  <c r="R18" i="17"/>
  <c r="R9" i="17"/>
  <c r="R29" i="17"/>
  <c r="C33" i="17"/>
  <c r="R25" i="17"/>
  <c r="B33" i="8"/>
  <c r="B12" i="8"/>
  <c r="N26" i="7"/>
  <c r="D26" i="7"/>
  <c r="I5" i="17" l="1"/>
  <c r="M18" i="8"/>
  <c r="M10" i="8"/>
  <c r="M6" i="8" l="1"/>
  <c r="M12" i="8" s="1"/>
  <c r="M32" i="8"/>
  <c r="M23" i="8"/>
  <c r="M28" i="8"/>
  <c r="M31" i="8"/>
  <c r="M33" i="8" l="1"/>
  <c r="J26" i="7"/>
  <c r="O25" i="7"/>
  <c r="M25" i="7"/>
  <c r="L25" i="7"/>
  <c r="C25" i="7"/>
  <c r="B25" i="7"/>
  <c r="D25" i="7" l="1"/>
  <c r="E33" i="9"/>
  <c r="N25" i="7"/>
  <c r="W33" i="9"/>
  <c r="N33" i="9"/>
  <c r="Q33" i="9"/>
  <c r="H33" i="9"/>
  <c r="Z33" i="9"/>
  <c r="Y58" i="9"/>
  <c r="Z9" i="9"/>
  <c r="X58" i="9" l="1"/>
  <c r="W65" i="9" l="1"/>
  <c r="W64" i="9"/>
  <c r="W63" i="9"/>
  <c r="Z62" i="9"/>
  <c r="W62" i="9"/>
  <c r="Z61" i="9"/>
  <c r="W61" i="9"/>
  <c r="W60" i="9"/>
  <c r="U58" i="9"/>
  <c r="W56" i="9"/>
  <c r="W54" i="9"/>
  <c r="W50" i="9"/>
  <c r="Z46" i="9"/>
  <c r="W46" i="9"/>
  <c r="Z44" i="9"/>
  <c r="W44" i="9"/>
  <c r="W42" i="9"/>
  <c r="W40" i="9"/>
  <c r="Z38" i="9"/>
  <c r="W38" i="9"/>
  <c r="Z37" i="9"/>
  <c r="V35" i="9"/>
  <c r="Z36" i="9"/>
  <c r="Z31" i="9"/>
  <c r="W31" i="9"/>
  <c r="W29" i="9"/>
  <c r="W27" i="9"/>
  <c r="W26" i="9"/>
  <c r="Z25" i="9"/>
  <c r="Z24" i="9"/>
  <c r="W24" i="9"/>
  <c r="W23" i="9"/>
  <c r="Z22" i="9"/>
  <c r="W21" i="9"/>
  <c r="W18" i="9"/>
  <c r="Z13" i="9"/>
  <c r="W13" i="9"/>
  <c r="Z11" i="9"/>
  <c r="W11" i="9"/>
  <c r="W9" i="9"/>
  <c r="Z8" i="9"/>
  <c r="Y6" i="9"/>
  <c r="W7" i="9"/>
  <c r="V6" i="9"/>
  <c r="W4" i="9"/>
  <c r="Z16" i="9" l="1"/>
  <c r="W17" i="9"/>
  <c r="X20" i="9"/>
  <c r="W22" i="9"/>
  <c r="X35" i="9"/>
  <c r="Z59" i="9"/>
  <c r="U6" i="9"/>
  <c r="W6" i="9" s="1"/>
  <c r="U20" i="9"/>
  <c r="Y35" i="9"/>
  <c r="Z21" i="9"/>
  <c r="W52" i="9"/>
  <c r="U15" i="9"/>
  <c r="W48" i="9"/>
  <c r="Z50" i="9"/>
  <c r="U69" i="9"/>
  <c r="W37" i="9"/>
  <c r="V69" i="9"/>
  <c r="Z63" i="9"/>
  <c r="X69" i="9"/>
  <c r="Z4" i="9"/>
  <c r="W8" i="9"/>
  <c r="Z23" i="9"/>
  <c r="W25" i="9"/>
  <c r="W36" i="9"/>
  <c r="W39" i="9"/>
  <c r="W41" i="9"/>
  <c r="Z42" i="9"/>
  <c r="Z48" i="9"/>
  <c r="W59" i="9"/>
  <c r="Z60" i="9"/>
  <c r="W16" i="9"/>
  <c r="Z29" i="9"/>
  <c r="Z41" i="9"/>
  <c r="Z7" i="9"/>
  <c r="Z18" i="9"/>
  <c r="Z27" i="9"/>
  <c r="U35" i="9"/>
  <c r="W35" i="9" s="1"/>
  <c r="Z40" i="9"/>
  <c r="Z54" i="9"/>
  <c r="Z56" i="9"/>
  <c r="Z65" i="9"/>
  <c r="X6" i="9"/>
  <c r="X15" i="9"/>
  <c r="Z17" i="9"/>
  <c r="Z26" i="9"/>
  <c r="Z39" i="9"/>
  <c r="Z52" i="9"/>
  <c r="Z64" i="9"/>
  <c r="V15" i="9"/>
  <c r="Y15" i="9"/>
  <c r="V20" i="9"/>
  <c r="V58" i="9"/>
  <c r="Y69" i="9"/>
  <c r="Y20" i="9"/>
  <c r="O24" i="7"/>
  <c r="M24" i="7"/>
  <c r="L24" i="7"/>
  <c r="J25" i="7"/>
  <c r="E25" i="7"/>
  <c r="E24" i="7"/>
  <c r="C24" i="7"/>
  <c r="B24" i="7"/>
  <c r="X70" i="9" l="1"/>
  <c r="AA70" i="9" s="1"/>
  <c r="V70" i="9"/>
  <c r="V68" i="9" s="1"/>
  <c r="N24" i="7"/>
  <c r="D24" i="7"/>
  <c r="Y70" i="9"/>
  <c r="Y68" i="9" s="1"/>
  <c r="U70" i="9"/>
  <c r="W69" i="9"/>
  <c r="Z69" i="9"/>
  <c r="Z35" i="9"/>
  <c r="W15" i="9"/>
  <c r="Z20" i="9"/>
  <c r="Z58" i="9"/>
  <c r="W20" i="9"/>
  <c r="W58" i="9"/>
  <c r="Z15" i="9"/>
  <c r="Z6" i="9"/>
  <c r="M23" i="7"/>
  <c r="L23" i="7"/>
  <c r="J24" i="7"/>
  <c r="C23" i="7"/>
  <c r="B23" i="7"/>
  <c r="AA33" i="9" l="1"/>
  <c r="W70" i="9"/>
  <c r="U68" i="9"/>
  <c r="W68" i="9" s="1"/>
  <c r="AA59" i="9"/>
  <c r="AA44" i="9"/>
  <c r="AA35" i="9"/>
  <c r="AA22" i="9"/>
  <c r="AA11" i="9"/>
  <c r="AA65" i="9"/>
  <c r="AA41" i="9"/>
  <c r="AA20" i="9"/>
  <c r="AA64" i="9"/>
  <c r="AA40" i="9"/>
  <c r="AA27" i="9"/>
  <c r="AA7" i="9"/>
  <c r="AA15" i="9"/>
  <c r="AA46" i="9"/>
  <c r="AA36" i="9"/>
  <c r="AA13" i="9"/>
  <c r="AA42" i="9"/>
  <c r="AA31" i="9"/>
  <c r="AA21" i="9"/>
  <c r="AA9" i="9"/>
  <c r="AA56" i="9"/>
  <c r="AA29" i="9"/>
  <c r="AA8" i="9"/>
  <c r="AA55" i="9"/>
  <c r="AA18" i="9"/>
  <c r="AA60" i="9"/>
  <c r="AA63" i="9"/>
  <c r="AA54" i="9"/>
  <c r="AA39" i="9"/>
  <c r="AA26" i="9"/>
  <c r="AA17" i="9"/>
  <c r="AA6" i="9"/>
  <c r="AA62" i="9"/>
  <c r="AA52" i="9"/>
  <c r="AA38" i="9"/>
  <c r="AA25" i="9"/>
  <c r="AA16" i="9"/>
  <c r="AA4" i="9"/>
  <c r="AA61" i="9"/>
  <c r="AA48" i="9"/>
  <c r="AA37" i="9"/>
  <c r="AA24" i="9"/>
  <c r="AA50" i="9"/>
  <c r="AA23" i="9"/>
  <c r="AA58" i="9"/>
  <c r="X68" i="9"/>
  <c r="AA68" i="9" s="1"/>
  <c r="AA69" i="9"/>
  <c r="Z70" i="9"/>
  <c r="D23" i="7"/>
  <c r="N23" i="7"/>
  <c r="Z68" i="9" l="1"/>
  <c r="O23" i="7"/>
  <c r="J23" i="7"/>
  <c r="E23" i="7"/>
  <c r="E22" i="7" l="1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E40" i="3" l="1"/>
  <c r="E35" i="3"/>
  <c r="E18" i="3"/>
  <c r="E12" i="3"/>
  <c r="E7" i="3"/>
  <c r="E30" i="3"/>
  <c r="E44" i="3" l="1"/>
  <c r="E22" i="3"/>
  <c r="E23" i="3" s="1"/>
  <c r="E43" i="3"/>
  <c r="E45" i="3" l="1"/>
  <c r="F10" i="8"/>
  <c r="F6" i="8" l="1"/>
  <c r="F12" i="8" s="1"/>
  <c r="F31" i="8"/>
  <c r="F32" i="8"/>
  <c r="F23" i="8"/>
  <c r="F28" i="8"/>
  <c r="F33" i="8" l="1"/>
  <c r="D69" i="9"/>
  <c r="L69" i="9" l="1"/>
  <c r="G69" i="9"/>
  <c r="O69" i="9"/>
  <c r="C69" i="9"/>
  <c r="F69" i="9"/>
  <c r="M69" i="9"/>
  <c r="P69" i="9"/>
  <c r="E69" i="9" l="1"/>
  <c r="H69" i="9"/>
  <c r="Q69" i="9"/>
  <c r="N69" i="9"/>
  <c r="Q65" i="9"/>
  <c r="E65" i="9"/>
  <c r="N65" i="9"/>
  <c r="E48" i="9" l="1"/>
  <c r="N48" i="9"/>
  <c r="Q48" i="9"/>
  <c r="H48" i="9"/>
  <c r="H65" i="9"/>
  <c r="B32" i="8" l="1"/>
  <c r="B31" i="8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I45" i="2" l="1"/>
  <c r="G27" i="4"/>
  <c r="C15" i="9"/>
  <c r="G12" i="4"/>
  <c r="G20" i="4"/>
  <c r="G32" i="4"/>
  <c r="C20" i="9"/>
  <c r="C35" i="9"/>
  <c r="C6" i="9"/>
  <c r="C58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70" i="9" l="1"/>
  <c r="G21" i="4"/>
  <c r="D21" i="15"/>
  <c r="G42" i="4"/>
  <c r="D42" i="15"/>
  <c r="O58" i="9"/>
  <c r="N64" i="9"/>
  <c r="H64" i="9"/>
  <c r="E64" i="9"/>
  <c r="Q63" i="9"/>
  <c r="N62" i="9"/>
  <c r="H62" i="9"/>
  <c r="E62" i="9"/>
  <c r="Q61" i="9"/>
  <c r="N60" i="9"/>
  <c r="H60" i="9"/>
  <c r="E60" i="9"/>
  <c r="P58" i="9"/>
  <c r="Q59" i="9"/>
  <c r="M58" i="9"/>
  <c r="D58" i="9"/>
  <c r="Q56" i="9"/>
  <c r="N56" i="9"/>
  <c r="E56" i="9"/>
  <c r="N54" i="9"/>
  <c r="E54" i="9"/>
  <c r="Q52" i="9"/>
  <c r="N52" i="9"/>
  <c r="H52" i="9"/>
  <c r="Q50" i="9"/>
  <c r="N50" i="9"/>
  <c r="H50" i="9"/>
  <c r="N46" i="9"/>
  <c r="E46" i="9"/>
  <c r="N44" i="9"/>
  <c r="E44" i="9"/>
  <c r="N42" i="9"/>
  <c r="H42" i="9"/>
  <c r="Q40" i="9"/>
  <c r="N40" i="9"/>
  <c r="H40" i="9"/>
  <c r="N39" i="9"/>
  <c r="E39" i="9"/>
  <c r="N38" i="9"/>
  <c r="H38" i="9"/>
  <c r="M35" i="9"/>
  <c r="E37" i="9"/>
  <c r="Q36" i="9"/>
  <c r="N36" i="9"/>
  <c r="H36" i="9"/>
  <c r="G35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70" i="9" l="1"/>
  <c r="M68" i="9" s="1"/>
  <c r="C68" i="9"/>
  <c r="N9" i="9"/>
  <c r="L35" i="9"/>
  <c r="N35" i="9" s="1"/>
  <c r="D35" i="9"/>
  <c r="E35" i="9" s="1"/>
  <c r="G6" i="9"/>
  <c r="P6" i="9"/>
  <c r="Q6" i="9" s="1"/>
  <c r="N11" i="9"/>
  <c r="E13" i="9"/>
  <c r="L15" i="9"/>
  <c r="N15" i="9" s="1"/>
  <c r="Q16" i="9"/>
  <c r="E40" i="9"/>
  <c r="P35" i="9"/>
  <c r="E8" i="9"/>
  <c r="N8" i="9"/>
  <c r="F20" i="9"/>
  <c r="H20" i="9" s="1"/>
  <c r="O35" i="9"/>
  <c r="O70" i="9" s="1"/>
  <c r="R33" i="9" s="1"/>
  <c r="N37" i="9"/>
  <c r="Q38" i="9"/>
  <c r="E41" i="9"/>
  <c r="N41" i="9"/>
  <c r="Q42" i="9"/>
  <c r="E61" i="9"/>
  <c r="N61" i="9"/>
  <c r="E63" i="9"/>
  <c r="N63" i="9"/>
  <c r="H39" i="9"/>
  <c r="H54" i="9"/>
  <c r="F6" i="9"/>
  <c r="L6" i="9"/>
  <c r="N6" i="9" s="1"/>
  <c r="H8" i="9"/>
  <c r="D15" i="9"/>
  <c r="E18" i="9"/>
  <c r="E21" i="9"/>
  <c r="H24" i="9"/>
  <c r="E31" i="9"/>
  <c r="F35" i="9"/>
  <c r="H37" i="9"/>
  <c r="E42" i="9"/>
  <c r="E50" i="9"/>
  <c r="E52" i="9"/>
  <c r="H15" i="9"/>
  <c r="H22" i="9"/>
  <c r="E6" i="9"/>
  <c r="E9" i="9"/>
  <c r="L20" i="9"/>
  <c r="N20" i="9" s="1"/>
  <c r="D20" i="9"/>
  <c r="E23" i="9"/>
  <c r="H26" i="9"/>
  <c r="H44" i="9"/>
  <c r="Q58" i="9"/>
  <c r="G58" i="9"/>
  <c r="Q60" i="9"/>
  <c r="H17" i="9"/>
  <c r="E25" i="9"/>
  <c r="H29" i="9"/>
  <c r="E36" i="9"/>
  <c r="E38" i="9"/>
  <c r="H41" i="9"/>
  <c r="H46" i="9"/>
  <c r="E59" i="9"/>
  <c r="N59" i="9"/>
  <c r="Q62" i="9"/>
  <c r="Q64" i="9"/>
  <c r="Q11" i="9"/>
  <c r="Q15" i="9"/>
  <c r="Q17" i="9"/>
  <c r="Q20" i="9"/>
  <c r="Q22" i="9"/>
  <c r="Q24" i="9"/>
  <c r="Q26" i="9"/>
  <c r="Q29" i="9"/>
  <c r="Q37" i="9"/>
  <c r="Q39" i="9"/>
  <c r="Q41" i="9"/>
  <c r="Q44" i="9"/>
  <c r="Q46" i="9"/>
  <c r="Q54" i="9"/>
  <c r="H56" i="9"/>
  <c r="F58" i="9"/>
  <c r="L58" i="9"/>
  <c r="H59" i="9"/>
  <c r="H61" i="9"/>
  <c r="H63" i="9"/>
  <c r="P70" i="9" l="1"/>
  <c r="P68" i="9" s="1"/>
  <c r="G70" i="9"/>
  <c r="G68" i="9" s="1"/>
  <c r="F70" i="9"/>
  <c r="I33" i="9" s="1"/>
  <c r="L70" i="9"/>
  <c r="N70" i="9" s="1"/>
  <c r="D70" i="9"/>
  <c r="D68" i="9" s="1"/>
  <c r="R70" i="9"/>
  <c r="O68" i="9"/>
  <c r="R69" i="9"/>
  <c r="Q35" i="9"/>
  <c r="E20" i="9"/>
  <c r="H58" i="9"/>
  <c r="H35" i="9"/>
  <c r="H6" i="9"/>
  <c r="N58" i="9"/>
  <c r="E15" i="9"/>
  <c r="E58" i="9"/>
  <c r="E70" i="9" l="1"/>
  <c r="E68" i="9"/>
  <c r="R68" i="9"/>
  <c r="Q70" i="9"/>
  <c r="H70" i="9"/>
  <c r="I70" i="9" s="1"/>
  <c r="I69" i="9"/>
  <c r="F68" i="9"/>
  <c r="I4" i="9"/>
  <c r="L68" i="9"/>
  <c r="Q68" i="9"/>
  <c r="R48" i="9"/>
  <c r="R4" i="9"/>
  <c r="I48" i="9"/>
  <c r="I6" i="9"/>
  <c r="I65" i="9"/>
  <c r="R61" i="9"/>
  <c r="R65" i="9"/>
  <c r="R59" i="9"/>
  <c r="R39" i="9"/>
  <c r="R24" i="9"/>
  <c r="R50" i="9"/>
  <c r="R35" i="9"/>
  <c r="R25" i="9"/>
  <c r="R37" i="9"/>
  <c r="R26" i="9"/>
  <c r="R21" i="9"/>
  <c r="R46" i="9"/>
  <c r="R16" i="9"/>
  <c r="R58" i="9"/>
  <c r="R22" i="9"/>
  <c r="R64" i="9"/>
  <c r="R15" i="9"/>
  <c r="R60" i="9"/>
  <c r="R11" i="9"/>
  <c r="R54" i="9"/>
  <c r="R29" i="9"/>
  <c r="R63" i="9"/>
  <c r="R9" i="9"/>
  <c r="R8" i="9"/>
  <c r="R36" i="9"/>
  <c r="R56" i="9"/>
  <c r="R44" i="9"/>
  <c r="R62" i="9"/>
  <c r="R7" i="9"/>
  <c r="R38" i="9"/>
  <c r="R18" i="9"/>
  <c r="R27" i="9"/>
  <c r="R20" i="9"/>
  <c r="R31" i="9"/>
  <c r="R17" i="9"/>
  <c r="R6" i="9"/>
  <c r="R41" i="9"/>
  <c r="R40" i="9"/>
  <c r="R23" i="9"/>
  <c r="R52" i="9"/>
  <c r="R13" i="9"/>
  <c r="R42" i="9"/>
  <c r="I35" i="9"/>
  <c r="I58" i="9"/>
  <c r="I64" i="9"/>
  <c r="I62" i="9"/>
  <c r="I11" i="9"/>
  <c r="I60" i="9"/>
  <c r="I7" i="9"/>
  <c r="I40" i="9"/>
  <c r="I56" i="9"/>
  <c r="I15" i="9"/>
  <c r="I16" i="9"/>
  <c r="I26" i="9"/>
  <c r="I44" i="9"/>
  <c r="I21" i="9"/>
  <c r="I41" i="9"/>
  <c r="I46" i="9"/>
  <c r="I63" i="9"/>
  <c r="I8" i="9"/>
  <c r="I54" i="9"/>
  <c r="I25" i="9"/>
  <c r="I36" i="9"/>
  <c r="I38" i="9"/>
  <c r="I23" i="9"/>
  <c r="I31" i="9"/>
  <c r="I52" i="9"/>
  <c r="I39" i="9"/>
  <c r="I24" i="9"/>
  <c r="I37" i="9"/>
  <c r="I22" i="9"/>
  <c r="I13" i="9"/>
  <c r="I61" i="9"/>
  <c r="I18" i="9"/>
  <c r="I29" i="9"/>
  <c r="I20" i="9"/>
  <c r="I59" i="9"/>
  <c r="I9" i="9"/>
  <c r="I27" i="9"/>
  <c r="I17" i="9"/>
  <c r="I42" i="9"/>
  <c r="I50" i="9"/>
  <c r="I68" i="9" l="1"/>
  <c r="N68" i="9"/>
  <c r="H68" i="9"/>
  <c r="J2" i="9"/>
  <c r="S2" i="9" s="1"/>
  <c r="H29" i="17" l="1"/>
  <c r="Q29" i="17"/>
  <c r="Q12" i="17"/>
  <c r="Q18" i="17"/>
  <c r="H26" i="17"/>
  <c r="Q26" i="17"/>
  <c r="E27" i="17"/>
  <c r="E29" i="17"/>
  <c r="E18" i="17"/>
  <c r="N18" i="17"/>
  <c r="H18" i="17"/>
  <c r="E26" i="17"/>
  <c r="H27" i="17"/>
  <c r="R16" i="17"/>
  <c r="N12" i="17"/>
  <c r="N26" i="17"/>
  <c r="N29" i="17"/>
  <c r="R14" i="17" l="1"/>
  <c r="R15" i="17"/>
  <c r="I14" i="17"/>
  <c r="I15" i="17"/>
  <c r="R11" i="17"/>
  <c r="R10" i="17"/>
  <c r="I13" i="17"/>
  <c r="I16" i="17"/>
  <c r="I25" i="17"/>
  <c r="I18" i="17"/>
  <c r="I11" i="17"/>
  <c r="I10" i="17"/>
  <c r="I6" i="17"/>
  <c r="R13" i="17"/>
  <c r="R22" i="17"/>
  <c r="I22" i="17"/>
  <c r="R6" i="17"/>
  <c r="R7" i="17"/>
  <c r="I7" i="17"/>
  <c r="R21" i="17"/>
  <c r="R19" i="17"/>
  <c r="R20" i="17"/>
  <c r="I20" i="17"/>
  <c r="I19" i="17"/>
  <c r="I21" i="17"/>
  <c r="Q33" i="17"/>
  <c r="H33" i="17"/>
  <c r="R12" i="17"/>
  <c r="R26" i="17"/>
  <c r="I29" i="17"/>
  <c r="I27" i="17"/>
  <c r="I26" i="17"/>
  <c r="I12" i="17"/>
  <c r="N33" i="17"/>
  <c r="E33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F22" i="3"/>
  <c r="I17" i="4"/>
  <c r="I37" i="4"/>
  <c r="J40" i="4"/>
  <c r="F44" i="3"/>
  <c r="C44" i="3"/>
  <c r="E7" i="15"/>
  <c r="J20" i="4"/>
  <c r="E12" i="15"/>
  <c r="E20" i="15"/>
  <c r="E32" i="15"/>
  <c r="C22" i="3"/>
  <c r="C7" i="3"/>
  <c r="C40" i="3"/>
  <c r="F7" i="3"/>
  <c r="F18" i="3"/>
  <c r="F30" i="3"/>
  <c r="J27" i="4"/>
  <c r="J41" i="4"/>
  <c r="E41" i="15"/>
  <c r="F12" i="3"/>
  <c r="F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F40" i="3"/>
  <c r="F43" i="3"/>
  <c r="C43" i="3"/>
  <c r="E21" i="15" l="1"/>
  <c r="F23" i="3"/>
  <c r="C23" i="3"/>
  <c r="C45" i="3"/>
  <c r="J21" i="4"/>
  <c r="I42" i="4"/>
  <c r="F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H32" i="8" l="1"/>
  <c r="H6" i="8"/>
  <c r="H31" i="8"/>
  <c r="H10" i="8"/>
  <c r="H12" i="8" l="1"/>
  <c r="H23" i="8"/>
  <c r="H28" i="8"/>
  <c r="H33" i="8" l="1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J18" i="8" l="1"/>
  <c r="D30" i="2"/>
  <c r="B30" i="3"/>
  <c r="C27" i="4"/>
  <c r="K27" i="4"/>
  <c r="G23" i="8"/>
  <c r="D35" i="2"/>
  <c r="B35" i="3"/>
  <c r="G35" i="3"/>
  <c r="I35" i="3"/>
  <c r="E32" i="4"/>
  <c r="B32" i="15"/>
  <c r="H32" i="15"/>
  <c r="D17" i="4"/>
  <c r="F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N31" i="7"/>
  <c r="P31" i="7" s="1"/>
  <c r="D31" i="7"/>
  <c r="N32" i="7"/>
  <c r="P32" i="7" s="1"/>
  <c r="I32" i="7"/>
  <c r="K32" i="7" s="1"/>
  <c r="D32" i="7"/>
  <c r="F32" i="7" s="1"/>
  <c r="I31" i="7"/>
  <c r="K31" i="7" s="1"/>
  <c r="F31" i="7"/>
  <c r="J45" i="15"/>
  <c r="J44" i="15"/>
  <c r="P20" i="16"/>
  <c r="P8" i="16"/>
  <c r="K42" i="2"/>
  <c r="K37" i="2"/>
  <c r="K36" i="2"/>
  <c r="K32" i="2"/>
  <c r="K8" i="2"/>
  <c r="M34" i="4"/>
  <c r="M33" i="4"/>
  <c r="M14" i="4"/>
  <c r="C10" i="8"/>
  <c r="G10" i="8"/>
  <c r="N10" i="8"/>
  <c r="D10" i="8"/>
  <c r="J10" i="8"/>
  <c r="D33" i="8"/>
  <c r="J32" i="8" l="1"/>
  <c r="O37" i="16"/>
  <c r="I18" i="3"/>
  <c r="I23" i="3" s="1"/>
  <c r="C17" i="4"/>
  <c r="K37" i="4"/>
  <c r="J37" i="16"/>
  <c r="N32" i="8"/>
  <c r="H37" i="16"/>
  <c r="B18" i="3"/>
  <c r="B37" i="16"/>
  <c r="E37" i="16"/>
  <c r="I44" i="3"/>
  <c r="K48" i="3"/>
  <c r="J50" i="2" s="1"/>
  <c r="K50" i="2" s="1"/>
  <c r="D30" i="16"/>
  <c r="H30" i="16"/>
  <c r="O11" i="16"/>
  <c r="K41" i="4"/>
  <c r="C23" i="16"/>
  <c r="J28" i="8"/>
  <c r="B22" i="3"/>
  <c r="K20" i="4"/>
  <c r="K17" i="4"/>
  <c r="B46" i="4"/>
  <c r="B47" i="4" s="1"/>
  <c r="B44" i="3"/>
  <c r="D44" i="2"/>
  <c r="N18" i="16"/>
  <c r="D6" i="16"/>
  <c r="C7" i="7"/>
  <c r="H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J22" i="3"/>
  <c r="J23" i="3" s="1"/>
  <c r="B17" i="15"/>
  <c r="F12" i="7"/>
  <c r="B12" i="7"/>
  <c r="D20" i="1"/>
  <c r="O32" i="8"/>
  <c r="F41" i="15"/>
  <c r="B41" i="15"/>
  <c r="D41" i="4"/>
  <c r="G28" i="8"/>
  <c r="K40" i="4"/>
  <c r="H18" i="16"/>
  <c r="E43" i="2"/>
  <c r="B43" i="2"/>
  <c r="G32" i="15"/>
  <c r="C32" i="15"/>
  <c r="H44" i="3"/>
  <c r="B23" i="16"/>
  <c r="G11" i="16"/>
  <c r="E6" i="16"/>
  <c r="B6" i="16"/>
  <c r="J11" i="16"/>
  <c r="H6" i="16"/>
  <c r="H12" i="15"/>
  <c r="H12" i="4"/>
  <c r="H12" i="3"/>
  <c r="C21" i="2"/>
  <c r="C23" i="2" s="1"/>
  <c r="H20" i="4"/>
  <c r="H17" i="15"/>
  <c r="D32" i="4"/>
  <c r="J35" i="3"/>
  <c r="O23" i="8"/>
  <c r="N23" i="8"/>
  <c r="F27" i="15"/>
  <c r="K28" i="3"/>
  <c r="J28" i="2" s="1"/>
  <c r="K28" i="2" s="1"/>
  <c r="B5" i="5" s="1"/>
  <c r="C30" i="16"/>
  <c r="G30" i="16"/>
  <c r="H7" i="3"/>
  <c r="E7" i="7"/>
  <c r="C12" i="7"/>
  <c r="J6" i="8"/>
  <c r="J12" i="8" s="1"/>
  <c r="K32" i="4"/>
  <c r="D27" i="4"/>
  <c r="O18" i="8"/>
  <c r="N18" i="8"/>
  <c r="H23" i="16"/>
  <c r="G6" i="16"/>
  <c r="C6" i="16"/>
  <c r="G7" i="3"/>
  <c r="J7" i="3"/>
  <c r="C6" i="8"/>
  <c r="B40" i="4"/>
  <c r="J23" i="16"/>
  <c r="K7" i="4"/>
  <c r="C7" i="4"/>
  <c r="K10" i="3"/>
  <c r="J9" i="2" s="1"/>
  <c r="B17" i="2"/>
  <c r="D21" i="1"/>
  <c r="G41" i="15"/>
  <c r="J36" i="15"/>
  <c r="L36" i="4" s="1"/>
  <c r="M36" i="4" s="1"/>
  <c r="C16" i="5" s="1"/>
  <c r="B37" i="4"/>
  <c r="O31" i="8"/>
  <c r="N28" i="8"/>
  <c r="D40" i="4"/>
  <c r="I40" i="3"/>
  <c r="B40" i="3"/>
  <c r="D40" i="2"/>
  <c r="G44" i="3"/>
  <c r="C32" i="8"/>
  <c r="O10" i="8"/>
  <c r="P10" i="8" s="1"/>
  <c r="H7" i="15"/>
  <c r="D12" i="4"/>
  <c r="H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K20" i="3"/>
  <c r="J19" i="2" s="1"/>
  <c r="K19" i="2" s="1"/>
  <c r="H43" i="3"/>
  <c r="B27" i="4"/>
  <c r="L19" i="4"/>
  <c r="M19" i="4" s="1"/>
  <c r="N31" i="8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31" i="8"/>
  <c r="G43" i="3"/>
  <c r="B41" i="4"/>
  <c r="C32" i="4"/>
  <c r="B18" i="16"/>
  <c r="E18" i="16"/>
  <c r="P21" i="16"/>
  <c r="I7" i="3"/>
  <c r="C6" i="2"/>
  <c r="G7" i="15"/>
  <c r="E7" i="4"/>
  <c r="K16" i="3"/>
  <c r="J15" i="2" s="1"/>
  <c r="K15" i="2" s="1"/>
  <c r="H40" i="15"/>
  <c r="N6" i="8"/>
  <c r="N12" i="8" s="1"/>
  <c r="D16" i="5"/>
  <c r="C44" i="2"/>
  <c r="G23" i="16"/>
  <c r="K5" i="3"/>
  <c r="J4" i="2" s="1"/>
  <c r="K4" i="2" s="1"/>
  <c r="B5" i="1" s="1"/>
  <c r="C7" i="15"/>
  <c r="L5" i="4"/>
  <c r="M5" i="4" s="1"/>
  <c r="L16" i="4"/>
  <c r="M16" i="4" s="1"/>
  <c r="F20" i="15"/>
  <c r="F21" i="15" s="1"/>
  <c r="J30" i="3"/>
  <c r="J43" i="3"/>
  <c r="K34" i="3"/>
  <c r="J34" i="2" s="1"/>
  <c r="K34" i="2" s="1"/>
  <c r="B11" i="5" s="1"/>
  <c r="K29" i="3"/>
  <c r="J29" i="2" s="1"/>
  <c r="G12" i="3"/>
  <c r="H35" i="3"/>
  <c r="J31" i="15"/>
  <c r="L31" i="4" s="1"/>
  <c r="C30" i="2"/>
  <c r="J40" i="3"/>
  <c r="J44" i="3"/>
  <c r="J30" i="16"/>
  <c r="P28" i="16"/>
  <c r="P17" i="16"/>
  <c r="G18" i="16"/>
  <c r="D23" i="16"/>
  <c r="H40" i="4"/>
  <c r="H37" i="4"/>
  <c r="K38" i="3"/>
  <c r="J38" i="2" s="1"/>
  <c r="G40" i="3"/>
  <c r="G37" i="15"/>
  <c r="L18" i="4"/>
  <c r="M18" i="4" s="1"/>
  <c r="P10" i="16"/>
  <c r="B11" i="16"/>
  <c r="K51" i="2"/>
  <c r="K21" i="3"/>
  <c r="J20" i="2" s="1"/>
  <c r="K20" i="2" s="1"/>
  <c r="H22" i="3"/>
  <c r="H41" i="4"/>
  <c r="D15" i="5"/>
  <c r="C37" i="15"/>
  <c r="H30" i="3"/>
  <c r="J46" i="15"/>
  <c r="L44" i="4" s="1"/>
  <c r="M44" i="4" s="1"/>
  <c r="N37" i="16"/>
  <c r="E11" i="16"/>
  <c r="J47" i="15"/>
  <c r="L45" i="4" s="1"/>
  <c r="M45" i="4" s="1"/>
  <c r="G22" i="3"/>
  <c r="G23" i="3" s="1"/>
  <c r="B21" i="2"/>
  <c r="E37" i="4"/>
  <c r="J30" i="15"/>
  <c r="L30" i="4" s="1"/>
  <c r="M30" i="4" s="1"/>
  <c r="C10" i="5" s="1"/>
  <c r="H27" i="15"/>
  <c r="D11" i="5"/>
  <c r="G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K6" i="3"/>
  <c r="J5" i="2" s="1"/>
  <c r="K5" i="2" s="1"/>
  <c r="C5" i="1" s="1"/>
  <c r="B7" i="3"/>
  <c r="F7" i="15"/>
  <c r="H7" i="4"/>
  <c r="D7" i="7"/>
  <c r="J12" i="3"/>
  <c r="D17" i="2"/>
  <c r="D23" i="2" s="1"/>
  <c r="C17" i="15"/>
  <c r="D12" i="7"/>
  <c r="E12" i="7"/>
  <c r="O6" i="8"/>
  <c r="H41" i="15"/>
  <c r="C31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D6" i="8"/>
  <c r="D12" i="8" s="1"/>
  <c r="O28" i="8"/>
  <c r="B6" i="2"/>
  <c r="K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G6" i="8"/>
  <c r="J31" i="8"/>
  <c r="J23" i="8"/>
  <c r="G32" i="8"/>
  <c r="B43" i="3"/>
  <c r="C11" i="16"/>
  <c r="P9" i="16"/>
  <c r="B30" i="7" s="1"/>
  <c r="B12" i="15"/>
  <c r="L10" i="4"/>
  <c r="M10" i="4" s="1"/>
  <c r="F40" i="15"/>
  <c r="J35" i="15"/>
  <c r="L35" i="4" s="1"/>
  <c r="F37" i="15"/>
  <c r="E44" i="2"/>
  <c r="E30" i="2"/>
  <c r="B44" i="2"/>
  <c r="B30" i="2"/>
  <c r="K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30" i="7" l="1"/>
  <c r="P23" i="8"/>
  <c r="P32" i="8"/>
  <c r="P28" i="8"/>
  <c r="C12" i="8"/>
  <c r="P6" i="8"/>
  <c r="P31" i="8"/>
  <c r="P18" i="8"/>
  <c r="F26" i="7"/>
  <c r="F24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J45" i="3"/>
  <c r="C21" i="4"/>
  <c r="B23" i="2"/>
  <c r="B33" i="1"/>
  <c r="I45" i="3"/>
  <c r="H45" i="3"/>
  <c r="D45" i="2"/>
  <c r="O12" i="8"/>
  <c r="H23" i="3"/>
  <c r="G42" i="15"/>
  <c r="H21" i="15"/>
  <c r="B42" i="4"/>
  <c r="D7" i="1"/>
  <c r="J17" i="2"/>
  <c r="K17" i="2" s="1"/>
  <c r="K12" i="3"/>
  <c r="K44" i="3"/>
  <c r="E45" i="2"/>
  <c r="O33" i="8"/>
  <c r="E21" i="4"/>
  <c r="D17" i="5"/>
  <c r="G45" i="3"/>
  <c r="F42" i="15"/>
  <c r="D18" i="1"/>
  <c r="C10" i="1"/>
  <c r="L27" i="4"/>
  <c r="M27" i="4" s="1"/>
  <c r="C21" i="15"/>
  <c r="D42" i="4"/>
  <c r="N33" i="8"/>
  <c r="J11" i="2"/>
  <c r="K11" i="2" s="1"/>
  <c r="K9" i="2"/>
  <c r="K35" i="3"/>
  <c r="K40" i="3"/>
  <c r="J44" i="2"/>
  <c r="K44" i="2" s="1"/>
  <c r="J32" i="15"/>
  <c r="M25" i="4"/>
  <c r="C5" i="5" s="1"/>
  <c r="K30" i="3"/>
  <c r="P6" i="16"/>
  <c r="K7" i="3"/>
  <c r="B21" i="4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H42" i="15"/>
  <c r="K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J33" i="8"/>
  <c r="J37" i="15"/>
  <c r="K18" i="3"/>
  <c r="L17" i="4"/>
  <c r="M17" i="4" s="1"/>
  <c r="D10" i="5"/>
  <c r="G12" i="8"/>
  <c r="E42" i="4"/>
  <c r="C42" i="15"/>
  <c r="J40" i="15"/>
  <c r="J41" i="15"/>
  <c r="G33" i="8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K43" i="3"/>
  <c r="D30" i="7" l="1"/>
  <c r="F30" i="7" s="1"/>
  <c r="B17" i="5"/>
  <c r="B20" i="5"/>
  <c r="F28" i="7"/>
  <c r="P33" i="8"/>
  <c r="P12" i="8"/>
  <c r="F27" i="7"/>
  <c r="F25" i="7"/>
  <c r="F23" i="7"/>
  <c r="B8" i="1"/>
  <c r="F18" i="1"/>
  <c r="J21" i="15"/>
  <c r="D6" i="1"/>
  <c r="C8" i="1"/>
  <c r="C33" i="1" s="1"/>
  <c r="B10" i="1"/>
  <c r="F19" i="1"/>
  <c r="J45" i="2"/>
  <c r="K45" i="2" s="1"/>
  <c r="K45" i="3"/>
  <c r="F7" i="1"/>
  <c r="J23" i="2"/>
  <c r="K23" i="2" s="1"/>
  <c r="B27" i="1"/>
  <c r="B21" i="5"/>
  <c r="B28" i="1"/>
  <c r="L42" i="4"/>
  <c r="M42" i="4" s="1"/>
  <c r="J42" i="15"/>
  <c r="K23" i="3"/>
  <c r="B17" i="1"/>
  <c r="D17" i="1" s="1"/>
  <c r="K43" i="2"/>
  <c r="C11" i="5"/>
  <c r="C28" i="1"/>
  <c r="C27" i="1"/>
  <c r="M37" i="4"/>
  <c r="H16" i="5"/>
  <c r="L21" i="4"/>
  <c r="M21" i="4" s="1"/>
  <c r="B12" i="5"/>
  <c r="E10" i="5"/>
  <c r="F10" i="5" s="1"/>
  <c r="I10" i="5" s="1"/>
  <c r="C17" i="5"/>
  <c r="C20" i="5"/>
  <c r="E15" i="5"/>
  <c r="D12" i="5"/>
  <c r="D20" i="5"/>
  <c r="D21" i="5"/>
  <c r="D7" i="5"/>
  <c r="C22" i="1"/>
  <c r="D16" i="1"/>
  <c r="F5" i="1"/>
  <c r="E6" i="5"/>
  <c r="F6" i="5" s="1"/>
  <c r="I6" i="5" s="1"/>
  <c r="C7" i="5"/>
  <c r="E5" i="5"/>
  <c r="D10" i="1" l="1"/>
  <c r="D8" i="1"/>
  <c r="F8" i="1" s="1"/>
  <c r="F6" i="1"/>
  <c r="C11" i="1"/>
  <c r="B32" i="1"/>
  <c r="B11" i="1"/>
  <c r="L30" i="7" s="1"/>
  <c r="D28" i="1"/>
  <c r="B22" i="1"/>
  <c r="B29" i="1"/>
  <c r="C12" i="5"/>
  <c r="C21" i="5"/>
  <c r="E21" i="5" s="1"/>
  <c r="F21" i="5" s="1"/>
  <c r="H21" i="5" s="1"/>
  <c r="E11" i="5"/>
  <c r="C29" i="1"/>
  <c r="F5" i="5"/>
  <c r="I5" i="5" s="1"/>
  <c r="E7" i="5"/>
  <c r="F16" i="1"/>
  <c r="D22" i="1"/>
  <c r="F22" i="1" s="1"/>
  <c r="D22" i="5"/>
  <c r="F15" i="5"/>
  <c r="I15" i="5" s="1"/>
  <c r="E17" i="5"/>
  <c r="D27" i="1" s="1"/>
  <c r="B22" i="5"/>
  <c r="E20" i="5"/>
  <c r="H6" i="5"/>
  <c r="F17" i="1"/>
  <c r="G30" i="7" l="1"/>
  <c r="M30" i="7"/>
  <c r="F11" i="5"/>
  <c r="I11" i="5" s="1"/>
  <c r="H27" i="7"/>
  <c r="H28" i="7"/>
  <c r="P28" i="7"/>
  <c r="G28" i="7"/>
  <c r="P27" i="7"/>
  <c r="G27" i="7"/>
  <c r="G26" i="7"/>
  <c r="H25" i="7"/>
  <c r="H26" i="7"/>
  <c r="P25" i="7"/>
  <c r="G25" i="7"/>
  <c r="H23" i="7"/>
  <c r="H24" i="7"/>
  <c r="P24" i="7"/>
  <c r="G24" i="7"/>
  <c r="G23" i="7"/>
  <c r="P23" i="7"/>
  <c r="F10" i="1"/>
  <c r="C32" i="1"/>
  <c r="F28" i="1"/>
  <c r="D11" i="1"/>
  <c r="F11" i="1" s="1"/>
  <c r="E12" i="5"/>
  <c r="C22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11" i="5" l="1"/>
  <c r="H30" i="7"/>
  <c r="I30" i="7" s="1"/>
  <c r="K30" i="7" s="1"/>
  <c r="N30" i="7"/>
  <c r="P30" i="7" s="1"/>
  <c r="I28" i="7"/>
  <c r="K28" i="7" s="1"/>
  <c r="I25" i="7"/>
  <c r="K25" i="7" s="1"/>
  <c r="I27" i="7"/>
  <c r="K27" i="7" s="1"/>
  <c r="I26" i="7"/>
  <c r="K26" i="7" s="1"/>
  <c r="P26" i="7"/>
  <c r="I24" i="7"/>
  <c r="K24" i="7" s="1"/>
  <c r="I23" i="7"/>
  <c r="K23" i="7" s="1"/>
  <c r="F22" i="5"/>
  <c r="H22" i="5" s="1"/>
  <c r="H20" i="5"/>
  <c r="D21" i="7" l="1"/>
  <c r="F21" i="7" l="1"/>
  <c r="G21" i="7"/>
  <c r="N21" i="7" l="1"/>
  <c r="H21" i="7"/>
  <c r="P21" i="7" l="1"/>
  <c r="I21" i="7"/>
  <c r="K21" i="7" s="1"/>
  <c r="B22" i="7" l="1"/>
  <c r="C22" i="7" l="1"/>
  <c r="D22" i="7" l="1"/>
  <c r="K6" i="5" l="1"/>
  <c r="F22" i="7"/>
  <c r="M22" i="7"/>
  <c r="L22" i="7"/>
  <c r="K11" i="5"/>
  <c r="I7" i="5" l="1"/>
  <c r="K7" i="5" s="1"/>
  <c r="I20" i="5"/>
  <c r="K5" i="5"/>
  <c r="N22" i="7"/>
  <c r="G22" i="7"/>
  <c r="H22" i="7"/>
  <c r="K15" i="5"/>
  <c r="I17" i="5"/>
  <c r="K17" i="5" s="1"/>
  <c r="I21" i="5"/>
  <c r="K21" i="5" s="1"/>
  <c r="I12" i="5"/>
  <c r="K12" i="5" s="1"/>
  <c r="K10" i="5"/>
  <c r="I22" i="7" l="1"/>
  <c r="P22" i="7"/>
  <c r="I22" i="5"/>
  <c r="K22" i="5" s="1"/>
  <c r="K20" i="5"/>
  <c r="K22" i="7" l="1"/>
  <c r="B29" i="7" l="1"/>
  <c r="B33" i="7" l="1"/>
  <c r="C29" i="7"/>
  <c r="C33" i="7" s="1"/>
  <c r="D29" i="7" l="1"/>
  <c r="F29" i="7" l="1"/>
  <c r="D33" i="7"/>
  <c r="F33" i="7" s="1"/>
  <c r="L29" i="7"/>
  <c r="G29" i="7" l="1"/>
  <c r="L33" i="7"/>
  <c r="M29" i="7"/>
  <c r="G33" i="7" l="1"/>
  <c r="H29" i="7"/>
  <c r="H33" i="7" s="1"/>
  <c r="M33" i="7"/>
  <c r="N29" i="7"/>
  <c r="I29" i="7" l="1"/>
  <c r="K29" i="7" s="1"/>
  <c r="I33" i="7"/>
  <c r="K33" i="7" s="1"/>
  <c r="P29" i="7"/>
  <c r="N33" i="7"/>
  <c r="P33" i="7" s="1"/>
  <c r="D33" i="1" l="1"/>
  <c r="G5" i="1" l="1"/>
  <c r="I5" i="1" l="1"/>
  <c r="G16" i="1"/>
  <c r="D32" i="1"/>
  <c r="G27" i="1"/>
  <c r="G20" i="1" l="1"/>
  <c r="I16" i="1"/>
  <c r="D34" i="1"/>
  <c r="E33" i="1" s="1"/>
  <c r="I27" i="1"/>
  <c r="G6" i="1"/>
  <c r="E32" i="1" l="1"/>
  <c r="I20" i="1"/>
  <c r="I6" i="1"/>
  <c r="G21" i="1"/>
  <c r="G17" i="1"/>
  <c r="G28" i="1"/>
  <c r="I21" i="1" l="1"/>
  <c r="G7" i="1"/>
  <c r="G18" i="1"/>
  <c r="G19" i="1"/>
  <c r="I17" i="1"/>
  <c r="I28" i="1"/>
  <c r="G29" i="1"/>
  <c r="I29" i="1" s="1"/>
  <c r="I18" i="1" l="1"/>
  <c r="I19" i="1"/>
  <c r="G22" i="1"/>
  <c r="I22" i="1" s="1"/>
  <c r="I7" i="1"/>
  <c r="G8" i="1"/>
  <c r="G10" i="1" l="1"/>
  <c r="G11" i="1"/>
  <c r="I11" i="1" s="1"/>
  <c r="I8" i="1"/>
  <c r="I10" i="1" l="1"/>
</calcChain>
</file>

<file path=xl/sharedStrings.xml><?xml version="1.0" encoding="utf-8"?>
<sst xmlns="http://schemas.openxmlformats.org/spreadsheetml/2006/main" count="682" uniqueCount="243">
  <si>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</si>
  <si>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</si>
  <si>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</si>
  <si>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</si>
  <si>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</si>
  <si>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</si>
  <si>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</si>
  <si>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</si>
  <si>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</si>
  <si>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</si>
  <si>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</si>
  <si>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</si>
  <si>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</si>
  <si>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</si>
  <si>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</si>
  <si>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</si>
  <si>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</si>
  <si>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</si>
  <si>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</si>
  <si>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</si>
  <si>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</si>
  <si>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</si>
  <si>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</si>
  <si>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</si>
  <si>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</si>
  <si>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</si>
  <si>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</si>
  <si>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</si>
  <si>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</si>
  <si>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</si>
  <si>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</si>
  <si>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</si>
  <si>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</si>
  <si>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</si>
  <si>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</si>
  <si>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</si>
  <si>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</si>
  <si>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</si>
  <si>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</si>
  <si>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</si>
  <si>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</si>
  <si>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</si>
  <si>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</si>
  <si>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</si>
  <si>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</si>
  <si>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</si>
  <si>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</si>
  <si>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</si>
  <si>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</si>
  <si>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</si>
  <si>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</si>
  <si>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</si>
  <si>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</si>
  <si>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</si>
  <si>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</si>
  <si>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</si>
  <si>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</si>
  <si>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</si>
  <si>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</si>
  <si>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</si>
  <si>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</si>
  <si>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</si>
  <si>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</si>
  <si>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</si>
  <si>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</si>
  <si>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</si>
  <si>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</si>
  <si>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</si>
  <si>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</si>
  <si>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</si>
  <si>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</si>
  <si>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</si>
  <si>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</si>
  <si>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</si>
  <si>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</si>
  <si>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</si>
  <si>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</si>
  <si>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</si>
  <si>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</si>
  <si>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</si>
  <si>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</si>
  <si>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</si>
  <si>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</si>
  <si>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</si>
  <si>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</si>
  <si>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</si>
  <si>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</si>
  <si>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</si>
  <si>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</si>
  <si>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</si>
  <si>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</si>
  <si>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</si>
  <si>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</si>
  <si>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</si>
  <si>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</si>
  <si>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</si>
  <si>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</si>
  <si>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</si>
  <si>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</si>
  <si>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</si>
  <si>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</si>
  <si>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</si>
  <si>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</si>
  <si>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</si>
  <si>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</si>
  <si>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</si>
  <si>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</si>
  <si>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</si>
  <si>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</si>
  <si>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</si>
  <si>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</si>
  <si>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</si>
  <si>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</si>
  <si>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</si>
  <si>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</si>
  <si>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</si>
  <si>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</si>
  <si>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</si>
  <si>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</si>
  <si>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</si>
  <si>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</si>
  <si>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</si>
  <si>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</si>
  <si>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</si>
  <si>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</si>
  <si>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</si>
  <si>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</si>
  <si>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</si>
  <si>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</si>
  <si>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</si>
  <si>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</si>
  <si>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</si>
  <si>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</si>
  <si>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</si>
  <si>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</si>
  <si>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</si>
  <si>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</si>
  <si>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</si>
  <si>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</si>
  <si>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</si>
  <si>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</si>
  <si>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</si>
  <si>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</si>
  <si>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</si>
  <si>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</si>
  <si>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</si>
  <si>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</si>
  <si>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</si>
  <si>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</si>
  <si>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</si>
  <si>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</si>
  <si>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</si>
  <si>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</si>
  <si>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</si>
  <si>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</si>
  <si>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</si>
  <si>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</si>
  <si>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</si>
  <si>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</si>
  <si>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</si>
  <si>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</si>
  <si>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</si>
  <si>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</si>
  <si>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</si>
  <si>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</si>
  <si>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</si>
  <si>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</si>
  <si>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</si>
  <si>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</si>
  <si>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</si>
  <si>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</si>
  <si>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</si>
  <si>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</si>
  <si>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</si>
  <si>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</si>
  <si>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</si>
  <si>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</si>
  <si>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</si>
  <si>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</si>
  <si>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</si>
  <si>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</si>
  <si>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</si>
  <si>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</si>
  <si>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</si>
  <si>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</si>
  <si>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</si>
  <si>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</si>
  <si>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</si>
  <si>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</si>
  <si>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</si>
  <si>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</si>
  <si>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</si>
  <si>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</si>
  <si>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</si>
  <si>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</si>
  <si>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</si>
  <si>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</si>
  <si>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</si>
  <si>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</si>
  <si>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</si>
  <si>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</si>
  <si>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</si>
  <si>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</si>
  <si>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</si>
  <si>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</si>
  <si>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</si>
  <si>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</si>
  <si>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</si>
  <si>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</si>
  <si>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</si>
  <si>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</si>
  <si>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</si>
  <si>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</si>
  <si>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</si>
  <si>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</si>
  <si>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</si>
  <si>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</si>
  <si>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</si>
  <si>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</si>
  <si>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</si>
  <si>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</si>
  <si>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</si>
  <si>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Belly Cargo/Mail in Pounds</t>
  </si>
  <si>
    <t>Belly Cargo/Mail In Pounds</t>
  </si>
  <si>
    <t>Denver Air</t>
  </si>
  <si>
    <t>Sun Country - Amazon</t>
  </si>
  <si>
    <t>Air Wisconsin-United</t>
  </si>
  <si>
    <t>MSP Cargo</t>
  </si>
  <si>
    <t>Encore -DHL</t>
  </si>
  <si>
    <t>Kalitta - DHL</t>
  </si>
  <si>
    <t>Southern Air - DHL</t>
  </si>
  <si>
    <t>Swift Air - DHL</t>
  </si>
  <si>
    <t>DHL</t>
  </si>
  <si>
    <t>Atlas Air</t>
  </si>
  <si>
    <t>Kalitta</t>
  </si>
  <si>
    <t>Southern Air</t>
  </si>
  <si>
    <t>Swift</t>
  </si>
  <si>
    <t>ATI</t>
  </si>
  <si>
    <t xml:space="preserve">Amazon </t>
  </si>
  <si>
    <t>Mountain Air</t>
  </si>
  <si>
    <t>ABX Air</t>
  </si>
  <si>
    <t>Boutique</t>
  </si>
  <si>
    <t>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</si>
</sst>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0" fontId="16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7" fillId="3" borderId="17" xfId="0" applyNumberFormat="1" applyFont="1" applyFill="1" applyBorder="1" applyAlignment="1">
      <alignment horizontal="center"/>
    </xf>
    <xf numFmtId="41" fontId="17" fillId="3" borderId="34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9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63" xfId="0" applyNumberFormat="1" applyFont="1" applyBorder="1"/>
    <xf numFmtId="10" fontId="29" fillId="0" borderId="63" xfId="0" applyNumberFormat="1" applyFont="1" applyBorder="1"/>
    <xf numFmtId="10" fontId="29" fillId="0" borderId="46" xfId="3" applyNumberFormat="1" applyFont="1" applyBorder="1"/>
    <xf numFmtId="10" fontId="29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1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1" fontId="0" fillId="14" borderId="3" xfId="0" applyNumberForma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10" fontId="4" fillId="14" borderId="46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/>
    </xf>
    <xf numFmtId="10" fontId="4" fillId="14" borderId="46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1" fontId="0" fillId="0" borderId="9" xfId="0" applyNumberFormat="1" applyBorder="1"/>
    <xf numFmtId="3" fontId="1" fillId="0" borderId="0" xfId="0" applyNumberFormat="1" applyFont="1" applyBorder="1"/>
    <xf numFmtId="3" fontId="4" fillId="15" borderId="0" xfId="0" applyNumberFormat="1" applyFont="1" applyFill="1" applyBorder="1"/>
    <xf numFmtId="10" fontId="4" fillId="15" borderId="11" xfId="0" applyNumberFormat="1" applyFont="1" applyFill="1" applyBorder="1"/>
    <xf numFmtId="10" fontId="4" fillId="15" borderId="0" xfId="0" applyNumberFormat="1" applyFont="1" applyFill="1"/>
    <xf numFmtId="3" fontId="4" fillId="15" borderId="9" xfId="0" applyNumberFormat="1" applyFont="1" applyFill="1" applyBorder="1"/>
    <xf numFmtId="3" fontId="4" fillId="15" borderId="0" xfId="0" applyNumberFormat="1" applyFont="1" applyFill="1"/>
    <xf numFmtId="10" fontId="4" fillId="15" borderId="0" xfId="0" applyNumberFormat="1" applyFont="1" applyFill="1" applyBorder="1"/>
    <xf numFmtId="3" fontId="1" fillId="0" borderId="0" xfId="0" applyNumberFormat="1" applyFont="1" applyFill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0" fontId="32" fillId="6" borderId="35" xfId="0" applyFont="1" applyFill="1" applyBorder="1" applyAlignment="1">
      <alignment horizontal="center"/>
    </xf>
    <xf numFmtId="0" fontId="32" fillId="6" borderId="45" xfId="0" applyFont="1" applyFill="1" applyBorder="1" applyAlignment="1">
      <alignment horizontal="center"/>
    </xf>
    <xf numFmtId="0" fontId="32" fillId="6" borderId="46" xfId="0" applyFont="1" applyFill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3" fontId="4" fillId="0" borderId="48" xfId="0" applyNumberFormat="1" applyFont="1" applyFill="1" applyBorder="1" applyAlignment="1">
      <alignment horizontal="center"/>
    </xf>
    <xf numFmtId="3" fontId="4" fillId="0" borderId="50" xfId="0" applyNumberFormat="1" applyFont="1" applyFill="1" applyBorder="1" applyAlignment="1">
      <alignment horizontal="center"/>
    </xf>
    <xf numFmtId="3" fontId="4" fillId="0" borderId="71" xfId="0" applyNumberFormat="1" applyFont="1" applyFill="1" applyBorder="1" applyAlignment="1">
      <alignment horizontal="center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30" fillId="11" borderId="35" xfId="0" applyNumberFormat="1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3" fontId="30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5" fillId="9" borderId="16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25" fillId="9" borderId="8" xfId="0" applyFont="1" applyFill="1" applyBorder="1" applyAlignment="1">
      <alignment horizontal="center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/>
    </xf>
    <xf numFmtId="166" fontId="3" fillId="0" borderId="46" xfId="0" applyNumberFormat="1" applyFon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3" fontId="4" fillId="14" borderId="46" xfId="0" applyNumberFormat="1" applyFont="1" applyFill="1" applyBorder="1" applyAlignment="1">
      <alignment horizontal="center" wrapText="1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October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y%2020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ne%20201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ly%20201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ugus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Septem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2682877</v>
          </cell>
          <cell r="G5">
            <v>25995096</v>
          </cell>
        </row>
        <row r="6">
          <cell r="D6">
            <v>601293</v>
          </cell>
          <cell r="G6">
            <v>6346964</v>
          </cell>
        </row>
        <row r="7">
          <cell r="D7">
            <v>248</v>
          </cell>
          <cell r="G7">
            <v>5443</v>
          </cell>
        </row>
        <row r="10">
          <cell r="D10">
            <v>100304</v>
          </cell>
          <cell r="G10">
            <v>1019850</v>
          </cell>
        </row>
        <row r="16">
          <cell r="D16">
            <v>20214</v>
          </cell>
          <cell r="G16">
            <v>193311</v>
          </cell>
        </row>
        <row r="17">
          <cell r="D17">
            <v>11767</v>
          </cell>
          <cell r="G17">
            <v>119720</v>
          </cell>
        </row>
        <row r="18">
          <cell r="D18">
            <v>2</v>
          </cell>
          <cell r="G18">
            <v>61</v>
          </cell>
        </row>
        <row r="19">
          <cell r="D19">
            <v>1287</v>
          </cell>
          <cell r="G19">
            <v>11838</v>
          </cell>
        </row>
        <row r="20">
          <cell r="D20">
            <v>1594</v>
          </cell>
          <cell r="G20">
            <v>15806</v>
          </cell>
        </row>
        <row r="21">
          <cell r="D21">
            <v>48</v>
          </cell>
          <cell r="G21">
            <v>829</v>
          </cell>
        </row>
        <row r="27">
          <cell r="D27">
            <v>18850.588571548578</v>
          </cell>
          <cell r="G27">
            <v>168501.21799461488</v>
          </cell>
        </row>
        <row r="28">
          <cell r="D28">
            <v>2376.1572380160997</v>
          </cell>
          <cell r="G28">
            <v>20771.336802122831</v>
          </cell>
        </row>
        <row r="32">
          <cell r="B32">
            <v>1036548</v>
          </cell>
          <cell r="D32">
            <v>10177820</v>
          </cell>
        </row>
        <row r="33">
          <cell r="B33">
            <v>612454</v>
          </cell>
          <cell r="D33">
            <v>5971250</v>
          </cell>
        </row>
      </sheetData>
      <sheetData sheetId="1"/>
      <sheetData sheetId="2"/>
      <sheetData sheetId="3"/>
      <sheetData sheetId="4"/>
      <sheetData sheetId="5">
        <row r="30">
          <cell r="D30">
            <v>250015</v>
          </cell>
          <cell r="I30">
            <v>3134707</v>
          </cell>
          <cell r="N30">
            <v>3384722</v>
          </cell>
        </row>
      </sheetData>
      <sheetData sheetId="6"/>
      <sheetData sheetId="7">
        <row r="5">
          <cell r="F5">
            <v>10416.405407625909</v>
          </cell>
          <cell r="I5">
            <v>92773.629360875537</v>
          </cell>
        </row>
        <row r="6">
          <cell r="F6">
            <v>1003.0455906986899</v>
          </cell>
          <cell r="I6">
            <v>8655.2568275827507</v>
          </cell>
        </row>
        <row r="10">
          <cell r="F10">
            <v>8434.1831639226693</v>
          </cell>
          <cell r="I10">
            <v>75727.588633739346</v>
          </cell>
        </row>
        <row r="11">
          <cell r="F11">
            <v>1373.11164731741</v>
          </cell>
          <cell r="I11">
            <v>12116.079974540078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18850.588571548578</v>
          </cell>
        </row>
        <row r="21">
          <cell r="F21">
            <v>2376.1572380161001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347</v>
          </cell>
          <cell r="C24">
            <v>541</v>
          </cell>
          <cell r="L24">
            <v>80991</v>
          </cell>
          <cell r="M24">
            <v>70492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965</v>
          </cell>
          <cell r="C25">
            <v>487</v>
          </cell>
          <cell r="L25">
            <v>145310</v>
          </cell>
          <cell r="M25">
            <v>138760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253273</v>
          </cell>
          <cell r="I25">
            <v>3087539</v>
          </cell>
          <cell r="N25">
            <v>3340812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1529</v>
          </cell>
          <cell r="C26">
            <v>780</v>
          </cell>
          <cell r="L26">
            <v>259405</v>
          </cell>
          <cell r="M26">
            <v>254312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288101</v>
          </cell>
          <cell r="I26">
            <v>3379244</v>
          </cell>
          <cell r="N26">
            <v>3667345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1298</v>
          </cell>
          <cell r="C27">
            <v>972</v>
          </cell>
          <cell r="L27">
            <v>465480</v>
          </cell>
          <cell r="M27">
            <v>472528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296768</v>
          </cell>
          <cell r="I27">
            <v>3548261</v>
          </cell>
          <cell r="N27">
            <v>3845029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1482</v>
          </cell>
          <cell r="C28">
            <v>1488</v>
          </cell>
          <cell r="L28">
            <v>564831</v>
          </cell>
          <cell r="M28">
            <v>567563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306857</v>
          </cell>
          <cell r="I28">
            <v>3538740</v>
          </cell>
          <cell r="N28">
            <v>3845597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8635525</v>
          </cell>
        </row>
        <row r="6">
          <cell r="G6">
            <v>2510532</v>
          </cell>
        </row>
        <row r="7">
          <cell r="G7">
            <v>2270</v>
          </cell>
        </row>
        <row r="10">
          <cell r="G10">
            <v>471214</v>
          </cell>
        </row>
        <row r="16">
          <cell r="G16">
            <v>90096</v>
          </cell>
        </row>
        <row r="17">
          <cell r="G17">
            <v>70562</v>
          </cell>
        </row>
        <row r="18">
          <cell r="G18">
            <v>24</v>
          </cell>
        </row>
        <row r="19">
          <cell r="G19">
            <v>10823</v>
          </cell>
        </row>
        <row r="20">
          <cell r="G20">
            <v>7988</v>
          </cell>
        </row>
        <row r="21">
          <cell r="G21">
            <v>803</v>
          </cell>
        </row>
        <row r="27">
          <cell r="G27">
            <v>135684.94718118646</v>
          </cell>
        </row>
        <row r="28">
          <cell r="G28">
            <v>12542.025435996209</v>
          </cell>
        </row>
        <row r="32">
          <cell r="D32">
            <v>3599921</v>
          </cell>
        </row>
        <row r="33">
          <cell r="D33">
            <v>1929734</v>
          </cell>
        </row>
      </sheetData>
      <sheetData sheetId="1"/>
      <sheetData sheetId="2"/>
      <sheetData sheetId="3"/>
      <sheetData sheetId="4"/>
      <sheetData sheetId="5">
        <row r="29">
          <cell r="B29">
            <v>1310</v>
          </cell>
          <cell r="C29">
            <v>1152</v>
          </cell>
          <cell r="L29">
            <v>516533</v>
          </cell>
          <cell r="M29">
            <v>519169</v>
          </cell>
        </row>
      </sheetData>
      <sheetData sheetId="6"/>
      <sheetData sheetId="7">
        <row r="5">
          <cell r="I5">
            <v>75231.999506978158</v>
          </cell>
        </row>
        <row r="6">
          <cell r="I6">
            <v>4806.89116358297</v>
          </cell>
        </row>
        <row r="10">
          <cell r="I10">
            <v>60452.947674208328</v>
          </cell>
        </row>
        <row r="11">
          <cell r="I11">
            <v>7735.134272413241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270210</v>
          </cell>
          <cell r="I29">
            <v>2978352</v>
          </cell>
          <cell r="N29">
            <v>3248562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Y4">
            <v>74</v>
          </cell>
        </row>
        <row r="5">
          <cell r="GY5">
            <v>74</v>
          </cell>
        </row>
        <row r="8">
          <cell r="GY8"/>
        </row>
        <row r="9">
          <cell r="GY9"/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  <cell r="GK19">
            <v>216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  <cell r="GT19">
            <v>188</v>
          </cell>
          <cell r="GU19">
            <v>148</v>
          </cell>
          <cell r="GV19">
            <v>174</v>
          </cell>
          <cell r="GW19">
            <v>144</v>
          </cell>
          <cell r="GX19">
            <v>148</v>
          </cell>
          <cell r="GY19">
            <v>148</v>
          </cell>
        </row>
        <row r="22">
          <cell r="GY22">
            <v>114</v>
          </cell>
        </row>
        <row r="23">
          <cell r="GY23">
            <v>117</v>
          </cell>
        </row>
        <row r="27">
          <cell r="GY27"/>
        </row>
        <row r="28">
          <cell r="GY28"/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  <cell r="GK41">
            <v>889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  <cell r="GT41">
            <v>180</v>
          </cell>
          <cell r="GU41">
            <v>202</v>
          </cell>
          <cell r="GV41">
            <v>258</v>
          </cell>
          <cell r="GW41">
            <v>244</v>
          </cell>
          <cell r="GX41">
            <v>219</v>
          </cell>
          <cell r="GY41">
            <v>231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3"/>
      <sheetData sheetId="4">
        <row r="4">
          <cell r="GY4"/>
        </row>
        <row r="5">
          <cell r="GY5"/>
        </row>
        <row r="8">
          <cell r="GY8"/>
        </row>
        <row r="9">
          <cell r="GY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</row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323534</v>
          </cell>
          <cell r="GG64">
            <v>400912</v>
          </cell>
          <cell r="GH64">
            <v>300860</v>
          </cell>
          <cell r="GI64">
            <v>143926</v>
          </cell>
          <cell r="GJ64">
            <v>225019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5">
        <row r="8">
          <cell r="GY8"/>
        </row>
        <row r="9">
          <cell r="GY9"/>
        </row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  <cell r="GT15"/>
          <cell r="GV15"/>
          <cell r="GW15"/>
          <cell r="GX15"/>
          <cell r="GY15"/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  <cell r="GT16"/>
          <cell r="GV16"/>
          <cell r="GW16"/>
          <cell r="GX16"/>
          <cell r="GY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  <cell r="GK19">
            <v>62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  <cell r="GS32"/>
          <cell r="GT32"/>
          <cell r="GU32"/>
          <cell r="GV32"/>
          <cell r="GW32"/>
          <cell r="GX32"/>
          <cell r="GY32"/>
        </row>
        <row r="33">
          <cell r="GP33">
            <v>2360</v>
          </cell>
          <cell r="GQ33">
            <v>1355</v>
          </cell>
          <cell r="GR33">
            <v>879</v>
          </cell>
          <cell r="GS33"/>
          <cell r="GT33"/>
          <cell r="GU33"/>
          <cell r="GV33"/>
          <cell r="GW33"/>
          <cell r="GX33"/>
          <cell r="GY33"/>
        </row>
        <row r="37">
          <cell r="GP37">
            <v>20</v>
          </cell>
          <cell r="GQ37">
            <v>10</v>
          </cell>
          <cell r="GR37">
            <v>5</v>
          </cell>
          <cell r="GS37"/>
          <cell r="GT37"/>
          <cell r="GU37"/>
          <cell r="GV37"/>
          <cell r="GW37"/>
          <cell r="GX37"/>
          <cell r="GY37"/>
        </row>
        <row r="38">
          <cell r="GP38">
            <v>22</v>
          </cell>
          <cell r="GQ38">
            <v>8</v>
          </cell>
          <cell r="GR38">
            <v>7</v>
          </cell>
          <cell r="GS38"/>
          <cell r="GT38"/>
          <cell r="GU38"/>
          <cell r="GV38"/>
          <cell r="GW38"/>
          <cell r="GX38"/>
          <cell r="GY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  <cell r="GK41">
            <v>8231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6812</v>
          </cell>
          <cell r="GI64">
            <v>8696</v>
          </cell>
          <cell r="GJ64">
            <v>313</v>
          </cell>
          <cell r="GK64">
            <v>7286</v>
          </cell>
          <cell r="GP64">
            <v>6208</v>
          </cell>
          <cell r="GQ64">
            <v>2314</v>
          </cell>
          <cell r="GR64">
            <v>1819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6">
        <row r="4">
          <cell r="GY4">
            <v>62</v>
          </cell>
        </row>
        <row r="5">
          <cell r="GY5">
            <v>62</v>
          </cell>
        </row>
        <row r="8">
          <cell r="GY8"/>
        </row>
        <row r="9">
          <cell r="GY9"/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  <cell r="GK19">
            <v>186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  <cell r="GT19">
            <v>122</v>
          </cell>
          <cell r="GU19">
            <v>119</v>
          </cell>
          <cell r="GV19">
            <v>128</v>
          </cell>
          <cell r="GW19">
            <v>126</v>
          </cell>
          <cell r="GX19">
            <v>120</v>
          </cell>
          <cell r="GY19">
            <v>124</v>
          </cell>
        </row>
        <row r="22">
          <cell r="GY22">
            <v>4737</v>
          </cell>
        </row>
        <row r="23">
          <cell r="GY23">
            <v>4806</v>
          </cell>
        </row>
        <row r="27">
          <cell r="GY27">
            <v>257</v>
          </cell>
        </row>
        <row r="28">
          <cell r="GY28">
            <v>267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  <cell r="GK41">
            <v>22019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  <cell r="GT41">
            <v>3640</v>
          </cell>
          <cell r="GU41">
            <v>7378</v>
          </cell>
          <cell r="GV41">
            <v>10060</v>
          </cell>
          <cell r="GW41">
            <v>10189</v>
          </cell>
          <cell r="GX41">
            <v>9093</v>
          </cell>
          <cell r="GY41">
            <v>9543</v>
          </cell>
        </row>
        <row r="47">
          <cell r="GY47">
            <v>22934</v>
          </cell>
        </row>
        <row r="48">
          <cell r="GY48">
            <v>140</v>
          </cell>
        </row>
        <row r="52">
          <cell r="GY52">
            <v>4112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22116</v>
          </cell>
          <cell r="GC64">
            <v>16924</v>
          </cell>
          <cell r="GD64">
            <v>26258</v>
          </cell>
          <cell r="GE64">
            <v>58046</v>
          </cell>
          <cell r="GF64">
            <v>51736</v>
          </cell>
          <cell r="GG64">
            <v>44188</v>
          </cell>
          <cell r="GH64">
            <v>45481</v>
          </cell>
          <cell r="GI64">
            <v>48902</v>
          </cell>
          <cell r="GJ64">
            <v>38234</v>
          </cell>
          <cell r="GK64">
            <v>24344</v>
          </cell>
          <cell r="GP64">
            <v>17977</v>
          </cell>
          <cell r="GQ64">
            <v>21060</v>
          </cell>
          <cell r="GR64">
            <v>19782</v>
          </cell>
          <cell r="GS64">
            <v>20711</v>
          </cell>
          <cell r="GT64">
            <v>39138</v>
          </cell>
          <cell r="GU64">
            <v>20621</v>
          </cell>
          <cell r="GV64">
            <v>46368</v>
          </cell>
          <cell r="GW64">
            <v>49387</v>
          </cell>
          <cell r="GX64">
            <v>44164</v>
          </cell>
          <cell r="GY64">
            <v>27186</v>
          </cell>
        </row>
      </sheetData>
      <sheetData sheetId="7"/>
      <sheetData sheetId="8">
        <row r="4">
          <cell r="GY4">
            <v>266</v>
          </cell>
        </row>
        <row r="5">
          <cell r="GY5">
            <v>265</v>
          </cell>
        </row>
        <row r="8">
          <cell r="GY8"/>
        </row>
        <row r="9">
          <cell r="GY9"/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  <cell r="GK19">
            <v>1228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  <cell r="GT19">
            <v>303</v>
          </cell>
          <cell r="GU19">
            <v>409</v>
          </cell>
          <cell r="GV19">
            <v>614</v>
          </cell>
          <cell r="GW19">
            <v>652</v>
          </cell>
          <cell r="GX19">
            <v>507</v>
          </cell>
          <cell r="GY19">
            <v>531</v>
          </cell>
        </row>
        <row r="22">
          <cell r="GY22">
            <v>32401</v>
          </cell>
        </row>
        <row r="23">
          <cell r="GY23">
            <v>33377</v>
          </cell>
        </row>
        <row r="27">
          <cell r="GY27">
            <v>1240</v>
          </cell>
        </row>
        <row r="28">
          <cell r="GY28">
            <v>1309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  <cell r="GK41">
            <v>151617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  <cell r="GT41">
            <v>24357</v>
          </cell>
          <cell r="GU41">
            <v>42524</v>
          </cell>
          <cell r="GV41">
            <v>65149</v>
          </cell>
          <cell r="GW41">
            <v>62770</v>
          </cell>
          <cell r="GX41">
            <v>56667</v>
          </cell>
          <cell r="GY41">
            <v>65778</v>
          </cell>
        </row>
        <row r="47">
          <cell r="GY47">
            <v>33268</v>
          </cell>
        </row>
        <row r="48">
          <cell r="GY48">
            <v>36786</v>
          </cell>
        </row>
        <row r="52">
          <cell r="GY52">
            <v>5697</v>
          </cell>
        </row>
        <row r="53">
          <cell r="GY53">
            <v>74298</v>
          </cell>
        </row>
        <row r="57">
          <cell r="GY57"/>
        </row>
        <row r="58">
          <cell r="GY58"/>
        </row>
        <row r="64">
          <cell r="GB64">
            <v>141626</v>
          </cell>
          <cell r="GC64">
            <v>136211</v>
          </cell>
          <cell r="GD64">
            <v>180344</v>
          </cell>
          <cell r="GE64">
            <v>180297</v>
          </cell>
          <cell r="GF64">
            <v>148617</v>
          </cell>
          <cell r="GG64">
            <v>107024</v>
          </cell>
          <cell r="GH64">
            <v>92212</v>
          </cell>
          <cell r="GI64">
            <v>98213</v>
          </cell>
          <cell r="GJ64">
            <v>102181</v>
          </cell>
          <cell r="GK64">
            <v>98114</v>
          </cell>
          <cell r="GP64">
            <v>181885</v>
          </cell>
          <cell r="GQ64">
            <v>160284</v>
          </cell>
          <cell r="GR64">
            <v>173704</v>
          </cell>
          <cell r="GS64">
            <v>169911</v>
          </cell>
          <cell r="GT64">
            <v>260013</v>
          </cell>
          <cell r="GU64">
            <v>242015</v>
          </cell>
          <cell r="GV64">
            <v>178925</v>
          </cell>
          <cell r="GW64">
            <v>149664</v>
          </cell>
          <cell r="GX64">
            <v>162649</v>
          </cell>
          <cell r="GY64">
            <v>150049</v>
          </cell>
        </row>
      </sheetData>
      <sheetData sheetId="9"/>
      <sheetData sheetId="10">
        <row r="4">
          <cell r="GY4">
            <v>461</v>
          </cell>
        </row>
        <row r="5">
          <cell r="GY5">
            <v>456</v>
          </cell>
        </row>
        <row r="8">
          <cell r="GY8">
            <v>93</v>
          </cell>
        </row>
        <row r="9">
          <cell r="GY9">
            <v>109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  <cell r="GT15"/>
          <cell r="GU15">
            <v>0</v>
          </cell>
          <cell r="GV15">
            <v>1</v>
          </cell>
          <cell r="GW15">
            <v>5</v>
          </cell>
          <cell r="GX15">
            <v>4</v>
          </cell>
          <cell r="GY15">
            <v>11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  <cell r="GT16"/>
          <cell r="GU16">
            <v>0</v>
          </cell>
          <cell r="GV16">
            <v>0</v>
          </cell>
          <cell r="GW16"/>
          <cell r="GX16">
            <v>4</v>
          </cell>
          <cell r="GY16">
            <v>10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  <cell r="GK19">
            <v>1713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  <cell r="GT19">
            <v>454</v>
          </cell>
          <cell r="GU19">
            <v>710</v>
          </cell>
          <cell r="GV19">
            <v>1259</v>
          </cell>
          <cell r="GW19">
            <v>1153</v>
          </cell>
          <cell r="GX19">
            <v>722</v>
          </cell>
          <cell r="GY19">
            <v>1140</v>
          </cell>
        </row>
        <row r="22">
          <cell r="GY22">
            <v>59932</v>
          </cell>
        </row>
        <row r="23">
          <cell r="GY23">
            <v>65073</v>
          </cell>
        </row>
        <row r="27">
          <cell r="GY27">
            <v>1268</v>
          </cell>
        </row>
        <row r="28">
          <cell r="GY28">
            <v>1396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  <cell r="GT32"/>
          <cell r="GU32"/>
          <cell r="GV32"/>
          <cell r="GW32">
            <v>444</v>
          </cell>
          <cell r="GX32">
            <v>330</v>
          </cell>
          <cell r="GY32">
            <v>1036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  <cell r="GT33"/>
          <cell r="GU33"/>
          <cell r="GV33"/>
          <cell r="GW33">
            <v>506</v>
          </cell>
          <cell r="GX33">
            <v>442</v>
          </cell>
          <cell r="GY33">
            <v>1139</v>
          </cell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  <cell r="GT37"/>
          <cell r="GU37"/>
          <cell r="GV37"/>
          <cell r="GW37">
            <v>7</v>
          </cell>
          <cell r="GX37">
            <v>19</v>
          </cell>
          <cell r="GY37">
            <v>18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  <cell r="GT38"/>
          <cell r="GU38"/>
          <cell r="GV38">
            <v>4</v>
          </cell>
          <cell r="GW38">
            <v>15</v>
          </cell>
          <cell r="GX38">
            <v>14</v>
          </cell>
          <cell r="GY38">
            <v>23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  <cell r="GK41">
            <v>229272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  <cell r="GT41">
            <v>33197</v>
          </cell>
          <cell r="GU41">
            <v>68900</v>
          </cell>
          <cell r="GV41">
            <v>110368</v>
          </cell>
          <cell r="GW41">
            <v>104444</v>
          </cell>
          <cell r="GX41">
            <v>78126</v>
          </cell>
          <cell r="GY41">
            <v>127180</v>
          </cell>
        </row>
        <row r="47">
          <cell r="GY47">
            <v>12134</v>
          </cell>
        </row>
        <row r="48">
          <cell r="GY48">
            <v>170097</v>
          </cell>
        </row>
        <row r="52">
          <cell r="GY52"/>
        </row>
        <row r="53">
          <cell r="GY53">
            <v>191973</v>
          </cell>
        </row>
        <row r="57">
          <cell r="GY57"/>
        </row>
        <row r="58">
          <cell r="GY58"/>
        </row>
        <row r="64">
          <cell r="GB64">
            <v>558618</v>
          </cell>
          <cell r="GC64">
            <v>619656</v>
          </cell>
          <cell r="GD64">
            <v>566894</v>
          </cell>
          <cell r="GE64">
            <v>961871</v>
          </cell>
          <cell r="GF64">
            <v>796997</v>
          </cell>
          <cell r="GG64">
            <v>1102460</v>
          </cell>
          <cell r="GH64">
            <v>794686</v>
          </cell>
          <cell r="GI64">
            <v>1051243</v>
          </cell>
          <cell r="GJ64">
            <v>794686</v>
          </cell>
          <cell r="GK64">
            <v>846149</v>
          </cell>
          <cell r="GP64">
            <v>629675</v>
          </cell>
          <cell r="GQ64">
            <v>480980</v>
          </cell>
          <cell r="GR64">
            <v>312860</v>
          </cell>
          <cell r="GS64">
            <v>56442</v>
          </cell>
          <cell r="GT64">
            <v>75346</v>
          </cell>
          <cell r="GU64">
            <v>214517</v>
          </cell>
          <cell r="GV64">
            <v>457562</v>
          </cell>
          <cell r="GW64">
            <v>429273</v>
          </cell>
          <cell r="GX64">
            <v>128481</v>
          </cell>
          <cell r="GY64">
            <v>374204</v>
          </cell>
        </row>
        <row r="70">
          <cell r="GY70">
            <v>65073</v>
          </cell>
        </row>
        <row r="71">
          <cell r="GY71">
            <v>0</v>
          </cell>
        </row>
        <row r="73">
          <cell r="GY73">
            <v>1139</v>
          </cell>
        </row>
        <row r="74">
          <cell r="GY74">
            <v>0</v>
          </cell>
        </row>
      </sheetData>
      <sheetData sheetId="11">
        <row r="4">
          <cell r="GY4">
            <v>24</v>
          </cell>
        </row>
        <row r="5">
          <cell r="GY5">
            <v>24</v>
          </cell>
        </row>
        <row r="8">
          <cell r="GY8"/>
        </row>
        <row r="9">
          <cell r="GY9"/>
        </row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  <cell r="GK19">
            <v>166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  <cell r="GT19">
            <v>152</v>
          </cell>
          <cell r="GU19">
            <v>0</v>
          </cell>
          <cell r="GV19">
            <v>0</v>
          </cell>
          <cell r="GW19">
            <v>37</v>
          </cell>
          <cell r="GX19">
            <v>50</v>
          </cell>
          <cell r="GY19">
            <v>48</v>
          </cell>
        </row>
        <row r="22">
          <cell r="GY22">
            <v>98</v>
          </cell>
        </row>
        <row r="23">
          <cell r="GY23">
            <v>71</v>
          </cell>
        </row>
        <row r="27">
          <cell r="GY27"/>
        </row>
        <row r="28">
          <cell r="GY28"/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  <cell r="GK41">
            <v>958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  <cell r="GT41">
            <v>77</v>
          </cell>
          <cell r="GU41">
            <v>0</v>
          </cell>
          <cell r="GV41">
            <v>0</v>
          </cell>
          <cell r="GW41">
            <v>94</v>
          </cell>
          <cell r="GX41">
            <v>158</v>
          </cell>
          <cell r="GY41">
            <v>169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12">
        <row r="4">
          <cell r="GY4"/>
        </row>
        <row r="5">
          <cell r="GY5"/>
        </row>
        <row r="8">
          <cell r="GY8"/>
        </row>
        <row r="9">
          <cell r="GY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1166</v>
          </cell>
          <cell r="GG64">
            <v>11191</v>
          </cell>
          <cell r="GH64">
            <v>26265</v>
          </cell>
          <cell r="GI64">
            <v>50906</v>
          </cell>
          <cell r="GJ64">
            <v>73162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13">
        <row r="4">
          <cell r="GY4">
            <v>3106</v>
          </cell>
        </row>
        <row r="5">
          <cell r="GY5">
            <v>3095</v>
          </cell>
        </row>
        <row r="8">
          <cell r="GY8">
            <v>1</v>
          </cell>
        </row>
        <row r="9">
          <cell r="GY9">
            <v>1</v>
          </cell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  <cell r="GT15">
            <v>2</v>
          </cell>
          <cell r="GU15">
            <v>3</v>
          </cell>
          <cell r="GV15">
            <v>1</v>
          </cell>
          <cell r="GW15">
            <v>3</v>
          </cell>
          <cell r="GX15">
            <v>1</v>
          </cell>
          <cell r="GY15">
            <v>12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  <cell r="GT16"/>
          <cell r="GU16">
            <v>1</v>
          </cell>
          <cell r="GV16">
            <v>2</v>
          </cell>
          <cell r="GW16">
            <v>3</v>
          </cell>
          <cell r="GX16">
            <v>1</v>
          </cell>
          <cell r="GY16">
            <v>4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  <cell r="GK19">
            <v>13373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  <cell r="GT19">
            <v>2021</v>
          </cell>
          <cell r="GU19">
            <v>2538</v>
          </cell>
          <cell r="GV19">
            <v>4968</v>
          </cell>
          <cell r="GW19">
            <v>6798</v>
          </cell>
          <cell r="GX19">
            <v>6011</v>
          </cell>
          <cell r="GY19">
            <v>6219</v>
          </cell>
        </row>
        <row r="22">
          <cell r="GY22">
            <v>227441</v>
          </cell>
        </row>
        <row r="23">
          <cell r="GY23">
            <v>236576</v>
          </cell>
        </row>
        <row r="27">
          <cell r="GY27">
            <v>3652</v>
          </cell>
        </row>
        <row r="28">
          <cell r="GY28">
            <v>13382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  <cell r="GT32">
            <v>476</v>
          </cell>
          <cell r="GU32">
            <v>425</v>
          </cell>
          <cell r="GV32">
            <v>256</v>
          </cell>
          <cell r="GW32">
            <v>121</v>
          </cell>
          <cell r="GX32"/>
          <cell r="GY32">
            <v>251</v>
          </cell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  <cell r="GT33"/>
          <cell r="GU33">
            <v>0</v>
          </cell>
          <cell r="GV33">
            <v>50</v>
          </cell>
          <cell r="GW33">
            <v>222</v>
          </cell>
          <cell r="GX33"/>
          <cell r="GY33">
            <v>248</v>
          </cell>
        </row>
        <row r="37">
          <cell r="GP37">
            <v>2723</v>
          </cell>
          <cell r="GQ37">
            <v>2645</v>
          </cell>
          <cell r="GR37">
            <v>1160</v>
          </cell>
          <cell r="GS37"/>
          <cell r="GT37">
            <v>6</v>
          </cell>
          <cell r="GU37">
            <v>7</v>
          </cell>
          <cell r="GV37">
            <v>1</v>
          </cell>
          <cell r="GW37">
            <v>6</v>
          </cell>
          <cell r="GX37"/>
          <cell r="GY37">
            <v>13</v>
          </cell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  <cell r="GT38"/>
          <cell r="GU38">
            <v>1</v>
          </cell>
          <cell r="GV38">
            <v>11</v>
          </cell>
          <cell r="GW38">
            <v>3</v>
          </cell>
          <cell r="GX38"/>
          <cell r="GY38">
            <v>13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  <cell r="GK41">
            <v>1842273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  <cell r="GT41">
            <v>105822</v>
          </cell>
          <cell r="GU41">
            <v>194083</v>
          </cell>
          <cell r="GV41">
            <v>366782</v>
          </cell>
          <cell r="GW41">
            <v>498428</v>
          </cell>
          <cell r="GX41">
            <v>458577</v>
          </cell>
          <cell r="GY41">
            <v>464516</v>
          </cell>
        </row>
        <row r="47">
          <cell r="GY47">
            <v>594177</v>
          </cell>
        </row>
        <row r="48">
          <cell r="GY48">
            <v>1105602</v>
          </cell>
        </row>
        <row r="52">
          <cell r="GY52">
            <v>236310</v>
          </cell>
        </row>
        <row r="53">
          <cell r="GY53">
            <v>1112992</v>
          </cell>
        </row>
        <row r="57">
          <cell r="GY57"/>
        </row>
        <row r="58">
          <cell r="GY58"/>
        </row>
        <row r="64">
          <cell r="GB64">
            <v>9219011</v>
          </cell>
          <cell r="GC64">
            <v>9235204</v>
          </cell>
          <cell r="GD64">
            <v>10006346</v>
          </cell>
          <cell r="GE64">
            <v>9885530</v>
          </cell>
          <cell r="GF64">
            <v>9194643</v>
          </cell>
          <cell r="GG64">
            <v>8854983</v>
          </cell>
          <cell r="GH64">
            <v>5486702</v>
          </cell>
          <cell r="GI64">
            <v>5482283</v>
          </cell>
          <cell r="GJ64">
            <v>6512462</v>
          </cell>
          <cell r="GK64">
            <v>7834864</v>
          </cell>
          <cell r="GP64">
            <v>7347318</v>
          </cell>
          <cell r="GQ64">
            <v>7599132</v>
          </cell>
          <cell r="GR64">
            <v>4490860</v>
          </cell>
          <cell r="GS64">
            <v>1570416</v>
          </cell>
          <cell r="GT64">
            <v>1668911</v>
          </cell>
          <cell r="GU64">
            <v>1525260</v>
          </cell>
          <cell r="GV64">
            <v>1543443</v>
          </cell>
          <cell r="GW64">
            <v>3370015</v>
          </cell>
          <cell r="GX64">
            <v>3195211</v>
          </cell>
          <cell r="GY64">
            <v>3049081</v>
          </cell>
        </row>
        <row r="70">
          <cell r="GY70">
            <v>124554</v>
          </cell>
        </row>
        <row r="71">
          <cell r="GY71">
            <v>112022</v>
          </cell>
        </row>
        <row r="73">
          <cell r="GY73">
            <v>131</v>
          </cell>
        </row>
        <row r="74">
          <cell r="GY74">
            <v>117</v>
          </cell>
        </row>
      </sheetData>
      <sheetData sheetId="14">
        <row r="4">
          <cell r="GY4">
            <v>52</v>
          </cell>
        </row>
        <row r="5">
          <cell r="GY5">
            <v>52</v>
          </cell>
        </row>
        <row r="8">
          <cell r="GY8"/>
        </row>
        <row r="9">
          <cell r="GY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104</v>
          </cell>
          <cell r="GV19">
            <v>108</v>
          </cell>
          <cell r="GW19">
            <v>108</v>
          </cell>
          <cell r="GX19">
            <v>104</v>
          </cell>
          <cell r="GY19">
            <v>104</v>
          </cell>
        </row>
        <row r="22">
          <cell r="GY22">
            <v>148</v>
          </cell>
        </row>
        <row r="23">
          <cell r="GY23">
            <v>150</v>
          </cell>
        </row>
        <row r="27">
          <cell r="GY27">
            <v>18</v>
          </cell>
        </row>
        <row r="28">
          <cell r="GY28">
            <v>17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145</v>
          </cell>
          <cell r="GV41">
            <v>219</v>
          </cell>
          <cell r="GW41">
            <v>273</v>
          </cell>
          <cell r="GX41">
            <v>284</v>
          </cell>
          <cell r="GY41">
            <v>298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15">
        <row r="4">
          <cell r="GY4">
            <v>62</v>
          </cell>
        </row>
        <row r="5">
          <cell r="GY5">
            <v>62</v>
          </cell>
        </row>
        <row r="8">
          <cell r="GY8"/>
        </row>
        <row r="9">
          <cell r="GY9"/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  <cell r="GK19">
            <v>289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  <cell r="GT19">
            <v>34</v>
          </cell>
          <cell r="GU19">
            <v>46</v>
          </cell>
          <cell r="GV19">
            <v>62</v>
          </cell>
          <cell r="GW19">
            <v>123</v>
          </cell>
          <cell r="GX19">
            <v>120</v>
          </cell>
          <cell r="GY19">
            <v>124</v>
          </cell>
        </row>
        <row r="22">
          <cell r="GY22">
            <v>7425</v>
          </cell>
        </row>
        <row r="23">
          <cell r="GY23">
            <v>7475</v>
          </cell>
        </row>
        <row r="27">
          <cell r="GY27">
            <v>94</v>
          </cell>
        </row>
        <row r="28">
          <cell r="GY28">
            <v>112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  <cell r="GK41">
            <v>39928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  <cell r="GT41">
            <v>3430</v>
          </cell>
          <cell r="GU41">
            <v>5730</v>
          </cell>
          <cell r="GV41">
            <v>8555</v>
          </cell>
          <cell r="GW41">
            <v>16138</v>
          </cell>
          <cell r="GX41">
            <v>15451</v>
          </cell>
          <cell r="GY41">
            <v>14900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16"/>
      <sheetData sheetId="17">
        <row r="8">
          <cell r="GY8"/>
        </row>
        <row r="9">
          <cell r="GY9"/>
        </row>
        <row r="15">
          <cell r="GP15">
            <v>4</v>
          </cell>
          <cell r="GQ15"/>
          <cell r="GR15">
            <v>5</v>
          </cell>
          <cell r="GS15"/>
          <cell r="GT15"/>
          <cell r="GV15"/>
          <cell r="GW15"/>
          <cell r="GX15"/>
          <cell r="GY15"/>
        </row>
        <row r="16">
          <cell r="GP16">
            <v>4</v>
          </cell>
          <cell r="GQ16"/>
          <cell r="GR16">
            <v>5</v>
          </cell>
          <cell r="GS16"/>
          <cell r="GT16"/>
          <cell r="GV16"/>
          <cell r="GW16"/>
          <cell r="GX16"/>
          <cell r="GY16"/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50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32">
          <cell r="GP32">
            <v>705</v>
          </cell>
          <cell r="GQ32"/>
          <cell r="GR32">
            <v>306</v>
          </cell>
          <cell r="GS32"/>
          <cell r="GT32"/>
          <cell r="GU32"/>
          <cell r="GV32"/>
          <cell r="GW32"/>
          <cell r="GX32"/>
          <cell r="GY32"/>
        </row>
        <row r="33">
          <cell r="GP33">
            <v>387</v>
          </cell>
          <cell r="GQ33"/>
          <cell r="GR33">
            <v>660</v>
          </cell>
          <cell r="GS33"/>
          <cell r="GT33"/>
          <cell r="GU33"/>
          <cell r="GV33"/>
          <cell r="GW33"/>
          <cell r="GX33"/>
          <cell r="GY33"/>
        </row>
        <row r="37">
          <cell r="GP37">
            <v>11</v>
          </cell>
          <cell r="GQ37"/>
          <cell r="GR37">
            <v>11</v>
          </cell>
          <cell r="GS37"/>
          <cell r="GT37"/>
          <cell r="GU37"/>
          <cell r="GV37"/>
          <cell r="GW37"/>
          <cell r="GX37"/>
          <cell r="GY37"/>
        </row>
        <row r="38">
          <cell r="GP38">
            <v>9</v>
          </cell>
          <cell r="GQ38"/>
          <cell r="GR38">
            <v>11</v>
          </cell>
          <cell r="GS38"/>
          <cell r="GT38"/>
          <cell r="GU38"/>
          <cell r="GV38"/>
          <cell r="GW38"/>
          <cell r="GX38"/>
          <cell r="GY38"/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  <cell r="GK41">
            <v>6637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8977</v>
          </cell>
          <cell r="GE64">
            <v>47433</v>
          </cell>
          <cell r="GF64">
            <v>41695</v>
          </cell>
          <cell r="GG64">
            <v>95673</v>
          </cell>
          <cell r="GH64">
            <v>77734</v>
          </cell>
          <cell r="GI64">
            <v>22043</v>
          </cell>
          <cell r="GJ64">
            <v>5533</v>
          </cell>
          <cell r="GK64">
            <v>10848</v>
          </cell>
          <cell r="GP64">
            <v>392</v>
          </cell>
          <cell r="GQ64">
            <v>0</v>
          </cell>
          <cell r="GR64">
            <v>2182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18">
        <row r="4">
          <cell r="GY4">
            <v>15</v>
          </cell>
        </row>
        <row r="5">
          <cell r="GY5">
            <v>15</v>
          </cell>
        </row>
        <row r="8">
          <cell r="GY8"/>
        </row>
        <row r="9">
          <cell r="GY9"/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  <cell r="GK19">
            <v>174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  <cell r="GT19">
            <v>10</v>
          </cell>
          <cell r="GU19">
            <v>0</v>
          </cell>
          <cell r="GV19">
            <v>60</v>
          </cell>
          <cell r="GW19">
            <v>34</v>
          </cell>
          <cell r="GX19">
            <v>26</v>
          </cell>
          <cell r="GY19">
            <v>30</v>
          </cell>
        </row>
        <row r="22">
          <cell r="GY22">
            <v>522</v>
          </cell>
        </row>
        <row r="23">
          <cell r="GY23">
            <v>616</v>
          </cell>
        </row>
        <row r="27">
          <cell r="GY27">
            <v>40</v>
          </cell>
        </row>
        <row r="28">
          <cell r="GY28">
            <v>53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  <cell r="GK41">
            <v>19540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  <cell r="GT41">
            <v>58</v>
          </cell>
          <cell r="GU41">
            <v>0</v>
          </cell>
          <cell r="GV41">
            <v>2348</v>
          </cell>
          <cell r="GW41">
            <v>1376</v>
          </cell>
          <cell r="GX41">
            <v>733</v>
          </cell>
          <cell r="GY41">
            <v>1138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19">
        <row r="4">
          <cell r="GY4">
            <v>143</v>
          </cell>
        </row>
        <row r="5">
          <cell r="GY5">
            <v>143</v>
          </cell>
        </row>
        <row r="8">
          <cell r="GY8"/>
        </row>
        <row r="9">
          <cell r="GY9"/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  <cell r="GK19">
            <v>792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  <cell r="GT19">
            <v>62</v>
          </cell>
          <cell r="GU19">
            <v>60</v>
          </cell>
          <cell r="GV19">
            <v>126</v>
          </cell>
          <cell r="GW19">
            <v>194</v>
          </cell>
          <cell r="GX19">
            <v>156</v>
          </cell>
          <cell r="GY19">
            <v>286</v>
          </cell>
        </row>
        <row r="22">
          <cell r="GY22">
            <v>15469</v>
          </cell>
        </row>
        <row r="23">
          <cell r="GY23">
            <v>16136</v>
          </cell>
        </row>
        <row r="27">
          <cell r="GY27">
            <v>865</v>
          </cell>
        </row>
        <row r="28">
          <cell r="GY28">
            <v>1030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  <cell r="GK41">
            <v>101865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  <cell r="GT41">
            <v>3227</v>
          </cell>
          <cell r="GU41">
            <v>5541</v>
          </cell>
          <cell r="GV41">
            <v>8617</v>
          </cell>
          <cell r="GW41">
            <v>14077</v>
          </cell>
          <cell r="GX41">
            <v>14938</v>
          </cell>
          <cell r="GY41">
            <v>31605</v>
          </cell>
        </row>
        <row r="47">
          <cell r="GY47">
            <v>20298</v>
          </cell>
        </row>
        <row r="48">
          <cell r="GY48">
            <v>15561</v>
          </cell>
        </row>
        <row r="52">
          <cell r="GY52">
            <v>17345</v>
          </cell>
        </row>
        <row r="53">
          <cell r="GY53">
            <v>25892</v>
          </cell>
        </row>
        <row r="57">
          <cell r="GY57"/>
        </row>
        <row r="58">
          <cell r="GY58"/>
        </row>
        <row r="64">
          <cell r="GB64">
            <v>144068</v>
          </cell>
          <cell r="GC64">
            <v>149765</v>
          </cell>
          <cell r="GD64">
            <v>167698</v>
          </cell>
          <cell r="GE64">
            <v>120514</v>
          </cell>
          <cell r="GF64">
            <v>176613</v>
          </cell>
          <cell r="GG64">
            <v>129965</v>
          </cell>
          <cell r="GH64">
            <v>101149</v>
          </cell>
          <cell r="GI64">
            <v>170286</v>
          </cell>
          <cell r="GJ64">
            <v>176107</v>
          </cell>
          <cell r="GK64">
            <v>163808</v>
          </cell>
          <cell r="GP64">
            <v>126398</v>
          </cell>
          <cell r="GQ64">
            <v>99805</v>
          </cell>
          <cell r="GR64">
            <v>136827</v>
          </cell>
          <cell r="GS64">
            <v>18573</v>
          </cell>
          <cell r="GT64">
            <v>2750</v>
          </cell>
          <cell r="GU64">
            <v>8315</v>
          </cell>
          <cell r="GV64">
            <v>58369</v>
          </cell>
          <cell r="GW64">
            <v>108811</v>
          </cell>
          <cell r="GX64">
            <v>70352</v>
          </cell>
          <cell r="GY64">
            <v>79096</v>
          </cell>
        </row>
      </sheetData>
      <sheetData sheetId="20">
        <row r="4">
          <cell r="GY4"/>
        </row>
        <row r="5">
          <cell r="GY5"/>
        </row>
        <row r="8">
          <cell r="GY8"/>
        </row>
        <row r="9">
          <cell r="GY9"/>
        </row>
        <row r="15">
          <cell r="GP15">
            <v>16</v>
          </cell>
          <cell r="GQ15">
            <v>16</v>
          </cell>
          <cell r="GR15">
            <v>8</v>
          </cell>
          <cell r="GS15"/>
          <cell r="GT15"/>
          <cell r="GV15"/>
          <cell r="GW15"/>
          <cell r="GX15"/>
          <cell r="GY15"/>
        </row>
        <row r="16">
          <cell r="GP16">
            <v>16</v>
          </cell>
          <cell r="GQ16">
            <v>16</v>
          </cell>
          <cell r="GR16">
            <v>8</v>
          </cell>
          <cell r="GS16"/>
          <cell r="GT16"/>
          <cell r="GV16"/>
          <cell r="GW16"/>
          <cell r="GX16"/>
          <cell r="GY16"/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  <cell r="GK19">
            <v>36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32">
          <cell r="GP32">
            <v>4308</v>
          </cell>
          <cell r="GQ32">
            <v>3420</v>
          </cell>
          <cell r="GR32">
            <v>1562</v>
          </cell>
          <cell r="GS32"/>
          <cell r="GT32"/>
          <cell r="GU32"/>
          <cell r="GV32"/>
          <cell r="GW32"/>
          <cell r="GX32"/>
          <cell r="GY32"/>
        </row>
        <row r="33">
          <cell r="GP33">
            <v>3030</v>
          </cell>
          <cell r="GQ33">
            <v>2577</v>
          </cell>
          <cell r="GR33">
            <v>1071</v>
          </cell>
          <cell r="GS33"/>
          <cell r="GT33"/>
          <cell r="GU33"/>
          <cell r="GV33"/>
          <cell r="GW33"/>
          <cell r="GX33"/>
          <cell r="GY33"/>
        </row>
        <row r="37">
          <cell r="GP37">
            <v>12</v>
          </cell>
          <cell r="GQ37">
            <v>10</v>
          </cell>
          <cell r="GR37">
            <v>13</v>
          </cell>
          <cell r="GS37"/>
          <cell r="GT37"/>
          <cell r="GU37"/>
          <cell r="GV37"/>
          <cell r="GW37"/>
          <cell r="GX37"/>
          <cell r="GY37"/>
        </row>
        <row r="38">
          <cell r="GP38">
            <v>5</v>
          </cell>
          <cell r="GQ38">
            <v>20</v>
          </cell>
          <cell r="GR38">
            <v>1</v>
          </cell>
          <cell r="GS38"/>
          <cell r="GT38"/>
          <cell r="GU38"/>
          <cell r="GV38"/>
          <cell r="GW38"/>
          <cell r="GX38"/>
          <cell r="GY38"/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  <cell r="GK41">
            <v>8773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720521</v>
          </cell>
          <cell r="GC64">
            <v>752745</v>
          </cell>
          <cell r="GD64">
            <v>777743</v>
          </cell>
          <cell r="GE64">
            <v>381171</v>
          </cell>
          <cell r="GF64">
            <v>523824</v>
          </cell>
          <cell r="GG64">
            <v>457524</v>
          </cell>
          <cell r="GH64">
            <v>388124</v>
          </cell>
          <cell r="GI64">
            <v>385728</v>
          </cell>
          <cell r="GJ64">
            <v>536448</v>
          </cell>
          <cell r="GK64">
            <v>705126</v>
          </cell>
          <cell r="GP64">
            <v>303688</v>
          </cell>
          <cell r="GQ64">
            <v>337650</v>
          </cell>
          <cell r="GR64">
            <v>177071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21"/>
      <sheetData sheetId="2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</row>
      </sheetData>
      <sheetData sheetId="23">
        <row r="4">
          <cell r="GY4">
            <v>250</v>
          </cell>
        </row>
        <row r="5">
          <cell r="GY5">
            <v>249</v>
          </cell>
        </row>
        <row r="8">
          <cell r="GY8"/>
        </row>
        <row r="9">
          <cell r="GY9"/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  <cell r="GK19">
            <v>1329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  <cell r="GT19">
            <v>370</v>
          </cell>
          <cell r="GU19">
            <v>525</v>
          </cell>
          <cell r="GV19">
            <v>694</v>
          </cell>
          <cell r="GW19">
            <v>815</v>
          </cell>
          <cell r="GX19">
            <v>536</v>
          </cell>
          <cell r="GY19">
            <v>499</v>
          </cell>
        </row>
        <row r="22">
          <cell r="GY22">
            <v>21159</v>
          </cell>
        </row>
        <row r="23">
          <cell r="GY23">
            <v>21810</v>
          </cell>
        </row>
        <row r="27">
          <cell r="GY27">
            <v>856</v>
          </cell>
        </row>
        <row r="28">
          <cell r="GY28">
            <v>904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  <cell r="GK41">
            <v>156978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  <cell r="GT41">
            <v>16532</v>
          </cell>
          <cell r="GU41">
            <v>43146</v>
          </cell>
          <cell r="GV41">
            <v>53700</v>
          </cell>
          <cell r="GW41">
            <v>57824</v>
          </cell>
          <cell r="GX41">
            <v>45506</v>
          </cell>
          <cell r="GY41">
            <v>42969</v>
          </cell>
        </row>
        <row r="47">
          <cell r="GY47">
            <v>212661</v>
          </cell>
        </row>
        <row r="48">
          <cell r="GY48"/>
        </row>
        <row r="52">
          <cell r="GY52">
            <v>78761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337406</v>
          </cell>
          <cell r="GC64">
            <v>315817</v>
          </cell>
          <cell r="GD64">
            <v>319941</v>
          </cell>
          <cell r="GE64">
            <v>319932</v>
          </cell>
          <cell r="GF64">
            <v>347128</v>
          </cell>
          <cell r="GG64">
            <v>321028</v>
          </cell>
          <cell r="GH64">
            <v>325092</v>
          </cell>
          <cell r="GI64">
            <v>289661</v>
          </cell>
          <cell r="GJ64">
            <v>286373</v>
          </cell>
          <cell r="GK64">
            <v>352730</v>
          </cell>
          <cell r="GP64">
            <v>319282</v>
          </cell>
          <cell r="GQ64">
            <v>289355</v>
          </cell>
          <cell r="GR64">
            <v>294742</v>
          </cell>
          <cell r="GS64">
            <v>321396</v>
          </cell>
          <cell r="GT64">
            <v>8047</v>
          </cell>
          <cell r="GU64">
            <v>240221</v>
          </cell>
          <cell r="GV64">
            <v>262209</v>
          </cell>
          <cell r="GW64">
            <v>229371</v>
          </cell>
          <cell r="GX64">
            <v>269120</v>
          </cell>
          <cell r="GY64">
            <v>291422</v>
          </cell>
        </row>
        <row r="70">
          <cell r="GY70">
            <v>21809</v>
          </cell>
        </row>
        <row r="71">
          <cell r="GY71">
            <v>1</v>
          </cell>
        </row>
        <row r="73">
          <cell r="GY73"/>
        </row>
        <row r="74">
          <cell r="GY74"/>
        </row>
      </sheetData>
      <sheetData sheetId="24">
        <row r="4">
          <cell r="GY4">
            <v>80</v>
          </cell>
        </row>
        <row r="5">
          <cell r="GY5">
            <v>79</v>
          </cell>
        </row>
        <row r="8">
          <cell r="GY8"/>
        </row>
        <row r="9">
          <cell r="GY9"/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  <cell r="GK19">
            <v>600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  <cell r="GT19">
            <v>6</v>
          </cell>
          <cell r="GU19">
            <v>22</v>
          </cell>
          <cell r="GV19">
            <v>414</v>
          </cell>
          <cell r="GW19">
            <v>306</v>
          </cell>
          <cell r="GX19">
            <v>152</v>
          </cell>
          <cell r="GY19">
            <v>159</v>
          </cell>
        </row>
        <row r="22">
          <cell r="GY22">
            <v>11341</v>
          </cell>
        </row>
        <row r="23">
          <cell r="GY23">
            <v>11814</v>
          </cell>
        </row>
        <row r="27">
          <cell r="GY27">
            <v>103</v>
          </cell>
        </row>
        <row r="28">
          <cell r="GY28">
            <v>94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  <cell r="GK41">
            <v>93897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  <cell r="GT41">
            <v>155</v>
          </cell>
          <cell r="GU41">
            <v>2245</v>
          </cell>
          <cell r="GV41">
            <v>49563</v>
          </cell>
          <cell r="GW41">
            <v>37696</v>
          </cell>
          <cell r="GX41">
            <v>20705</v>
          </cell>
          <cell r="GY41">
            <v>23155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  <row r="70">
          <cell r="GY70"/>
        </row>
        <row r="71">
          <cell r="GY71"/>
        </row>
        <row r="73">
          <cell r="GY73"/>
        </row>
        <row r="74">
          <cell r="GY74"/>
        </row>
      </sheetData>
      <sheetData sheetId="25"/>
      <sheetData sheetId="26"/>
      <sheetData sheetId="27">
        <row r="15">
          <cell r="GP15"/>
          <cell r="GQ15"/>
          <cell r="GR15"/>
          <cell r="GS15"/>
          <cell r="GT15"/>
          <cell r="GV15"/>
          <cell r="GW15"/>
          <cell r="GX15"/>
          <cell r="GY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28">
        <row r="4">
          <cell r="GY4"/>
        </row>
        <row r="5">
          <cell r="GY5"/>
        </row>
        <row r="8">
          <cell r="GY8"/>
        </row>
        <row r="9">
          <cell r="GY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  <cell r="GK41">
            <v>0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33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29">
        <row r="4">
          <cell r="GY4">
            <v>15</v>
          </cell>
        </row>
        <row r="5">
          <cell r="GY5">
            <v>16</v>
          </cell>
        </row>
        <row r="8">
          <cell r="GY8"/>
        </row>
        <row r="9">
          <cell r="GY9"/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  <cell r="GK19">
            <v>8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  <cell r="GT19">
            <v>75</v>
          </cell>
          <cell r="GU19">
            <v>88</v>
          </cell>
          <cell r="GV19">
            <v>17</v>
          </cell>
          <cell r="GW19">
            <v>0</v>
          </cell>
          <cell r="GX19">
            <v>105</v>
          </cell>
          <cell r="GY19">
            <v>31</v>
          </cell>
        </row>
        <row r="22">
          <cell r="GY22">
            <v>971</v>
          </cell>
        </row>
        <row r="23">
          <cell r="GY23">
            <v>1051</v>
          </cell>
        </row>
        <row r="27">
          <cell r="GY27">
            <v>74</v>
          </cell>
        </row>
        <row r="28">
          <cell r="GY28">
            <v>71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  <cell r="GK41">
            <v>486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  <cell r="GT41">
            <v>3319</v>
          </cell>
          <cell r="GU41">
            <v>4951</v>
          </cell>
          <cell r="GV41">
            <v>1115</v>
          </cell>
          <cell r="GW41">
            <v>0</v>
          </cell>
          <cell r="GX41">
            <v>7079</v>
          </cell>
          <cell r="GY41">
            <v>2022</v>
          </cell>
        </row>
        <row r="47">
          <cell r="GY47"/>
        </row>
        <row r="48">
          <cell r="GY48"/>
        </row>
        <row r="52">
          <cell r="GY52">
            <v>172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129</v>
          </cell>
          <cell r="GE64">
            <v>0</v>
          </cell>
          <cell r="GF64">
            <v>144</v>
          </cell>
          <cell r="GG64">
            <v>9</v>
          </cell>
          <cell r="GH64">
            <v>955</v>
          </cell>
          <cell r="GI64">
            <v>77</v>
          </cell>
          <cell r="GJ64">
            <v>0</v>
          </cell>
          <cell r="GK64">
            <v>0</v>
          </cell>
          <cell r="GP64">
            <v>137</v>
          </cell>
          <cell r="GQ64">
            <v>660</v>
          </cell>
          <cell r="GR64">
            <v>120</v>
          </cell>
          <cell r="GS64">
            <v>0</v>
          </cell>
          <cell r="GT64">
            <v>3519</v>
          </cell>
          <cell r="GU64">
            <v>616</v>
          </cell>
          <cell r="GV64">
            <v>0</v>
          </cell>
          <cell r="GW64">
            <v>0</v>
          </cell>
          <cell r="GX64">
            <v>906</v>
          </cell>
          <cell r="GY64">
            <v>172</v>
          </cell>
        </row>
      </sheetData>
      <sheetData sheetId="30">
        <row r="4">
          <cell r="GY4"/>
        </row>
        <row r="5">
          <cell r="GY5"/>
        </row>
        <row r="8">
          <cell r="GY8"/>
        </row>
        <row r="9">
          <cell r="GY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  <row r="70">
          <cell r="GY70"/>
        </row>
        <row r="71">
          <cell r="GY71"/>
        </row>
        <row r="73">
          <cell r="GY73"/>
        </row>
        <row r="74">
          <cell r="GY74"/>
        </row>
      </sheetData>
      <sheetData sheetId="31"/>
      <sheetData sheetId="32"/>
      <sheetData sheetId="33"/>
      <sheetData sheetId="34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35"/>
      <sheetData sheetId="36">
        <row r="4">
          <cell r="GY4"/>
        </row>
        <row r="5">
          <cell r="GY5"/>
        </row>
        <row r="8">
          <cell r="GY8"/>
        </row>
        <row r="9">
          <cell r="GY9"/>
        </row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  <cell r="GK19">
            <v>92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  <cell r="GK41">
            <v>5298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37"/>
      <sheetData sheetId="38">
        <row r="4">
          <cell r="GY4"/>
        </row>
        <row r="5">
          <cell r="GY5"/>
        </row>
        <row r="8">
          <cell r="GY8"/>
        </row>
        <row r="9">
          <cell r="GY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</row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  <cell r="GK19">
            <v>108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  <cell r="GK41">
            <v>6515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BK58"/>
        </row>
        <row r="64">
          <cell r="GB64">
            <v>0</v>
          </cell>
          <cell r="GC64">
            <v>0</v>
          </cell>
          <cell r="GD64">
            <v>23</v>
          </cell>
          <cell r="GE64">
            <v>69</v>
          </cell>
          <cell r="GF64">
            <v>79</v>
          </cell>
          <cell r="GG64">
            <v>101</v>
          </cell>
          <cell r="GH64">
            <v>26</v>
          </cell>
          <cell r="GI64">
            <v>49</v>
          </cell>
          <cell r="GJ64">
            <v>50</v>
          </cell>
          <cell r="GK64">
            <v>173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  <row r="70">
          <cell r="GY70"/>
        </row>
        <row r="71">
          <cell r="GY71"/>
        </row>
        <row r="73">
          <cell r="GY73"/>
        </row>
        <row r="74">
          <cell r="GY74"/>
        </row>
      </sheetData>
      <sheetData sheetId="39">
        <row r="4">
          <cell r="GY4"/>
        </row>
        <row r="5">
          <cell r="GY5"/>
        </row>
        <row r="8">
          <cell r="GY8"/>
        </row>
        <row r="9">
          <cell r="GY9"/>
        </row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  <cell r="GK19">
            <v>10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  <cell r="GK41">
            <v>645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AJ57"/>
        </row>
        <row r="58">
          <cell r="AJ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40">
        <row r="4">
          <cell r="GY4"/>
        </row>
        <row r="5">
          <cell r="GY5"/>
        </row>
        <row r="8">
          <cell r="GY8"/>
        </row>
        <row r="9">
          <cell r="GY9"/>
        </row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  <cell r="GT19">
            <v>0</v>
          </cell>
          <cell r="GU19">
            <v>18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  <cell r="GT41">
            <v>0</v>
          </cell>
          <cell r="GU41">
            <v>769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BF58"/>
        </row>
        <row r="64">
          <cell r="GB64">
            <v>998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3642</v>
          </cell>
          <cell r="GQ64">
            <v>2650</v>
          </cell>
          <cell r="GR64">
            <v>2104</v>
          </cell>
          <cell r="GS64">
            <v>0</v>
          </cell>
          <cell r="GT64">
            <v>0</v>
          </cell>
          <cell r="GU64">
            <v>4225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41">
        <row r="4">
          <cell r="GY4">
            <v>62</v>
          </cell>
        </row>
        <row r="5">
          <cell r="GY5">
            <v>62</v>
          </cell>
        </row>
        <row r="8">
          <cell r="GY8"/>
        </row>
        <row r="9">
          <cell r="GY9"/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  <cell r="GK19">
            <v>152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  <cell r="GT19">
            <v>6</v>
          </cell>
          <cell r="GU19">
            <v>0</v>
          </cell>
          <cell r="GV19">
            <v>150</v>
          </cell>
          <cell r="GW19">
            <v>236</v>
          </cell>
          <cell r="GX19">
            <v>231</v>
          </cell>
          <cell r="GY19">
            <v>124</v>
          </cell>
        </row>
        <row r="22">
          <cell r="GY22">
            <v>3265</v>
          </cell>
        </row>
        <row r="23">
          <cell r="GY23">
            <v>3534</v>
          </cell>
        </row>
        <row r="27">
          <cell r="GY27">
            <v>216</v>
          </cell>
        </row>
        <row r="28">
          <cell r="GY28">
            <v>252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  <cell r="GK41">
            <v>8964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  <cell r="GT41">
            <v>129</v>
          </cell>
          <cell r="GU41">
            <v>0</v>
          </cell>
          <cell r="GV41">
            <v>6204</v>
          </cell>
          <cell r="GW41">
            <v>9704</v>
          </cell>
          <cell r="GX41">
            <v>10748</v>
          </cell>
          <cell r="GY41">
            <v>6799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42"/>
      <sheetData sheetId="43"/>
      <sheetData sheetId="44">
        <row r="4">
          <cell r="GY4">
            <v>2620</v>
          </cell>
        </row>
        <row r="5">
          <cell r="GY5">
            <v>2619</v>
          </cell>
        </row>
        <row r="8">
          <cell r="GY8"/>
        </row>
        <row r="9">
          <cell r="GY9">
            <v>2</v>
          </cell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  <cell r="GT15"/>
          <cell r="GV15"/>
          <cell r="GW15"/>
          <cell r="GX15">
            <v>2</v>
          </cell>
          <cell r="GY15">
            <v>1</v>
          </cell>
        </row>
        <row r="16">
          <cell r="GP16">
            <v>87</v>
          </cell>
          <cell r="GQ16">
            <v>71</v>
          </cell>
          <cell r="GR16">
            <v>65</v>
          </cell>
          <cell r="GS16"/>
          <cell r="GT16"/>
          <cell r="GV16"/>
          <cell r="GW16"/>
          <cell r="GX16"/>
          <cell r="GY16"/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  <cell r="GK19">
            <v>2485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  <cell r="GT19">
            <v>1498</v>
          </cell>
          <cell r="GU19">
            <v>1903</v>
          </cell>
          <cell r="GV19">
            <v>3139</v>
          </cell>
          <cell r="GW19">
            <v>3721</v>
          </cell>
          <cell r="GX19">
            <v>4228</v>
          </cell>
          <cell r="GY19">
            <v>5242</v>
          </cell>
        </row>
        <row r="22">
          <cell r="GY22">
            <v>84627</v>
          </cell>
        </row>
        <row r="23">
          <cell r="GY23">
            <v>83069</v>
          </cell>
        </row>
        <row r="27">
          <cell r="GY27">
            <v>3652</v>
          </cell>
        </row>
        <row r="28">
          <cell r="GY28">
            <v>3521</v>
          </cell>
        </row>
        <row r="32">
          <cell r="GP32">
            <v>5276</v>
          </cell>
          <cell r="GQ32">
            <v>4225</v>
          </cell>
          <cell r="GR32">
            <v>1929</v>
          </cell>
          <cell r="GS32"/>
          <cell r="GT32"/>
          <cell r="GU32"/>
          <cell r="GV32"/>
          <cell r="GW32"/>
          <cell r="GX32"/>
          <cell r="GY32"/>
        </row>
        <row r="33">
          <cell r="GP33">
            <v>5516</v>
          </cell>
          <cell r="GQ33">
            <v>4340</v>
          </cell>
          <cell r="GR33">
            <v>2321</v>
          </cell>
          <cell r="GS33"/>
          <cell r="GT33"/>
          <cell r="GU33"/>
          <cell r="GV33"/>
          <cell r="GW33"/>
          <cell r="GX33"/>
          <cell r="GY33"/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  <cell r="GT37"/>
          <cell r="GU37"/>
          <cell r="GV37"/>
          <cell r="GW37"/>
          <cell r="GX37"/>
          <cell r="GY37"/>
        </row>
        <row r="38">
          <cell r="GP38">
            <v>48</v>
          </cell>
          <cell r="GQ38">
            <v>57</v>
          </cell>
          <cell r="GR38">
            <v>34</v>
          </cell>
          <cell r="GS38"/>
          <cell r="GT38"/>
          <cell r="GU38"/>
          <cell r="GV38"/>
          <cell r="GW38"/>
          <cell r="GX38">
            <v>1</v>
          </cell>
          <cell r="GY38">
            <v>2</v>
          </cell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  <cell r="GK41">
            <v>152393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  <cell r="GT41">
            <v>31194</v>
          </cell>
          <cell r="GU41">
            <v>58535</v>
          </cell>
          <cell r="GV41">
            <v>100391</v>
          </cell>
          <cell r="GW41">
            <v>124292</v>
          </cell>
          <cell r="GX41">
            <v>134200</v>
          </cell>
          <cell r="GY41">
            <v>167696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  <row r="70">
          <cell r="GY70">
            <v>23814</v>
          </cell>
        </row>
        <row r="71">
          <cell r="GY71">
            <v>59255</v>
          </cell>
        </row>
        <row r="73">
          <cell r="GY73"/>
        </row>
        <row r="74">
          <cell r="GY74"/>
        </row>
      </sheetData>
      <sheetData sheetId="45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46">
        <row r="4">
          <cell r="GY4">
            <v>119</v>
          </cell>
        </row>
        <row r="5">
          <cell r="GY5">
            <v>118</v>
          </cell>
        </row>
        <row r="8">
          <cell r="GY8"/>
        </row>
        <row r="9">
          <cell r="GY9"/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  <cell r="GK19">
            <v>478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  <cell r="GT19">
            <v>42</v>
          </cell>
          <cell r="GU19">
            <v>95</v>
          </cell>
          <cell r="GV19">
            <v>270</v>
          </cell>
          <cell r="GW19">
            <v>339</v>
          </cell>
          <cell r="GX19">
            <v>183</v>
          </cell>
          <cell r="GY19">
            <v>237</v>
          </cell>
        </row>
        <row r="22">
          <cell r="GY22">
            <v>6123</v>
          </cell>
        </row>
        <row r="23">
          <cell r="GY23">
            <v>6555</v>
          </cell>
        </row>
        <row r="27">
          <cell r="GY27">
            <v>453</v>
          </cell>
        </row>
        <row r="28">
          <cell r="GY28">
            <v>465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  <cell r="GK41">
            <v>26767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  <cell r="GT41">
            <v>1627</v>
          </cell>
          <cell r="GU41">
            <v>4740</v>
          </cell>
          <cell r="GV41">
            <v>13739</v>
          </cell>
          <cell r="GW41">
            <v>17449</v>
          </cell>
          <cell r="GX41">
            <v>8848</v>
          </cell>
          <cell r="GY41">
            <v>12678</v>
          </cell>
        </row>
        <row r="47">
          <cell r="GY47"/>
        </row>
        <row r="48">
          <cell r="GY48">
            <v>29</v>
          </cell>
        </row>
        <row r="52">
          <cell r="GY52">
            <v>868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658</v>
          </cell>
          <cell r="GG64">
            <v>737</v>
          </cell>
          <cell r="GH64">
            <v>1071</v>
          </cell>
          <cell r="GI64">
            <v>120</v>
          </cell>
          <cell r="GJ64">
            <v>353</v>
          </cell>
          <cell r="GK64">
            <v>548</v>
          </cell>
          <cell r="GP64">
            <v>300</v>
          </cell>
          <cell r="GQ64">
            <v>824</v>
          </cell>
          <cell r="GR64">
            <v>431</v>
          </cell>
          <cell r="GS64">
            <v>355</v>
          </cell>
          <cell r="GT64">
            <v>471</v>
          </cell>
          <cell r="GU64">
            <v>945</v>
          </cell>
          <cell r="GV64">
            <v>1962</v>
          </cell>
          <cell r="GW64">
            <v>363</v>
          </cell>
          <cell r="GX64">
            <v>77</v>
          </cell>
          <cell r="GY64">
            <v>897</v>
          </cell>
        </row>
      </sheetData>
      <sheetData sheetId="47">
        <row r="4">
          <cell r="GY4">
            <v>62</v>
          </cell>
        </row>
        <row r="5">
          <cell r="GY5">
            <v>62</v>
          </cell>
        </row>
        <row r="8">
          <cell r="GY8"/>
        </row>
        <row r="9">
          <cell r="GY9"/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  <cell r="GK19">
            <v>516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  <cell r="GT19">
            <v>8</v>
          </cell>
          <cell r="GU19">
            <v>0</v>
          </cell>
          <cell r="GV19">
            <v>193</v>
          </cell>
          <cell r="GW19">
            <v>182</v>
          </cell>
          <cell r="GX19">
            <v>65</v>
          </cell>
          <cell r="GY19">
            <v>124</v>
          </cell>
        </row>
        <row r="22">
          <cell r="GY22">
            <v>2642</v>
          </cell>
        </row>
        <row r="23">
          <cell r="GY23">
            <v>3071</v>
          </cell>
        </row>
        <row r="27">
          <cell r="GY27">
            <v>167</v>
          </cell>
        </row>
        <row r="28">
          <cell r="GY28">
            <v>149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  <cell r="GK41">
            <v>31291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  <cell r="GT41">
            <v>141</v>
          </cell>
          <cell r="GU41">
            <v>0</v>
          </cell>
          <cell r="GV41">
            <v>6161</v>
          </cell>
          <cell r="GW41">
            <v>6817</v>
          </cell>
          <cell r="GX41">
            <v>2756</v>
          </cell>
          <cell r="GY41">
            <v>5713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48">
        <row r="8">
          <cell r="GY8"/>
        </row>
        <row r="9">
          <cell r="GY9"/>
        </row>
        <row r="15">
          <cell r="GP15">
            <v>69</v>
          </cell>
          <cell r="GQ15">
            <v>69</v>
          </cell>
          <cell r="GR15">
            <v>57</v>
          </cell>
          <cell r="GS15"/>
          <cell r="GT15"/>
          <cell r="GV15"/>
          <cell r="GW15"/>
          <cell r="GX15"/>
          <cell r="GY15"/>
        </row>
        <row r="16">
          <cell r="GP16">
            <v>69</v>
          </cell>
          <cell r="GQ16">
            <v>69</v>
          </cell>
          <cell r="GR16">
            <v>57</v>
          </cell>
          <cell r="GS16"/>
          <cell r="GT16"/>
          <cell r="GV16"/>
          <cell r="GW16"/>
          <cell r="GX16"/>
          <cell r="GY16"/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  <cell r="GK19">
            <v>230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  <cell r="GS32"/>
          <cell r="GT32"/>
          <cell r="GU32"/>
          <cell r="GV32"/>
          <cell r="GW32"/>
          <cell r="GX32"/>
          <cell r="GY32"/>
        </row>
        <row r="33">
          <cell r="GP33">
            <v>3610</v>
          </cell>
          <cell r="GQ33">
            <v>3151</v>
          </cell>
          <cell r="GR33">
            <v>1691</v>
          </cell>
          <cell r="GS33"/>
          <cell r="GT33"/>
          <cell r="GU33"/>
          <cell r="GV33"/>
          <cell r="GW33"/>
          <cell r="GX33"/>
          <cell r="GY33"/>
        </row>
        <row r="37">
          <cell r="GP37">
            <v>48</v>
          </cell>
          <cell r="GQ37">
            <v>47</v>
          </cell>
          <cell r="GR37">
            <v>21</v>
          </cell>
          <cell r="GS37"/>
          <cell r="GT37"/>
          <cell r="GU37"/>
          <cell r="GV37"/>
          <cell r="GW37"/>
          <cell r="GX37"/>
          <cell r="GY37"/>
        </row>
        <row r="38">
          <cell r="GP38">
            <v>52</v>
          </cell>
          <cell r="GQ38">
            <v>44</v>
          </cell>
          <cell r="GR38">
            <v>20</v>
          </cell>
          <cell r="GS38"/>
          <cell r="GT38"/>
          <cell r="GU38"/>
          <cell r="GV38"/>
          <cell r="GW38"/>
          <cell r="GX38"/>
          <cell r="GY38"/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  <cell r="GK41">
            <v>11943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64">
          <cell r="GB64">
            <v>1808</v>
          </cell>
          <cell r="GC64">
            <v>2473</v>
          </cell>
          <cell r="GD64">
            <v>4209</v>
          </cell>
          <cell r="GE64">
            <v>4476</v>
          </cell>
          <cell r="GF64">
            <v>5940</v>
          </cell>
          <cell r="GG64">
            <v>9744</v>
          </cell>
          <cell r="GH64">
            <v>5679</v>
          </cell>
          <cell r="GI64">
            <v>4288</v>
          </cell>
          <cell r="GJ64">
            <v>4106</v>
          </cell>
          <cell r="GK64">
            <v>3327</v>
          </cell>
          <cell r="GP64">
            <v>1424</v>
          </cell>
          <cell r="GQ64">
            <v>2842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49">
        <row r="4">
          <cell r="GY4">
            <v>1785</v>
          </cell>
        </row>
        <row r="5">
          <cell r="GY5">
            <v>1784</v>
          </cell>
        </row>
        <row r="8">
          <cell r="GY8"/>
        </row>
        <row r="9">
          <cell r="GY9">
            <v>1</v>
          </cell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  <cell r="GT15">
            <v>47</v>
          </cell>
          <cell r="GU15">
            <v>64</v>
          </cell>
          <cell r="GV15">
            <v>56</v>
          </cell>
          <cell r="GW15">
            <v>42</v>
          </cell>
          <cell r="GX15">
            <v>28</v>
          </cell>
          <cell r="GY15">
            <v>27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  <cell r="GT16">
            <v>47</v>
          </cell>
          <cell r="GU16">
            <v>64</v>
          </cell>
          <cell r="GV16">
            <v>56</v>
          </cell>
          <cell r="GW16">
            <v>42</v>
          </cell>
          <cell r="GX16">
            <v>29</v>
          </cell>
          <cell r="GY16">
            <v>26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  <cell r="GK19">
            <v>7534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  <cell r="GT19">
            <v>1550</v>
          </cell>
          <cell r="GU19">
            <v>1468</v>
          </cell>
          <cell r="GV19">
            <v>3144</v>
          </cell>
          <cell r="GW19">
            <v>4141</v>
          </cell>
          <cell r="GX19">
            <v>3725</v>
          </cell>
          <cell r="GY19">
            <v>3623</v>
          </cell>
        </row>
        <row r="22">
          <cell r="GY22">
            <v>59655</v>
          </cell>
        </row>
        <row r="23">
          <cell r="GY23">
            <v>59664</v>
          </cell>
        </row>
        <row r="27">
          <cell r="GY27">
            <v>3763</v>
          </cell>
        </row>
        <row r="28">
          <cell r="GY28">
            <v>3333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  <cell r="GT32">
            <v>476</v>
          </cell>
          <cell r="GU32">
            <v>1083</v>
          </cell>
          <cell r="GV32">
            <v>1035</v>
          </cell>
          <cell r="GW32">
            <v>891</v>
          </cell>
          <cell r="GX32">
            <v>938</v>
          </cell>
          <cell r="GY32">
            <v>1094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  <cell r="GT33">
            <v>483</v>
          </cell>
          <cell r="GU33">
            <v>767</v>
          </cell>
          <cell r="GV33">
            <v>899</v>
          </cell>
          <cell r="GW33">
            <v>735</v>
          </cell>
          <cell r="GX33">
            <v>691</v>
          </cell>
          <cell r="GY33">
            <v>863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  <cell r="GT37">
            <v>7</v>
          </cell>
          <cell r="GU37">
            <v>14</v>
          </cell>
          <cell r="GV37">
            <v>6</v>
          </cell>
          <cell r="GW37">
            <v>13</v>
          </cell>
          <cell r="GX37">
            <v>4</v>
          </cell>
          <cell r="GY37">
            <v>5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  <cell r="GT38">
            <v>4</v>
          </cell>
          <cell r="GU38">
            <v>12</v>
          </cell>
          <cell r="GV38">
            <v>8</v>
          </cell>
          <cell r="GW38">
            <v>7</v>
          </cell>
          <cell r="GX38">
            <v>4</v>
          </cell>
          <cell r="GY38">
            <v>4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  <cell r="GK41">
            <v>346768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  <cell r="GT41">
            <v>26012</v>
          </cell>
          <cell r="GU41">
            <v>38416</v>
          </cell>
          <cell r="GV41">
            <v>84863</v>
          </cell>
          <cell r="GW41">
            <v>110567</v>
          </cell>
          <cell r="GX41">
            <v>111476</v>
          </cell>
          <cell r="GY41">
            <v>121276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  <row r="70">
          <cell r="GY70">
            <v>22656</v>
          </cell>
        </row>
        <row r="71">
          <cell r="GY71">
            <v>37008</v>
          </cell>
        </row>
        <row r="73">
          <cell r="GY73">
            <v>328</v>
          </cell>
        </row>
        <row r="74">
          <cell r="GY74">
            <v>535</v>
          </cell>
        </row>
      </sheetData>
      <sheetData sheetId="50">
        <row r="4">
          <cell r="GY4">
            <v>71</v>
          </cell>
        </row>
        <row r="5">
          <cell r="GY5">
            <v>71</v>
          </cell>
        </row>
        <row r="8">
          <cell r="GY8"/>
        </row>
        <row r="9">
          <cell r="GY9"/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  <cell r="GK19">
            <v>92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  <cell r="GT19">
            <v>60</v>
          </cell>
          <cell r="GU19">
            <v>114</v>
          </cell>
          <cell r="GV19">
            <v>176</v>
          </cell>
          <cell r="GW19">
            <v>186</v>
          </cell>
          <cell r="GX19">
            <v>284</v>
          </cell>
          <cell r="GY19">
            <v>142</v>
          </cell>
        </row>
        <row r="22">
          <cell r="GY22">
            <v>3223</v>
          </cell>
        </row>
        <row r="23">
          <cell r="GY23">
            <v>3700</v>
          </cell>
        </row>
        <row r="27">
          <cell r="GY27">
            <v>181</v>
          </cell>
        </row>
        <row r="28">
          <cell r="GY28">
            <v>290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  <cell r="GK41">
            <v>5852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  <cell r="GT41">
            <v>1985</v>
          </cell>
          <cell r="GU41">
            <v>5712</v>
          </cell>
          <cell r="GV41">
            <v>7609</v>
          </cell>
          <cell r="GW41">
            <v>8355</v>
          </cell>
          <cell r="GX41">
            <v>15766</v>
          </cell>
          <cell r="GY41">
            <v>6923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51"/>
      <sheetData sheetId="52">
        <row r="4">
          <cell r="GY4"/>
        </row>
        <row r="5">
          <cell r="GY5"/>
        </row>
        <row r="8">
          <cell r="GY8"/>
        </row>
        <row r="9">
          <cell r="GY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148</v>
          </cell>
          <cell r="GQ64">
            <v>251</v>
          </cell>
          <cell r="GR64">
            <v>161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53">
        <row r="4">
          <cell r="GY4"/>
        </row>
        <row r="5">
          <cell r="GY5"/>
        </row>
        <row r="8">
          <cell r="GY8"/>
        </row>
        <row r="9">
          <cell r="GY9"/>
        </row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62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13</v>
          </cell>
          <cell r="GU19">
            <v>27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  <cell r="GK41">
            <v>4371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365</v>
          </cell>
          <cell r="GU41">
            <v>1014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3990</v>
          </cell>
          <cell r="GC64">
            <v>1414</v>
          </cell>
          <cell r="GD64">
            <v>3447</v>
          </cell>
          <cell r="GE64">
            <v>6255</v>
          </cell>
          <cell r="GF64">
            <v>7899</v>
          </cell>
          <cell r="GG64">
            <v>8830</v>
          </cell>
          <cell r="GH64">
            <v>2887</v>
          </cell>
          <cell r="GI64">
            <v>3078</v>
          </cell>
          <cell r="GJ64">
            <v>2111</v>
          </cell>
          <cell r="GK64">
            <v>4792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</v>
          </cell>
          <cell r="GU64">
            <v>216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54">
        <row r="4">
          <cell r="GY4"/>
        </row>
        <row r="5">
          <cell r="GY5"/>
        </row>
        <row r="8">
          <cell r="GY8"/>
        </row>
        <row r="9">
          <cell r="GY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55">
        <row r="4">
          <cell r="GY4"/>
        </row>
        <row r="5">
          <cell r="GY5"/>
        </row>
        <row r="8">
          <cell r="GY8"/>
        </row>
        <row r="9">
          <cell r="GY9"/>
        </row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22">
          <cell r="GY22"/>
        </row>
        <row r="23">
          <cell r="GY23"/>
        </row>
        <row r="27">
          <cell r="GY27"/>
        </row>
        <row r="28">
          <cell r="GY28"/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BH58"/>
        </row>
        <row r="64">
          <cell r="GB64">
            <v>0</v>
          </cell>
          <cell r="GC64">
            <v>0</v>
          </cell>
          <cell r="GD64">
            <v>137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  <row r="70">
          <cell r="GY70"/>
        </row>
        <row r="71">
          <cell r="GY71"/>
        </row>
        <row r="73">
          <cell r="GY73"/>
        </row>
        <row r="74">
          <cell r="GY74"/>
        </row>
      </sheetData>
      <sheetData sheetId="56"/>
      <sheetData sheetId="57"/>
      <sheetData sheetId="58"/>
      <sheetData sheetId="59">
        <row r="4">
          <cell r="GY4"/>
        </row>
        <row r="5">
          <cell r="GY5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</row>
        <row r="22">
          <cell r="GY22"/>
        </row>
        <row r="23">
          <cell r="GY23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</row>
      </sheetData>
      <sheetData sheetId="60">
        <row r="4">
          <cell r="GY4"/>
        </row>
        <row r="5">
          <cell r="GY5"/>
        </row>
        <row r="15">
          <cell r="GY15"/>
        </row>
        <row r="16">
          <cell r="GY16"/>
        </row>
        <row r="22">
          <cell r="GY22"/>
        </row>
        <row r="23">
          <cell r="GY23"/>
        </row>
        <row r="32">
          <cell r="GY32"/>
        </row>
        <row r="33">
          <cell r="GY33"/>
        </row>
      </sheetData>
      <sheetData sheetId="61">
        <row r="4">
          <cell r="GY4"/>
        </row>
        <row r="5">
          <cell r="GY5"/>
        </row>
        <row r="8">
          <cell r="GY8"/>
        </row>
        <row r="9">
          <cell r="GY9"/>
        </row>
        <row r="15">
          <cell r="GP15">
            <v>1</v>
          </cell>
          <cell r="GQ15"/>
          <cell r="GR15"/>
          <cell r="GS15"/>
          <cell r="GT15"/>
          <cell r="GV15"/>
          <cell r="GW15"/>
          <cell r="GX15">
            <v>1</v>
          </cell>
          <cell r="GY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</row>
        <row r="23">
          <cell r="GY23"/>
        </row>
        <row r="32">
          <cell r="GP32">
            <v>60</v>
          </cell>
          <cell r="GQ32"/>
          <cell r="GR32"/>
          <cell r="GS32"/>
          <cell r="GT32"/>
          <cell r="GU32"/>
          <cell r="GV32"/>
          <cell r="GW32"/>
          <cell r="GX32">
            <v>19</v>
          </cell>
          <cell r="GY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</row>
      </sheetData>
      <sheetData sheetId="62">
        <row r="4">
          <cell r="GY4"/>
        </row>
        <row r="5">
          <cell r="GY5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</row>
        <row r="22">
          <cell r="GY22"/>
        </row>
        <row r="23">
          <cell r="GY23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</row>
      </sheetData>
      <sheetData sheetId="63">
        <row r="4">
          <cell r="GY4">
            <v>3</v>
          </cell>
        </row>
        <row r="5">
          <cell r="GY5">
            <v>3</v>
          </cell>
        </row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H19">
            <v>64</v>
          </cell>
          <cell r="GI19">
            <v>64</v>
          </cell>
          <cell r="GJ19">
            <v>62</v>
          </cell>
          <cell r="GK19">
            <v>62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  <cell r="GT19">
            <v>40</v>
          </cell>
          <cell r="GU19">
            <v>0</v>
          </cell>
          <cell r="GV19">
            <v>0</v>
          </cell>
          <cell r="GW19">
            <v>2</v>
          </cell>
          <cell r="GX19">
            <v>2</v>
          </cell>
          <cell r="GY19">
            <v>6</v>
          </cell>
        </row>
        <row r="47">
          <cell r="GY47">
            <v>100046</v>
          </cell>
        </row>
        <row r="48">
          <cell r="GY48"/>
        </row>
        <row r="52">
          <cell r="GY52">
            <v>8089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  <cell r="GK64">
            <v>2146224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  <cell r="GT64">
            <v>2215535</v>
          </cell>
          <cell r="GU64">
            <v>0</v>
          </cell>
          <cell r="GV64">
            <v>0</v>
          </cell>
          <cell r="GW64">
            <v>18647</v>
          </cell>
          <cell r="GX64">
            <v>50177</v>
          </cell>
          <cell r="GY64">
            <v>108135</v>
          </cell>
        </row>
      </sheetData>
      <sheetData sheetId="64">
        <row r="4">
          <cell r="GY4">
            <v>53</v>
          </cell>
        </row>
        <row r="5">
          <cell r="GY5">
            <v>55</v>
          </cell>
        </row>
        <row r="8">
          <cell r="GY8">
            <v>5</v>
          </cell>
        </row>
        <row r="9">
          <cell r="GY9">
            <v>3</v>
          </cell>
        </row>
        <row r="15">
          <cell r="GY15"/>
        </row>
        <row r="16">
          <cell r="GY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124</v>
          </cell>
          <cell r="GV19">
            <v>122</v>
          </cell>
          <cell r="GW19">
            <v>131</v>
          </cell>
          <cell r="GX19">
            <v>129</v>
          </cell>
          <cell r="GY19">
            <v>116</v>
          </cell>
        </row>
        <row r="47">
          <cell r="GY47">
            <v>1557819</v>
          </cell>
        </row>
        <row r="48">
          <cell r="GY48"/>
        </row>
        <row r="52">
          <cell r="GY52">
            <v>606557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707600</v>
          </cell>
          <cell r="GU64">
            <v>2081845</v>
          </cell>
          <cell r="GV64">
            <v>2164686</v>
          </cell>
          <cell r="GW64">
            <v>2122816</v>
          </cell>
          <cell r="GX64">
            <v>2046384</v>
          </cell>
          <cell r="GY64">
            <v>2164376</v>
          </cell>
        </row>
      </sheetData>
      <sheetData sheetId="65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H19">
            <v>0</v>
          </cell>
          <cell r="GI19">
            <v>1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43352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66">
        <row r="4">
          <cell r="GY4"/>
        </row>
        <row r="5">
          <cell r="GY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  <cell r="GT19">
            <v>2</v>
          </cell>
          <cell r="GU19"/>
          <cell r="GV19"/>
          <cell r="GW19">
            <v>0</v>
          </cell>
          <cell r="GX19">
            <v>0</v>
          </cell>
          <cell r="GY19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  <cell r="GT64">
            <v>105861</v>
          </cell>
          <cell r="GU64"/>
          <cell r="GV64"/>
          <cell r="GW64">
            <v>0</v>
          </cell>
          <cell r="GX64">
            <v>0</v>
          </cell>
          <cell r="GY64">
            <v>0</v>
          </cell>
        </row>
      </sheetData>
      <sheetData sheetId="67">
        <row r="4">
          <cell r="GY4"/>
        </row>
        <row r="5">
          <cell r="GY5"/>
        </row>
        <row r="8">
          <cell r="GY8"/>
        </row>
        <row r="9">
          <cell r="GY9"/>
        </row>
        <row r="15">
          <cell r="GY15"/>
        </row>
        <row r="16">
          <cell r="GY16"/>
        </row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H19">
            <v>0</v>
          </cell>
          <cell r="GI19">
            <v>0</v>
          </cell>
          <cell r="GJ19">
            <v>6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2</v>
          </cell>
          <cell r="GU19">
            <v>4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47">
          <cell r="GY47"/>
        </row>
        <row r="52">
          <cell r="GY52"/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  <cell r="GI64">
            <v>0</v>
          </cell>
          <cell r="GJ64">
            <v>152367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60721</v>
          </cell>
          <cell r="GU64">
            <v>125645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68">
        <row r="4">
          <cell r="GY4">
            <v>42</v>
          </cell>
        </row>
        <row r="5">
          <cell r="GY5">
            <v>42</v>
          </cell>
        </row>
        <row r="12">
          <cell r="GY12">
            <v>84</v>
          </cell>
        </row>
        <row r="15">
          <cell r="GY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  <cell r="GT19">
            <v>84</v>
          </cell>
          <cell r="GU19">
            <v>90</v>
          </cell>
          <cell r="GV19">
            <v>92</v>
          </cell>
          <cell r="GW19">
            <v>82</v>
          </cell>
          <cell r="GX19">
            <v>90</v>
          </cell>
          <cell r="GY19">
            <v>84</v>
          </cell>
        </row>
        <row r="47">
          <cell r="GY47">
            <v>73311</v>
          </cell>
        </row>
        <row r="48">
          <cell r="GY48"/>
        </row>
        <row r="52">
          <cell r="GY52">
            <v>48065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  <cell r="GT64">
            <v>128008</v>
          </cell>
          <cell r="GU64">
            <v>126727</v>
          </cell>
          <cell r="GV64">
            <v>124719</v>
          </cell>
          <cell r="GW64">
            <v>109569</v>
          </cell>
          <cell r="GX64">
            <v>115212</v>
          </cell>
          <cell r="GY64">
            <v>121376</v>
          </cell>
        </row>
      </sheetData>
      <sheetData sheetId="69">
        <row r="4">
          <cell r="GY4"/>
        </row>
        <row r="5">
          <cell r="GY5"/>
        </row>
        <row r="15">
          <cell r="GY15"/>
        </row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H19">
            <v>44</v>
          </cell>
          <cell r="GI19">
            <v>42</v>
          </cell>
          <cell r="GJ19">
            <v>36</v>
          </cell>
          <cell r="GK19">
            <v>46</v>
          </cell>
          <cell r="GP19">
            <v>8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  <cell r="GX19">
            <v>0</v>
          </cell>
          <cell r="GY19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  <cell r="GI64">
            <v>1235802</v>
          </cell>
          <cell r="GJ64">
            <v>1136168</v>
          </cell>
          <cell r="GK64">
            <v>1136064</v>
          </cell>
          <cell r="GP64">
            <v>190513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36833</v>
          </cell>
          <cell r="GW64">
            <v>0</v>
          </cell>
          <cell r="GX64">
            <v>0</v>
          </cell>
          <cell r="GY64">
            <v>0</v>
          </cell>
        </row>
      </sheetData>
      <sheetData sheetId="70">
        <row r="4">
          <cell r="GY4"/>
        </row>
        <row r="5">
          <cell r="GY5"/>
        </row>
        <row r="15">
          <cell r="GY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  <cell r="GX19">
            <v>0</v>
          </cell>
          <cell r="GY19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46833</v>
          </cell>
          <cell r="GX64">
            <v>0</v>
          </cell>
          <cell r="GY64">
            <v>0</v>
          </cell>
        </row>
      </sheetData>
      <sheetData sheetId="71">
        <row r="4">
          <cell r="GY4">
            <v>19</v>
          </cell>
        </row>
        <row r="5">
          <cell r="GY5">
            <v>19</v>
          </cell>
        </row>
        <row r="15">
          <cell r="GY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40</v>
          </cell>
          <cell r="GV19">
            <v>44</v>
          </cell>
          <cell r="GW19">
            <v>38</v>
          </cell>
          <cell r="GX19">
            <v>44</v>
          </cell>
          <cell r="GY19">
            <v>38</v>
          </cell>
        </row>
        <row r="47">
          <cell r="GY47">
            <v>553000</v>
          </cell>
        </row>
        <row r="48">
          <cell r="GY48"/>
        </row>
        <row r="52">
          <cell r="GY52">
            <v>371001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1063472</v>
          </cell>
          <cell r="GU64">
            <v>1147904</v>
          </cell>
          <cell r="GV64">
            <v>1114604</v>
          </cell>
          <cell r="GW64">
            <v>1114604</v>
          </cell>
          <cell r="GX64">
            <v>1009870</v>
          </cell>
          <cell r="GY64">
            <v>924001</v>
          </cell>
        </row>
      </sheetData>
      <sheetData sheetId="72">
        <row r="4">
          <cell r="GY4"/>
        </row>
        <row r="5">
          <cell r="GY5"/>
        </row>
        <row r="15">
          <cell r="GY15"/>
        </row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H19">
            <v>88</v>
          </cell>
          <cell r="GI19">
            <v>88</v>
          </cell>
          <cell r="GJ19">
            <v>80</v>
          </cell>
          <cell r="GK19">
            <v>88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47">
          <cell r="GY47"/>
        </row>
        <row r="48">
          <cell r="GY48"/>
        </row>
        <row r="52">
          <cell r="GY52"/>
        </row>
        <row r="53">
          <cell r="GY53"/>
        </row>
        <row r="57">
          <cell r="GY57"/>
        </row>
        <row r="58">
          <cell r="GY58"/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  <cell r="GK64">
            <v>63006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73"/>
      <sheetData sheetId="74">
        <row r="4">
          <cell r="GY4">
            <v>149</v>
          </cell>
        </row>
        <row r="5">
          <cell r="GY5">
            <v>149</v>
          </cell>
        </row>
        <row r="15">
          <cell r="GY15"/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H19">
            <v>254</v>
          </cell>
          <cell r="GI19">
            <v>266</v>
          </cell>
          <cell r="GJ19">
            <v>244</v>
          </cell>
          <cell r="GK19">
            <v>288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  <cell r="GT19">
            <v>236</v>
          </cell>
          <cell r="GU19">
            <v>234</v>
          </cell>
          <cell r="GV19">
            <v>242</v>
          </cell>
          <cell r="GW19">
            <v>250</v>
          </cell>
          <cell r="GX19">
            <v>284</v>
          </cell>
          <cell r="GY19">
            <v>298</v>
          </cell>
        </row>
        <row r="47">
          <cell r="GY47">
            <v>8846773</v>
          </cell>
        </row>
        <row r="48">
          <cell r="GY48"/>
        </row>
        <row r="52">
          <cell r="GY52">
            <v>8809457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  <cell r="GK64">
            <v>17930855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  <cell r="GT64">
            <v>15683019</v>
          </cell>
          <cell r="GU64">
            <v>15376219</v>
          </cell>
          <cell r="GV64">
            <v>16026922</v>
          </cell>
          <cell r="GW64">
            <v>15280794</v>
          </cell>
          <cell r="GX64">
            <v>16585449</v>
          </cell>
          <cell r="GY64">
            <v>17656230</v>
          </cell>
        </row>
      </sheetData>
      <sheetData sheetId="75">
        <row r="4">
          <cell r="GY4">
            <v>23</v>
          </cell>
        </row>
        <row r="5">
          <cell r="GY5">
            <v>23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H19">
            <v>42</v>
          </cell>
          <cell r="GI19">
            <v>46</v>
          </cell>
          <cell r="GJ19">
            <v>34</v>
          </cell>
          <cell r="GK19">
            <v>46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  <cell r="GT19">
            <v>42</v>
          </cell>
          <cell r="GU19">
            <v>42</v>
          </cell>
          <cell r="GV19">
            <v>44</v>
          </cell>
          <cell r="GW19">
            <v>42</v>
          </cell>
          <cell r="GX19">
            <v>42</v>
          </cell>
          <cell r="GY19">
            <v>46</v>
          </cell>
        </row>
        <row r="47">
          <cell r="GY47"/>
        </row>
        <row r="48">
          <cell r="GY48">
            <v>55885</v>
          </cell>
        </row>
        <row r="52">
          <cell r="GY52"/>
        </row>
        <row r="53">
          <cell r="GY53">
            <v>100239</v>
          </cell>
        </row>
        <row r="57">
          <cell r="GY57"/>
        </row>
        <row r="58">
          <cell r="GY58"/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  <cell r="GK64">
            <v>11569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  <cell r="GT64">
            <v>182998</v>
          </cell>
          <cell r="GU64">
            <v>152330</v>
          </cell>
          <cell r="GV64">
            <v>171253</v>
          </cell>
          <cell r="GW64">
            <v>152296</v>
          </cell>
          <cell r="GX64">
            <v>160830</v>
          </cell>
          <cell r="GY64">
            <v>156124</v>
          </cell>
        </row>
      </sheetData>
      <sheetData sheetId="76">
        <row r="4">
          <cell r="GY4">
            <v>16</v>
          </cell>
        </row>
        <row r="5">
          <cell r="GY5">
            <v>16</v>
          </cell>
        </row>
        <row r="15">
          <cell r="GY15"/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H19">
            <v>36</v>
          </cell>
          <cell r="GI19">
            <v>30</v>
          </cell>
          <cell r="GJ19">
            <v>30</v>
          </cell>
          <cell r="GK19">
            <v>36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  <cell r="GT19">
            <v>30</v>
          </cell>
          <cell r="GU19">
            <v>30</v>
          </cell>
          <cell r="GV19">
            <v>36</v>
          </cell>
          <cell r="GW19">
            <v>30</v>
          </cell>
          <cell r="GX19">
            <v>36</v>
          </cell>
          <cell r="GY19">
            <v>32</v>
          </cell>
        </row>
        <row r="47">
          <cell r="GY47">
            <v>56581</v>
          </cell>
        </row>
        <row r="48">
          <cell r="GY48"/>
        </row>
        <row r="52">
          <cell r="GY52">
            <v>4727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  <cell r="GK64">
            <v>51002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  <cell r="GT64">
            <v>49063</v>
          </cell>
          <cell r="GU64">
            <v>62630</v>
          </cell>
          <cell r="GV64">
            <v>71798</v>
          </cell>
          <cell r="GW64">
            <v>59763</v>
          </cell>
          <cell r="GX64">
            <v>68724</v>
          </cell>
          <cell r="GY64">
            <v>61308</v>
          </cell>
        </row>
      </sheetData>
      <sheetData sheetId="77">
        <row r="4">
          <cell r="GY4">
            <v>146</v>
          </cell>
        </row>
        <row r="5">
          <cell r="GY5">
            <v>146</v>
          </cell>
        </row>
        <row r="15">
          <cell r="GY15">
            <v>18</v>
          </cell>
        </row>
        <row r="16">
          <cell r="GY16">
            <v>18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H19">
            <v>268</v>
          </cell>
          <cell r="GI19">
            <v>288</v>
          </cell>
          <cell r="GJ19">
            <v>244</v>
          </cell>
          <cell r="GK19">
            <v>300</v>
          </cell>
          <cell r="GP19">
            <v>282</v>
          </cell>
          <cell r="GQ19">
            <v>236</v>
          </cell>
          <cell r="GR19">
            <v>252</v>
          </cell>
          <cell r="GS19">
            <v>295</v>
          </cell>
          <cell r="GT19">
            <v>264</v>
          </cell>
          <cell r="GU19">
            <v>272</v>
          </cell>
          <cell r="GV19">
            <v>298</v>
          </cell>
          <cell r="GW19">
            <v>258</v>
          </cell>
          <cell r="GX19">
            <v>283</v>
          </cell>
          <cell r="GY19">
            <v>328</v>
          </cell>
        </row>
        <row r="47">
          <cell r="GY47">
            <v>7557823</v>
          </cell>
        </row>
        <row r="48">
          <cell r="GY48">
            <v>761733</v>
          </cell>
        </row>
        <row r="52">
          <cell r="GY52">
            <v>6336968</v>
          </cell>
        </row>
        <row r="53">
          <cell r="GY53">
            <v>1053721</v>
          </cell>
        </row>
        <row r="57">
          <cell r="GY57"/>
        </row>
        <row r="58">
          <cell r="GY58"/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  <cell r="GK64">
            <v>15402635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  <cell r="GT64">
            <v>11129346</v>
          </cell>
          <cell r="GU64">
            <v>12302785</v>
          </cell>
          <cell r="GV64">
            <v>13072481</v>
          </cell>
          <cell r="GW64">
            <v>12478290</v>
          </cell>
          <cell r="GX64">
            <v>14449568</v>
          </cell>
          <cell r="GY64">
            <v>15710245</v>
          </cell>
        </row>
      </sheetData>
      <sheetData sheetId="78"/>
      <sheetData sheetId="79"/>
      <sheetData sheetId="80"/>
      <sheetData sheetId="81">
        <row r="4">
          <cell r="GY4">
            <v>203</v>
          </cell>
        </row>
        <row r="5">
          <cell r="GY5">
            <v>203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H19">
            <v>410</v>
          </cell>
          <cell r="GI19">
            <v>414</v>
          </cell>
          <cell r="GJ19">
            <v>372</v>
          </cell>
          <cell r="GK19">
            <v>420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  <cell r="GT19">
            <v>384</v>
          </cell>
          <cell r="GU19">
            <v>394</v>
          </cell>
          <cell r="GV19">
            <v>400</v>
          </cell>
          <cell r="GW19">
            <v>386</v>
          </cell>
          <cell r="GX19">
            <v>402</v>
          </cell>
          <cell r="GY19">
            <v>406</v>
          </cell>
        </row>
      </sheetData>
      <sheetData sheetId="82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</row>
      </sheetData>
      <sheetData sheetId="83">
        <row r="4">
          <cell r="GY4"/>
        </row>
        <row r="5">
          <cell r="GY5"/>
        </row>
        <row r="8">
          <cell r="GY8">
            <v>1</v>
          </cell>
        </row>
        <row r="9">
          <cell r="GY9">
            <v>1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H19">
            <v>0</v>
          </cell>
          <cell r="GI19">
            <v>0</v>
          </cell>
          <cell r="GJ19">
            <v>0</v>
          </cell>
          <cell r="GK19">
            <v>3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  <cell r="GX19">
            <v>0</v>
          </cell>
          <cell r="GY19">
            <v>2</v>
          </cell>
        </row>
        <row r="47">
          <cell r="GY47"/>
        </row>
        <row r="48">
          <cell r="GY48"/>
        </row>
        <row r="52">
          <cell r="GY52">
            <v>3206</v>
          </cell>
        </row>
        <row r="53">
          <cell r="GY53"/>
        </row>
        <row r="57">
          <cell r="GY57"/>
        </row>
        <row r="58">
          <cell r="GY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  <cell r="GK64">
            <v>3500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3860</v>
          </cell>
          <cell r="GX64">
            <v>0</v>
          </cell>
          <cell r="GY64">
            <v>3206</v>
          </cell>
        </row>
      </sheetData>
      <sheetData sheetId="84">
        <row r="4">
          <cell r="GY4">
            <v>76</v>
          </cell>
        </row>
        <row r="5">
          <cell r="GY5">
            <v>73</v>
          </cell>
        </row>
      </sheetData>
      <sheetData sheetId="85">
        <row r="4">
          <cell r="GY4">
            <v>541</v>
          </cell>
        </row>
        <row r="5">
          <cell r="GY5">
            <v>540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9" sqref="K19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8">
        <v>44105</v>
      </c>
      <c r="B2" s="10"/>
      <c r="C2" s="10"/>
      <c r="D2" s="461" t="s">
        <v>213</v>
      </c>
      <c r="E2" s="461" t="s">
        <v>199</v>
      </c>
      <c r="F2" s="5"/>
      <c r="G2" s="5"/>
      <c r="H2" s="5"/>
      <c r="I2" s="5"/>
      <c r="J2" s="5"/>
    </row>
    <row r="3" spans="1:14" ht="13.5" thickBot="1" x14ac:dyDescent="0.25">
      <c r="A3" s="263"/>
      <c r="B3" s="5" t="s">
        <v>0</v>
      </c>
      <c r="C3" s="5" t="s">
        <v>1</v>
      </c>
      <c r="D3" s="462"/>
      <c r="E3" s="463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3">
        <f>'Major Airline Stats'!K4</f>
        <v>382074</v>
      </c>
      <c r="C5" s="10">
        <f>'Major Airline Stats'!K5</f>
        <v>399408</v>
      </c>
      <c r="D5" s="2">
        <f>'Major Airline Stats'!K6</f>
        <v>781482</v>
      </c>
      <c r="E5" s="2">
        <f>'[1]Monthly Summary'!D5</f>
        <v>2682877</v>
      </c>
      <c r="F5" s="3">
        <f>(D5-E5)/E5</f>
        <v>-0.70871493549648379</v>
      </c>
      <c r="G5" s="2">
        <f>+D5+'[2]Monthly Summary'!G5</f>
        <v>9417007</v>
      </c>
      <c r="H5" s="2">
        <f>'[1]Monthly Summary'!G5</f>
        <v>25995096</v>
      </c>
      <c r="I5" s="58">
        <f>(G5-H5)/H5</f>
        <v>-0.63773909509701365</v>
      </c>
      <c r="J5" s="2"/>
    </row>
    <row r="6" spans="1:14" x14ac:dyDescent="0.2">
      <c r="A6" s="43" t="s">
        <v>5</v>
      </c>
      <c r="B6" s="193">
        <f>'Regional Major'!M5</f>
        <v>161600</v>
      </c>
      <c r="C6" s="193">
        <f>'Regional Major'!M6</f>
        <v>161507</v>
      </c>
      <c r="D6" s="2">
        <f>B6+C6</f>
        <v>323107</v>
      </c>
      <c r="E6" s="2">
        <f>'[1]Monthly Summary'!D6</f>
        <v>601293</v>
      </c>
      <c r="F6" s="3">
        <f>(D6-E6)/E6</f>
        <v>-0.46264633049112497</v>
      </c>
      <c r="G6" s="2">
        <f>+D6+'[2]Monthly Summary'!G6</f>
        <v>2833639</v>
      </c>
      <c r="H6" s="2">
        <f>'[1]Monthly Summary'!G6</f>
        <v>6346964</v>
      </c>
      <c r="I6" s="58">
        <f>(G6-H6)/H6</f>
        <v>-0.55354418269900385</v>
      </c>
      <c r="K6" s="2"/>
    </row>
    <row r="7" spans="1:14" x14ac:dyDescent="0.2">
      <c r="A7" s="43" t="s">
        <v>6</v>
      </c>
      <c r="B7" s="2">
        <f>Charter!G5</f>
        <v>0</v>
      </c>
      <c r="C7" s="193">
        <f>Charter!G6</f>
        <v>0</v>
      </c>
      <c r="D7" s="2">
        <f>B7+C7</f>
        <v>0</v>
      </c>
      <c r="E7" s="2">
        <f>'[1]Monthly Summary'!D7</f>
        <v>248</v>
      </c>
      <c r="F7" s="3">
        <f>(D7-E7)/E7</f>
        <v>-1</v>
      </c>
      <c r="G7" s="2">
        <f>+D7+'[2]Monthly Summary'!G7</f>
        <v>2270</v>
      </c>
      <c r="H7" s="2">
        <f>'[1]Monthly Summary'!G7</f>
        <v>5443</v>
      </c>
      <c r="I7" s="58">
        <f>(G7-H7)/H7</f>
        <v>-0.58295057872496781</v>
      </c>
      <c r="K7" s="2"/>
    </row>
    <row r="8" spans="1:14" x14ac:dyDescent="0.2">
      <c r="A8" s="45" t="s">
        <v>7</v>
      </c>
      <c r="B8" s="98">
        <f>SUM(B5:B7)</f>
        <v>543674</v>
      </c>
      <c r="C8" s="98">
        <f>SUM(C5:C7)</f>
        <v>560915</v>
      </c>
      <c r="D8" s="98">
        <f>SUM(D5:D7)</f>
        <v>1104589</v>
      </c>
      <c r="E8" s="98">
        <f>SUM(E5:E7)</f>
        <v>3284418</v>
      </c>
      <c r="F8" s="64">
        <f>(D8-E8)/E8</f>
        <v>-0.66368805675769649</v>
      </c>
      <c r="G8" s="98">
        <f>SUM(G5:G7)</f>
        <v>12252916</v>
      </c>
      <c r="H8" s="98">
        <f>SUM(H5:H7)</f>
        <v>32347503</v>
      </c>
      <c r="I8" s="63">
        <f>(G8-H8)/H8</f>
        <v>-0.62120983496005855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4">
        <f>'Major Airline Stats'!K9+'Regional Major'!M10</f>
        <v>16935</v>
      </c>
      <c r="C10" s="194">
        <f>'Major Airline Stats'!K10+'Regional Major'!M11</f>
        <v>26687</v>
      </c>
      <c r="D10" s="84">
        <f>SUM(B10:C10)</f>
        <v>43622</v>
      </c>
      <c r="E10" s="84">
        <f>'[1]Monthly Summary'!D10</f>
        <v>100304</v>
      </c>
      <c r="F10" s="65">
        <f>(D10-E10)/E10</f>
        <v>-0.56510208964747166</v>
      </c>
      <c r="G10" s="84">
        <f>+D10+'[2]Monthly Summary'!G10</f>
        <v>514836</v>
      </c>
      <c r="H10" s="84">
        <f>'[1]Monthly Summary'!G10</f>
        <v>1019850</v>
      </c>
      <c r="I10" s="68">
        <f>(G10-H10)/H10</f>
        <v>-0.49518458596852477</v>
      </c>
      <c r="J10" s="141"/>
    </row>
    <row r="11" spans="1:14" ht="15.75" thickBot="1" x14ac:dyDescent="0.3">
      <c r="A11" s="44" t="s">
        <v>13</v>
      </c>
      <c r="B11" s="180">
        <f>B10+B8</f>
        <v>560609</v>
      </c>
      <c r="C11" s="180">
        <f>C10+C8</f>
        <v>587602</v>
      </c>
      <c r="D11" s="180">
        <f>D10+D8</f>
        <v>1148211</v>
      </c>
      <c r="E11" s="180">
        <f>E10+E8</f>
        <v>3384722</v>
      </c>
      <c r="F11" s="66">
        <f>(D11-E11)/E11</f>
        <v>-0.6607665267634979</v>
      </c>
      <c r="G11" s="180">
        <f>G8+G10</f>
        <v>12767752</v>
      </c>
      <c r="H11" s="180">
        <f>H8+H10</f>
        <v>33367353</v>
      </c>
      <c r="I11" s="69">
        <f>(G11-H11)/H11</f>
        <v>-0.61735796063895154</v>
      </c>
    </row>
    <row r="12" spans="1:14" ht="15" x14ac:dyDescent="0.25">
      <c r="A12" s="8"/>
      <c r="B12" s="86"/>
      <c r="C12" s="86"/>
      <c r="D12" s="86"/>
      <c r="E12" s="86"/>
      <c r="F12" s="182"/>
      <c r="G12" s="86"/>
      <c r="H12" s="86"/>
      <c r="I12" s="183"/>
      <c r="K12" s="83"/>
    </row>
    <row r="13" spans="1:14" ht="16.5" customHeight="1" x14ac:dyDescent="0.2">
      <c r="B13" s="10"/>
      <c r="C13" s="10"/>
      <c r="D13" s="461" t="s">
        <v>213</v>
      </c>
      <c r="E13" s="461" t="s">
        <v>199</v>
      </c>
      <c r="F13" s="361"/>
      <c r="G13" s="361"/>
      <c r="H13" s="361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62"/>
      <c r="E14" s="463"/>
      <c r="F14" s="361" t="s">
        <v>2</v>
      </c>
      <c r="G14" s="361" t="s">
        <v>214</v>
      </c>
      <c r="H14" s="361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1"/>
    </row>
    <row r="16" spans="1:14" x14ac:dyDescent="0.2">
      <c r="A16" s="43" t="s">
        <v>4</v>
      </c>
      <c r="B16" s="200">
        <f>'Major Airline Stats'!K15+'Major Airline Stats'!K19</f>
        <v>4712</v>
      </c>
      <c r="C16" s="200">
        <f>'Major Airline Stats'!K16+'Major Airline Stats'!K20</f>
        <v>4700</v>
      </c>
      <c r="D16" s="25">
        <f t="shared" ref="D16:D21" si="0">SUM(B16:C16)</f>
        <v>9412</v>
      </c>
      <c r="E16" s="2">
        <f>'[1]Monthly Summary'!D16</f>
        <v>20214</v>
      </c>
      <c r="F16" s="67">
        <f t="shared" ref="F16:F22" si="1">(D16-E16)/E16</f>
        <v>-0.53438211140793512</v>
      </c>
      <c r="G16" s="2">
        <f>+D16+'[2]Monthly Summary'!G16</f>
        <v>99508</v>
      </c>
      <c r="H16" s="2">
        <f>'[1]Monthly Summary'!G16</f>
        <v>193311</v>
      </c>
      <c r="I16" s="172">
        <f t="shared" ref="I16:I22" si="2">(G16-H16)/H16</f>
        <v>-0.48524398508103522</v>
      </c>
      <c r="N16" s="83"/>
    </row>
    <row r="17" spans="1:12" x14ac:dyDescent="0.2">
      <c r="A17" s="43" t="s">
        <v>5</v>
      </c>
      <c r="B17" s="25">
        <f>'Regional Major'!M15+'Regional Major'!M18</f>
        <v>4762</v>
      </c>
      <c r="C17" s="25">
        <f>'Regional Major'!M16+'Regional Major'!M19</f>
        <v>4761</v>
      </c>
      <c r="D17" s="25">
        <f>SUM(B17:C17)</f>
        <v>9523</v>
      </c>
      <c r="E17" s="2">
        <f>'[1]Monthly Summary'!D17</f>
        <v>11767</v>
      </c>
      <c r="F17" s="67">
        <f t="shared" si="1"/>
        <v>-0.19070281295147445</v>
      </c>
      <c r="G17" s="2">
        <f>+D17+'[2]Monthly Summary'!G17</f>
        <v>80085</v>
      </c>
      <c r="H17" s="2">
        <f>'[1]Monthly Summary'!G17</f>
        <v>119720</v>
      </c>
      <c r="I17" s="172">
        <f t="shared" si="2"/>
        <v>-0.33106414968259273</v>
      </c>
    </row>
    <row r="18" spans="1:12" x14ac:dyDescent="0.2">
      <c r="A18" s="43" t="s">
        <v>10</v>
      </c>
      <c r="B18" s="25">
        <f>Charter!G10</f>
        <v>0</v>
      </c>
      <c r="C18" s="25">
        <f>Charter!G11</f>
        <v>0</v>
      </c>
      <c r="D18" s="25">
        <f t="shared" si="0"/>
        <v>0</v>
      </c>
      <c r="E18" s="2">
        <f>'[1]Monthly Summary'!D18</f>
        <v>2</v>
      </c>
      <c r="F18" s="67">
        <f t="shared" si="1"/>
        <v>-1</v>
      </c>
      <c r="G18" s="2">
        <f>+D18+'[2]Monthly Summary'!G18</f>
        <v>24</v>
      </c>
      <c r="H18" s="2">
        <f>'[1]Monthly Summary'!G18</f>
        <v>61</v>
      </c>
      <c r="I18" s="172">
        <f t="shared" si="2"/>
        <v>-0.60655737704918034</v>
      </c>
    </row>
    <row r="19" spans="1:12" x14ac:dyDescent="0.2">
      <c r="A19" s="43" t="s">
        <v>11</v>
      </c>
      <c r="B19" s="25">
        <f>Cargo!P4+Cargo!P8</f>
        <v>678</v>
      </c>
      <c r="C19" s="25">
        <f>Cargo!P5+Cargo!P9</f>
        <v>678</v>
      </c>
      <c r="D19" s="25">
        <f t="shared" si="0"/>
        <v>1356</v>
      </c>
      <c r="E19" s="2">
        <f>'[1]Monthly Summary'!D19</f>
        <v>1287</v>
      </c>
      <c r="F19" s="67">
        <f t="shared" si="1"/>
        <v>5.3613053613053616E-2</v>
      </c>
      <c r="G19" s="2">
        <f>+D19+'[2]Monthly Summary'!G19</f>
        <v>12179</v>
      </c>
      <c r="H19" s="2">
        <f>'[1]Monthly Summary'!G19</f>
        <v>11838</v>
      </c>
      <c r="I19" s="172">
        <f t="shared" si="2"/>
        <v>2.8805541476600777E-2</v>
      </c>
    </row>
    <row r="20" spans="1:12" x14ac:dyDescent="0.2">
      <c r="A20" s="43" t="s">
        <v>149</v>
      </c>
      <c r="B20" s="25">
        <f>'[3]General Avation'!$GY$4</f>
        <v>541</v>
      </c>
      <c r="C20" s="25">
        <f>'[3]General Avation'!$GY$5</f>
        <v>540</v>
      </c>
      <c r="D20" s="25">
        <f t="shared" si="0"/>
        <v>1081</v>
      </c>
      <c r="E20" s="2">
        <f>'[1]Monthly Summary'!D20</f>
        <v>1594</v>
      </c>
      <c r="F20" s="67">
        <f t="shared" si="1"/>
        <v>-0.321831869510665</v>
      </c>
      <c r="G20" s="2">
        <f>+D20+'[2]Monthly Summary'!G20</f>
        <v>9069</v>
      </c>
      <c r="H20" s="2">
        <f>'[1]Monthly Summary'!G20</f>
        <v>15806</v>
      </c>
      <c r="I20" s="172">
        <f t="shared" si="2"/>
        <v>-0.42623054536252059</v>
      </c>
    </row>
    <row r="21" spans="1:12" ht="12.75" customHeight="1" x14ac:dyDescent="0.2">
      <c r="A21" s="43" t="s">
        <v>12</v>
      </c>
      <c r="B21" s="11">
        <f>'[3]Military '!$GY$4</f>
        <v>76</v>
      </c>
      <c r="C21" s="11">
        <f>'[3]Military '!$GY$5</f>
        <v>73</v>
      </c>
      <c r="D21" s="11">
        <f t="shared" si="0"/>
        <v>149</v>
      </c>
      <c r="E21" s="84">
        <f>'[1]Monthly Summary'!D21</f>
        <v>48</v>
      </c>
      <c r="F21" s="170">
        <f t="shared" si="1"/>
        <v>2.1041666666666665</v>
      </c>
      <c r="G21" s="84">
        <f>+D21+'[2]Monthly Summary'!G21</f>
        <v>952</v>
      </c>
      <c r="H21" s="84">
        <f>'[1]Monthly Summary'!G21</f>
        <v>829</v>
      </c>
      <c r="I21" s="173">
        <f t="shared" si="2"/>
        <v>0.14837153196622438</v>
      </c>
    </row>
    <row r="22" spans="1:12" ht="15.75" thickBot="1" x14ac:dyDescent="0.3">
      <c r="A22" s="44" t="s">
        <v>28</v>
      </c>
      <c r="B22" s="181">
        <f>SUM(B16:B21)</f>
        <v>10769</v>
      </c>
      <c r="C22" s="181">
        <f>SUM(C16:C21)</f>
        <v>10752</v>
      </c>
      <c r="D22" s="181">
        <f>SUM(D16:D21)</f>
        <v>21521</v>
      </c>
      <c r="E22" s="181">
        <f>SUM(E16:E21)</f>
        <v>34912</v>
      </c>
      <c r="F22" s="178">
        <f t="shared" si="1"/>
        <v>-0.38356439046746105</v>
      </c>
      <c r="G22" s="181">
        <f>SUM(G16:G21)</f>
        <v>201817</v>
      </c>
      <c r="H22" s="181">
        <f>SUM(H16:H21)</f>
        <v>341565</v>
      </c>
      <c r="I22" s="179">
        <f t="shared" si="2"/>
        <v>-0.40914028076647196</v>
      </c>
      <c r="K22" s="83"/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61" t="s">
        <v>213</v>
      </c>
      <c r="E24" s="461" t="s">
        <v>199</v>
      </c>
      <c r="F24" s="361"/>
      <c r="G24" s="361"/>
      <c r="H24" s="361"/>
      <c r="I24" s="5"/>
    </row>
    <row r="25" spans="1:12" ht="13.5" thickBot="1" x14ac:dyDescent="0.25">
      <c r="B25" s="5" t="s">
        <v>0</v>
      </c>
      <c r="C25" s="5" t="s">
        <v>1</v>
      </c>
      <c r="D25" s="462"/>
      <c r="E25" s="463"/>
      <c r="F25" s="361" t="s">
        <v>2</v>
      </c>
      <c r="G25" s="361" t="s">
        <v>214</v>
      </c>
      <c r="H25" s="361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8908.9283605052497</v>
      </c>
      <c r="C27" s="13">
        <f>(Cargo!P21+'Major Airline Stats'!K33+'Regional Major'!M30)*0.00045359237</f>
        <v>7498.4874219139501</v>
      </c>
      <c r="D27" s="13">
        <f>(SUM(B27:C27)+('Cargo Summary'!E17*0.00045359237))</f>
        <v>16407.415782419201</v>
      </c>
      <c r="E27" s="2">
        <f>'[1]Monthly Summary'!D27</f>
        <v>18850.588571548578</v>
      </c>
      <c r="F27" s="70">
        <f>(D27-E27)/E27</f>
        <v>-0.12960724169731697</v>
      </c>
      <c r="G27" s="2">
        <f>+D27+'[2]Monthly Summary'!G27</f>
        <v>152092.36296360567</v>
      </c>
      <c r="H27" s="2">
        <f>'[1]Monthly Summary'!G27</f>
        <v>168501.21799461488</v>
      </c>
      <c r="I27" s="72">
        <f>(G27-H27)/H27</f>
        <v>-9.7381225051640985E-2</v>
      </c>
    </row>
    <row r="28" spans="1:12" x14ac:dyDescent="0.2">
      <c r="A28" s="38" t="s">
        <v>16</v>
      </c>
      <c r="B28" s="13">
        <f>(Cargo!P17+'Major Airline Stats'!K29+'Regional Major'!M26)*0.00045359237</f>
        <v>973.33347609421003</v>
      </c>
      <c r="C28" s="13">
        <f>(Cargo!P22+'Major Airline Stats'!K34+'Regional Major'!M31)*0.00045359237</f>
        <v>1160.79503795255</v>
      </c>
      <c r="D28" s="13">
        <f>SUM(B28:C28)</f>
        <v>2134.1285140467598</v>
      </c>
      <c r="E28" s="2">
        <f>'[1]Monthly Summary'!D28</f>
        <v>2376.1572380160997</v>
      </c>
      <c r="F28" s="70">
        <f>(D28-E28)/E28</f>
        <v>-0.10185720039782147</v>
      </c>
      <c r="G28" s="2">
        <f>+D28+'[2]Monthly Summary'!G28</f>
        <v>14676.153950042968</v>
      </c>
      <c r="H28" s="2">
        <f>'[1]Monthly Summary'!G28</f>
        <v>20771.336802122831</v>
      </c>
      <c r="I28" s="72">
        <f>(G28-H28)/H28</f>
        <v>-0.29344201146730886</v>
      </c>
    </row>
    <row r="29" spans="1:12" ht="15.75" thickBot="1" x14ac:dyDescent="0.3">
      <c r="A29" s="39" t="s">
        <v>62</v>
      </c>
      <c r="B29" s="32">
        <f>SUM(B27:B28)</f>
        <v>9882.2618365994604</v>
      </c>
      <c r="C29" s="32">
        <f>SUM(C27:C28)</f>
        <v>8659.2824598664993</v>
      </c>
      <c r="D29" s="32">
        <f>SUM(D27:D28)</f>
        <v>18541.54429646596</v>
      </c>
      <c r="E29" s="32">
        <f>SUM(E27:E28)</f>
        <v>21226.74580956468</v>
      </c>
      <c r="F29" s="71">
        <f>(D29-E29)/E29</f>
        <v>-0.12650085591022531</v>
      </c>
      <c r="G29" s="32">
        <f>SUM(G27:G28)</f>
        <v>166768.51691364864</v>
      </c>
      <c r="H29" s="32">
        <f>SUM(H27:H28)</f>
        <v>189272.55479673771</v>
      </c>
      <c r="I29" s="73">
        <f>(G29-H29)/H29</f>
        <v>-0.11889752271403771</v>
      </c>
    </row>
    <row r="30" spans="1:12" ht="4.5" customHeight="1" thickBot="1" x14ac:dyDescent="0.3">
      <c r="A30" s="35"/>
      <c r="B30" s="264"/>
      <c r="C30" s="264"/>
      <c r="D30" s="264"/>
      <c r="E30" s="264"/>
      <c r="F30" s="182"/>
      <c r="G30" s="264"/>
      <c r="H30" s="264"/>
      <c r="I30" s="182"/>
    </row>
    <row r="31" spans="1:12" ht="13.5" thickBot="1" x14ac:dyDescent="0.25">
      <c r="B31" s="460" t="s">
        <v>145</v>
      </c>
      <c r="C31" s="459"/>
      <c r="D31" s="460" t="s">
        <v>152</v>
      </c>
      <c r="E31" s="459"/>
      <c r="F31" s="286"/>
      <c r="G31" s="287"/>
    </row>
    <row r="32" spans="1:12" x14ac:dyDescent="0.2">
      <c r="A32" s="268" t="s">
        <v>146</v>
      </c>
      <c r="B32" s="269">
        <f>C8-B33</f>
        <v>351977</v>
      </c>
      <c r="C32" s="270">
        <f>B32/C8</f>
        <v>0.6275050586987333</v>
      </c>
      <c r="D32" s="271">
        <f>+B32+'[2]Monthly Summary'!$D$32</f>
        <v>3951898</v>
      </c>
      <c r="E32" s="272">
        <f>+D32/D34</f>
        <v>0.64885519746099296</v>
      </c>
      <c r="G32" s="2"/>
      <c r="I32" s="285"/>
    </row>
    <row r="33" spans="1:14" ht="13.5" thickBot="1" x14ac:dyDescent="0.25">
      <c r="A33" s="273" t="s">
        <v>147</v>
      </c>
      <c r="B33" s="274">
        <f>'Major Airline Stats'!K51+'Regional Major'!M45</f>
        <v>208938</v>
      </c>
      <c r="C33" s="275">
        <f>+B33/C8</f>
        <v>0.3724949413012667</v>
      </c>
      <c r="D33" s="276">
        <f>+B33+'[2]Monthly Summary'!$D$33</f>
        <v>2138672</v>
      </c>
      <c r="E33" s="277">
        <f>+D33/D34</f>
        <v>0.35114480253900704</v>
      </c>
      <c r="I33" s="285"/>
    </row>
    <row r="34" spans="1:14" ht="13.5" thickBot="1" x14ac:dyDescent="0.25">
      <c r="B34" s="204"/>
      <c r="D34" s="278">
        <f>SUM(D32:D33)</f>
        <v>6090570</v>
      </c>
    </row>
    <row r="35" spans="1:14" ht="13.5" thickBot="1" x14ac:dyDescent="0.25">
      <c r="B35" s="458" t="s">
        <v>242</v>
      </c>
      <c r="C35" s="459"/>
      <c r="D35" s="460" t="s">
        <v>212</v>
      </c>
      <c r="E35" s="459"/>
    </row>
    <row r="36" spans="1:14" x14ac:dyDescent="0.2">
      <c r="A36" s="268" t="s">
        <v>146</v>
      </c>
      <c r="B36" s="269">
        <f>'[1]Monthly Summary'!$B$32</f>
        <v>1036548</v>
      </c>
      <c r="C36" s="270">
        <f>+B36/B38</f>
        <v>0.62859111147227231</v>
      </c>
      <c r="D36" s="271">
        <f>'[1]Monthly Summary'!$D$32</f>
        <v>10177820</v>
      </c>
      <c r="E36" s="272">
        <f>+D36/D38</f>
        <v>0.6302418653210371</v>
      </c>
    </row>
    <row r="37" spans="1:14" ht="13.5" thickBot="1" x14ac:dyDescent="0.25">
      <c r="A37" s="273" t="s">
        <v>147</v>
      </c>
      <c r="B37" s="274">
        <f>'[1]Monthly Summary'!$B$33</f>
        <v>612454</v>
      </c>
      <c r="C37" s="277">
        <f>+B37/B38</f>
        <v>0.37140888852772769</v>
      </c>
      <c r="D37" s="276">
        <f>'[1]Monthly Summary'!$D$33</f>
        <v>5971250</v>
      </c>
      <c r="E37" s="277">
        <f>+D37/D38</f>
        <v>0.36975813467896296</v>
      </c>
      <c r="M37" s="1"/>
    </row>
    <row r="38" spans="1:14" x14ac:dyDescent="0.2">
      <c r="B38" s="290">
        <f>+SUM(B36:B37)</f>
        <v>1649002</v>
      </c>
      <c r="D38" s="278">
        <f>SUM(D36:D37)</f>
        <v>16149070</v>
      </c>
    </row>
    <row r="39" spans="1:14" x14ac:dyDescent="0.2">
      <c r="A39" s="282" t="s">
        <v>148</v>
      </c>
    </row>
    <row r="40" spans="1:14" x14ac:dyDescent="0.2">
      <c r="A40" s="142" t="s">
        <v>150</v>
      </c>
      <c r="I40" s="2"/>
    </row>
    <row r="41" spans="1:14" x14ac:dyDescent="0.2">
      <c r="N41" s="283"/>
    </row>
    <row r="42" spans="1:14" x14ac:dyDescent="0.2">
      <c r="G42" s="2"/>
      <c r="N42" s="283"/>
    </row>
    <row r="43" spans="1:14" x14ac:dyDescent="0.2">
      <c r="B43" s="204"/>
      <c r="J43" s="2"/>
      <c r="N43" s="283"/>
    </row>
    <row r="44" spans="1:14" x14ac:dyDescent="0.2">
      <c r="B44" s="204"/>
      <c r="N44" s="283"/>
    </row>
    <row r="45" spans="1:14" x14ac:dyDescent="0.2">
      <c r="J45" s="2"/>
      <c r="N45" s="283"/>
    </row>
    <row r="46" spans="1:14" x14ac:dyDescent="0.2">
      <c r="B46" s="2"/>
      <c r="F46" s="204"/>
    </row>
    <row r="47" spans="1:14" x14ac:dyDescent="0.2">
      <c r="N47" s="283"/>
    </row>
    <row r="51" spans="12:12" x14ac:dyDescent="0.2">
      <c r="L51" s="28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10" zoomScaleNormal="100" zoomScaleSheetLayoutView="100" workbookViewId="0">
      <selection activeCell="Q41" sqref="Q4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8">
        <v>44105</v>
      </c>
      <c r="B1" s="305" t="s">
        <v>18</v>
      </c>
      <c r="C1" s="304" t="s">
        <v>195</v>
      </c>
      <c r="D1" s="371" t="s">
        <v>158</v>
      </c>
      <c r="E1" s="304" t="s">
        <v>164</v>
      </c>
      <c r="F1" s="304" t="s">
        <v>163</v>
      </c>
      <c r="G1" s="304" t="s">
        <v>49</v>
      </c>
      <c r="H1" s="304" t="s">
        <v>114</v>
      </c>
      <c r="I1" s="304" t="s">
        <v>194</v>
      </c>
      <c r="J1" s="304" t="s">
        <v>191</v>
      </c>
      <c r="K1" s="304" t="s">
        <v>196</v>
      </c>
      <c r="L1" s="304" t="s">
        <v>162</v>
      </c>
      <c r="M1" s="304" t="s">
        <v>211</v>
      </c>
      <c r="N1" s="304" t="s">
        <v>157</v>
      </c>
      <c r="O1" s="304" t="s">
        <v>140</v>
      </c>
      <c r="P1" s="304" t="s">
        <v>21</v>
      </c>
    </row>
    <row r="2" spans="1:16" ht="15" x14ac:dyDescent="0.25">
      <c r="A2" s="494" t="s">
        <v>141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6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[3]Delta!$GY$32</f>
        <v>251</v>
      </c>
      <c r="C4" s="12">
        <f>'[3]Atlantic Southeast'!$GY$32</f>
        <v>0</v>
      </c>
      <c r="D4" s="12">
        <f>[3]Pinnacle!$GY$32</f>
        <v>0</v>
      </c>
      <c r="E4" s="12">
        <f>'[3]Sky West'!$GY$32</f>
        <v>1094</v>
      </c>
      <c r="F4" s="12">
        <f>'[3]Go Jet'!$GY$32</f>
        <v>0</v>
      </c>
      <c r="G4" s="12">
        <f>'[3]Sun Country'!$GY$32</f>
        <v>1036</v>
      </c>
      <c r="H4" s="12">
        <f>[3]Icelandair!$GY$32</f>
        <v>0</v>
      </c>
      <c r="I4" s="12">
        <f>[3]KLM!$GY$32</f>
        <v>0</v>
      </c>
      <c r="J4" s="12">
        <f>'[3]Air Georgian'!$GY$32</f>
        <v>0</v>
      </c>
      <c r="K4" s="12">
        <f>'[3]Sky Regional'!$GY$32</f>
        <v>0</v>
      </c>
      <c r="L4" s="12">
        <f>[3]Condor!$GY$32</f>
        <v>0</v>
      </c>
      <c r="M4" s="12">
        <f>'[3]Aer Lingus'!$GY$32</f>
        <v>0</v>
      </c>
      <c r="N4" s="12">
        <f>'[3]Air France'!$GY$32</f>
        <v>0</v>
      </c>
      <c r="O4" s="12">
        <f>'[3]Charter Misc'!$GY$32+[3]Ryan!$GY$32+[3]Omni!$GY$32</f>
        <v>0</v>
      </c>
      <c r="P4" s="373">
        <f>SUM(B4:O4)</f>
        <v>2381</v>
      </c>
    </row>
    <row r="5" spans="1:16" x14ac:dyDescent="0.2">
      <c r="A5" s="38" t="s">
        <v>31</v>
      </c>
      <c r="B5" s="7">
        <f>[3]Delta!$GY$33</f>
        <v>248</v>
      </c>
      <c r="C5" s="7">
        <f>'[3]Atlantic Southeast'!$GY$33</f>
        <v>0</v>
      </c>
      <c r="D5" s="7">
        <f>[3]Pinnacle!$GY$33</f>
        <v>0</v>
      </c>
      <c r="E5" s="7">
        <f>'[3]Sky West'!$GY$33</f>
        <v>863</v>
      </c>
      <c r="F5" s="7">
        <f>'[3]Go Jet'!$GY$33</f>
        <v>0</v>
      </c>
      <c r="G5" s="7">
        <f>'[3]Sun Country'!$GY$33</f>
        <v>1139</v>
      </c>
      <c r="H5" s="7">
        <f>[3]Icelandair!$GY$33</f>
        <v>0</v>
      </c>
      <c r="I5" s="7">
        <f>[3]KLM!$GY$33</f>
        <v>0</v>
      </c>
      <c r="J5" s="7">
        <f>'[3]Air Georgian'!$GY$33</f>
        <v>0</v>
      </c>
      <c r="K5" s="7">
        <f>'[3]Sky Regional'!$GY$33</f>
        <v>0</v>
      </c>
      <c r="L5" s="7">
        <f>[3]Condor!$GY$33</f>
        <v>0</v>
      </c>
      <c r="M5" s="7">
        <f>'[3]Aer Lingus'!$GY$33</f>
        <v>0</v>
      </c>
      <c r="N5" s="7">
        <f>'[3]Air France'!$GY$33</f>
        <v>0</v>
      </c>
      <c r="O5" s="7">
        <f>'[3]Charter Misc'!$GY$33++[3]Ryan!$GY$33+[3]Omni!$GY$33</f>
        <v>0</v>
      </c>
      <c r="P5" s="374">
        <f>SUM(B5:O5)</f>
        <v>2250</v>
      </c>
    </row>
    <row r="6" spans="1:16" ht="15" x14ac:dyDescent="0.25">
      <c r="A6" s="36" t="s">
        <v>7</v>
      </c>
      <c r="B6" s="18">
        <f t="shared" ref="B6:O6" si="0">SUM(B4:B5)</f>
        <v>499</v>
      </c>
      <c r="C6" s="18">
        <f t="shared" si="0"/>
        <v>0</v>
      </c>
      <c r="D6" s="18">
        <f t="shared" si="0"/>
        <v>0</v>
      </c>
      <c r="E6" s="18">
        <f t="shared" si="0"/>
        <v>1957</v>
      </c>
      <c r="F6" s="18">
        <f t="shared" ref="F6" si="1">SUM(F4:F5)</f>
        <v>0</v>
      </c>
      <c r="G6" s="18">
        <f t="shared" si="0"/>
        <v>2175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0</v>
      </c>
      <c r="P6" s="375">
        <f>SUM(B6:O6)</f>
        <v>4631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3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3">
        <f>SUM(B8:O8)</f>
        <v>0</v>
      </c>
    </row>
    <row r="9" spans="1:16" x14ac:dyDescent="0.2">
      <c r="A9" s="38" t="s">
        <v>30</v>
      </c>
      <c r="B9" s="12">
        <f>[3]Delta!$GY$37</f>
        <v>13</v>
      </c>
      <c r="C9" s="12">
        <f>'[3]Atlantic Southeast'!$GY$37</f>
        <v>0</v>
      </c>
      <c r="D9" s="12">
        <f>[3]Pinnacle!$GY$37</f>
        <v>0</v>
      </c>
      <c r="E9" s="12">
        <f>'[3]Sky West'!$GY$37</f>
        <v>5</v>
      </c>
      <c r="F9" s="12">
        <f>'[3]Go Jet'!$GY$37</f>
        <v>0</v>
      </c>
      <c r="G9" s="12">
        <f>'[3]Sun Country'!$GY$37</f>
        <v>18</v>
      </c>
      <c r="H9" s="12">
        <f>[3]Icelandair!$GY$37</f>
        <v>0</v>
      </c>
      <c r="I9" s="12">
        <f>[3]KLM!$GY$37</f>
        <v>0</v>
      </c>
      <c r="J9" s="12">
        <f>'[3]Air Georgian'!$GY$37</f>
        <v>0</v>
      </c>
      <c r="K9" s="12">
        <f>'[3]Sky Regional'!$GY$37</f>
        <v>0</v>
      </c>
      <c r="L9" s="12">
        <f>[3]Condor!$GY$37</f>
        <v>0</v>
      </c>
      <c r="M9" s="12">
        <f>'[3]Aer Lingus'!$GY$37</f>
        <v>0</v>
      </c>
      <c r="N9" s="12">
        <f>'[3]Air France'!$GY$37</f>
        <v>0</v>
      </c>
      <c r="O9" s="12">
        <f>'[3]Charter Misc'!$GY$37+[3]Ryan!$GY$37+[3]Omni!$GY$37</f>
        <v>0</v>
      </c>
      <c r="P9" s="373">
        <f>SUM(B9:O9)</f>
        <v>36</v>
      </c>
    </row>
    <row r="10" spans="1:16" x14ac:dyDescent="0.2">
      <c r="A10" s="38" t="s">
        <v>33</v>
      </c>
      <c r="B10" s="7">
        <f>[3]Delta!$GY$38</f>
        <v>13</v>
      </c>
      <c r="C10" s="7">
        <f>'[3]Atlantic Southeast'!$GY$38</f>
        <v>0</v>
      </c>
      <c r="D10" s="7">
        <f>[3]Pinnacle!$GY$38</f>
        <v>2</v>
      </c>
      <c r="E10" s="7">
        <f>'[3]Sky West'!$GY$38</f>
        <v>4</v>
      </c>
      <c r="F10" s="7">
        <f>'[3]Go Jet'!$GY$38</f>
        <v>0</v>
      </c>
      <c r="G10" s="7">
        <f>'[3]Sun Country'!$GY$38</f>
        <v>23</v>
      </c>
      <c r="H10" s="7">
        <f>[3]Icelandair!$GY$38</f>
        <v>0</v>
      </c>
      <c r="I10" s="7">
        <f>[3]KLM!$GY$38</f>
        <v>0</v>
      </c>
      <c r="J10" s="7">
        <f>'[3]Air Georgian'!$GY$38</f>
        <v>0</v>
      </c>
      <c r="K10" s="7">
        <f>'[3]Sky Regional'!$GY$38</f>
        <v>0</v>
      </c>
      <c r="L10" s="7">
        <f>[3]Condor!$GY$38</f>
        <v>0</v>
      </c>
      <c r="M10" s="7">
        <f>'[3]Aer Lingus'!$GY$38</f>
        <v>0</v>
      </c>
      <c r="N10" s="7">
        <f>'[3]Air France'!$GY$38</f>
        <v>0</v>
      </c>
      <c r="O10" s="7">
        <f>'[3]Charter Misc'!$GY$38+[3]Ryan!$GY$38+[3]Omni!$GY$38</f>
        <v>0</v>
      </c>
      <c r="P10" s="374">
        <f>SUM(B10:O10)</f>
        <v>42</v>
      </c>
    </row>
    <row r="11" spans="1:16" ht="15.75" thickBot="1" x14ac:dyDescent="0.3">
      <c r="A11" s="39" t="s">
        <v>34</v>
      </c>
      <c r="B11" s="187">
        <f t="shared" ref="B11:G11" si="5">SUM(B9:B10)</f>
        <v>26</v>
      </c>
      <c r="C11" s="187">
        <f t="shared" si="5"/>
        <v>0</v>
      </c>
      <c r="D11" s="187">
        <f t="shared" si="5"/>
        <v>2</v>
      </c>
      <c r="E11" s="187">
        <f t="shared" si="5"/>
        <v>9</v>
      </c>
      <c r="F11" s="187">
        <f t="shared" ref="F11" si="6">SUM(F9:F10)</f>
        <v>0</v>
      </c>
      <c r="G11" s="187">
        <f t="shared" si="5"/>
        <v>41</v>
      </c>
      <c r="H11" s="187">
        <f t="shared" ref="H11:O11" si="7">SUM(H9:H10)</f>
        <v>0</v>
      </c>
      <c r="I11" s="187">
        <f t="shared" ref="I11" si="8">SUM(I9:I10)</f>
        <v>0</v>
      </c>
      <c r="J11" s="187">
        <f t="shared" si="7"/>
        <v>0</v>
      </c>
      <c r="K11" s="187">
        <f t="shared" ref="K11" si="9">SUM(K9:K10)</f>
        <v>0</v>
      </c>
      <c r="L11" s="187">
        <f t="shared" si="7"/>
        <v>0</v>
      </c>
      <c r="M11" s="187">
        <f t="shared" ref="M11" si="10">SUM(M9:M10)</f>
        <v>0</v>
      </c>
      <c r="N11" s="187">
        <f t="shared" si="7"/>
        <v>0</v>
      </c>
      <c r="O11" s="187">
        <f t="shared" si="7"/>
        <v>0</v>
      </c>
      <c r="P11" s="376">
        <f>SUM(B11:O11)</f>
        <v>78</v>
      </c>
    </row>
    <row r="12" spans="1:16" ht="15" x14ac:dyDescent="0.25">
      <c r="A12" s="262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60"/>
    </row>
    <row r="13" spans="1:16" ht="39" thickBot="1" x14ac:dyDescent="0.25">
      <c r="B13" s="305" t="s">
        <v>18</v>
      </c>
      <c r="C13" s="304" t="s">
        <v>195</v>
      </c>
      <c r="D13" s="371" t="s">
        <v>158</v>
      </c>
      <c r="E13" s="304" t="s">
        <v>164</v>
      </c>
      <c r="F13" s="304" t="s">
        <v>163</v>
      </c>
      <c r="G13" s="304" t="s">
        <v>49</v>
      </c>
      <c r="H13" s="304" t="s">
        <v>114</v>
      </c>
      <c r="I13" s="304" t="s">
        <v>194</v>
      </c>
      <c r="J13" s="304" t="s">
        <v>191</v>
      </c>
      <c r="K13" s="304" t="s">
        <v>196</v>
      </c>
      <c r="L13" s="304" t="s">
        <v>162</v>
      </c>
      <c r="M13" s="304" t="s">
        <v>211</v>
      </c>
      <c r="N13" s="304" t="s">
        <v>157</v>
      </c>
      <c r="O13" s="304" t="s">
        <v>140</v>
      </c>
      <c r="P13" s="304" t="s">
        <v>21</v>
      </c>
    </row>
    <row r="14" spans="1:16" ht="15" x14ac:dyDescent="0.25">
      <c r="A14" s="497" t="s">
        <v>142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9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SUM([3]Delta!$GP$32:$GY$32)</f>
        <v>241558</v>
      </c>
      <c r="C16" s="12">
        <f>SUM('[3]Atlantic Southeast'!$GP$32:$GY$32)</f>
        <v>0</v>
      </c>
      <c r="D16" s="12">
        <f>SUM([3]Pinnacle!$GP$32:$GY$32)</f>
        <v>11430</v>
      </c>
      <c r="E16" s="12">
        <f>SUM('[3]Sky West'!$GP$32:$GY$32)</f>
        <v>45006</v>
      </c>
      <c r="F16" s="12">
        <f>SUM('[3]Go Jet'!$GP$32:$GY$32)</f>
        <v>0</v>
      </c>
      <c r="G16" s="12">
        <f>SUM('[3]Sun Country'!$GP$32:$GY$32)</f>
        <v>87847</v>
      </c>
      <c r="H16" s="12">
        <f>SUM([3]Icelandair!$GP$32:$GY$32)</f>
        <v>1011</v>
      </c>
      <c r="I16" s="12">
        <f>SUM([3]KLM!$GP$32:$GY$32)</f>
        <v>9290</v>
      </c>
      <c r="J16" s="12">
        <f>SUM('[3]Air Georgian'!$GP$32:$GY$32)</f>
        <v>0</v>
      </c>
      <c r="K16" s="12">
        <f>SUM('[3]Sky Regional'!$GP$32:$GY$32)</f>
        <v>8489</v>
      </c>
      <c r="L16" s="12">
        <f>SUM([3]Condor!$GP$32:$GY$32)</f>
        <v>0</v>
      </c>
      <c r="M16" s="12">
        <f>SUM('[3]Aer Lingus'!$GP$32:$GY$32)</f>
        <v>5028</v>
      </c>
      <c r="N16" s="12">
        <f>SUM('[3]Air France'!$GP$32:$GY$32)</f>
        <v>0</v>
      </c>
      <c r="O16" s="12">
        <f>SUM('[3]Charter Misc'!$GP$32:$GY$32)+SUM([3]Ryan!$GP$32:$GY$32)+SUM([3]Omni!$GP$32:$GY$32)</f>
        <v>79</v>
      </c>
      <c r="P16" s="373">
        <f>SUM(B16:O16)</f>
        <v>409738</v>
      </c>
    </row>
    <row r="17" spans="1:19" x14ac:dyDescent="0.2">
      <c r="A17" s="38" t="s">
        <v>31</v>
      </c>
      <c r="B17" s="7">
        <f>SUM([3]Delta!$GP$33:$GY$33)</f>
        <v>221874</v>
      </c>
      <c r="C17" s="7">
        <f>SUM('[3]Atlantic Southeast'!$GP$33:$GY$33)</f>
        <v>0</v>
      </c>
      <c r="D17" s="7">
        <f>SUM([3]Pinnacle!$GP$33:$GY$33)</f>
        <v>12177</v>
      </c>
      <c r="E17" s="7">
        <f>SUM('[3]Sky West'!$GP$33:$GY$33)</f>
        <v>45391</v>
      </c>
      <c r="F17" s="7">
        <f>SUM('[3]Go Jet'!$GP$33:$GY$33)</f>
        <v>0</v>
      </c>
      <c r="G17" s="7">
        <f>SUM('[3]Sun Country'!$GP$33:$GY$33)</f>
        <v>81037</v>
      </c>
      <c r="H17" s="7">
        <f>SUM([3]Icelandair!$GP$33:$GY$33)</f>
        <v>1047</v>
      </c>
      <c r="I17" s="7">
        <f>SUM([3]KLM!$GP$33:$GY$33)</f>
        <v>6678</v>
      </c>
      <c r="J17" s="7">
        <f>SUM('[3]Air Georgian'!$GP$33:$GY$33)</f>
        <v>0</v>
      </c>
      <c r="K17" s="7">
        <f>SUM('[3]Sky Regional'!$GP$33:$GY$33)</f>
        <v>8452</v>
      </c>
      <c r="L17" s="7">
        <f>SUM([3]Condor!$GP$33:$GY$33)</f>
        <v>0</v>
      </c>
      <c r="M17" s="7">
        <f>SUM('[3]Aer Lingus'!$GP$33:$GY$33)</f>
        <v>4594</v>
      </c>
      <c r="N17" s="7">
        <f>SUM('[3]Air France'!$GP$33:$GY$33)</f>
        <v>0</v>
      </c>
      <c r="O17" s="7">
        <f>SUM('[3]Charter Misc'!$GP$33:$GY$33)++SUM([3]Ryan!$GP$33:$GY$33)+SUM([3]Omni!$GP$33:$GY$33)</f>
        <v>0</v>
      </c>
      <c r="P17" s="374">
        <f>SUM(B17:O17)</f>
        <v>381250</v>
      </c>
    </row>
    <row r="18" spans="1:19" ht="15" x14ac:dyDescent="0.25">
      <c r="A18" s="36" t="s">
        <v>7</v>
      </c>
      <c r="B18" s="18">
        <f t="shared" ref="B18:O18" si="11">SUM(B16:B17)</f>
        <v>463432</v>
      </c>
      <c r="C18" s="18">
        <f t="shared" si="11"/>
        <v>0</v>
      </c>
      <c r="D18" s="18">
        <f t="shared" si="11"/>
        <v>23607</v>
      </c>
      <c r="E18" s="18">
        <f t="shared" si="11"/>
        <v>90397</v>
      </c>
      <c r="F18" s="18">
        <f t="shared" ref="F18" si="12">SUM(F16:F17)</f>
        <v>0</v>
      </c>
      <c r="G18" s="18">
        <f t="shared" si="11"/>
        <v>168884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79</v>
      </c>
      <c r="P18" s="375">
        <f>SUM(B18:O18)</f>
        <v>790988</v>
      </c>
      <c r="S18" s="204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3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3">
        <f>SUM(B20:O20)</f>
        <v>0</v>
      </c>
    </row>
    <row r="21" spans="1:19" x14ac:dyDescent="0.2">
      <c r="A21" s="38" t="s">
        <v>30</v>
      </c>
      <c r="B21" s="12">
        <f>SUM([3]Delta!$GP$37:$GY$37)</f>
        <v>6561</v>
      </c>
      <c r="C21" s="12">
        <f>SUM('[3]Atlantic Southeast'!$GP$37:$GY$37)</f>
        <v>0</v>
      </c>
      <c r="D21" s="12">
        <f>SUM([3]Pinnacle!$GP$37:$GY$37)</f>
        <v>265</v>
      </c>
      <c r="E21" s="12">
        <f>SUM('[3]Sky West'!$GP$37:$GY$37)</f>
        <v>537</v>
      </c>
      <c r="F21" s="12">
        <f>SUM('[3]Go Jet'!$GP$37:$GY$37)</f>
        <v>0</v>
      </c>
      <c r="G21" s="12">
        <f>SUM('[3]Sun Country'!$GP$37:$GY$37)</f>
        <v>1055</v>
      </c>
      <c r="H21" s="12">
        <f>SUM([3]Icelandair!$GP$37:$GY$37)</f>
        <v>22</v>
      </c>
      <c r="I21" s="12">
        <f>SUM([3]KLM!$GP$37:$GY$37)</f>
        <v>35</v>
      </c>
      <c r="J21" s="12">
        <f>SUM('[3]Air Georgian'!$GP$37:$GY$37)</f>
        <v>0</v>
      </c>
      <c r="K21" s="12">
        <f>SUM('[3]Sky Regional'!$GP$37:$GY$37)</f>
        <v>116</v>
      </c>
      <c r="L21" s="12">
        <f>SUM([3]Condor!$GP$37:$GY$37)</f>
        <v>0</v>
      </c>
      <c r="M21" s="12">
        <f>SUM('[3]Aer Lingus'!$GP$37:$GY$37)</f>
        <v>35</v>
      </c>
      <c r="N21" s="12">
        <f>SUM('[3]Air France'!$GP$37:$GY$37)</f>
        <v>0</v>
      </c>
      <c r="O21" s="12">
        <f>SUM('[3]Charter Misc'!$GP$37:$GY$37)++SUM([3]Ryan!$GP$37:$GY$37)+SUM([3]Omni!$GP$37:$GY$37)</f>
        <v>0</v>
      </c>
      <c r="P21" s="373">
        <f>SUM(B21:O21)</f>
        <v>8626</v>
      </c>
    </row>
    <row r="22" spans="1:19" x14ac:dyDescent="0.2">
      <c r="A22" s="38" t="s">
        <v>33</v>
      </c>
      <c r="B22" s="7">
        <f>SUM([3]Delta!$GP$38:$GY$38)</f>
        <v>5752</v>
      </c>
      <c r="C22" s="7">
        <f>SUM('[3]Atlantic Southeast'!$GP$38:$GY$38)</f>
        <v>0</v>
      </c>
      <c r="D22" s="7">
        <f>SUM([3]Pinnacle!$GP$38:$GY$38)</f>
        <v>142</v>
      </c>
      <c r="E22" s="7">
        <f>SUM('[3]Sky West'!$GP$38:$GY$38)</f>
        <v>524</v>
      </c>
      <c r="F22" s="7">
        <f>SUM('[3]Go Jet'!$GP$38:$GY$38)</f>
        <v>0</v>
      </c>
      <c r="G22" s="7">
        <f>SUM('[3]Sun Country'!$GP$38:$GY$38)</f>
        <v>1012</v>
      </c>
      <c r="H22" s="7">
        <f>SUM([3]Icelandair!$GP$38:$GY$38)</f>
        <v>20</v>
      </c>
      <c r="I22" s="7">
        <f>SUM([3]KLM!$GP$38:$GY$38)</f>
        <v>26</v>
      </c>
      <c r="J22" s="7">
        <f>SUM('[3]Air Georgian'!$GP$38:$GY$38)</f>
        <v>0</v>
      </c>
      <c r="K22" s="7">
        <f>SUM('[3]Sky Regional'!$GP$38:$GY$38)</f>
        <v>116</v>
      </c>
      <c r="L22" s="7">
        <f>SUM([3]Condor!$GP$38:$GY$38)</f>
        <v>0</v>
      </c>
      <c r="M22" s="7">
        <f>SUM('[3]Aer Lingus'!$GP$38:$GY$38)</f>
        <v>37</v>
      </c>
      <c r="N22" s="7">
        <f>SUM('[3]Air France'!$GP$38:$GY$38)</f>
        <v>0</v>
      </c>
      <c r="O22" s="7">
        <f>SUM('[3]Charter Misc'!$GP$38:$GY$38)++SUM([3]Ryan!$GP$38:$GY$38)+SUM([3]Omni!$GP$38:$GY$38)</f>
        <v>0</v>
      </c>
      <c r="P22" s="374">
        <f>SUM(B22:O22)</f>
        <v>7629</v>
      </c>
    </row>
    <row r="23" spans="1:19" ht="15.75" thickBot="1" x14ac:dyDescent="0.3">
      <c r="A23" s="39" t="s">
        <v>34</v>
      </c>
      <c r="B23" s="187">
        <f t="shared" ref="B23:O23" si="16">SUM(B21:B22)</f>
        <v>12313</v>
      </c>
      <c r="C23" s="187">
        <f t="shared" si="16"/>
        <v>0</v>
      </c>
      <c r="D23" s="187">
        <f t="shared" si="16"/>
        <v>407</v>
      </c>
      <c r="E23" s="187">
        <f t="shared" si="16"/>
        <v>1061</v>
      </c>
      <c r="F23" s="187">
        <f t="shared" ref="F23" si="17">SUM(F21:F22)</f>
        <v>0</v>
      </c>
      <c r="G23" s="187">
        <f t="shared" si="16"/>
        <v>2067</v>
      </c>
      <c r="H23" s="187">
        <f t="shared" si="16"/>
        <v>42</v>
      </c>
      <c r="I23" s="187">
        <f t="shared" ref="I23" si="18">SUM(I21:I22)</f>
        <v>61</v>
      </c>
      <c r="J23" s="187">
        <f t="shared" si="16"/>
        <v>0</v>
      </c>
      <c r="K23" s="187">
        <f t="shared" ref="K23" si="19">SUM(K21:K22)</f>
        <v>232</v>
      </c>
      <c r="L23" s="187">
        <f t="shared" ref="L23:M23" si="20">SUM(L21:L22)</f>
        <v>0</v>
      </c>
      <c r="M23" s="187">
        <f t="shared" si="20"/>
        <v>72</v>
      </c>
      <c r="N23" s="187">
        <f t="shared" si="16"/>
        <v>0</v>
      </c>
      <c r="O23" s="187">
        <f t="shared" si="16"/>
        <v>0</v>
      </c>
      <c r="P23" s="376">
        <f>SUM(B23:O23)</f>
        <v>16255</v>
      </c>
    </row>
    <row r="25" spans="1:19" ht="39" thickBot="1" x14ac:dyDescent="0.25">
      <c r="B25" s="305" t="s">
        <v>18</v>
      </c>
      <c r="C25" s="304" t="s">
        <v>195</v>
      </c>
      <c r="D25" s="371" t="s">
        <v>158</v>
      </c>
      <c r="E25" s="304" t="s">
        <v>164</v>
      </c>
      <c r="F25" s="304" t="s">
        <v>163</v>
      </c>
      <c r="G25" s="304" t="s">
        <v>49</v>
      </c>
      <c r="H25" s="304" t="s">
        <v>114</v>
      </c>
      <c r="I25" s="304" t="s">
        <v>194</v>
      </c>
      <c r="J25" s="304" t="s">
        <v>191</v>
      </c>
      <c r="K25" s="304" t="s">
        <v>196</v>
      </c>
      <c r="L25" s="304" t="s">
        <v>162</v>
      </c>
      <c r="M25" s="304" t="s">
        <v>211</v>
      </c>
      <c r="N25" s="304" t="s">
        <v>157</v>
      </c>
      <c r="O25" s="304" t="s">
        <v>140</v>
      </c>
      <c r="P25" s="304" t="s">
        <v>21</v>
      </c>
    </row>
    <row r="26" spans="1:19" ht="15" x14ac:dyDescent="0.25">
      <c r="A26" s="500" t="s">
        <v>143</v>
      </c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2"/>
    </row>
    <row r="27" spans="1:19" x14ac:dyDescent="0.2">
      <c r="A27" s="38" t="s">
        <v>22</v>
      </c>
      <c r="B27" s="12">
        <f>[3]Delta!$GY$15</f>
        <v>12</v>
      </c>
      <c r="C27" s="12">
        <f>'[3]Atlantic Southeast'!$GY$15</f>
        <v>0</v>
      </c>
      <c r="D27" s="12">
        <f>[3]Pinnacle!$GY$15</f>
        <v>1</v>
      </c>
      <c r="E27" s="12">
        <f>'[3]Sky West'!$GY$15</f>
        <v>27</v>
      </c>
      <c r="F27" s="12">
        <f>'[3]Go Jet'!$GY$15</f>
        <v>0</v>
      </c>
      <c r="G27" s="12">
        <f>'[3]Sun Country'!$GY$15</f>
        <v>11</v>
      </c>
      <c r="H27" s="12">
        <f>[3]Icelandair!$GY$15</f>
        <v>0</v>
      </c>
      <c r="I27" s="12">
        <f>[3]KLM!$GY$15</f>
        <v>0</v>
      </c>
      <c r="J27" s="12">
        <f>'[3]Air Georgian'!$GY$15</f>
        <v>0</v>
      </c>
      <c r="K27" s="12">
        <f>'[3]Sky Regional'!$GY$15</f>
        <v>0</v>
      </c>
      <c r="L27" s="12">
        <f>[3]Condor!$GY$15</f>
        <v>0</v>
      </c>
      <c r="M27" s="12"/>
      <c r="N27" s="12">
        <f>'[3]Air France'!$GY$15</f>
        <v>0</v>
      </c>
      <c r="O27" s="12">
        <f>'[3]Charter Misc'!$GY$15+[3]Ryan!$GY$15+[3]Omni!$GY$15</f>
        <v>0</v>
      </c>
      <c r="P27" s="373">
        <f>SUM(B27:O27)</f>
        <v>51</v>
      </c>
    </row>
    <row r="28" spans="1:19" x14ac:dyDescent="0.2">
      <c r="A28" s="38" t="s">
        <v>23</v>
      </c>
      <c r="B28" s="12">
        <f>[3]Delta!$GY$16</f>
        <v>4</v>
      </c>
      <c r="C28" s="12">
        <f>'[3]Atlantic Southeast'!$GY$16</f>
        <v>0</v>
      </c>
      <c r="D28" s="12">
        <f>[3]Pinnacle!$GY$16</f>
        <v>0</v>
      </c>
      <c r="E28" s="12">
        <f>'[3]Sky West'!$GY$16</f>
        <v>26</v>
      </c>
      <c r="F28" s="12">
        <f>'[3]Go Jet'!$GY$16</f>
        <v>0</v>
      </c>
      <c r="G28" s="12">
        <f>'[3]Sun Country'!$GY$16</f>
        <v>10</v>
      </c>
      <c r="H28" s="12">
        <f>[3]Icelandair!$GY$16</f>
        <v>0</v>
      </c>
      <c r="I28" s="12">
        <f>[3]KLM!$GY$16</f>
        <v>0</v>
      </c>
      <c r="J28" s="12">
        <f>'[3]Air Georgian'!$GY$16</f>
        <v>0</v>
      </c>
      <c r="K28" s="12">
        <f>'[3]Sky Regional'!$GY$16</f>
        <v>0</v>
      </c>
      <c r="L28" s="12">
        <f>[3]Condor!$GY$16</f>
        <v>0</v>
      </c>
      <c r="M28" s="12">
        <f>'[3]Aer Lingus'!$GY$16</f>
        <v>0</v>
      </c>
      <c r="N28" s="12">
        <f>'[3]Air France'!$GY$16</f>
        <v>0</v>
      </c>
      <c r="O28" s="12">
        <f>'[3]Charter Misc'!$GY$16+[3]Ryan!$GY$16+[3]Omni!$GY$16</f>
        <v>0</v>
      </c>
      <c r="P28" s="373">
        <f>SUM(B28:O28)</f>
        <v>40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3"/>
    </row>
    <row r="30" spans="1:19" ht="15.75" thickBot="1" x14ac:dyDescent="0.3">
      <c r="A30" s="39" t="s">
        <v>28</v>
      </c>
      <c r="B30" s="261">
        <f t="shared" ref="B30:J30" si="21">SUM(B27:B28)</f>
        <v>16</v>
      </c>
      <c r="C30" s="261">
        <f t="shared" si="21"/>
        <v>0</v>
      </c>
      <c r="D30" s="261">
        <f t="shared" si="21"/>
        <v>1</v>
      </c>
      <c r="E30" s="261">
        <f>SUM(E27:E28)</f>
        <v>53</v>
      </c>
      <c r="F30" s="261">
        <f>SUM(F27:F28)</f>
        <v>0</v>
      </c>
      <c r="G30" s="261">
        <f t="shared" si="21"/>
        <v>21</v>
      </c>
      <c r="H30" s="261">
        <f t="shared" si="21"/>
        <v>0</v>
      </c>
      <c r="I30" s="261">
        <f t="shared" ref="I30" si="22">SUM(I27:I28)</f>
        <v>0</v>
      </c>
      <c r="J30" s="261">
        <f t="shared" si="21"/>
        <v>0</v>
      </c>
      <c r="K30" s="261">
        <f t="shared" ref="K30" si="23">SUM(K27:K28)</f>
        <v>0</v>
      </c>
      <c r="L30" s="261">
        <f>SUM(L27:L28)</f>
        <v>0</v>
      </c>
      <c r="M30" s="261">
        <f>SUM(M27:M28)</f>
        <v>0</v>
      </c>
      <c r="N30" s="261">
        <f>SUM(N27:N28)</f>
        <v>0</v>
      </c>
      <c r="O30" s="261">
        <f>SUM(O27:O28)</f>
        <v>0</v>
      </c>
      <c r="P30" s="419">
        <f>SUM(B30:O30)</f>
        <v>91</v>
      </c>
    </row>
    <row r="31" spans="1:19" ht="15" x14ac:dyDescent="0.25">
      <c r="A31" s="262"/>
    </row>
    <row r="32" spans="1:19" ht="39" thickBot="1" x14ac:dyDescent="0.25">
      <c r="B32" s="305" t="s">
        <v>18</v>
      </c>
      <c r="C32" s="304" t="s">
        <v>195</v>
      </c>
      <c r="D32" s="371" t="s">
        <v>158</v>
      </c>
      <c r="E32" s="304" t="s">
        <v>164</v>
      </c>
      <c r="F32" s="304" t="s">
        <v>163</v>
      </c>
      <c r="G32" s="304" t="s">
        <v>49</v>
      </c>
      <c r="H32" s="304" t="s">
        <v>114</v>
      </c>
      <c r="I32" s="304" t="s">
        <v>194</v>
      </c>
      <c r="J32" s="304" t="s">
        <v>191</v>
      </c>
      <c r="K32" s="304" t="s">
        <v>196</v>
      </c>
      <c r="L32" s="304" t="s">
        <v>162</v>
      </c>
      <c r="M32" s="304" t="s">
        <v>211</v>
      </c>
      <c r="N32" s="304" t="s">
        <v>157</v>
      </c>
      <c r="O32" s="304" t="s">
        <v>140</v>
      </c>
      <c r="P32" s="304" t="s">
        <v>21</v>
      </c>
    </row>
    <row r="33" spans="1:16" ht="15" x14ac:dyDescent="0.25">
      <c r="A33" s="503" t="s">
        <v>144</v>
      </c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5"/>
    </row>
    <row r="34" spans="1:16" x14ac:dyDescent="0.2">
      <c r="A34" s="38" t="s">
        <v>22</v>
      </c>
      <c r="B34" s="12">
        <f>SUM([3]Delta!$GP$15:$GY$15)</f>
        <v>1650</v>
      </c>
      <c r="C34" s="12">
        <f>SUM('[3]Atlantic Southeast'!$GP$15:$GY$15)</f>
        <v>0</v>
      </c>
      <c r="D34" s="12">
        <f>SUM([3]Pinnacle!$GP$15:$GY$15)</f>
        <v>233</v>
      </c>
      <c r="E34" s="12">
        <f>SUM('[3]Sky West'!$GP$15:$GY$15)</f>
        <v>1034</v>
      </c>
      <c r="F34" s="12">
        <f>SUM('[3]Go Jet'!$GP$15:$GY$15)</f>
        <v>0</v>
      </c>
      <c r="G34" s="12">
        <f>SUM('[3]Sun Country'!$GP$15:$GY$15)</f>
        <v>639</v>
      </c>
      <c r="H34" s="12">
        <f>SUM([3]Icelandair!$GP$15:$GY$15)</f>
        <v>9</v>
      </c>
      <c r="I34" s="12">
        <f>SUM([3]KLM!$GP$15:$GY$15)</f>
        <v>40</v>
      </c>
      <c r="J34" s="12">
        <f>SUM('[3]Air Georgian'!$GP$15:$GY$15)</f>
        <v>0</v>
      </c>
      <c r="K34" s="12">
        <f>SUM('[3]Sky Regional'!$GP$15:$GY$15)</f>
        <v>195</v>
      </c>
      <c r="L34" s="12">
        <f>SUM([3]Condor!$GP$15:$GY$15)</f>
        <v>0</v>
      </c>
      <c r="M34" s="12">
        <f>SUM('[3]Aer Lingus'!$GP$15:$GY$15)</f>
        <v>44</v>
      </c>
      <c r="N34" s="12">
        <f>SUM('[3]Air France'!$GP$15:$GY$15)</f>
        <v>0</v>
      </c>
      <c r="O34" s="12">
        <f>SUM('[3]Charter Misc'!$GP$15:$GY$15)+SUM([3]Ryan!$GP$15:$GY$15)+SUM([3]Omni!$GP$15:$GY$15)</f>
        <v>2</v>
      </c>
      <c r="P34" s="373">
        <f>SUM(B34:O34)</f>
        <v>3846</v>
      </c>
    </row>
    <row r="35" spans="1:16" x14ac:dyDescent="0.2">
      <c r="A35" s="38" t="s">
        <v>23</v>
      </c>
      <c r="B35" s="12">
        <f>SUM([3]Delta!$GP$16:$GY$16)</f>
        <v>1630</v>
      </c>
      <c r="C35" s="12">
        <f>SUM('[3]Atlantic Southeast'!$GP$16:$GY$16)</f>
        <v>0</v>
      </c>
      <c r="D35" s="12">
        <f>SUM([3]Pinnacle!$GP$16:$GY$16)</f>
        <v>223</v>
      </c>
      <c r="E35" s="12">
        <f>SUM('[3]Sky West'!$GP$16:$GY$16)</f>
        <v>1033</v>
      </c>
      <c r="F35" s="12">
        <f>SUM('[3]Go Jet'!$GP$16:$GY$16)</f>
        <v>0</v>
      </c>
      <c r="G35" s="12">
        <f>SUM('[3]Sun Country'!$GP$16:$GY$16)</f>
        <v>638</v>
      </c>
      <c r="H35" s="12">
        <f>SUM([3]Icelandair!$GP$16:$GY$16)</f>
        <v>9</v>
      </c>
      <c r="I35" s="12">
        <f>SUM([3]KLM!$GP$16:$GY$16)</f>
        <v>40</v>
      </c>
      <c r="J35" s="12">
        <f>SUM('[3]Air Georgian'!$GP$16:$GY$16)</f>
        <v>0</v>
      </c>
      <c r="K35" s="12">
        <f>SUM('[3]Sky Regional'!$GP$16:$GY$16)</f>
        <v>195</v>
      </c>
      <c r="L35" s="12">
        <f>SUM([3]Condor!$GP$16:$GY$16)</f>
        <v>0</v>
      </c>
      <c r="M35" s="12">
        <f>SUM('[3]Aer Lingus'!$GP$16:$GY$16)</f>
        <v>44</v>
      </c>
      <c r="N35" s="12">
        <f>SUM('[3]Air France'!$GP$16:$GY$16)</f>
        <v>0</v>
      </c>
      <c r="O35" s="12">
        <f>SUM('[3]Charter Misc'!$GP$16:$GY$16)+SUM([3]Ryan!$GP$16:$GY$16)+SUM([3]Omni!$GP$16:$GY$16)</f>
        <v>0</v>
      </c>
      <c r="P35" s="373">
        <f>SUM(B35:O35)</f>
        <v>3812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3"/>
    </row>
    <row r="37" spans="1:16" ht="15.75" thickBot="1" x14ac:dyDescent="0.3">
      <c r="A37" s="39" t="s">
        <v>28</v>
      </c>
      <c r="B37" s="261">
        <f t="shared" ref="B37:J37" si="24">+SUM(B34:B35)</f>
        <v>3280</v>
      </c>
      <c r="C37" s="261">
        <f t="shared" si="24"/>
        <v>0</v>
      </c>
      <c r="D37" s="261">
        <f t="shared" si="24"/>
        <v>456</v>
      </c>
      <c r="E37" s="261">
        <f>+SUM(E34:E35)</f>
        <v>2067</v>
      </c>
      <c r="F37" s="261">
        <f>+SUM(F34:F35)</f>
        <v>0</v>
      </c>
      <c r="G37" s="261">
        <f t="shared" si="24"/>
        <v>1277</v>
      </c>
      <c r="H37" s="261">
        <f t="shared" si="24"/>
        <v>18</v>
      </c>
      <c r="I37" s="261">
        <f t="shared" ref="I37" si="25">+SUM(I34:I35)</f>
        <v>80</v>
      </c>
      <c r="J37" s="261">
        <f t="shared" si="24"/>
        <v>0</v>
      </c>
      <c r="K37" s="261">
        <f t="shared" ref="K37" si="26">+SUM(K34:K35)</f>
        <v>390</v>
      </c>
      <c r="L37" s="261">
        <f>+SUM(L34:L35)</f>
        <v>0</v>
      </c>
      <c r="M37" s="261">
        <f>+SUM(M34:M35)</f>
        <v>88</v>
      </c>
      <c r="N37" s="261">
        <f>+SUM(N34:N35)</f>
        <v>0</v>
      </c>
      <c r="O37" s="261">
        <f>+SUM(O34:O35)</f>
        <v>2</v>
      </c>
      <c r="P37" s="419">
        <f>SUM(B37:O37)</f>
        <v>7658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&amp;"Arial,Bold"October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9"/>
  <sheetViews>
    <sheetView zoomScaleNormal="100" zoomScaleSheetLayoutView="85"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D52" sqref="D52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4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4" bestFit="1" customWidth="1"/>
    <col min="12" max="13" width="14" style="2" bestFit="1" customWidth="1"/>
    <col min="14" max="14" width="11.7109375" style="3" customWidth="1"/>
    <col min="15" max="15" width="10.855468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4.7109375" customWidth="1"/>
    <col min="20" max="20" width="14.42578125" bestFit="1" customWidth="1"/>
    <col min="21" max="21" width="10.85546875" bestFit="1" customWidth="1"/>
    <col min="22" max="22" width="10.7109375" bestFit="1" customWidth="1"/>
    <col min="24" max="24" width="11.85546875" bestFit="1" customWidth="1"/>
    <col min="25" max="25" width="10.71093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16" t="s">
        <v>133</v>
      </c>
      <c r="B1" s="517"/>
      <c r="C1" s="364" t="s">
        <v>217</v>
      </c>
      <c r="D1" s="365" t="s">
        <v>205</v>
      </c>
      <c r="E1" s="176" t="s">
        <v>96</v>
      </c>
      <c r="F1" s="175" t="s">
        <v>218</v>
      </c>
      <c r="G1" s="365" t="s">
        <v>206</v>
      </c>
      <c r="H1" s="174" t="s">
        <v>97</v>
      </c>
      <c r="I1" s="176" t="s">
        <v>221</v>
      </c>
      <c r="J1" s="522" t="s">
        <v>137</v>
      </c>
      <c r="K1" s="523"/>
      <c r="L1" s="362" t="s">
        <v>219</v>
      </c>
      <c r="M1" s="363" t="s">
        <v>207</v>
      </c>
      <c r="N1" s="231" t="s">
        <v>97</v>
      </c>
      <c r="O1" s="341" t="s">
        <v>220</v>
      </c>
      <c r="P1" s="177" t="s">
        <v>208</v>
      </c>
      <c r="Q1" s="338" t="s">
        <v>97</v>
      </c>
      <c r="R1" s="342" t="s">
        <v>221</v>
      </c>
      <c r="S1" s="506" t="s">
        <v>223</v>
      </c>
      <c r="T1" s="507"/>
      <c r="U1" s="435" t="s">
        <v>219</v>
      </c>
      <c r="V1" s="436" t="s">
        <v>207</v>
      </c>
      <c r="W1" s="437" t="s">
        <v>97</v>
      </c>
      <c r="X1" s="438" t="s">
        <v>220</v>
      </c>
      <c r="Y1" s="439" t="s">
        <v>208</v>
      </c>
      <c r="Z1" s="440" t="s">
        <v>97</v>
      </c>
      <c r="AA1" s="441" t="s">
        <v>221</v>
      </c>
    </row>
    <row r="2" spans="1:27" s="9" customFormat="1" ht="13.5" customHeight="1" thickBot="1" x14ac:dyDescent="0.25">
      <c r="A2" s="518">
        <v>44105</v>
      </c>
      <c r="B2" s="519"/>
      <c r="C2" s="520" t="s">
        <v>9</v>
      </c>
      <c r="D2" s="521"/>
      <c r="E2" s="521"/>
      <c r="F2" s="521"/>
      <c r="G2" s="521"/>
      <c r="H2" s="521"/>
      <c r="I2" s="311"/>
      <c r="J2" s="518">
        <f>+A2</f>
        <v>44105</v>
      </c>
      <c r="K2" s="519"/>
      <c r="L2" s="513" t="s">
        <v>139</v>
      </c>
      <c r="M2" s="514"/>
      <c r="N2" s="514"/>
      <c r="O2" s="514"/>
      <c r="P2" s="514"/>
      <c r="Q2" s="514"/>
      <c r="R2" s="515"/>
      <c r="S2" s="508">
        <f>+J2</f>
        <v>44105</v>
      </c>
      <c r="T2" s="509"/>
      <c r="U2" s="510" t="s">
        <v>222</v>
      </c>
      <c r="V2" s="511"/>
      <c r="W2" s="511"/>
      <c r="X2" s="511"/>
      <c r="Y2" s="511"/>
      <c r="Z2" s="511"/>
      <c r="AA2" s="512"/>
    </row>
    <row r="3" spans="1:27" x14ac:dyDescent="0.2">
      <c r="A3" s="232"/>
      <c r="B3" s="233"/>
      <c r="C3" s="234"/>
      <c r="D3" s="235"/>
      <c r="E3" s="236"/>
      <c r="F3" s="288"/>
      <c r="G3" s="235"/>
      <c r="H3" s="336"/>
      <c r="I3" s="236"/>
      <c r="J3" s="237"/>
      <c r="K3" s="233"/>
      <c r="L3" s="243"/>
      <c r="N3" s="58"/>
      <c r="O3" s="232"/>
      <c r="P3" s="238"/>
      <c r="Q3" s="238"/>
      <c r="R3" s="233"/>
      <c r="S3" s="237"/>
      <c r="T3" s="233"/>
      <c r="U3" s="243"/>
      <c r="V3" s="2"/>
      <c r="W3" s="58"/>
      <c r="X3" s="232"/>
      <c r="Y3" s="238"/>
      <c r="Z3" s="238"/>
      <c r="AA3" s="233"/>
    </row>
    <row r="4" spans="1:27" x14ac:dyDescent="0.2">
      <c r="A4" s="239" t="s">
        <v>211</v>
      </c>
      <c r="B4" s="33"/>
      <c r="C4" s="240">
        <f>'[3]Aer Lingus'!$GY$19</f>
        <v>0</v>
      </c>
      <c r="D4" s="115">
        <f>'[3]Aer Lingus'!$GK$19</f>
        <v>62</v>
      </c>
      <c r="E4" s="242">
        <f>(C4-D4)/D4</f>
        <v>-1</v>
      </c>
      <c r="F4" s="115">
        <f>SUM('[3]Aer Lingus'!$GP$19:$GY$19)</f>
        <v>88</v>
      </c>
      <c r="G4" s="115">
        <f>SUM('[3]Aer Lingus'!$GB$19:$GK$19)</f>
        <v>228</v>
      </c>
      <c r="H4" s="241">
        <f>(F4-G4)/G4</f>
        <v>-0.61403508771929827</v>
      </c>
      <c r="I4" s="242">
        <f>F4/$F$70</f>
        <v>4.8999682615692144E-4</v>
      </c>
      <c r="J4" s="239" t="s">
        <v>211</v>
      </c>
      <c r="K4" s="33"/>
      <c r="L4" s="240">
        <f>'[3]Aer Lingus'!$GY$41</f>
        <v>0</v>
      </c>
      <c r="M4" s="115">
        <f>'[3]Aer Lingus'!$GK$41</f>
        <v>8231</v>
      </c>
      <c r="N4" s="242">
        <f>(L4-M4)/M4</f>
        <v>-1</v>
      </c>
      <c r="O4" s="240">
        <f>SUM('[3]Aer Lingus'!$GP$41:$GY$41)</f>
        <v>9622</v>
      </c>
      <c r="P4" s="115">
        <f>SUM('[3]Aer Lingus'!$GB$41:$GK$41)</f>
        <v>32430</v>
      </c>
      <c r="Q4" s="241">
        <f>(O4-P4)/P4</f>
        <v>-0.7032994141227259</v>
      </c>
      <c r="R4" s="242">
        <f>O4/$O$70</f>
        <v>7.8542796845162282E-4</v>
      </c>
      <c r="S4" s="239" t="s">
        <v>211</v>
      </c>
      <c r="T4" s="33"/>
      <c r="U4" s="240">
        <f>'[3]Aer Lingus'!$GY$64</f>
        <v>0</v>
      </c>
      <c r="V4" s="115">
        <f>'[3]Aer Lingus'!$GK$64</f>
        <v>7286</v>
      </c>
      <c r="W4" s="242">
        <f>(U4-V4)/V4</f>
        <v>-1</v>
      </c>
      <c r="X4" s="240">
        <f>SUM('[3]Aer Lingus'!$GP$64:$GY$64)</f>
        <v>10341</v>
      </c>
      <c r="Y4" s="115">
        <f>SUM('[3]Aer Lingus'!$GB$64:$GK$64)</f>
        <v>23107</v>
      </c>
      <c r="Z4" s="241">
        <f>(X4-Y4)/Y4</f>
        <v>-0.55247327649629985</v>
      </c>
      <c r="AA4" s="242">
        <f>X4/$X$70</f>
        <v>2.3107991054362818E-4</v>
      </c>
    </row>
    <row r="5" spans="1:27" x14ac:dyDescent="0.2">
      <c r="A5" s="31"/>
      <c r="B5" s="33"/>
      <c r="C5" s="243"/>
      <c r="D5" s="366"/>
      <c r="E5" s="58"/>
      <c r="F5" s="367"/>
      <c r="G5" s="366"/>
      <c r="H5" s="368"/>
      <c r="I5" s="58"/>
      <c r="J5" s="369"/>
      <c r="K5" s="33"/>
      <c r="L5" s="243"/>
      <c r="N5" s="58"/>
      <c r="O5" s="31"/>
      <c r="P5" s="370"/>
      <c r="Q5" s="370"/>
      <c r="R5" s="33"/>
      <c r="S5" s="369"/>
      <c r="T5" s="33"/>
      <c r="U5" s="243"/>
      <c r="V5" s="2"/>
      <c r="W5" s="58"/>
      <c r="X5" s="31"/>
      <c r="Y5" s="370"/>
      <c r="Z5" s="370"/>
      <c r="AA5" s="33"/>
    </row>
    <row r="6" spans="1:27" ht="14.1" customHeight="1" x14ac:dyDescent="0.2">
      <c r="A6" s="239" t="s">
        <v>99</v>
      </c>
      <c r="B6" s="33"/>
      <c r="C6" s="240">
        <f>SUM(C7:C9)</f>
        <v>0</v>
      </c>
      <c r="D6" s="115">
        <f>SUM(D7:D9)</f>
        <v>230</v>
      </c>
      <c r="E6" s="242">
        <f>(C6-D6)/D6</f>
        <v>-1</v>
      </c>
      <c r="F6" s="240">
        <f>SUM(F7:F9)</f>
        <v>390</v>
      </c>
      <c r="G6" s="115">
        <f>SUM(G7:G9)</f>
        <v>1808</v>
      </c>
      <c r="H6" s="241">
        <f>(F6-G6)/G6</f>
        <v>-0.78429203539823011</v>
      </c>
      <c r="I6" s="242">
        <f>F6/$F$70</f>
        <v>2.1715768431954476E-3</v>
      </c>
      <c r="J6" s="239" t="s">
        <v>99</v>
      </c>
      <c r="K6" s="33"/>
      <c r="L6" s="240">
        <f>SUM(L7:L9)</f>
        <v>0</v>
      </c>
      <c r="M6" s="115">
        <f>SUM(M7:M9)</f>
        <v>11943</v>
      </c>
      <c r="N6" s="242">
        <f>(L6-M6)/M6</f>
        <v>-1</v>
      </c>
      <c r="O6" s="240">
        <f>SUM(O7:O9)</f>
        <v>16941</v>
      </c>
      <c r="P6" s="115">
        <f>SUM(P7:P9)</f>
        <v>102187</v>
      </c>
      <c r="Q6" s="241">
        <f>(O6-P6)/P6</f>
        <v>-0.83421570258447753</v>
      </c>
      <c r="R6" s="242">
        <f>O6/$O$70</f>
        <v>1.382865850502904E-3</v>
      </c>
      <c r="S6" s="239" t="s">
        <v>99</v>
      </c>
      <c r="T6" s="33"/>
      <c r="U6" s="240">
        <f>SUM(U7:U9)</f>
        <v>0</v>
      </c>
      <c r="V6" s="115">
        <f>SUM(V7:V9)</f>
        <v>3327</v>
      </c>
      <c r="W6" s="242">
        <f>(U6-V6)/V6</f>
        <v>-1</v>
      </c>
      <c r="X6" s="240">
        <f>SUM(X7:X9)</f>
        <v>4266</v>
      </c>
      <c r="Y6" s="115">
        <f>SUM(Y7:Y9)</f>
        <v>46050</v>
      </c>
      <c r="Z6" s="241">
        <f>(X6-Y6)/Y6</f>
        <v>-0.9073615635179153</v>
      </c>
      <c r="AA6" s="242">
        <f>X6/$X$70</f>
        <v>9.5328004871783945E-5</v>
      </c>
    </row>
    <row r="7" spans="1:27" ht="14.1" customHeight="1" x14ac:dyDescent="0.2">
      <c r="A7" s="239"/>
      <c r="B7" s="296" t="s">
        <v>99</v>
      </c>
      <c r="C7" s="243">
        <f>+[3]AirCanada!$GY$19</f>
        <v>0</v>
      </c>
      <c r="D7" s="2">
        <f>+[3]AirCanada!$GK$19</f>
        <v>0</v>
      </c>
      <c r="E7" s="58" t="e">
        <f>(C7-D7)/D7</f>
        <v>#DIV/0!</v>
      </c>
      <c r="F7" s="193">
        <f>SUM([3]AirCanada!$GP$19:$GY$19)</f>
        <v>0</v>
      </c>
      <c r="G7" s="193">
        <f>SUM([3]AirCanada!$GB$19:$GK$19)</f>
        <v>0</v>
      </c>
      <c r="H7" s="301" t="e">
        <f>(F7-G7)/G7</f>
        <v>#DIV/0!</v>
      </c>
      <c r="I7" s="58">
        <f>F7/$F$70</f>
        <v>0</v>
      </c>
      <c r="J7" s="239"/>
      <c r="K7" s="296" t="s">
        <v>99</v>
      </c>
      <c r="L7" s="300">
        <f>+[3]AirCanada!$GY$41</f>
        <v>0</v>
      </c>
      <c r="M7" s="193">
        <f>+[3]AirCanada!$GK$41</f>
        <v>0</v>
      </c>
      <c r="N7" s="302" t="e">
        <f>(L7-M7)/M7</f>
        <v>#DIV/0!</v>
      </c>
      <c r="O7" s="300">
        <f>SUM([3]AirCanada!$GP$41:$GY$41)</f>
        <v>0</v>
      </c>
      <c r="P7" s="193">
        <f>SUM([3]AirCanada!$GB$41:$GK$41)</f>
        <v>0</v>
      </c>
      <c r="Q7" s="301" t="e">
        <f>(O7-P7)/P7</f>
        <v>#DIV/0!</v>
      </c>
      <c r="R7" s="302">
        <f>O7/$O$70</f>
        <v>0</v>
      </c>
      <c r="S7" s="239"/>
      <c r="T7" s="296" t="s">
        <v>99</v>
      </c>
      <c r="U7" s="300">
        <f>+[3]AirCanada!$GY$64</f>
        <v>0</v>
      </c>
      <c r="V7" s="193">
        <f>+[3]AirCanada!$GK$64</f>
        <v>0</v>
      </c>
      <c r="W7" s="302" t="e">
        <f>(U7-V7)/V7</f>
        <v>#DIV/0!</v>
      </c>
      <c r="X7" s="300">
        <f>SUM([3]AirCanada!$GP$64:$GY$64)</f>
        <v>0</v>
      </c>
      <c r="Y7" s="193">
        <f>SUM([3]AirCanada!$GB$64:$GK$64)</f>
        <v>0</v>
      </c>
      <c r="Z7" s="301" t="e">
        <f>(X7-Y7)/Y7</f>
        <v>#DIV/0!</v>
      </c>
      <c r="AA7" s="302">
        <f>X7/$X$70</f>
        <v>0</v>
      </c>
    </row>
    <row r="8" spans="1:27" ht="14.1" customHeight="1" x14ac:dyDescent="0.2">
      <c r="A8" s="239"/>
      <c r="B8" s="296" t="s">
        <v>165</v>
      </c>
      <c r="C8" s="243">
        <f>'[3]Air Georgian'!$GY$19</f>
        <v>0</v>
      </c>
      <c r="D8" s="2">
        <f>'[3]Air Georgian'!$GK$19</f>
        <v>0</v>
      </c>
      <c r="E8" s="58" t="e">
        <f>(C8-D8)/D8</f>
        <v>#DIV/0!</v>
      </c>
      <c r="F8" s="193">
        <f>SUM('[3]Air Georgian'!$GP$19:$GY$19)</f>
        <v>0</v>
      </c>
      <c r="G8" s="193">
        <f>SUM('[3]Air Georgian'!$GB$19:$GK$19)</f>
        <v>0</v>
      </c>
      <c r="H8" s="301" t="e">
        <f>(F8-G8)/G8</f>
        <v>#DIV/0!</v>
      </c>
      <c r="I8" s="58">
        <f>F8/$F$70</f>
        <v>0</v>
      </c>
      <c r="J8" s="239"/>
      <c r="K8" s="296" t="s">
        <v>165</v>
      </c>
      <c r="L8" s="243">
        <f>'[3]Air Georgian'!$GY$41</f>
        <v>0</v>
      </c>
      <c r="M8" s="2">
        <f>'[3]Air Georgian'!$GK$41</f>
        <v>0</v>
      </c>
      <c r="N8" s="58" t="e">
        <f>(L8-M8)/M8</f>
        <v>#DIV/0!</v>
      </c>
      <c r="O8" s="243">
        <f>SUM('[3]Air Georgian'!$GP$41:$GY$41)</f>
        <v>0</v>
      </c>
      <c r="P8" s="2">
        <f>SUM('[3]Air Georgian'!$GB$41:$GK$41)</f>
        <v>0</v>
      </c>
      <c r="Q8" s="3" t="e">
        <f>(O8-P8)/P8</f>
        <v>#DIV/0!</v>
      </c>
      <c r="R8" s="58">
        <f>O8/$O$70</f>
        <v>0</v>
      </c>
      <c r="S8" s="239"/>
      <c r="T8" s="296" t="s">
        <v>165</v>
      </c>
      <c r="U8" s="243">
        <f>'[3]Air Georgian'!$GY$64</f>
        <v>0</v>
      </c>
      <c r="V8" s="2">
        <f>'[3]Air Georgian'!$GK$64</f>
        <v>0</v>
      </c>
      <c r="W8" s="58" t="e">
        <f>(U8-V8)/V8</f>
        <v>#DIV/0!</v>
      </c>
      <c r="X8" s="243">
        <f>SUM('[3]Air Georgian'!$GP$64:$GY$64)</f>
        <v>0</v>
      </c>
      <c r="Y8" s="2">
        <f>SUM('[3]Air Georgian'!$GB$64:$GK$64)</f>
        <v>0</v>
      </c>
      <c r="Z8" s="3" t="e">
        <f>(X8-Y8)/Y8</f>
        <v>#DIV/0!</v>
      </c>
      <c r="AA8" s="58">
        <f>X8/$X$70</f>
        <v>0</v>
      </c>
    </row>
    <row r="9" spans="1:27" ht="14.1" customHeight="1" x14ac:dyDescent="0.2">
      <c r="A9" s="239"/>
      <c r="B9" s="296" t="s">
        <v>192</v>
      </c>
      <c r="C9" s="243">
        <f>'[3]Sky Regional'!$GY$19</f>
        <v>0</v>
      </c>
      <c r="D9" s="2">
        <f>'[3]Sky Regional'!$GK$19</f>
        <v>230</v>
      </c>
      <c r="E9" s="58">
        <f>(C9-D9)/D9</f>
        <v>-1</v>
      </c>
      <c r="F9" s="193">
        <f>SUM('[3]Sky Regional'!$GP$19:$GY$19)</f>
        <v>390</v>
      </c>
      <c r="G9" s="193">
        <f>SUM('[3]Sky Regional'!$GB$19:$GK$19)</f>
        <v>1808</v>
      </c>
      <c r="H9" s="301">
        <f>(F9-G9)/G9</f>
        <v>-0.78429203539823011</v>
      </c>
      <c r="I9" s="58">
        <f>F9/$F$70</f>
        <v>2.1715768431954476E-3</v>
      </c>
      <c r="J9" s="239"/>
      <c r="K9" s="296" t="s">
        <v>192</v>
      </c>
      <c r="L9" s="243">
        <f>'[3]Sky Regional'!$GY$41</f>
        <v>0</v>
      </c>
      <c r="M9" s="2">
        <f>'[3]Sky Regional'!$GK$41</f>
        <v>11943</v>
      </c>
      <c r="N9" s="58">
        <f>(L9-M9)/M9</f>
        <v>-1</v>
      </c>
      <c r="O9" s="243">
        <f>SUM('[3]Sky Regional'!$GP$41:$GY$41)</f>
        <v>16941</v>
      </c>
      <c r="P9" s="2">
        <f>SUM('[3]Sky Regional'!$GB$41:$GK$41)</f>
        <v>102187</v>
      </c>
      <c r="Q9" s="3">
        <f>(O9-P9)/P9</f>
        <v>-0.83421570258447753</v>
      </c>
      <c r="R9" s="58">
        <f>O9/$O$70</f>
        <v>1.382865850502904E-3</v>
      </c>
      <c r="S9" s="239"/>
      <c r="T9" s="296" t="s">
        <v>192</v>
      </c>
      <c r="U9" s="243">
        <f>'[3]Sky Regional'!$GY$64</f>
        <v>0</v>
      </c>
      <c r="V9" s="2">
        <f>'[3]Sky Regional'!$GK$64</f>
        <v>3327</v>
      </c>
      <c r="W9" s="58">
        <f>(U9-V9)/V9</f>
        <v>-1</v>
      </c>
      <c r="X9" s="243">
        <f>SUM('[3]Sky Regional'!$GP$64:$GY$64)</f>
        <v>4266</v>
      </c>
      <c r="Y9" s="2">
        <f>SUM('[3]Sky Regional'!$GB$64:$GK$64)</f>
        <v>46050</v>
      </c>
      <c r="Z9" s="3">
        <f>(X9-Y9)/Y9</f>
        <v>-0.9073615635179153</v>
      </c>
      <c r="AA9" s="58">
        <f>X9/$X$70</f>
        <v>9.5328004871783945E-5</v>
      </c>
    </row>
    <row r="10" spans="1:27" ht="14.1" customHeight="1" x14ac:dyDescent="0.2">
      <c r="A10" s="239"/>
      <c r="B10" s="33"/>
      <c r="C10" s="240"/>
      <c r="D10" s="115"/>
      <c r="E10" s="242"/>
      <c r="F10" s="115"/>
      <c r="G10" s="115"/>
      <c r="H10" s="241"/>
      <c r="I10" s="242"/>
      <c r="J10" s="239"/>
      <c r="K10" s="33"/>
      <c r="L10" s="243"/>
      <c r="N10" s="58"/>
      <c r="O10" s="243"/>
      <c r="P10" s="2"/>
      <c r="Q10" s="3"/>
      <c r="R10" s="58"/>
      <c r="S10" s="239"/>
      <c r="T10" s="33"/>
      <c r="U10" s="243"/>
      <c r="V10" s="2"/>
      <c r="W10" s="58"/>
      <c r="X10" s="243"/>
      <c r="Y10" s="2"/>
      <c r="Z10" s="3"/>
      <c r="AA10" s="58"/>
    </row>
    <row r="11" spans="1:27" ht="14.1" customHeight="1" x14ac:dyDescent="0.2">
      <c r="A11" s="239" t="s">
        <v>179</v>
      </c>
      <c r="B11" s="33"/>
      <c r="C11" s="240">
        <f>'[3]Air Choice One'!$GY$19</f>
        <v>148</v>
      </c>
      <c r="D11" s="115">
        <f>'[3]Air Choice One'!$GK$19</f>
        <v>216</v>
      </c>
      <c r="E11" s="242">
        <f>(C11-D11)/D11</f>
        <v>-0.31481481481481483</v>
      </c>
      <c r="F11" s="115">
        <f>SUM('[3]Air Choice One'!$GP$19:$GY$19)</f>
        <v>1692</v>
      </c>
      <c r="G11" s="115">
        <f>SUM('[3]Air Choice One'!$GB$19:$GK$19)</f>
        <v>2024</v>
      </c>
      <c r="H11" s="241">
        <f>(F11-G11)/G11</f>
        <v>-0.16403162055335968</v>
      </c>
      <c r="I11" s="242">
        <f>F11/$F$70</f>
        <v>9.4213026120171725E-3</v>
      </c>
      <c r="J11" s="239" t="s">
        <v>179</v>
      </c>
      <c r="K11" s="33"/>
      <c r="L11" s="240">
        <f>'[3]Air Choice One'!$GY$41</f>
        <v>231</v>
      </c>
      <c r="M11" s="115">
        <f>'[3]Air Choice One'!$GK$41</f>
        <v>889</v>
      </c>
      <c r="N11" s="242">
        <f>(L11-M11)/M11</f>
        <v>-0.74015748031496065</v>
      </c>
      <c r="O11" s="240">
        <f>SUM('[3]Air Choice One'!$GP$41:$GY$41)</f>
        <v>3331</v>
      </c>
      <c r="P11" s="115">
        <f>SUM('[3]Air Choice One'!$GB$41:$GK$41)</f>
        <v>8653</v>
      </c>
      <c r="Q11" s="241">
        <f>(O11-P11)/P11</f>
        <v>-0.61504680457644745</v>
      </c>
      <c r="R11" s="242">
        <f>O11/$O$70</f>
        <v>2.7190402857122802E-4</v>
      </c>
      <c r="S11" s="239" t="s">
        <v>179</v>
      </c>
      <c r="T11" s="33"/>
      <c r="U11" s="240">
        <f>'[3]Air Choice One'!$GY$64</f>
        <v>0</v>
      </c>
      <c r="V11" s="115">
        <f>'[3]Air Choice One'!$GK$64</f>
        <v>0</v>
      </c>
      <c r="W11" s="242" t="e">
        <f>(U11-V11)/V11</f>
        <v>#DIV/0!</v>
      </c>
      <c r="X11" s="240">
        <f>SUM('[3]Air Choice One'!$GP$64:$GY$64)</f>
        <v>0</v>
      </c>
      <c r="Y11" s="115">
        <f>SUM('[3]Air Choice One'!$GB$64:$GK$64)</f>
        <v>0</v>
      </c>
      <c r="Z11" s="241" t="e">
        <f>(X11-Y11)/Y11</f>
        <v>#DIV/0!</v>
      </c>
      <c r="AA11" s="242">
        <f>X11/$X$70</f>
        <v>0</v>
      </c>
    </row>
    <row r="12" spans="1:27" ht="14.1" customHeight="1" x14ac:dyDescent="0.2">
      <c r="A12" s="239"/>
      <c r="B12" s="33"/>
      <c r="C12" s="240"/>
      <c r="D12" s="115"/>
      <c r="E12" s="242"/>
      <c r="F12" s="115"/>
      <c r="G12" s="115"/>
      <c r="H12" s="241"/>
      <c r="I12" s="242"/>
      <c r="J12" s="239"/>
      <c r="K12" s="33"/>
      <c r="L12" s="243"/>
      <c r="N12" s="58"/>
      <c r="O12" s="243"/>
      <c r="P12" s="2"/>
      <c r="Q12" s="3"/>
      <c r="R12" s="58"/>
      <c r="S12" s="239"/>
      <c r="T12" s="33"/>
      <c r="U12" s="243"/>
      <c r="V12" s="2"/>
      <c r="W12" s="58"/>
      <c r="X12" s="243"/>
      <c r="Y12" s="2"/>
      <c r="Z12" s="3"/>
      <c r="AA12" s="58"/>
    </row>
    <row r="13" spans="1:27" ht="14.1" customHeight="1" x14ac:dyDescent="0.2">
      <c r="A13" s="239" t="s">
        <v>157</v>
      </c>
      <c r="B13" s="33"/>
      <c r="C13" s="240">
        <f>'[3]Air France'!$GY$19</f>
        <v>0</v>
      </c>
      <c r="D13" s="115">
        <f>'[3]Air France'!$GK$19</f>
        <v>0</v>
      </c>
      <c r="E13" s="242" t="e">
        <f>(C13-D13)/D13</f>
        <v>#DIV/0!</v>
      </c>
      <c r="F13" s="115">
        <f>SUM('[3]Air France'!$GP$19:$GY$19)</f>
        <v>0</v>
      </c>
      <c r="G13" s="115">
        <f>SUM('[3]Air France'!$GB$19:$GK$19)</f>
        <v>280</v>
      </c>
      <c r="H13" s="241">
        <f>(F13-G13)/G13</f>
        <v>-1</v>
      </c>
      <c r="I13" s="242">
        <f>F13/$F$70</f>
        <v>0</v>
      </c>
      <c r="J13" s="239" t="s">
        <v>157</v>
      </c>
      <c r="K13" s="33"/>
      <c r="L13" s="240">
        <f>'[3]Air France'!$GY$41</f>
        <v>0</v>
      </c>
      <c r="M13" s="115">
        <f>'[3]Air France'!$GK$41</f>
        <v>0</v>
      </c>
      <c r="N13" s="242" t="e">
        <f>(L13-M13)/M13</f>
        <v>#DIV/0!</v>
      </c>
      <c r="O13" s="240">
        <f>SUM('[3]Air France'!$GP$41:$GY$41)</f>
        <v>0</v>
      </c>
      <c r="P13" s="115">
        <f>SUM('[3]Air France'!$GB$41:$GK$41)</f>
        <v>71946</v>
      </c>
      <c r="Q13" s="241">
        <f>(O13-P13)/P13</f>
        <v>-1</v>
      </c>
      <c r="R13" s="242">
        <f>O13/$O$70</f>
        <v>0</v>
      </c>
      <c r="S13" s="239" t="s">
        <v>157</v>
      </c>
      <c r="T13" s="33"/>
      <c r="U13" s="240">
        <f>'[3]Air France'!$GY$64</f>
        <v>0</v>
      </c>
      <c r="V13" s="115">
        <f>'[3]Air France'!$GK$64</f>
        <v>0</v>
      </c>
      <c r="W13" s="242" t="e">
        <f>(U13-V13)/V13</f>
        <v>#DIV/0!</v>
      </c>
      <c r="X13" s="240">
        <f>SUM('[3]Air France'!$GP$64:$GY$64)</f>
        <v>0</v>
      </c>
      <c r="Y13" s="115">
        <f>SUM('[3]Air France'!$GB$64:$GK$64)</f>
        <v>1394251</v>
      </c>
      <c r="Z13" s="241">
        <f>(X13-Y13)/Y13</f>
        <v>-1</v>
      </c>
      <c r="AA13" s="242">
        <f>X13/$X$70</f>
        <v>0</v>
      </c>
    </row>
    <row r="14" spans="1:27" ht="14.1" customHeight="1" x14ac:dyDescent="0.2">
      <c r="A14" s="239"/>
      <c r="B14" s="33"/>
      <c r="C14" s="240"/>
      <c r="D14" s="115"/>
      <c r="E14" s="242"/>
      <c r="F14" s="115"/>
      <c r="G14" s="115"/>
      <c r="H14" s="241"/>
      <c r="I14" s="242"/>
      <c r="J14" s="239"/>
      <c r="K14" s="33"/>
      <c r="L14" s="243"/>
      <c r="N14" s="58"/>
      <c r="O14" s="243"/>
      <c r="P14" s="2"/>
      <c r="Q14" s="3"/>
      <c r="R14" s="58"/>
      <c r="S14" s="239"/>
      <c r="T14" s="33"/>
      <c r="U14" s="243"/>
      <c r="V14" s="2"/>
      <c r="W14" s="58"/>
      <c r="X14" s="243"/>
      <c r="Y14" s="2"/>
      <c r="Z14" s="3"/>
      <c r="AA14" s="58"/>
    </row>
    <row r="15" spans="1:27" ht="14.1" customHeight="1" x14ac:dyDescent="0.2">
      <c r="A15" s="239" t="s">
        <v>129</v>
      </c>
      <c r="B15" s="33"/>
      <c r="C15" s="240">
        <f>SUM(C16:C18)</f>
        <v>124</v>
      </c>
      <c r="D15" s="115">
        <f>SUM(D16:D18)</f>
        <v>248</v>
      </c>
      <c r="E15" s="242">
        <f>(C15-D15)/D15</f>
        <v>-0.5</v>
      </c>
      <c r="F15" s="115">
        <f>SUM(F16:F18)</f>
        <v>1376</v>
      </c>
      <c r="G15" s="115">
        <f>SUM(G16:G18)</f>
        <v>2669</v>
      </c>
      <c r="H15" s="241">
        <f>(F15-G15)/G15</f>
        <v>-0.48445110528287749</v>
      </c>
      <c r="I15" s="242">
        <f>F15/$F$70</f>
        <v>7.6617685544536811E-3</v>
      </c>
      <c r="J15" s="239" t="s">
        <v>129</v>
      </c>
      <c r="K15" s="33"/>
      <c r="L15" s="240">
        <f>SUM(L16:L18)</f>
        <v>9543</v>
      </c>
      <c r="M15" s="115">
        <f>SUM(M16:M18)</f>
        <v>26390</v>
      </c>
      <c r="N15" s="242">
        <f>(L15-M15)/M15</f>
        <v>-0.63838575217885563</v>
      </c>
      <c r="O15" s="240">
        <f>SUM(O16:O18)</f>
        <v>97215</v>
      </c>
      <c r="P15" s="115">
        <f>SUM(P16:P18)</f>
        <v>288685</v>
      </c>
      <c r="Q15" s="241">
        <f>(O15-P15)/P15</f>
        <v>-0.66324886987546983</v>
      </c>
      <c r="R15" s="242">
        <f>O15/$O$70</f>
        <v>7.9354998911894108E-3</v>
      </c>
      <c r="S15" s="239" t="s">
        <v>129</v>
      </c>
      <c r="T15" s="33"/>
      <c r="U15" s="240">
        <f>SUM(U16:U18)</f>
        <v>27186</v>
      </c>
      <c r="V15" s="115">
        <f>SUM(V16:V18)</f>
        <v>29136</v>
      </c>
      <c r="W15" s="242">
        <f>(U15-V15)/V15</f>
        <v>-6.6927512355848429E-2</v>
      </c>
      <c r="X15" s="240">
        <f>SUM(X16:X18)</f>
        <v>319301</v>
      </c>
      <c r="Y15" s="115">
        <f>SUM(Y16:Y18)</f>
        <v>421930</v>
      </c>
      <c r="Z15" s="241">
        <f>(X15-Y15)/Y15</f>
        <v>-0.24323702983907283</v>
      </c>
      <c r="AA15" s="242">
        <f>X15/$X$70</f>
        <v>7.1350978161194289E-3</v>
      </c>
    </row>
    <row r="16" spans="1:27" ht="14.1" customHeight="1" x14ac:dyDescent="0.2">
      <c r="A16" s="239"/>
      <c r="B16" s="296" t="s">
        <v>129</v>
      </c>
      <c r="C16" s="300">
        <f>[3]Alaska!$GY$19</f>
        <v>124</v>
      </c>
      <c r="D16" s="193">
        <f>[3]Alaska!$GK$19</f>
        <v>186</v>
      </c>
      <c r="E16" s="302">
        <f>(C16-D16)/D16</f>
        <v>-0.33333333333333331</v>
      </c>
      <c r="F16" s="193">
        <f>SUM([3]Alaska!$GP$19:$GY$19)</f>
        <v>1152</v>
      </c>
      <c r="G16" s="193">
        <f>SUM([3]Alaska!$GB$19:$GK$19)</f>
        <v>1931</v>
      </c>
      <c r="H16" s="301">
        <f>(F16-G16)/G16</f>
        <v>-0.40341791817711031</v>
      </c>
      <c r="I16" s="302">
        <f>F16/$F$70</f>
        <v>6.4145039060542449E-3</v>
      </c>
      <c r="J16" s="239"/>
      <c r="K16" s="296" t="s">
        <v>129</v>
      </c>
      <c r="L16" s="300">
        <f>[3]Alaska!$GY$41</f>
        <v>9543</v>
      </c>
      <c r="M16" s="193">
        <f>[3]Alaska!$GK$41</f>
        <v>22019</v>
      </c>
      <c r="N16" s="302">
        <f>(L16-M16)/M16</f>
        <v>-0.5666015713701803</v>
      </c>
      <c r="O16" s="300">
        <f>SUM([3]Alaska!$GP$41:$GY$41)</f>
        <v>84856</v>
      </c>
      <c r="P16" s="193">
        <f>SUM([3]Alaska!$GB$41:$GK$41)</f>
        <v>238976</v>
      </c>
      <c r="Q16" s="301">
        <f>(O16-P16)/P16</f>
        <v>-0.64491831815747191</v>
      </c>
      <c r="R16" s="302">
        <f>O16/$O$70</f>
        <v>6.9266551331252247E-3</v>
      </c>
      <c r="S16" s="239"/>
      <c r="T16" s="296" t="s">
        <v>129</v>
      </c>
      <c r="U16" s="300">
        <f>[3]Alaska!$GY$64</f>
        <v>27186</v>
      </c>
      <c r="V16" s="193">
        <f>[3]Alaska!$GK$64</f>
        <v>24344</v>
      </c>
      <c r="W16" s="302">
        <f>(U16-V16)/V16</f>
        <v>0.11674334538284588</v>
      </c>
      <c r="X16" s="300">
        <f>SUM([3]Alaska!$GP$64:$GY$64)</f>
        <v>306394</v>
      </c>
      <c r="Y16" s="193">
        <f>SUM([3]Alaska!$GB$64:$GK$64)</f>
        <v>376229</v>
      </c>
      <c r="Z16" s="301">
        <f>(X16-Y16)/Y16</f>
        <v>-0.18561833351496029</v>
      </c>
      <c r="AA16" s="302">
        <f>X16/$X$70</f>
        <v>6.8466780882994304E-3</v>
      </c>
    </row>
    <row r="17" spans="1:27" ht="14.1" customHeight="1" x14ac:dyDescent="0.2">
      <c r="A17" s="239"/>
      <c r="B17" s="296" t="s">
        <v>98</v>
      </c>
      <c r="C17" s="243">
        <f>'[3]Sky West_AS'!$GY$19</f>
        <v>0</v>
      </c>
      <c r="D17" s="2">
        <f>'[3]Sky West_AS'!$GK$19</f>
        <v>62</v>
      </c>
      <c r="E17" s="58">
        <f>(C17-D17)/D17</f>
        <v>-1</v>
      </c>
      <c r="F17" s="2">
        <f>SUM('[3]Sky West_AS'!$GP$19:$GY$19)</f>
        <v>40</v>
      </c>
      <c r="G17" s="2">
        <f>SUM('[3]Sky West_AS'!$GB$19:$GK$19)</f>
        <v>726</v>
      </c>
      <c r="H17" s="3">
        <f>(F17-G17)/G17</f>
        <v>-0.94490358126721763</v>
      </c>
      <c r="I17" s="58">
        <f>F17/$F$70</f>
        <v>2.2272583007132795E-4</v>
      </c>
      <c r="J17" s="239"/>
      <c r="K17" s="296" t="s">
        <v>98</v>
      </c>
      <c r="L17" s="243">
        <f>'[3]Sky West_AS'!$GY$41</f>
        <v>0</v>
      </c>
      <c r="M17" s="2">
        <f>'[3]Sky West_AS'!$GK$41</f>
        <v>4371</v>
      </c>
      <c r="N17" s="58">
        <f>(L17-M17)/M17</f>
        <v>-1</v>
      </c>
      <c r="O17" s="243">
        <f>SUM('[3]Sky West_AS'!$GP$41:$GY$41)</f>
        <v>1379</v>
      </c>
      <c r="P17" s="2">
        <f>SUM('[3]Sky West_AS'!$GB$41:$GK$41)</f>
        <v>48890</v>
      </c>
      <c r="Q17" s="3">
        <f>(O17-P17)/P17</f>
        <v>-0.97179382286766214</v>
      </c>
      <c r="R17" s="302">
        <f>O17/$O$70</f>
        <v>1.1256549246464227E-4</v>
      </c>
      <c r="S17" s="239"/>
      <c r="T17" s="296" t="s">
        <v>98</v>
      </c>
      <c r="U17" s="243">
        <f>'[3]Sky West_AS'!$GY$64</f>
        <v>0</v>
      </c>
      <c r="V17" s="2">
        <f>'[3]Sky West_AS'!$GK$64</f>
        <v>4792</v>
      </c>
      <c r="W17" s="58">
        <f>(U17-V17)/V17</f>
        <v>-1</v>
      </c>
      <c r="X17" s="243">
        <f>SUM('[3]Sky West_AS'!$GP$64:$GY$64)</f>
        <v>286</v>
      </c>
      <c r="Y17" s="2">
        <f>SUM('[3]Sky West_AS'!$GB$64:$GK$64)</f>
        <v>44703</v>
      </c>
      <c r="Z17" s="3">
        <f>(X17-Y17)/Y17</f>
        <v>-0.99360221909044133</v>
      </c>
      <c r="AA17" s="302">
        <f>X17/$X$70</f>
        <v>6.3909539131106914E-6</v>
      </c>
    </row>
    <row r="18" spans="1:27" ht="14.1" customHeight="1" x14ac:dyDescent="0.2">
      <c r="A18" s="239"/>
      <c r="B18" s="296" t="s">
        <v>193</v>
      </c>
      <c r="C18" s="243">
        <f>[3]Horizon_AS!$GY$19</f>
        <v>0</v>
      </c>
      <c r="D18" s="2">
        <f>[3]Horizon_AS!$GK$19</f>
        <v>0</v>
      </c>
      <c r="E18" s="58" t="e">
        <f>(C18-D18)/D18</f>
        <v>#DIV/0!</v>
      </c>
      <c r="F18" s="2">
        <f>SUM([3]Horizon_AS!$GP$19:$GY$19)</f>
        <v>184</v>
      </c>
      <c r="G18" s="2">
        <f>SUM([3]Horizon_AS!$GB$19:$GK$19)</f>
        <v>12</v>
      </c>
      <c r="H18" s="3">
        <f>(F18-G18)/G18</f>
        <v>14.333333333333334</v>
      </c>
      <c r="I18" s="58">
        <f>F18/$F$70</f>
        <v>1.0245388183281086E-3</v>
      </c>
      <c r="J18" s="239"/>
      <c r="K18" s="296" t="s">
        <v>193</v>
      </c>
      <c r="L18" s="243">
        <f>[3]Horizon_AS!$GY$41</f>
        <v>0</v>
      </c>
      <c r="M18" s="2">
        <f>[3]Horizon_AS!$GK$41</f>
        <v>0</v>
      </c>
      <c r="N18" s="58" t="e">
        <f>(L18-M18)/M18</f>
        <v>#DIV/0!</v>
      </c>
      <c r="O18" s="243">
        <f>SUM([3]Horizon_AS!$GP$41:$GY$41)</f>
        <v>10980</v>
      </c>
      <c r="P18" s="2">
        <f>SUM([3]Horizon_AS!$GB$41:$GK$41)</f>
        <v>819</v>
      </c>
      <c r="Q18" s="3">
        <f>(O18-P18)/P18</f>
        <v>12.406593406593407</v>
      </c>
      <c r="R18" s="302">
        <f>O18/$O$70</f>
        <v>8.9627926559954468E-4</v>
      </c>
      <c r="S18" s="239"/>
      <c r="T18" s="296" t="s">
        <v>193</v>
      </c>
      <c r="U18" s="243">
        <f>[3]Horizon_AS!$GY$64</f>
        <v>0</v>
      </c>
      <c r="V18" s="2">
        <f>[3]Horizon_AS!$GK$64</f>
        <v>0</v>
      </c>
      <c r="W18" s="58" t="e">
        <f>(U18-V18)/V18</f>
        <v>#DIV/0!</v>
      </c>
      <c r="X18" s="243">
        <f>SUM([3]Horizon_AS!$GP$64:$GY$64)</f>
        <v>12621</v>
      </c>
      <c r="Y18" s="2">
        <f>SUM([3]Horizon_AS!$GB$64:$GK$64)</f>
        <v>998</v>
      </c>
      <c r="Z18" s="3">
        <f>(X18-Y18)/Y18</f>
        <v>11.646292585170341</v>
      </c>
      <c r="AA18" s="302">
        <f>X18/$X$70</f>
        <v>2.820287739068882E-4</v>
      </c>
    </row>
    <row r="19" spans="1:27" ht="14.1" customHeight="1" x14ac:dyDescent="0.2">
      <c r="A19" s="239"/>
      <c r="B19" s="33"/>
      <c r="C19" s="240"/>
      <c r="D19" s="125"/>
      <c r="E19" s="242"/>
      <c r="F19" s="125"/>
      <c r="G19" s="125"/>
      <c r="H19" s="241"/>
      <c r="I19" s="242"/>
      <c r="J19" s="239"/>
      <c r="K19" s="33"/>
      <c r="L19" s="108"/>
      <c r="M19" s="83"/>
      <c r="N19" s="58"/>
      <c r="O19" s="108"/>
      <c r="P19" s="83"/>
      <c r="Q19" s="3"/>
      <c r="R19" s="58"/>
      <c r="S19" s="239"/>
      <c r="T19" s="33"/>
      <c r="U19" s="108"/>
      <c r="V19" s="83"/>
      <c r="W19" s="58"/>
      <c r="X19" s="108"/>
      <c r="Y19" s="83"/>
      <c r="Z19" s="3"/>
      <c r="AA19" s="58"/>
    </row>
    <row r="20" spans="1:27" ht="14.1" customHeight="1" x14ac:dyDescent="0.2">
      <c r="A20" s="239" t="s">
        <v>17</v>
      </c>
      <c r="B20" s="244"/>
      <c r="C20" s="240">
        <f>SUM(C21:C27)</f>
        <v>799</v>
      </c>
      <c r="D20" s="115">
        <f>SUM(D21:D27)</f>
        <v>1714</v>
      </c>
      <c r="E20" s="242">
        <f t="shared" ref="E20:E27" si="0">(C20-D20)/D20</f>
        <v>-0.53383897316219375</v>
      </c>
      <c r="F20" s="240">
        <f>SUM(F21:F27)</f>
        <v>9333</v>
      </c>
      <c r="G20" s="115">
        <f>SUM(G21:G27)</f>
        <v>16370</v>
      </c>
      <c r="H20" s="241">
        <f t="shared" ref="H20:H27" si="1">(F20-G20)/G20</f>
        <v>-0.42987171655467316</v>
      </c>
      <c r="I20" s="242">
        <f t="shared" ref="I20:I27" si="2">F20/$F$70</f>
        <v>5.1967504301392596E-2</v>
      </c>
      <c r="J20" s="239" t="s">
        <v>17</v>
      </c>
      <c r="K20" s="244"/>
      <c r="L20" s="240">
        <f>SUM(L21:L27)</f>
        <v>80478</v>
      </c>
      <c r="M20" s="115">
        <f>SUM(M21:M27)</f>
        <v>178870</v>
      </c>
      <c r="N20" s="242">
        <f t="shared" ref="N20:N27" si="3">(L20-M20)/M20</f>
        <v>-0.55007547380779342</v>
      </c>
      <c r="O20" s="240">
        <f>SUM(O21:O27)</f>
        <v>775628</v>
      </c>
      <c r="P20" s="115">
        <f>SUM(P21:P27)</f>
        <v>1728975</v>
      </c>
      <c r="Q20" s="241">
        <f t="shared" ref="Q20:Q27" si="4">(O20-P20)/P20</f>
        <v>-0.55139432322618898</v>
      </c>
      <c r="R20" s="242">
        <f t="shared" ref="R20:R27" si="5">O20/$O$70</f>
        <v>6.3313232624630567E-2</v>
      </c>
      <c r="S20" s="239" t="s">
        <v>17</v>
      </c>
      <c r="T20" s="244"/>
      <c r="U20" s="240">
        <f>SUM(U21:U27)</f>
        <v>151118</v>
      </c>
      <c r="V20" s="115">
        <f>SUM(V21:V27)</f>
        <v>98662</v>
      </c>
      <c r="W20" s="242">
        <f t="shared" ref="W20:W24" si="6">(U20-V20)/V20</f>
        <v>0.53167379538221404</v>
      </c>
      <c r="X20" s="240">
        <f>SUM(X21:X27)</f>
        <v>1842414</v>
      </c>
      <c r="Y20" s="115">
        <f>SUM(Y21:Y27)</f>
        <v>1289640</v>
      </c>
      <c r="Z20" s="241">
        <f t="shared" ref="Z20:Z24" si="7">(X20-Y20)/Y20</f>
        <v>0.42862659346794452</v>
      </c>
      <c r="AA20" s="242">
        <f t="shared" ref="AA20:AA27" si="8">X20/$X$70</f>
        <v>4.1170569800244479E-2</v>
      </c>
    </row>
    <row r="21" spans="1:27" ht="14.1" customHeight="1" x14ac:dyDescent="0.2">
      <c r="A21" s="31"/>
      <c r="B21" s="33" t="s">
        <v>17</v>
      </c>
      <c r="C21" s="243">
        <f>[3]American!$GY$19</f>
        <v>531</v>
      </c>
      <c r="D21" s="2">
        <f>[3]American!$GK$19</f>
        <v>1228</v>
      </c>
      <c r="E21" s="58">
        <f t="shared" si="0"/>
        <v>-0.5675895765472313</v>
      </c>
      <c r="F21" s="2">
        <f>SUM([3]American!$GP$19:$GY$19)</f>
        <v>5917</v>
      </c>
      <c r="G21" s="2">
        <f>SUM([3]American!$GB$19:$GK$19)</f>
        <v>11908</v>
      </c>
      <c r="H21" s="3">
        <f t="shared" si="1"/>
        <v>-0.50310715485387969</v>
      </c>
      <c r="I21" s="58">
        <f t="shared" si="2"/>
        <v>3.2946718413301185E-2</v>
      </c>
      <c r="J21" s="31"/>
      <c r="K21" s="33" t="s">
        <v>17</v>
      </c>
      <c r="L21" s="243">
        <f>[3]American!$GY$41</f>
        <v>65778</v>
      </c>
      <c r="M21" s="2">
        <f>[3]American!$GK$41</f>
        <v>151617</v>
      </c>
      <c r="N21" s="58">
        <f t="shared" si="3"/>
        <v>-0.56615682937929124</v>
      </c>
      <c r="O21" s="243">
        <f>SUM([3]American!$GP$41:$GY$41)</f>
        <v>611395</v>
      </c>
      <c r="P21" s="2">
        <f>SUM([3]American!$GB$41:$GK$41)</f>
        <v>1472844</v>
      </c>
      <c r="Q21" s="3">
        <f t="shared" si="4"/>
        <v>-0.58488814837145009</v>
      </c>
      <c r="R21" s="58">
        <f t="shared" si="5"/>
        <v>4.9907164079347324E-2</v>
      </c>
      <c r="S21" s="31"/>
      <c r="T21" s="33" t="s">
        <v>17</v>
      </c>
      <c r="U21" s="243">
        <f>[3]American!$GY$64</f>
        <v>150049</v>
      </c>
      <c r="V21" s="2">
        <f>[3]American!$GK$64</f>
        <v>98114</v>
      </c>
      <c r="W21" s="58">
        <f t="shared" si="6"/>
        <v>0.52933322461626275</v>
      </c>
      <c r="X21" s="243">
        <f>SUM([3]American!$GP$64:$GY$64)</f>
        <v>1829099</v>
      </c>
      <c r="Y21" s="2">
        <f>SUM([3]American!$GB$64:$GK$64)</f>
        <v>1284839</v>
      </c>
      <c r="Z21" s="3">
        <f t="shared" si="7"/>
        <v>0.42360171196546803</v>
      </c>
      <c r="AA21" s="58">
        <f t="shared" si="8"/>
        <v>4.0873032907401581E-2</v>
      </c>
    </row>
    <row r="22" spans="1:27" ht="14.1" customHeight="1" x14ac:dyDescent="0.2">
      <c r="A22" s="31"/>
      <c r="B22" s="296" t="s">
        <v>166</v>
      </c>
      <c r="C22" s="243">
        <f>'[3]American Eagle'!$GY$19</f>
        <v>31</v>
      </c>
      <c r="D22" s="2">
        <f>'[3]American Eagle'!$GK$19</f>
        <v>8</v>
      </c>
      <c r="E22" s="58">
        <f t="shared" si="0"/>
        <v>2.875</v>
      </c>
      <c r="F22" s="2">
        <f>SUM('[3]American Eagle'!$GP$19:$GY$19)</f>
        <v>804</v>
      </c>
      <c r="G22" s="2">
        <f>SUM('[3]American Eagle'!$GB$19:$GK$19)</f>
        <v>840</v>
      </c>
      <c r="H22" s="3">
        <f t="shared" si="1"/>
        <v>-4.2857142857142858E-2</v>
      </c>
      <c r="I22" s="58">
        <f t="shared" si="2"/>
        <v>4.4767891844336915E-3</v>
      </c>
      <c r="J22" s="31"/>
      <c r="K22" s="296" t="s">
        <v>166</v>
      </c>
      <c r="L22" s="243">
        <f>'[3]American Eagle'!$GY$41</f>
        <v>2022</v>
      </c>
      <c r="M22" s="2">
        <f>'[3]American Eagle'!$GK$41</f>
        <v>486</v>
      </c>
      <c r="N22" s="58">
        <f t="shared" si="3"/>
        <v>3.1604938271604937</v>
      </c>
      <c r="O22" s="243">
        <f>SUM('[3]American Eagle'!$GP$41:$GY$41)</f>
        <v>45852</v>
      </c>
      <c r="P22" s="2">
        <f>SUM('[3]American Eagle'!$GB$41:$GK$41)</f>
        <v>55198</v>
      </c>
      <c r="Q22" s="3">
        <f t="shared" si="4"/>
        <v>-0.16931772890322114</v>
      </c>
      <c r="R22" s="58">
        <f t="shared" si="5"/>
        <v>3.7428230315364594E-3</v>
      </c>
      <c r="S22" s="31"/>
      <c r="T22" s="296" t="s">
        <v>166</v>
      </c>
      <c r="U22" s="243">
        <f>'[3]American Eagle'!$GY$64</f>
        <v>172</v>
      </c>
      <c r="V22" s="2">
        <f>'[3]American Eagle'!$GK$64</f>
        <v>0</v>
      </c>
      <c r="W22" s="58" t="e">
        <f t="shared" si="6"/>
        <v>#DIV/0!</v>
      </c>
      <c r="X22" s="243">
        <f>SUM('[3]American Eagle'!$GP$64:$GY$64)</f>
        <v>6130</v>
      </c>
      <c r="Y22" s="2">
        <f>SUM('[3]American Eagle'!$GB$64:$GK$64)</f>
        <v>1314</v>
      </c>
      <c r="Z22" s="3">
        <f t="shared" si="7"/>
        <v>3.6651445966514458</v>
      </c>
      <c r="AA22" s="58">
        <f t="shared" si="8"/>
        <v>1.3698093527051935E-4</v>
      </c>
    </row>
    <row r="23" spans="1:27" ht="14.1" customHeight="1" x14ac:dyDescent="0.2">
      <c r="A23" s="31"/>
      <c r="B23" s="296" t="s">
        <v>52</v>
      </c>
      <c r="C23" s="243">
        <f>[3]Republic!$GY$19</f>
        <v>237</v>
      </c>
      <c r="D23" s="2">
        <f>[3]Republic!$GK$19</f>
        <v>478</v>
      </c>
      <c r="E23" s="58">
        <f t="shared" si="0"/>
        <v>-0.50418410041841</v>
      </c>
      <c r="F23" s="2">
        <f>SUM([3]Republic!$GP$19:$GY$19)</f>
        <v>2424</v>
      </c>
      <c r="G23" s="2">
        <f>SUM([3]Republic!$GB$19:$GK$19)</f>
        <v>3620</v>
      </c>
      <c r="H23" s="3">
        <f t="shared" si="1"/>
        <v>-0.33038674033149174</v>
      </c>
      <c r="I23" s="58">
        <f t="shared" si="2"/>
        <v>1.3497185302322474E-2</v>
      </c>
      <c r="J23" s="31"/>
      <c r="K23" s="245" t="s">
        <v>52</v>
      </c>
      <c r="L23" s="243">
        <f>[3]Republic!$GY$41</f>
        <v>12678</v>
      </c>
      <c r="M23" s="2">
        <f>[3]Republic!$GK$41</f>
        <v>26767</v>
      </c>
      <c r="N23" s="58">
        <f t="shared" si="3"/>
        <v>-0.52635708148092797</v>
      </c>
      <c r="O23" s="243">
        <f>SUM([3]Republic!$GP$41:$GY$41)</f>
        <v>108783</v>
      </c>
      <c r="P23" s="2">
        <f>SUM([3]Republic!$GB$41:$GK$41)</f>
        <v>200891</v>
      </c>
      <c r="Q23" s="3">
        <f t="shared" si="4"/>
        <v>-0.45849739410924334</v>
      </c>
      <c r="R23" s="58">
        <f t="shared" si="5"/>
        <v>8.8797766256571292E-3</v>
      </c>
      <c r="S23" s="31"/>
      <c r="T23" s="245" t="s">
        <v>52</v>
      </c>
      <c r="U23" s="243">
        <f>[3]Republic!$GY$64</f>
        <v>897</v>
      </c>
      <c r="V23" s="2">
        <f>[3]Republic!$GK$64</f>
        <v>548</v>
      </c>
      <c r="W23" s="58">
        <f t="shared" si="6"/>
        <v>0.63686131386861311</v>
      </c>
      <c r="X23" s="243">
        <f>SUM([3]Republic!$GP$64:$GY$64)</f>
        <v>6625</v>
      </c>
      <c r="Y23" s="2">
        <f>SUM([3]Republic!$GB$64:$GK$64)</f>
        <v>3487</v>
      </c>
      <c r="Z23" s="3">
        <f t="shared" si="7"/>
        <v>0.89991396616002295</v>
      </c>
      <c r="AA23" s="58">
        <f t="shared" si="8"/>
        <v>1.4804220165859556E-4</v>
      </c>
    </row>
    <row r="24" spans="1:27" ht="14.1" customHeight="1" x14ac:dyDescent="0.2">
      <c r="A24" s="31"/>
      <c r="B24" s="296" t="s">
        <v>182</v>
      </c>
      <c r="C24" s="243">
        <f>[3]PSA!$GY$19</f>
        <v>0</v>
      </c>
      <c r="D24" s="2">
        <f>[3]PSA!$GK$19</f>
        <v>0</v>
      </c>
      <c r="E24" s="58" t="e">
        <f t="shared" si="0"/>
        <v>#DIV/0!</v>
      </c>
      <c r="F24" s="2">
        <f>SUM([3]PSA!$GP$19:$GY$19)</f>
        <v>0</v>
      </c>
      <c r="G24" s="2">
        <f>SUM([3]PSA!$GB$19:$GK$19)</f>
        <v>0</v>
      </c>
      <c r="H24" s="3" t="e">
        <f t="shared" si="1"/>
        <v>#DIV/0!</v>
      </c>
      <c r="I24" s="58">
        <f t="shared" si="2"/>
        <v>0</v>
      </c>
      <c r="J24" s="31"/>
      <c r="K24" s="296" t="s">
        <v>182</v>
      </c>
      <c r="L24" s="243">
        <f>[3]PSA!$GY$41</f>
        <v>0</v>
      </c>
      <c r="M24" s="2">
        <f>[3]PSA!$GK$41</f>
        <v>0</v>
      </c>
      <c r="N24" s="58" t="e">
        <f t="shared" si="3"/>
        <v>#DIV/0!</v>
      </c>
      <c r="O24" s="243">
        <f>SUM([3]PSA!$GP$41:$GY$41)</f>
        <v>0</v>
      </c>
      <c r="P24" s="2">
        <f>SUM([3]PSA!$GB$41:$GK$41)</f>
        <v>0</v>
      </c>
      <c r="Q24" s="3" t="e">
        <f t="shared" si="4"/>
        <v>#DIV/0!</v>
      </c>
      <c r="R24" s="58">
        <f t="shared" si="5"/>
        <v>0</v>
      </c>
      <c r="S24" s="31"/>
      <c r="T24" s="296" t="s">
        <v>182</v>
      </c>
      <c r="U24" s="243">
        <f>[3]PSA!$GY$64</f>
        <v>0</v>
      </c>
      <c r="V24" s="2">
        <f>[3]PSA!$GK$64</f>
        <v>0</v>
      </c>
      <c r="W24" s="58" t="e">
        <f t="shared" si="6"/>
        <v>#DIV/0!</v>
      </c>
      <c r="X24" s="243">
        <f>SUM([3]PSA!$GP$64:$GY$64)</f>
        <v>0</v>
      </c>
      <c r="Y24" s="2">
        <f>SUM([3]PSA!$GB$64:$GK$64)</f>
        <v>0</v>
      </c>
      <c r="Z24" s="3" t="e">
        <f t="shared" si="7"/>
        <v>#DIV/0!</v>
      </c>
      <c r="AA24" s="58">
        <f t="shared" si="8"/>
        <v>0</v>
      </c>
    </row>
    <row r="25" spans="1:27" ht="14.1" customHeight="1" x14ac:dyDescent="0.2">
      <c r="A25" s="31"/>
      <c r="B25" s="296" t="s">
        <v>98</v>
      </c>
      <c r="C25" s="243">
        <f>'[3]Sky West_AA'!$GY$19</f>
        <v>0</v>
      </c>
      <c r="D25" s="2">
        <f>'[3]Sky West_AA'!$GK$19</f>
        <v>0</v>
      </c>
      <c r="E25" s="58" t="e">
        <f>(C25-D25)/D25</f>
        <v>#DIV/0!</v>
      </c>
      <c r="F25" s="2">
        <f>SUM('[3]Sky West_AA'!$GP$19:$GY$19)</f>
        <v>182</v>
      </c>
      <c r="G25" s="2">
        <f>SUM('[3]Sky West_AA'!$GB$19:$GK$19)</f>
        <v>0</v>
      </c>
      <c r="H25" s="3" t="e">
        <f>(F25-G25)/G25</f>
        <v>#DIV/0!</v>
      </c>
      <c r="I25" s="58">
        <f t="shared" si="2"/>
        <v>1.0134025268245422E-3</v>
      </c>
      <c r="J25" s="31"/>
      <c r="K25" s="296" t="s">
        <v>98</v>
      </c>
      <c r="L25" s="243">
        <f>'[3]Sky West_AA'!$GY$41</f>
        <v>0</v>
      </c>
      <c r="M25" s="2">
        <f>'[3]Sky West_AA'!$GK$41</f>
        <v>0</v>
      </c>
      <c r="N25" s="58" t="e">
        <f>(L25-M25)/M25</f>
        <v>#DIV/0!</v>
      </c>
      <c r="O25" s="243">
        <f>SUM('[3]Sky West_AA'!$GP$41:$GY$41)</f>
        <v>9404</v>
      </c>
      <c r="P25" s="2">
        <f>SUM('[3]Sky West_AA'!$GB$41:$GK$41)</f>
        <v>0</v>
      </c>
      <c r="Q25" s="3" t="e">
        <f>(O25-P25)/P25</f>
        <v>#DIV/0!</v>
      </c>
      <c r="R25" s="302">
        <f t="shared" si="5"/>
        <v>7.6763298849709643E-4</v>
      </c>
      <c r="S25" s="31"/>
      <c r="T25" s="296" t="s">
        <v>98</v>
      </c>
      <c r="U25" s="243">
        <f>'[3]Sky West_AA'!$GY$64</f>
        <v>0</v>
      </c>
      <c r="V25" s="2">
        <f>'[3]Sky West_AA'!$GK$64</f>
        <v>0</v>
      </c>
      <c r="W25" s="58" t="e">
        <f>(U25-V25)/V25</f>
        <v>#DIV/0!</v>
      </c>
      <c r="X25" s="243">
        <f>SUM('[3]Sky West_AA'!$GP$64:$GY$64)</f>
        <v>560</v>
      </c>
      <c r="Y25" s="2">
        <f>SUM('[3]Sky West_AA'!$GB$64:$GK$64)</f>
        <v>0</v>
      </c>
      <c r="Z25" s="3" t="e">
        <f>(X25-Y25)/Y25</f>
        <v>#DIV/0!</v>
      </c>
      <c r="AA25" s="302">
        <f t="shared" si="8"/>
        <v>1.2513755913783171E-5</v>
      </c>
    </row>
    <row r="26" spans="1:27" ht="14.1" customHeight="1" x14ac:dyDescent="0.2">
      <c r="A26" s="31"/>
      <c r="B26" s="296" t="s">
        <v>51</v>
      </c>
      <c r="C26" s="243">
        <f>[3]MESA!$GY$19</f>
        <v>0</v>
      </c>
      <c r="D26" s="2">
        <f>[3]MESA!$GK$19</f>
        <v>0</v>
      </c>
      <c r="E26" s="58" t="e">
        <f t="shared" si="0"/>
        <v>#DIV/0!</v>
      </c>
      <c r="F26" s="2">
        <f>SUM([3]MESA!$GP$19:$GY$19)</f>
        <v>0</v>
      </c>
      <c r="G26" s="2">
        <f>SUM([3]MESA!$GB$19:$GK$19)</f>
        <v>0</v>
      </c>
      <c r="H26" s="3" t="e">
        <f t="shared" si="1"/>
        <v>#DIV/0!</v>
      </c>
      <c r="I26" s="58">
        <f t="shared" si="2"/>
        <v>0</v>
      </c>
      <c r="J26" s="31"/>
      <c r="K26" s="296" t="s">
        <v>51</v>
      </c>
      <c r="L26" s="243">
        <f>[3]MESA!$GY$41</f>
        <v>0</v>
      </c>
      <c r="M26" s="2">
        <f>[3]MESA!$GK$41</f>
        <v>0</v>
      </c>
      <c r="N26" s="58" t="e">
        <f t="shared" si="3"/>
        <v>#DIV/0!</v>
      </c>
      <c r="O26" s="243">
        <f>SUM([3]MESA!$GP$41:$GY$41)</f>
        <v>0</v>
      </c>
      <c r="P26" s="2">
        <f>SUM([3]MESA!$GB$41:$GK$41)</f>
        <v>0</v>
      </c>
      <c r="Q26" s="3" t="e">
        <f t="shared" si="4"/>
        <v>#DIV/0!</v>
      </c>
      <c r="R26" s="58">
        <f t="shared" si="5"/>
        <v>0</v>
      </c>
      <c r="S26" s="31"/>
      <c r="T26" s="296" t="s">
        <v>51</v>
      </c>
      <c r="U26" s="243">
        <f>[3]MESA!$GY$64</f>
        <v>0</v>
      </c>
      <c r="V26" s="2">
        <f>[3]MESA!$GK$64</f>
        <v>0</v>
      </c>
      <c r="W26" s="58" t="e">
        <f t="shared" ref="W26:W27" si="9">(U26-V26)/V26</f>
        <v>#DIV/0!</v>
      </c>
      <c r="X26" s="243">
        <f>SUM([3]MESA!$GP$64:$GY$64)</f>
        <v>0</v>
      </c>
      <c r="Y26" s="2">
        <f>SUM([3]MESA!$GB$64:$GK$64)</f>
        <v>0</v>
      </c>
      <c r="Z26" s="3" t="e">
        <f t="shared" ref="Z26:Z27" si="10">(X26-Y26)/Y26</f>
        <v>#DIV/0!</v>
      </c>
      <c r="AA26" s="58">
        <f t="shared" si="8"/>
        <v>0</v>
      </c>
    </row>
    <row r="27" spans="1:27" ht="14.1" customHeight="1" x14ac:dyDescent="0.2">
      <c r="A27" s="31"/>
      <c r="B27" s="296" t="s">
        <v>50</v>
      </c>
      <c r="C27" s="243">
        <f>'[3]Air Wisconsin'!$GY$19</f>
        <v>0</v>
      </c>
      <c r="D27" s="2">
        <f>'[3]Air Wisconsin'!$GK$19</f>
        <v>0</v>
      </c>
      <c r="E27" s="58" t="e">
        <f t="shared" si="0"/>
        <v>#DIV/0!</v>
      </c>
      <c r="F27" s="2">
        <f>SUM('[3]Air Wisconsin'!$GP$19:$GY$19)</f>
        <v>6</v>
      </c>
      <c r="G27" s="2">
        <f>SUM('[3]Air Wisconsin'!$GB$19:$GK$19)</f>
        <v>2</v>
      </c>
      <c r="H27" s="284">
        <f t="shared" si="1"/>
        <v>2</v>
      </c>
      <c r="I27" s="58">
        <f t="shared" si="2"/>
        <v>3.340887451069919E-5</v>
      </c>
      <c r="J27" s="31"/>
      <c r="K27" s="245" t="s">
        <v>50</v>
      </c>
      <c r="L27" s="243">
        <f>'[3]Air Wisconsin'!$GY$41</f>
        <v>0</v>
      </c>
      <c r="M27" s="2">
        <f>'[3]Air Wisconsin'!$GK$41</f>
        <v>0</v>
      </c>
      <c r="N27" s="58" t="e">
        <f t="shared" si="3"/>
        <v>#DIV/0!</v>
      </c>
      <c r="O27" s="243">
        <f>SUM('[3]Air Wisconsin'!$GP$41:$GY$41)</f>
        <v>194</v>
      </c>
      <c r="P27" s="2">
        <f>SUM('[3]Air Wisconsin'!$GB$41:$GK$41)</f>
        <v>42</v>
      </c>
      <c r="Q27" s="3">
        <f t="shared" si="4"/>
        <v>3.6190476190476191</v>
      </c>
      <c r="R27" s="58">
        <f t="shared" si="5"/>
        <v>1.5835899592560261E-5</v>
      </c>
      <c r="S27" s="31"/>
      <c r="T27" s="245" t="s">
        <v>50</v>
      </c>
      <c r="U27" s="243">
        <f>'[3]Air Wisconsin'!$GY$64</f>
        <v>0</v>
      </c>
      <c r="V27" s="2">
        <f>'[3]Air Wisconsin'!$GK$64</f>
        <v>0</v>
      </c>
      <c r="W27" s="58" t="e">
        <f t="shared" si="9"/>
        <v>#DIV/0!</v>
      </c>
      <c r="X27" s="243">
        <f>SUM('[3]Air Wisconsin'!$GP$64:$GY$64)</f>
        <v>0</v>
      </c>
      <c r="Y27" s="2">
        <f>SUM('[3]Air Wisconsin'!$GB$64:$GK$64)</f>
        <v>0</v>
      </c>
      <c r="Z27" s="3" t="e">
        <f t="shared" si="10"/>
        <v>#DIV/0!</v>
      </c>
      <c r="AA27" s="58">
        <f t="shared" si="8"/>
        <v>0</v>
      </c>
    </row>
    <row r="28" spans="1:27" ht="14.1" customHeight="1" x14ac:dyDescent="0.2">
      <c r="A28" s="31"/>
      <c r="B28" s="33"/>
      <c r="C28" s="243"/>
      <c r="E28" s="58"/>
      <c r="F28" s="2"/>
      <c r="I28" s="58"/>
      <c r="J28" s="31"/>
      <c r="K28" s="33"/>
      <c r="L28" s="243"/>
      <c r="N28" s="58"/>
      <c r="O28" s="243"/>
      <c r="P28" s="2"/>
      <c r="Q28" s="3"/>
      <c r="R28" s="58"/>
      <c r="S28" s="31"/>
      <c r="T28" s="33"/>
      <c r="U28" s="243"/>
      <c r="V28" s="2"/>
      <c r="W28" s="58"/>
      <c r="X28" s="243"/>
      <c r="Y28" s="2"/>
      <c r="Z28" s="3"/>
      <c r="AA28" s="58"/>
    </row>
    <row r="29" spans="1:27" ht="14.1" customHeight="1" x14ac:dyDescent="0.2">
      <c r="A29" s="239" t="s">
        <v>180</v>
      </c>
      <c r="B29" s="33"/>
      <c r="C29" s="240">
        <f>'[3]Boutique Air'!$GY$19</f>
        <v>48</v>
      </c>
      <c r="D29" s="115">
        <f>'[3]Boutique Air'!$GK$19</f>
        <v>166</v>
      </c>
      <c r="E29" s="242">
        <f>(C29-D29)/D29</f>
        <v>-0.71084337349397586</v>
      </c>
      <c r="F29" s="115">
        <f>SUM('[3]Boutique Air'!$GP$19:$GY$19)</f>
        <v>938</v>
      </c>
      <c r="G29" s="115">
        <f>SUM('[3]Boutique Air'!$GB$19:$GK$19)</f>
        <v>1499</v>
      </c>
      <c r="H29" s="241">
        <f>(F29-G29)/G29</f>
        <v>-0.37424949966644427</v>
      </c>
      <c r="I29" s="242">
        <f>F29/$F$70</f>
        <v>5.2229207151726405E-3</v>
      </c>
      <c r="J29" s="239" t="s">
        <v>180</v>
      </c>
      <c r="K29" s="33"/>
      <c r="L29" s="240">
        <f>'[3]Boutique Air'!$GY$41</f>
        <v>169</v>
      </c>
      <c r="M29" s="115">
        <f>'[3]Boutique Air'!$GK$41</f>
        <v>958</v>
      </c>
      <c r="N29" s="242">
        <f>(L29-M29)/M29</f>
        <v>-0.82359081419624214</v>
      </c>
      <c r="O29" s="240">
        <f>SUM('[3]Boutique Air'!$GP$41:$GY$41)</f>
        <v>2877</v>
      </c>
      <c r="P29" s="115">
        <f>SUM('[3]Boutique Air'!$GB$41:$GK$41)</f>
        <v>7880</v>
      </c>
      <c r="Q29" s="241">
        <f>(O29-P29)/P29</f>
        <v>-0.63489847715736036</v>
      </c>
      <c r="R29" s="242">
        <f>O29/$O$70</f>
        <v>2.3484475839070037E-4</v>
      </c>
      <c r="S29" s="239" t="s">
        <v>180</v>
      </c>
      <c r="T29" s="33"/>
      <c r="U29" s="240">
        <f>'[3]Boutique Air'!$GY$64</f>
        <v>0</v>
      </c>
      <c r="V29" s="115">
        <f>'[3]Boutique Air'!$GK$64</f>
        <v>0</v>
      </c>
      <c r="W29" s="242" t="e">
        <f>(U29-V29)/V29</f>
        <v>#DIV/0!</v>
      </c>
      <c r="X29" s="240">
        <f>SUM('[3]Boutique Air'!$GP$64:$GY$64)</f>
        <v>0</v>
      </c>
      <c r="Y29" s="115">
        <f>SUM('[3]Boutique Air'!$GB$64:$GK$64)</f>
        <v>0</v>
      </c>
      <c r="Z29" s="241" t="e">
        <f>(X29-Y29)/Y29</f>
        <v>#DIV/0!</v>
      </c>
      <c r="AA29" s="242">
        <f>X29/$X$70</f>
        <v>0</v>
      </c>
    </row>
    <row r="30" spans="1:27" ht="14.1" customHeight="1" x14ac:dyDescent="0.2">
      <c r="A30" s="31"/>
      <c r="B30" s="33"/>
      <c r="C30" s="243"/>
      <c r="E30" s="58"/>
      <c r="F30" s="2"/>
      <c r="I30" s="58"/>
      <c r="J30" s="31"/>
      <c r="K30" s="33"/>
      <c r="L30" s="243"/>
      <c r="N30" s="58"/>
      <c r="O30" s="243"/>
      <c r="P30" s="2"/>
      <c r="Q30" s="3"/>
      <c r="R30" s="58"/>
      <c r="S30" s="31"/>
      <c r="T30" s="33"/>
      <c r="U30" s="243"/>
      <c r="V30" s="2"/>
      <c r="W30" s="58"/>
      <c r="X30" s="243"/>
      <c r="Y30" s="2"/>
      <c r="Z30" s="3"/>
      <c r="AA30" s="58"/>
    </row>
    <row r="31" spans="1:27" ht="14.1" customHeight="1" x14ac:dyDescent="0.2">
      <c r="A31" s="239" t="s">
        <v>162</v>
      </c>
      <c r="B31" s="33"/>
      <c r="C31" s="240">
        <f>[3]Condor!$GY$19</f>
        <v>0</v>
      </c>
      <c r="D31" s="115">
        <f>[3]Condor!$GK$19</f>
        <v>0</v>
      </c>
      <c r="E31" s="242" t="e">
        <f>(C31-D31)/D31</f>
        <v>#DIV/0!</v>
      </c>
      <c r="F31" s="115">
        <f>SUM([3]Condor!$GP$19:$GY$19)</f>
        <v>0</v>
      </c>
      <c r="G31" s="115">
        <f>SUM([3]Condor!$GB$19:$GK$19)</f>
        <v>108</v>
      </c>
      <c r="H31" s="241">
        <f>(F31-G31)/G31</f>
        <v>-1</v>
      </c>
      <c r="I31" s="242">
        <f>F31/$F$70</f>
        <v>0</v>
      </c>
      <c r="J31" s="239" t="s">
        <v>162</v>
      </c>
      <c r="K31" s="33"/>
      <c r="L31" s="240">
        <f>[3]Condor!$GY$41</f>
        <v>0</v>
      </c>
      <c r="M31" s="115">
        <f>[3]Condor!$GK$41</f>
        <v>0</v>
      </c>
      <c r="N31" s="242" t="e">
        <f>(L31-M31)/M31</f>
        <v>#DIV/0!</v>
      </c>
      <c r="O31" s="240">
        <f>SUM([3]Condor!$GP$41:$GY$41)</f>
        <v>0</v>
      </c>
      <c r="P31" s="115">
        <f>SUM([3]Condor!$GB$41:$GK$41)</f>
        <v>26102</v>
      </c>
      <c r="Q31" s="241">
        <f>(O31-P31)/P31</f>
        <v>-1</v>
      </c>
      <c r="R31" s="242">
        <f>O31/$O$70</f>
        <v>0</v>
      </c>
      <c r="S31" s="239" t="s">
        <v>162</v>
      </c>
      <c r="T31" s="33"/>
      <c r="U31" s="240">
        <f>[3]Condor!$GY$64</f>
        <v>0</v>
      </c>
      <c r="V31" s="115">
        <f>[3]Condor!$GK$64</f>
        <v>0</v>
      </c>
      <c r="W31" s="242" t="e">
        <f>(U31-V31)/V31</f>
        <v>#DIV/0!</v>
      </c>
      <c r="X31" s="240">
        <f>SUM([3]Condor!$GP$64:$GY$64)</f>
        <v>0</v>
      </c>
      <c r="Y31" s="115">
        <f>SUM([3]Condor!$GB$64:$GK$64)</f>
        <v>162690</v>
      </c>
      <c r="Z31" s="241">
        <f>(X31-Y31)/Y31</f>
        <v>-1</v>
      </c>
      <c r="AA31" s="242">
        <f>X31/$X$70</f>
        <v>0</v>
      </c>
    </row>
    <row r="32" spans="1:27" ht="14.1" customHeight="1" x14ac:dyDescent="0.2">
      <c r="A32" s="31"/>
      <c r="B32" s="33"/>
      <c r="C32" s="243"/>
      <c r="E32" s="58"/>
      <c r="F32" s="2"/>
      <c r="I32" s="58"/>
      <c r="J32" s="31"/>
      <c r="K32" s="33"/>
      <c r="L32" s="243"/>
      <c r="N32" s="58"/>
      <c r="O32" s="243"/>
      <c r="P32" s="2"/>
      <c r="Q32" s="3"/>
      <c r="R32" s="58"/>
      <c r="S32" s="31"/>
      <c r="T32" s="33"/>
      <c r="U32" s="243"/>
      <c r="V32" s="2"/>
      <c r="W32" s="58"/>
      <c r="X32" s="243"/>
      <c r="Y32" s="2"/>
      <c r="Z32" s="3"/>
      <c r="AA32" s="58"/>
    </row>
    <row r="33" spans="1:27" ht="14.1" customHeight="1" x14ac:dyDescent="0.2">
      <c r="A33" s="239" t="s">
        <v>224</v>
      </c>
      <c r="B33" s="33"/>
      <c r="C33" s="240">
        <f>'[3]Denver Air'!$GY$19</f>
        <v>104</v>
      </c>
      <c r="D33" s="115">
        <f>'[3]Denver Air'!$GK$19</f>
        <v>0</v>
      </c>
      <c r="E33" s="242" t="e">
        <f>(C33-D33)/D33</f>
        <v>#DIV/0!</v>
      </c>
      <c r="F33" s="115">
        <f>SUM('[3]Denver Air'!$GP$19:$GY$19)</f>
        <v>528</v>
      </c>
      <c r="G33" s="115">
        <f>SUM('[3]Denver Air'!$GB$19:$GK$19)</f>
        <v>0</v>
      </c>
      <c r="H33" s="241" t="e">
        <f>(F33-G33)/G33</f>
        <v>#DIV/0!</v>
      </c>
      <c r="I33" s="242">
        <f>F33/$F$70</f>
        <v>2.9399809569415291E-3</v>
      </c>
      <c r="J33" s="239" t="s">
        <v>224</v>
      </c>
      <c r="K33" s="33"/>
      <c r="L33" s="240">
        <f>'[3]Denver Air'!$GY$41</f>
        <v>298</v>
      </c>
      <c r="M33" s="115">
        <f>'[3]Denver Air'!$GK$41</f>
        <v>0</v>
      </c>
      <c r="N33" s="242" t="e">
        <f>(L33-M33)/M33</f>
        <v>#DIV/0!</v>
      </c>
      <c r="O33" s="240">
        <f>SUM('[3]Denver Air'!$GP$41:$GY$41)</f>
        <v>1219</v>
      </c>
      <c r="P33" s="115">
        <f>SUM('[3]Denver Air'!$GB$41:$GK$41)</f>
        <v>0</v>
      </c>
      <c r="Q33" s="241" t="e">
        <f>(O33-P33)/P33</f>
        <v>#DIV/0!</v>
      </c>
      <c r="R33" s="242">
        <f>O33/$O$70</f>
        <v>9.9504956718200825E-5</v>
      </c>
      <c r="S33" s="239" t="s">
        <v>224</v>
      </c>
      <c r="T33" s="33"/>
      <c r="U33" s="240">
        <f>'[3]Denver Air'!$GY$64</f>
        <v>0</v>
      </c>
      <c r="V33" s="115">
        <f>'[3]Denver Air'!$GK$64</f>
        <v>0</v>
      </c>
      <c r="W33" s="242" t="e">
        <f>(U33-V33)/V33</f>
        <v>#DIV/0!</v>
      </c>
      <c r="X33" s="240">
        <f>SUM('[3]Denver Air'!$GP$64:$GY$64)</f>
        <v>0</v>
      </c>
      <c r="Y33" s="115">
        <f>SUM('[3]Denver Air'!$GB$64:$GK$64)</f>
        <v>0</v>
      </c>
      <c r="Z33" s="241" t="e">
        <f>(X33-Y33)/Y33</f>
        <v>#DIV/0!</v>
      </c>
      <c r="AA33" s="242">
        <f>X33/$X$70</f>
        <v>0</v>
      </c>
    </row>
    <row r="34" spans="1:27" ht="14.1" customHeight="1" x14ac:dyDescent="0.2">
      <c r="A34" s="31"/>
      <c r="B34" s="33"/>
      <c r="C34" s="243"/>
      <c r="E34" s="58"/>
      <c r="F34" s="2"/>
      <c r="I34" s="58"/>
      <c r="J34" s="31"/>
      <c r="K34" s="33"/>
      <c r="L34" s="243"/>
      <c r="N34" s="58"/>
      <c r="O34" s="243"/>
      <c r="P34" s="2"/>
      <c r="Q34" s="3"/>
      <c r="R34" s="58"/>
      <c r="S34" s="31"/>
      <c r="T34" s="33"/>
      <c r="U34" s="243"/>
      <c r="V34" s="2"/>
      <c r="W34" s="58"/>
      <c r="X34" s="243"/>
      <c r="Y34" s="2"/>
      <c r="Z34" s="3"/>
      <c r="AA34" s="58"/>
    </row>
    <row r="35" spans="1:27" ht="14.1" customHeight="1" x14ac:dyDescent="0.2">
      <c r="A35" s="239" t="s">
        <v>18</v>
      </c>
      <c r="B35" s="244"/>
      <c r="C35" s="240">
        <f>SUM(C36:C42)</f>
        <v>15084</v>
      </c>
      <c r="D35" s="115">
        <f>SUM(D36:D42)</f>
        <v>23500</v>
      </c>
      <c r="E35" s="242">
        <f t="shared" ref="E35:E42" si="11">(C35-D35)/D35</f>
        <v>-0.35812765957446807</v>
      </c>
      <c r="F35" s="125">
        <f>SUM(F36:F42)</f>
        <v>134182</v>
      </c>
      <c r="G35" s="125">
        <f>SUM(G36:G42)</f>
        <v>230390</v>
      </c>
      <c r="H35" s="241">
        <f>(F35-G35)/G35</f>
        <v>-0.4175875689049004</v>
      </c>
      <c r="I35" s="242">
        <f t="shared" ref="I35:I42" si="12">F35/$F$70</f>
        <v>0.74714493326577314</v>
      </c>
      <c r="J35" s="239" t="s">
        <v>18</v>
      </c>
      <c r="K35" s="244"/>
      <c r="L35" s="240">
        <f>SUM(L36:L42)</f>
        <v>753488</v>
      </c>
      <c r="M35" s="115">
        <f>SUM(M36:M42)</f>
        <v>2347949</v>
      </c>
      <c r="N35" s="242">
        <f t="shared" ref="N35:N42" si="13">(L35-M35)/M35</f>
        <v>-0.67908672633008638</v>
      </c>
      <c r="O35" s="240">
        <f>SUM(O36:O42)</f>
        <v>8436227</v>
      </c>
      <c r="P35" s="115">
        <f>SUM(P36:P42)</f>
        <v>23025266</v>
      </c>
      <c r="Q35" s="241">
        <f t="shared" ref="Q35:Q42" si="14">(O35-P35)/P35</f>
        <v>-0.63361000910912391</v>
      </c>
      <c r="R35" s="242">
        <f t="shared" ref="R35:R42" si="15">O35/$O$70</f>
        <v>0.68863527686621584</v>
      </c>
      <c r="S35" s="239" t="s">
        <v>18</v>
      </c>
      <c r="T35" s="244"/>
      <c r="U35" s="240">
        <f>SUM(U36:U42)</f>
        <v>3049081</v>
      </c>
      <c r="V35" s="115">
        <f>SUM(V36:V42)</f>
        <v>7835037</v>
      </c>
      <c r="W35" s="242">
        <f t="shared" ref="W35:W42" si="16">(U35-V35)/V35</f>
        <v>-0.61084025512578943</v>
      </c>
      <c r="X35" s="240">
        <f>SUM(X36:X42)</f>
        <v>35359647</v>
      </c>
      <c r="Y35" s="115">
        <f>SUM(Y36:Y42)</f>
        <v>81712735</v>
      </c>
      <c r="Z35" s="241">
        <f t="shared" ref="Z35:Z38" si="17">(X35-Y35)/Y35</f>
        <v>-0.56726883514546422</v>
      </c>
      <c r="AA35" s="242">
        <f t="shared" ref="AA35:AA42" si="18">X35/$X$70</f>
        <v>0.79014641384917028</v>
      </c>
    </row>
    <row r="36" spans="1:27" ht="14.1" customHeight="1" x14ac:dyDescent="0.2">
      <c r="A36" s="31"/>
      <c r="B36" s="33" t="s">
        <v>18</v>
      </c>
      <c r="C36" s="243">
        <f>[3]Delta!$GY$19</f>
        <v>6219</v>
      </c>
      <c r="D36" s="2">
        <f>[3]Delta!$GK$19</f>
        <v>13373</v>
      </c>
      <c r="E36" s="58">
        <f t="shared" si="11"/>
        <v>-0.53495849846706045</v>
      </c>
      <c r="F36" s="2">
        <f>SUM([3]Delta!$GP$19:$GY$19)</f>
        <v>63262</v>
      </c>
      <c r="G36" s="2">
        <f>SUM([3]Delta!$GB$19:$GK$19)</f>
        <v>126530</v>
      </c>
      <c r="H36" s="3">
        <f t="shared" ref="H36:H42" si="19">(F36-G36)/G36</f>
        <v>-0.50002370979214417</v>
      </c>
      <c r="I36" s="58">
        <f t="shared" si="12"/>
        <v>0.3522520365493087</v>
      </c>
      <c r="J36" s="31"/>
      <c r="K36" s="33" t="s">
        <v>18</v>
      </c>
      <c r="L36" s="243">
        <f>[3]Delta!$GY$41</f>
        <v>464516</v>
      </c>
      <c r="M36" s="2">
        <f>[3]Delta!$GK$41</f>
        <v>1842273</v>
      </c>
      <c r="N36" s="58">
        <f t="shared" si="13"/>
        <v>-0.74785713083782912</v>
      </c>
      <c r="O36" s="243">
        <f>SUM([3]Delta!$GP$41:$GY$41)</f>
        <v>6040838</v>
      </c>
      <c r="P36" s="2">
        <f>SUM([3]Delta!$GB$41:$GK$41)</f>
        <v>17638197</v>
      </c>
      <c r="Q36" s="3">
        <f t="shared" si="14"/>
        <v>-0.65751386040194471</v>
      </c>
      <c r="R36" s="58">
        <f t="shared" si="15"/>
        <v>0.49310362898413684</v>
      </c>
      <c r="S36" s="31"/>
      <c r="T36" s="33" t="s">
        <v>18</v>
      </c>
      <c r="U36" s="243">
        <f>[3]Delta!$GY$64</f>
        <v>3049081</v>
      </c>
      <c r="V36" s="2">
        <f>[3]Delta!$GK$64</f>
        <v>7834864</v>
      </c>
      <c r="W36" s="58">
        <f t="shared" si="16"/>
        <v>-0.61083166217052398</v>
      </c>
      <c r="X36" s="243">
        <f>SUM([3]Delta!$GP$64:$GY$64)</f>
        <v>35359647</v>
      </c>
      <c r="Y36" s="2">
        <f>SUM([3]Delta!$GB$64:$GK$64)</f>
        <v>81712028</v>
      </c>
      <c r="Z36" s="3">
        <f t="shared" si="17"/>
        <v>-0.56726509100961242</v>
      </c>
      <c r="AA36" s="58">
        <f t="shared" si="18"/>
        <v>0.79014641384917028</v>
      </c>
    </row>
    <row r="37" spans="1:27" ht="14.1" customHeight="1" x14ac:dyDescent="0.2">
      <c r="A37" s="31"/>
      <c r="B37" s="245" t="s">
        <v>118</v>
      </c>
      <c r="C37" s="243">
        <f>[3]Compass!$GY$19</f>
        <v>0</v>
      </c>
      <c r="D37" s="2">
        <f>[3]Compass!$GK$19</f>
        <v>0</v>
      </c>
      <c r="E37" s="58" t="e">
        <f t="shared" si="11"/>
        <v>#DIV/0!</v>
      </c>
      <c r="F37" s="2">
        <f>SUM([3]Compass!$GP$19:$GY$19)</f>
        <v>0</v>
      </c>
      <c r="G37" s="2">
        <f>SUM([3]Compass!$GB$19:$GK$19)</f>
        <v>0</v>
      </c>
      <c r="H37" s="3" t="e">
        <f t="shared" si="19"/>
        <v>#DIV/0!</v>
      </c>
      <c r="I37" s="58">
        <f t="shared" si="12"/>
        <v>0</v>
      </c>
      <c r="J37" s="31"/>
      <c r="K37" s="245" t="s">
        <v>118</v>
      </c>
      <c r="L37" s="243">
        <f>[3]Compass!$GY$41</f>
        <v>0</v>
      </c>
      <c r="M37" s="2">
        <f>[3]Compass!$GK$41</f>
        <v>0</v>
      </c>
      <c r="N37" s="58" t="e">
        <f t="shared" si="13"/>
        <v>#DIV/0!</v>
      </c>
      <c r="O37" s="243">
        <f>SUM([3]Compass!$GP$41:$GY$41)</f>
        <v>0</v>
      </c>
      <c r="P37" s="2">
        <f>SUM([3]Compass!$GB$41:$GK$41)</f>
        <v>0</v>
      </c>
      <c r="Q37" s="3" t="e">
        <f t="shared" si="14"/>
        <v>#DIV/0!</v>
      </c>
      <c r="R37" s="58">
        <f t="shared" si="15"/>
        <v>0</v>
      </c>
      <c r="S37" s="31"/>
      <c r="T37" s="245" t="s">
        <v>118</v>
      </c>
      <c r="U37" s="243">
        <f>[3]Compass!$GY$64</f>
        <v>0</v>
      </c>
      <c r="V37" s="2">
        <f>[3]Compass!$GK$64</f>
        <v>0</v>
      </c>
      <c r="W37" s="58" t="e">
        <f t="shared" si="16"/>
        <v>#DIV/0!</v>
      </c>
      <c r="X37" s="243">
        <f>SUM([3]Compass!$GP$64:$GY$64)</f>
        <v>0</v>
      </c>
      <c r="Y37" s="2">
        <f>SUM([3]Compass!$GB$64:$GK$64)</f>
        <v>0</v>
      </c>
      <c r="Z37" s="3" t="e">
        <f t="shared" si="17"/>
        <v>#DIV/0!</v>
      </c>
      <c r="AA37" s="58">
        <f t="shared" si="18"/>
        <v>0</v>
      </c>
    </row>
    <row r="38" spans="1:27" ht="14.1" customHeight="1" x14ac:dyDescent="0.2">
      <c r="A38" s="31"/>
      <c r="B38" s="33" t="s">
        <v>159</v>
      </c>
      <c r="C38" s="243">
        <f>[3]Pinnacle!$GY$19</f>
        <v>5242</v>
      </c>
      <c r="D38" s="2">
        <f>[3]Pinnacle!$GK$19</f>
        <v>2485</v>
      </c>
      <c r="E38" s="58">
        <f t="shared" si="11"/>
        <v>1.1094567404426559</v>
      </c>
      <c r="F38" s="2">
        <f>SUM([3]Pinnacle!$GP$19:$GY$19)</f>
        <v>27811</v>
      </c>
      <c r="G38" s="2">
        <f>SUM([3]Pinnacle!$GB$19:$GK$19)</f>
        <v>22296</v>
      </c>
      <c r="H38" s="3">
        <f t="shared" si="19"/>
        <v>0.24735378543236455</v>
      </c>
      <c r="I38" s="58">
        <f t="shared" si="12"/>
        <v>0.15485570150284253</v>
      </c>
      <c r="J38" s="31"/>
      <c r="K38" s="33" t="s">
        <v>159</v>
      </c>
      <c r="L38" s="243">
        <f>[3]Pinnacle!$GY$41</f>
        <v>167696</v>
      </c>
      <c r="M38" s="2">
        <f>[3]Pinnacle!$GK$41</f>
        <v>152393</v>
      </c>
      <c r="N38" s="58">
        <f t="shared" si="13"/>
        <v>0.10041799820201715</v>
      </c>
      <c r="O38" s="243">
        <f>SUM([3]Pinnacle!$GP$41:$GY$41)</f>
        <v>959165</v>
      </c>
      <c r="P38" s="2">
        <f>SUM([3]Pinnacle!$GB$41:$GK$41)</f>
        <v>1366833</v>
      </c>
      <c r="Q38" s="3">
        <f t="shared" si="14"/>
        <v>-0.29825735843369305</v>
      </c>
      <c r="R38" s="58">
        <f t="shared" si="15"/>
        <v>7.8295054807721975E-2</v>
      </c>
      <c r="S38" s="31"/>
      <c r="T38" s="33" t="s">
        <v>159</v>
      </c>
      <c r="U38" s="243">
        <f>[3]Pinnacle!$GY$64</f>
        <v>0</v>
      </c>
      <c r="V38" s="2">
        <f>[3]Pinnacle!$GK$64</f>
        <v>0</v>
      </c>
      <c r="W38" s="58" t="e">
        <f t="shared" si="16"/>
        <v>#DIV/0!</v>
      </c>
      <c r="X38" s="243">
        <f>SUM([3]Pinnacle!$GP$64:$GY$64)</f>
        <v>0</v>
      </c>
      <c r="Y38" s="2">
        <f>SUM([3]Pinnacle!$GB$64:$GK$64)</f>
        <v>0</v>
      </c>
      <c r="Z38" s="3" t="e">
        <f t="shared" si="17"/>
        <v>#DIV/0!</v>
      </c>
      <c r="AA38" s="58">
        <f t="shared" si="18"/>
        <v>0</v>
      </c>
    </row>
    <row r="39" spans="1:27" ht="14.1" customHeight="1" x14ac:dyDescent="0.2">
      <c r="A39" s="31"/>
      <c r="B39" s="33" t="s">
        <v>155</v>
      </c>
      <c r="C39" s="243">
        <f>'[3]Go Jet'!$GY$19</f>
        <v>0</v>
      </c>
      <c r="D39" s="2">
        <f>'[3]Go Jet'!$GK$19</f>
        <v>108</v>
      </c>
      <c r="E39" s="58">
        <f t="shared" si="11"/>
        <v>-1</v>
      </c>
      <c r="F39" s="2">
        <f>SUM('[3]Go Jet'!$GP$19:$GY$19)</f>
        <v>44</v>
      </c>
      <c r="G39" s="2">
        <f>SUM('[3]Go Jet'!$GB$19:$GK$19)</f>
        <v>1708</v>
      </c>
      <c r="H39" s="3">
        <f>(F39-G39)/G39</f>
        <v>-0.97423887587822011</v>
      </c>
      <c r="I39" s="58">
        <f t="shared" si="12"/>
        <v>2.4499841307846072E-4</v>
      </c>
      <c r="J39" s="31"/>
      <c r="K39" s="33" t="s">
        <v>155</v>
      </c>
      <c r="L39" s="243">
        <f>'[3]Go Jet'!$GY$41</f>
        <v>0</v>
      </c>
      <c r="M39" s="2">
        <f>'[3]Go Jet'!$GK$41</f>
        <v>6515</v>
      </c>
      <c r="N39" s="58">
        <f t="shared" si="13"/>
        <v>-1</v>
      </c>
      <c r="O39" s="243">
        <f>SUM('[3]Go Jet'!$GP$41:$GY$41)</f>
        <v>2644</v>
      </c>
      <c r="P39" s="2">
        <f>SUM('[3]Go Jet'!$GB$41:$GK$41)</f>
        <v>99414</v>
      </c>
      <c r="Q39" s="3">
        <f>(O39-P39)/P39</f>
        <v>-0.97340414830909128</v>
      </c>
      <c r="R39" s="58">
        <f t="shared" si="15"/>
        <v>2.1582535320994502E-4</v>
      </c>
      <c r="S39" s="31"/>
      <c r="T39" s="33" t="s">
        <v>155</v>
      </c>
      <c r="U39" s="243">
        <f>'[3]Go Jet'!$GY$64</f>
        <v>0</v>
      </c>
      <c r="V39" s="2">
        <f>'[3]Go Jet'!$GK$64</f>
        <v>173</v>
      </c>
      <c r="W39" s="58">
        <f t="shared" si="16"/>
        <v>-1</v>
      </c>
      <c r="X39" s="243">
        <f>SUM('[3]Go Jet'!$GP$64:$GY$64)</f>
        <v>0</v>
      </c>
      <c r="Y39" s="2">
        <f>SUM('[3]Go Jet'!$GB$64:$GK$64)</f>
        <v>570</v>
      </c>
      <c r="Z39" s="3">
        <f>(X39-Y39)/Y39</f>
        <v>-1</v>
      </c>
      <c r="AA39" s="58">
        <f t="shared" si="18"/>
        <v>0</v>
      </c>
    </row>
    <row r="40" spans="1:27" ht="14.1" customHeight="1" x14ac:dyDescent="0.2">
      <c r="A40" s="31"/>
      <c r="B40" s="33" t="s">
        <v>98</v>
      </c>
      <c r="C40" s="243">
        <f>'[3]Sky West'!$GY$19</f>
        <v>3623</v>
      </c>
      <c r="D40" s="2">
        <f>'[3]Sky West'!$GK$19</f>
        <v>7534</v>
      </c>
      <c r="E40" s="58">
        <f t="shared" si="11"/>
        <v>-0.51911335280063708</v>
      </c>
      <c r="F40" s="2">
        <f>SUM('[3]Sky West'!$GP$19:$GY$19)</f>
        <v>43065</v>
      </c>
      <c r="G40" s="2">
        <f>SUM('[3]Sky West'!$GB$19:$GK$19)</f>
        <v>79534</v>
      </c>
      <c r="H40" s="3">
        <f t="shared" si="19"/>
        <v>-0.45853345738929263</v>
      </c>
      <c r="I40" s="58">
        <f t="shared" si="12"/>
        <v>0.23979219680054345</v>
      </c>
      <c r="J40" s="31"/>
      <c r="K40" s="33" t="s">
        <v>98</v>
      </c>
      <c r="L40" s="243">
        <f>'[3]Sky West'!$GY$41</f>
        <v>121276</v>
      </c>
      <c r="M40" s="2">
        <f>'[3]Sky West'!$GK$41</f>
        <v>346768</v>
      </c>
      <c r="N40" s="58">
        <f t="shared" si="13"/>
        <v>-0.65026761408203759</v>
      </c>
      <c r="O40" s="243">
        <f>SUM('[3]Sky West'!$GP$41:$GY$41)</f>
        <v>1433580</v>
      </c>
      <c r="P40" s="2">
        <f>SUM('[3]Sky West'!$GB$41:$GK$41)</f>
        <v>3904188</v>
      </c>
      <c r="Q40" s="3">
        <f t="shared" si="14"/>
        <v>-0.63280969051695257</v>
      </c>
      <c r="R40" s="58">
        <f t="shared" si="15"/>
        <v>0.11702076772114711</v>
      </c>
      <c r="S40" s="31"/>
      <c r="T40" s="33" t="s">
        <v>98</v>
      </c>
      <c r="U40" s="243">
        <f>'[3]Sky West'!$GY$64</f>
        <v>0</v>
      </c>
      <c r="V40" s="2">
        <f>'[3]Sky West'!$GK$64</f>
        <v>0</v>
      </c>
      <c r="W40" s="58" t="e">
        <f t="shared" si="16"/>
        <v>#DIV/0!</v>
      </c>
      <c r="X40" s="243">
        <f>SUM('[3]Sky West'!$GP$64:$GY$64)</f>
        <v>0</v>
      </c>
      <c r="Y40" s="2">
        <f>SUM('[3]Sky West'!$GB$64:$GK$64)</f>
        <v>0</v>
      </c>
      <c r="Z40" s="3" t="e">
        <f t="shared" ref="Z40:Z42" si="20">(X40-Y40)/Y40</f>
        <v>#DIV/0!</v>
      </c>
      <c r="AA40" s="58">
        <f t="shared" si="18"/>
        <v>0</v>
      </c>
    </row>
    <row r="41" spans="1:27" ht="14.1" customHeight="1" x14ac:dyDescent="0.2">
      <c r="A41" s="31"/>
      <c r="B41" s="33" t="s">
        <v>132</v>
      </c>
      <c r="C41" s="243">
        <f>'[3]Shuttle America_Delta'!$GY$19</f>
        <v>0</v>
      </c>
      <c r="D41" s="2">
        <f>'[3]Shuttle America_Delta'!$GK$19</f>
        <v>0</v>
      </c>
      <c r="E41" s="58" t="e">
        <f t="shared" si="11"/>
        <v>#DIV/0!</v>
      </c>
      <c r="F41" s="2">
        <f>SUM('[3]Shuttle America_Delta'!$GP$19:$GY$19)</f>
        <v>0</v>
      </c>
      <c r="G41" s="2">
        <f>SUM('[3]Shuttle America_Delta'!$GB$19:$GK$19)</f>
        <v>322</v>
      </c>
      <c r="H41" s="3">
        <f t="shared" si="19"/>
        <v>-1</v>
      </c>
      <c r="I41" s="58">
        <f t="shared" si="12"/>
        <v>0</v>
      </c>
      <c r="J41" s="31"/>
      <c r="K41" s="33" t="s">
        <v>132</v>
      </c>
      <c r="L41" s="243">
        <f>'[3]Shuttle America_Delta'!$GY$41</f>
        <v>0</v>
      </c>
      <c r="M41" s="2">
        <f>'[3]Shuttle America_Delta'!$GK$41</f>
        <v>0</v>
      </c>
      <c r="N41" s="58" t="e">
        <f t="shared" si="13"/>
        <v>#DIV/0!</v>
      </c>
      <c r="O41" s="243">
        <f>SUM('[3]Shuttle America_Delta'!$GP$41:$GY$41)</f>
        <v>0</v>
      </c>
      <c r="P41" s="2">
        <f>SUM('[3]Shuttle America_Delta'!$GB$41:$GK$41)</f>
        <v>16634</v>
      </c>
      <c r="Q41" s="3">
        <f t="shared" si="14"/>
        <v>-1</v>
      </c>
      <c r="R41" s="58">
        <f t="shared" si="15"/>
        <v>0</v>
      </c>
      <c r="S41" s="31"/>
      <c r="T41" s="33" t="s">
        <v>132</v>
      </c>
      <c r="U41" s="243">
        <f>'[3]Shuttle America_Delta'!$GY$64</f>
        <v>0</v>
      </c>
      <c r="V41" s="2">
        <f>'[3]Shuttle America_Delta'!$GK$64</f>
        <v>0</v>
      </c>
      <c r="W41" s="58" t="e">
        <f t="shared" si="16"/>
        <v>#DIV/0!</v>
      </c>
      <c r="X41" s="243">
        <f>SUM('[3]Shuttle America_Delta'!$GP$64:$GY$64)</f>
        <v>0</v>
      </c>
      <c r="Y41" s="2">
        <f>SUM('[3]Shuttle America_Delta'!$GB$64:$GK$64)</f>
        <v>137</v>
      </c>
      <c r="Z41" s="3">
        <f t="shared" si="20"/>
        <v>-1</v>
      </c>
      <c r="AA41" s="58">
        <f t="shared" si="18"/>
        <v>0</v>
      </c>
    </row>
    <row r="42" spans="1:27" ht="14.1" customHeight="1" x14ac:dyDescent="0.2">
      <c r="A42" s="31"/>
      <c r="B42" s="296" t="s">
        <v>167</v>
      </c>
      <c r="C42" s="243">
        <f>'[3]Atlantic Southeast'!$GY$19</f>
        <v>0</v>
      </c>
      <c r="D42" s="2">
        <f>'[3]Atlantic Southeast'!$GK$19</f>
        <v>0</v>
      </c>
      <c r="E42" s="58" t="e">
        <f t="shared" si="11"/>
        <v>#DIV/0!</v>
      </c>
      <c r="F42" s="2">
        <f>SUM('[3]Atlantic Southeast'!$GP$19:$GY$19)</f>
        <v>0</v>
      </c>
      <c r="G42" s="2">
        <f>SUM('[3]Atlantic Southeast'!$GB$19:$GK$19)</f>
        <v>0</v>
      </c>
      <c r="H42" s="3" t="e">
        <f t="shared" si="19"/>
        <v>#DIV/0!</v>
      </c>
      <c r="I42" s="58">
        <f t="shared" si="12"/>
        <v>0</v>
      </c>
      <c r="J42" s="31"/>
      <c r="K42" s="296" t="s">
        <v>167</v>
      </c>
      <c r="L42" s="243">
        <f>'[3]Atlantic Southeast'!$GY$41</f>
        <v>0</v>
      </c>
      <c r="M42" s="2">
        <f>'[3]Atlantic Southeast'!$GK$41</f>
        <v>0</v>
      </c>
      <c r="N42" s="58" t="e">
        <f t="shared" si="13"/>
        <v>#DIV/0!</v>
      </c>
      <c r="O42" s="243">
        <f>SUM('[3]Atlantic Southeast'!$GP$41:$GY$41)</f>
        <v>0</v>
      </c>
      <c r="P42" s="2">
        <f>SUM('[3]Atlantic Southeast'!$GB$41:$GK$41)</f>
        <v>0</v>
      </c>
      <c r="Q42" s="3" t="e">
        <f t="shared" si="14"/>
        <v>#DIV/0!</v>
      </c>
      <c r="R42" s="58">
        <f t="shared" si="15"/>
        <v>0</v>
      </c>
      <c r="S42" s="31"/>
      <c r="T42" s="296" t="s">
        <v>167</v>
      </c>
      <c r="U42" s="243">
        <f>'[3]Atlantic Southeast'!$GY$64</f>
        <v>0</v>
      </c>
      <c r="V42" s="2">
        <f>'[3]Atlantic Southeast'!$GK$64</f>
        <v>0</v>
      </c>
      <c r="W42" s="58" t="e">
        <f t="shared" si="16"/>
        <v>#DIV/0!</v>
      </c>
      <c r="X42" s="243">
        <f>SUM('[3]Atlantic Southeast'!$GP$64:$GY$64)</f>
        <v>0</v>
      </c>
      <c r="Y42" s="2">
        <f>SUM('[3]Atlantic Southeast'!$GB$64:$GK$64)</f>
        <v>0</v>
      </c>
      <c r="Z42" s="3" t="e">
        <f t="shared" si="20"/>
        <v>#DIV/0!</v>
      </c>
      <c r="AA42" s="58">
        <f t="shared" si="18"/>
        <v>0</v>
      </c>
    </row>
    <row r="43" spans="1:27" ht="14.1" customHeight="1" x14ac:dyDescent="0.2">
      <c r="A43" s="31"/>
      <c r="B43" s="296"/>
      <c r="C43" s="243"/>
      <c r="E43" s="58"/>
      <c r="F43" s="2"/>
      <c r="I43" s="58"/>
      <c r="J43" s="31"/>
      <c r="K43" s="296"/>
      <c r="L43" s="243"/>
      <c r="N43" s="58"/>
      <c r="O43" s="243"/>
      <c r="P43" s="2"/>
      <c r="Q43" s="3"/>
      <c r="R43" s="58"/>
      <c r="S43" s="31"/>
      <c r="T43" s="296"/>
      <c r="U43" s="243"/>
      <c r="V43" s="2"/>
      <c r="W43" s="58"/>
      <c r="X43" s="243"/>
      <c r="Y43" s="2"/>
      <c r="Z43" s="3"/>
      <c r="AA43" s="58"/>
    </row>
    <row r="44" spans="1:27" ht="14.1" customHeight="1" x14ac:dyDescent="0.2">
      <c r="A44" s="239" t="s">
        <v>47</v>
      </c>
      <c r="B44" s="33"/>
      <c r="C44" s="240">
        <f>[3]Frontier!$GY$19</f>
        <v>124</v>
      </c>
      <c r="D44" s="115">
        <f>[3]Frontier!$GK$19</f>
        <v>289</v>
      </c>
      <c r="E44" s="242">
        <f>(C44-D44)/D44</f>
        <v>-0.5709342560553633</v>
      </c>
      <c r="F44" s="115">
        <f>SUM([3]Frontier!$GP$19:$GY$19)</f>
        <v>1148</v>
      </c>
      <c r="G44" s="115">
        <f>SUM([3]Frontier!$GB$19:$GK$19)</f>
        <v>2756</v>
      </c>
      <c r="H44" s="241">
        <f>(F44-G44)/G44</f>
        <v>-0.58345428156748913</v>
      </c>
      <c r="I44" s="242">
        <f>F44/$F$70</f>
        <v>6.3922313230471125E-3</v>
      </c>
      <c r="J44" s="239" t="s">
        <v>47</v>
      </c>
      <c r="K44" s="33"/>
      <c r="L44" s="240">
        <f>[3]Frontier!$GY$41</f>
        <v>14900</v>
      </c>
      <c r="M44" s="115">
        <f>[3]Frontier!$GK$41</f>
        <v>39928</v>
      </c>
      <c r="N44" s="242">
        <f>(L44-M44)/M44</f>
        <v>-0.62682829092366255</v>
      </c>
      <c r="O44" s="240">
        <f>SUM([3]Frontier!$GP$41:$GY$41)</f>
        <v>154862</v>
      </c>
      <c r="P44" s="115">
        <f>SUM([3]Frontier!$GB$41:$GK$41)</f>
        <v>432333</v>
      </c>
      <c r="Q44" s="241">
        <f>(O44-P44)/P44</f>
        <v>-0.6417992612176262</v>
      </c>
      <c r="R44" s="242">
        <f>O44/$O$70</f>
        <v>1.2641129292283853E-2</v>
      </c>
      <c r="S44" s="239" t="s">
        <v>47</v>
      </c>
      <c r="T44" s="33"/>
      <c r="U44" s="240">
        <f>[3]Frontier!$GY$64</f>
        <v>0</v>
      </c>
      <c r="V44" s="115">
        <f>[3]Frontier!$GK$64</f>
        <v>0</v>
      </c>
      <c r="W44" s="242" t="e">
        <f>(U44-V44)/V44</f>
        <v>#DIV/0!</v>
      </c>
      <c r="X44" s="240">
        <f>SUM([3]Frontier!$GP$64:$GY$64)</f>
        <v>0</v>
      </c>
      <c r="Y44" s="115">
        <f>SUM([3]Frontier!$GB$64:$GK$64)</f>
        <v>0</v>
      </c>
      <c r="Z44" s="241" t="e">
        <f>(X44-Y44)/Y44</f>
        <v>#DIV/0!</v>
      </c>
      <c r="AA44" s="242">
        <f>X44/$X$70</f>
        <v>0</v>
      </c>
    </row>
    <row r="45" spans="1:27" ht="14.1" customHeight="1" x14ac:dyDescent="0.2">
      <c r="A45" s="239"/>
      <c r="B45" s="33"/>
      <c r="C45" s="240"/>
      <c r="D45" s="115"/>
      <c r="E45" s="242"/>
      <c r="F45" s="115"/>
      <c r="G45" s="115"/>
      <c r="H45" s="241"/>
      <c r="I45" s="242"/>
      <c r="J45" s="239"/>
      <c r="K45" s="33"/>
      <c r="L45" s="243"/>
      <c r="N45" s="58"/>
      <c r="O45" s="243"/>
      <c r="P45" s="2"/>
      <c r="Q45" s="3"/>
      <c r="R45" s="58"/>
      <c r="S45" s="239"/>
      <c r="T45" s="33"/>
      <c r="U45" s="243"/>
      <c r="V45" s="2"/>
      <c r="W45" s="58"/>
      <c r="X45" s="243"/>
      <c r="Y45" s="2"/>
      <c r="Z45" s="3"/>
      <c r="AA45" s="58"/>
    </row>
    <row r="46" spans="1:27" ht="14.1" customHeight="1" x14ac:dyDescent="0.2">
      <c r="A46" s="239" t="s">
        <v>48</v>
      </c>
      <c r="B46" s="33"/>
      <c r="C46" s="240">
        <f>[3]Icelandair!$GY$19</f>
        <v>0</v>
      </c>
      <c r="D46" s="115">
        <f>[3]Icelandair!$GK$19</f>
        <v>50</v>
      </c>
      <c r="E46" s="242">
        <f>(C46-D46)/D46</f>
        <v>-1</v>
      </c>
      <c r="F46" s="115">
        <f>SUM([3]Icelandair!$GP$19:$GY$19)</f>
        <v>18</v>
      </c>
      <c r="G46" s="115">
        <f>SUM([3]Icelandair!$GB$19:$GK$19)</f>
        <v>442</v>
      </c>
      <c r="H46" s="241">
        <f>(F46-G46)/G46</f>
        <v>-0.95927601809954754</v>
      </c>
      <c r="I46" s="242">
        <f>F46/$F$70</f>
        <v>1.0022662353209758E-4</v>
      </c>
      <c r="J46" s="239" t="s">
        <v>48</v>
      </c>
      <c r="K46" s="33"/>
      <c r="L46" s="240">
        <f>[3]Icelandair!$GY$41</f>
        <v>0</v>
      </c>
      <c r="M46" s="115">
        <f>[3]Icelandair!$GK$41</f>
        <v>6637</v>
      </c>
      <c r="N46" s="242">
        <f>(L46-M46)/M46</f>
        <v>-1</v>
      </c>
      <c r="O46" s="240">
        <f>SUM([3]Icelandair!$GP$41:$GY$41)</f>
        <v>2058</v>
      </c>
      <c r="P46" s="115">
        <f>SUM([3]Icelandair!$GB$41:$GK$41)</f>
        <v>74580</v>
      </c>
      <c r="Q46" s="241">
        <f>(O46-P46)/P46</f>
        <v>-0.97240547063555915</v>
      </c>
      <c r="R46" s="242">
        <f>O46/$O$70</f>
        <v>1.679911410386032E-4</v>
      </c>
      <c r="S46" s="239" t="s">
        <v>48</v>
      </c>
      <c r="T46" s="33"/>
      <c r="U46" s="240">
        <f>[3]Icelandair!$GY$64</f>
        <v>0</v>
      </c>
      <c r="V46" s="115">
        <f>[3]Icelandair!$GK$64</f>
        <v>10848</v>
      </c>
      <c r="W46" s="242">
        <f>(U46-V46)/V46</f>
        <v>-1</v>
      </c>
      <c r="X46" s="240">
        <f>SUM([3]Icelandair!$GP$64:$GY$64)</f>
        <v>2574</v>
      </c>
      <c r="Y46" s="115">
        <f>SUM([3]Icelandair!$GB$64:$GK$64)</f>
        <v>309936</v>
      </c>
      <c r="Z46" s="241">
        <f>(X46-Y46)/Y46</f>
        <v>-0.99169505962521298</v>
      </c>
      <c r="AA46" s="242">
        <f>X46/$X$70</f>
        <v>5.7518585217996222E-5</v>
      </c>
    </row>
    <row r="47" spans="1:27" ht="14.1" customHeight="1" x14ac:dyDescent="0.2">
      <c r="A47" s="239"/>
      <c r="B47" s="33"/>
      <c r="C47" s="240"/>
      <c r="D47" s="115"/>
      <c r="E47" s="242"/>
      <c r="F47" s="115"/>
      <c r="G47" s="115"/>
      <c r="H47" s="241"/>
      <c r="I47" s="242"/>
      <c r="J47" s="239"/>
      <c r="K47" s="33"/>
      <c r="L47" s="243"/>
      <c r="N47" s="58"/>
      <c r="O47" s="243"/>
      <c r="P47" s="2"/>
      <c r="Q47" s="3"/>
      <c r="R47" s="58"/>
      <c r="S47" s="239"/>
      <c r="T47" s="33"/>
      <c r="U47" s="243"/>
      <c r="V47" s="2"/>
      <c r="W47" s="58"/>
      <c r="X47" s="243"/>
      <c r="Y47" s="2"/>
      <c r="Z47" s="3"/>
      <c r="AA47" s="58"/>
    </row>
    <row r="48" spans="1:27" ht="14.1" customHeight="1" x14ac:dyDescent="0.2">
      <c r="A48" s="239" t="s">
        <v>201</v>
      </c>
      <c r="B48" s="33"/>
      <c r="C48" s="240">
        <f>'[3]Jet Blue'!$GY$19</f>
        <v>30</v>
      </c>
      <c r="D48" s="115">
        <f>'[3]Jet Blue'!$GK$19</f>
        <v>174</v>
      </c>
      <c r="E48" s="242">
        <f>(C48-D48)/D48</f>
        <v>-0.82758620689655171</v>
      </c>
      <c r="F48" s="115">
        <f>SUM('[3]Jet Blue'!$GP$19:$GY$19)</f>
        <v>647</v>
      </c>
      <c r="G48" s="115">
        <f>SUM('[3]Jet Blue'!$GB$19:$GK$19)</f>
        <v>1720</v>
      </c>
      <c r="H48" s="241">
        <f>(F48-G48)/G48</f>
        <v>-0.62383720930232556</v>
      </c>
      <c r="I48" s="242">
        <f>F48/$F$70</f>
        <v>3.6025903014037294E-3</v>
      </c>
      <c r="J48" s="239" t="s">
        <v>201</v>
      </c>
      <c r="K48" s="33"/>
      <c r="L48" s="240">
        <f>'[3]Jet Blue'!$GY$41</f>
        <v>1138</v>
      </c>
      <c r="M48" s="115">
        <f>'[3]Jet Blue'!$GK$41</f>
        <v>19540</v>
      </c>
      <c r="N48" s="242">
        <f>(L48-M48)/M48</f>
        <v>-0.9417604912998977</v>
      </c>
      <c r="O48" s="240">
        <f>SUM('[3]Jet Blue'!$GP$41:$GY$41)</f>
        <v>34347</v>
      </c>
      <c r="P48" s="115">
        <f>SUM('[3]Jet Blue'!$GB$41:$GK$41)</f>
        <v>195885</v>
      </c>
      <c r="Q48" s="241">
        <f>(O48-P48)/P48</f>
        <v>-0.82465732445057049</v>
      </c>
      <c r="R48" s="242">
        <f>O48/$O$70</f>
        <v>2.8036888830189036E-3</v>
      </c>
      <c r="S48" s="239" t="s">
        <v>201</v>
      </c>
      <c r="T48" s="33"/>
      <c r="U48" s="240">
        <f>'[3]Jet Blue'!$GY$64</f>
        <v>0</v>
      </c>
      <c r="V48" s="115">
        <f>'[3]Jet Blue'!$GK$64</f>
        <v>0</v>
      </c>
      <c r="W48" s="242" t="e">
        <f>(U48-V48)/V48</f>
        <v>#DIV/0!</v>
      </c>
      <c r="X48" s="240">
        <f>SUM('[3]Jet Blue'!$GP$64:$GY$64)</f>
        <v>0</v>
      </c>
      <c r="Y48" s="115">
        <f>SUM('[3]Jet Blue'!$GB$64:$GK$64)</f>
        <v>0</v>
      </c>
      <c r="Z48" s="241" t="e">
        <f>(X48-Y48)/Y48</f>
        <v>#DIV/0!</v>
      </c>
      <c r="AA48" s="242">
        <f>X48/$X$70</f>
        <v>0</v>
      </c>
    </row>
    <row r="49" spans="1:27" ht="14.1" customHeight="1" x14ac:dyDescent="0.2">
      <c r="A49" s="239"/>
      <c r="B49" s="33"/>
      <c r="C49" s="240"/>
      <c r="D49" s="115"/>
      <c r="E49" s="242"/>
      <c r="F49" s="115"/>
      <c r="G49" s="115"/>
      <c r="H49" s="241"/>
      <c r="I49" s="242"/>
      <c r="J49" s="239"/>
      <c r="K49" s="33"/>
      <c r="L49" s="243"/>
      <c r="N49" s="58"/>
      <c r="O49" s="243"/>
      <c r="P49" s="2"/>
      <c r="Q49" s="3"/>
      <c r="R49" s="58"/>
      <c r="S49" s="239"/>
      <c r="T49" s="33"/>
      <c r="U49" s="243"/>
      <c r="V49" s="2"/>
      <c r="W49" s="58"/>
      <c r="X49" s="243"/>
      <c r="Y49" s="2"/>
      <c r="Z49" s="3"/>
      <c r="AA49" s="58"/>
    </row>
    <row r="50" spans="1:27" ht="14.1" customHeight="1" x14ac:dyDescent="0.2">
      <c r="A50" s="239" t="s">
        <v>194</v>
      </c>
      <c r="B50" s="33"/>
      <c r="C50" s="240">
        <f>[3]KLM!$GY$19</f>
        <v>0</v>
      </c>
      <c r="D50" s="115">
        <f>[3]KLM!$GK$19</f>
        <v>36</v>
      </c>
      <c r="E50" s="242">
        <f>(C50-D50)/D50</f>
        <v>-1</v>
      </c>
      <c r="F50" s="115">
        <f>SUM([3]KLM!$GP$19:$GY$19)</f>
        <v>80</v>
      </c>
      <c r="G50" s="115">
        <f>SUM([3]KLM!$GB$19:$GK$19)</f>
        <v>336</v>
      </c>
      <c r="H50" s="241">
        <f>(F50-G50)/G50</f>
        <v>-0.76190476190476186</v>
      </c>
      <c r="I50" s="242">
        <f>F50/$F$70</f>
        <v>4.454516601426559E-4</v>
      </c>
      <c r="J50" s="239" t="s">
        <v>194</v>
      </c>
      <c r="K50" s="33"/>
      <c r="L50" s="240">
        <f>[3]KLM!$GY$41</f>
        <v>0</v>
      </c>
      <c r="M50" s="115">
        <f>[3]KLM!$GK$41</f>
        <v>8773</v>
      </c>
      <c r="N50" s="242">
        <f>(L50-M50)/M50</f>
        <v>-1</v>
      </c>
      <c r="O50" s="240">
        <f>SUM([3]KLM!$GP$41:$GY$41)</f>
        <v>15968</v>
      </c>
      <c r="P50" s="115">
        <f>SUM([3]KLM!$GB$41:$GK$41)</f>
        <v>79712</v>
      </c>
      <c r="Q50" s="241">
        <f>(O50-P50)/P50</f>
        <v>-0.79967884383781618</v>
      </c>
      <c r="R50" s="242">
        <f>O50/$O$70</f>
        <v>1.3034414674948571E-3</v>
      </c>
      <c r="S50" s="239" t="s">
        <v>194</v>
      </c>
      <c r="T50" s="33"/>
      <c r="U50" s="240">
        <f>[3]KLM!$GY$64</f>
        <v>0</v>
      </c>
      <c r="V50" s="115">
        <f>[3]KLM!$GK$64</f>
        <v>705126</v>
      </c>
      <c r="W50" s="242">
        <f>(U50-V50)/V50</f>
        <v>-1</v>
      </c>
      <c r="X50" s="240">
        <f>SUM([3]KLM!$GP$64:$GY$64)</f>
        <v>818409</v>
      </c>
      <c r="Y50" s="115">
        <f>SUM([3]KLM!$GB$64:$GK$64)</f>
        <v>5628954</v>
      </c>
      <c r="Z50" s="241">
        <f>(X50-Y50)/Y50</f>
        <v>-0.8546072680643686</v>
      </c>
      <c r="AA50" s="242">
        <f>X50/$X$70</f>
        <v>1.8288161542220308E-2</v>
      </c>
    </row>
    <row r="51" spans="1:27" ht="14.1" customHeight="1" x14ac:dyDescent="0.2">
      <c r="A51" s="239"/>
      <c r="B51" s="33"/>
      <c r="C51" s="240"/>
      <c r="D51" s="115"/>
      <c r="E51" s="242"/>
      <c r="F51" s="115"/>
      <c r="G51" s="115"/>
      <c r="H51" s="241"/>
      <c r="I51" s="242"/>
      <c r="J51" s="239"/>
      <c r="K51" s="33"/>
      <c r="L51" s="243"/>
      <c r="N51" s="58"/>
      <c r="O51" s="243"/>
      <c r="P51" s="2"/>
      <c r="Q51" s="3"/>
      <c r="R51" s="58"/>
      <c r="S51" s="239"/>
      <c r="T51" s="33"/>
      <c r="U51" s="243"/>
      <c r="V51" s="2"/>
      <c r="W51" s="58"/>
      <c r="X51" s="243"/>
      <c r="Y51" s="2"/>
      <c r="Z51" s="3"/>
      <c r="AA51" s="58"/>
    </row>
    <row r="52" spans="1:27" ht="14.1" customHeight="1" x14ac:dyDescent="0.2">
      <c r="A52" s="244" t="s">
        <v>130</v>
      </c>
      <c r="C52" s="240">
        <f>[3]Southwest!$GY$19</f>
        <v>499</v>
      </c>
      <c r="D52" s="115">
        <f>[3]Southwest!$GK$19</f>
        <v>1329</v>
      </c>
      <c r="E52" s="242">
        <f>(C52-D52)/D52</f>
        <v>-0.62452972159518438</v>
      </c>
      <c r="F52" s="115">
        <f>SUM([3]Southwest!$GP$19:$GY$19)</f>
        <v>7295</v>
      </c>
      <c r="G52" s="115">
        <f>SUM([3]Southwest!$GB$19:$GK$19)</f>
        <v>13516</v>
      </c>
      <c r="H52" s="241">
        <f>(F52-G52)/G52</f>
        <v>-0.4602693104468778</v>
      </c>
      <c r="I52" s="242">
        <f>F52/$F$70</f>
        <v>4.0619623259258435E-2</v>
      </c>
      <c r="J52" s="244" t="s">
        <v>130</v>
      </c>
      <c r="L52" s="240">
        <f>[3]Southwest!$GY$41</f>
        <v>42969</v>
      </c>
      <c r="M52" s="115">
        <f>[3]Southwest!$GK$41</f>
        <v>156978</v>
      </c>
      <c r="N52" s="242">
        <f>(L52-M52)/M52</f>
        <v>-0.72627374536559264</v>
      </c>
      <c r="O52" s="240">
        <f>SUM([3]Southwest!$GP$41:$GY$41)</f>
        <v>574778</v>
      </c>
      <c r="P52" s="115">
        <f>SUM([3]Southwest!$GB$41:$GK$41)</f>
        <v>1570990</v>
      </c>
      <c r="Q52" s="241">
        <f>(O52-P52)/P52</f>
        <v>-0.63413007084704553</v>
      </c>
      <c r="R52" s="242">
        <f>O52/$O$70</f>
        <v>4.6918178845425783E-2</v>
      </c>
      <c r="S52" s="239" t="s">
        <v>130</v>
      </c>
      <c r="T52" s="33"/>
      <c r="U52" s="240">
        <f>[3]Southwest!$GY$64</f>
        <v>291422</v>
      </c>
      <c r="V52" s="115">
        <f>[3]Southwest!$GK$64</f>
        <v>352730</v>
      </c>
      <c r="W52" s="242">
        <f>(U52-V52)/V52</f>
        <v>-0.17380999631446148</v>
      </c>
      <c r="X52" s="240">
        <f>SUM([3]Southwest!$GP$64:$GY$64)</f>
        <v>2525165</v>
      </c>
      <c r="Y52" s="115">
        <f>SUM([3]Southwest!$GB$64:$GK$64)</f>
        <v>3215108</v>
      </c>
      <c r="Z52" s="241">
        <f>(X52-Y52)/Y52</f>
        <v>-0.21459403541031905</v>
      </c>
      <c r="AA52" s="242">
        <f>X52/$X$70</f>
        <v>5.6427318664336215E-2</v>
      </c>
    </row>
    <row r="53" spans="1:27" ht="14.1" customHeight="1" x14ac:dyDescent="0.2">
      <c r="A53" s="239"/>
      <c r="B53" s="33"/>
      <c r="C53" s="240"/>
      <c r="D53" s="115"/>
      <c r="E53" s="242"/>
      <c r="F53" s="115"/>
      <c r="G53" s="115"/>
      <c r="H53" s="241"/>
      <c r="I53" s="242"/>
      <c r="J53" s="239"/>
      <c r="K53" s="33"/>
      <c r="L53" s="243"/>
      <c r="N53" s="58"/>
      <c r="O53" s="243"/>
      <c r="P53" s="2"/>
      <c r="Q53" s="3"/>
      <c r="R53" s="58"/>
      <c r="S53" s="239"/>
      <c r="T53" s="33"/>
      <c r="U53" s="243"/>
      <c r="V53" s="2"/>
      <c r="W53" s="58"/>
      <c r="X53" s="243"/>
      <c r="Y53" s="2"/>
      <c r="Z53" s="3"/>
      <c r="AA53" s="58"/>
    </row>
    <row r="54" spans="1:27" ht="14.1" customHeight="1" x14ac:dyDescent="0.2">
      <c r="A54" s="239" t="s">
        <v>156</v>
      </c>
      <c r="B54" s="33"/>
      <c r="C54" s="240">
        <f>[3]Spirit!$GY$19</f>
        <v>159</v>
      </c>
      <c r="D54" s="115">
        <f>[3]Spirit!$GK$19</f>
        <v>600</v>
      </c>
      <c r="E54" s="242">
        <f>(C54-D54)/D54</f>
        <v>-0.73499999999999999</v>
      </c>
      <c r="F54" s="115">
        <f>SUM([3]Spirit!$GP$19:$GY$19)</f>
        <v>3060</v>
      </c>
      <c r="G54" s="115">
        <f>SUM([3]Spirit!$GB$19:$GK$19)</f>
        <v>6392</v>
      </c>
      <c r="H54" s="241">
        <f>(F54-G54)/G54</f>
        <v>-0.52127659574468088</v>
      </c>
      <c r="I54" s="242">
        <f>F54/$F$70</f>
        <v>1.7038526000456588E-2</v>
      </c>
      <c r="J54" s="239" t="s">
        <v>156</v>
      </c>
      <c r="K54" s="33"/>
      <c r="L54" s="240">
        <f>[3]Spirit!$GY$41</f>
        <v>23155</v>
      </c>
      <c r="M54" s="115">
        <f>[3]Spirit!$GK$41</f>
        <v>93897</v>
      </c>
      <c r="N54" s="242">
        <f>(L54-M54)/M54</f>
        <v>-0.75340000212999347</v>
      </c>
      <c r="O54" s="240">
        <f>SUM([3]Spirit!$GP$41:$GY$41)</f>
        <v>389083</v>
      </c>
      <c r="P54" s="115">
        <f>SUM([3]Spirit!$GB$41:$GK$41)</f>
        <v>971455</v>
      </c>
      <c r="Q54" s="241">
        <f>(O54-P54)/P54</f>
        <v>-0.59948427873653443</v>
      </c>
      <c r="R54" s="242">
        <f>O54/$O$70</f>
        <v>3.1760202686454249E-2</v>
      </c>
      <c r="S54" s="239" t="s">
        <v>156</v>
      </c>
      <c r="T54" s="33"/>
      <c r="U54" s="240">
        <f>[3]Spirit!$GY$64</f>
        <v>0</v>
      </c>
      <c r="V54" s="115">
        <f>[3]Spirit!$GK$64</f>
        <v>0</v>
      </c>
      <c r="W54" s="242" t="e">
        <f>(U54-V54)/V54</f>
        <v>#DIV/0!</v>
      </c>
      <c r="X54" s="240">
        <f>SUM([3]Spirit!$GP$64:$GY$64)</f>
        <v>0</v>
      </c>
      <c r="Y54" s="115">
        <f>SUM([3]Spirit!$GB$64:$GK$64)</f>
        <v>0</v>
      </c>
      <c r="Z54" s="241" t="e">
        <f>(X54-Y54)/Y54</f>
        <v>#DIV/0!</v>
      </c>
      <c r="AA54" s="242">
        <f>X54/$X$70</f>
        <v>0</v>
      </c>
    </row>
    <row r="55" spans="1:27" ht="14.1" customHeight="1" x14ac:dyDescent="0.2">
      <c r="A55" s="239"/>
      <c r="B55" s="33"/>
      <c r="C55" s="240"/>
      <c r="D55" s="115"/>
      <c r="E55" s="242"/>
      <c r="F55" s="115"/>
      <c r="G55" s="115"/>
      <c r="H55" s="241"/>
      <c r="I55" s="242"/>
      <c r="J55" s="239"/>
      <c r="K55" s="33"/>
      <c r="L55" s="243"/>
      <c r="N55" s="58"/>
      <c r="O55" s="243"/>
      <c r="P55" s="2"/>
      <c r="Q55" s="3"/>
      <c r="R55" s="58"/>
      <c r="S55" s="239"/>
      <c r="T55" s="33"/>
      <c r="U55" s="243"/>
      <c r="V55" s="2"/>
      <c r="W55" s="58"/>
      <c r="X55" s="243"/>
      <c r="Y55" s="2"/>
      <c r="Z55" s="3"/>
      <c r="AA55" s="58">
        <f>X55/$X$70</f>
        <v>0</v>
      </c>
    </row>
    <row r="56" spans="1:27" ht="14.1" customHeight="1" x14ac:dyDescent="0.2">
      <c r="A56" s="239" t="s">
        <v>49</v>
      </c>
      <c r="B56" s="33"/>
      <c r="C56" s="240">
        <f>'[3]Sun Country'!$GY$19</f>
        <v>1140</v>
      </c>
      <c r="D56" s="115">
        <f>'[3]Sun Country'!$GK$19</f>
        <v>1713</v>
      </c>
      <c r="E56" s="242">
        <f>(C56-D56)/D56</f>
        <v>-0.33450087565674258</v>
      </c>
      <c r="F56" s="115">
        <f>SUM('[3]Sun Country'!$GP$19:$GY$19)</f>
        <v>11237</v>
      </c>
      <c r="G56" s="115">
        <f>SUM('[3]Sun Country'!$GB$19:$GK$19)</f>
        <v>17595</v>
      </c>
      <c r="H56" s="241">
        <f>(F56-G56)/G56</f>
        <v>-0.36135265700483093</v>
      </c>
      <c r="I56" s="242">
        <f>F56/$F$70</f>
        <v>6.2569253812787801E-2</v>
      </c>
      <c r="J56" s="239" t="s">
        <v>49</v>
      </c>
      <c r="K56" s="33"/>
      <c r="L56" s="240">
        <f>'[3]Sun Country'!$GY$41</f>
        <v>127180</v>
      </c>
      <c r="M56" s="115">
        <f>'[3]Sun Country'!$GK$41</f>
        <v>229272</v>
      </c>
      <c r="N56" s="242">
        <f>(L56-M56)/M56</f>
        <v>-0.44528769322027983</v>
      </c>
      <c r="O56" s="240">
        <f>SUM('[3]Sun Country'!$GP$41:$GY$41)</f>
        <v>1250227</v>
      </c>
      <c r="P56" s="115">
        <f>SUM('[3]Sun Country'!$GB$41:$GK$41)</f>
        <v>2372177</v>
      </c>
      <c r="Q56" s="241">
        <f>(O56-P56)/P56</f>
        <v>-0.4729621777801572</v>
      </c>
      <c r="R56" s="242">
        <f>O56/$O$70</f>
        <v>0.10205396515416411</v>
      </c>
      <c r="S56" s="239" t="s">
        <v>49</v>
      </c>
      <c r="T56" s="33"/>
      <c r="U56" s="240">
        <f>'[3]Sun Country'!$GY$64</f>
        <v>374204</v>
      </c>
      <c r="V56" s="115">
        <f>'[3]Sun Country'!$GK$64</f>
        <v>846149</v>
      </c>
      <c r="W56" s="242">
        <f>(U56-V56)/V56</f>
        <v>-0.55775637624106389</v>
      </c>
      <c r="X56" s="240">
        <f>SUM('[3]Sun Country'!$GP$64:$GY$64)</f>
        <v>3159340</v>
      </c>
      <c r="Y56" s="115">
        <f>SUM('[3]Sun Country'!$GB$64:$GK$64)</f>
        <v>8093260</v>
      </c>
      <c r="Z56" s="241">
        <f>(X56-Y56)/Y56</f>
        <v>-0.60963320095981099</v>
      </c>
      <c r="AA56" s="242">
        <f>X56/$X$70</f>
        <v>7.0598588586878078E-2</v>
      </c>
    </row>
    <row r="57" spans="1:27" ht="14.1" customHeight="1" x14ac:dyDescent="0.2">
      <c r="A57" s="239"/>
      <c r="B57" s="33"/>
      <c r="C57" s="240"/>
      <c r="D57" s="115"/>
      <c r="E57" s="242"/>
      <c r="F57" s="115"/>
      <c r="G57" s="115"/>
      <c r="H57" s="241"/>
      <c r="I57" s="242"/>
      <c r="J57" s="239"/>
      <c r="K57" s="33"/>
      <c r="L57" s="243"/>
      <c r="N57" s="58"/>
      <c r="O57" s="243"/>
      <c r="P57" s="2"/>
      <c r="Q57" s="3"/>
      <c r="R57" s="58"/>
      <c r="S57" s="239"/>
      <c r="T57" s="33"/>
      <c r="U57" s="243"/>
      <c r="V57" s="2"/>
      <c r="W57" s="58"/>
      <c r="X57" s="243"/>
      <c r="Y57" s="2"/>
      <c r="Z57" s="3"/>
      <c r="AA57" s="58"/>
    </row>
    <row r="58" spans="1:27" ht="14.1" customHeight="1" x14ac:dyDescent="0.2">
      <c r="A58" s="239" t="s">
        <v>19</v>
      </c>
      <c r="B58" s="244"/>
      <c r="C58" s="240">
        <f>SUM(C59:C65)</f>
        <v>676</v>
      </c>
      <c r="D58" s="115">
        <f>SUM(D59:D65)</f>
        <v>1654</v>
      </c>
      <c r="E58" s="242">
        <f t="shared" ref="E58:E65" si="21">(C58-D58)/D58</f>
        <v>-0.59129383313180173</v>
      </c>
      <c r="F58" s="115">
        <f>SUM(F59:F65)</f>
        <v>7581</v>
      </c>
      <c r="G58" s="115">
        <f>SUM(G59:G65)</f>
        <v>14898</v>
      </c>
      <c r="H58" s="241">
        <f t="shared" ref="H58:H65" si="22">(F58-G58)/G58</f>
        <v>-0.49113975030205398</v>
      </c>
      <c r="I58" s="242">
        <f t="shared" ref="I58:I65" si="23">F58/$F$70</f>
        <v>4.221211294426843E-2</v>
      </c>
      <c r="J58" s="239" t="s">
        <v>19</v>
      </c>
      <c r="K58" s="244"/>
      <c r="L58" s="240">
        <f>SUM(L59:L65)</f>
        <v>51040</v>
      </c>
      <c r="M58" s="115">
        <f>SUM(M59:M65)</f>
        <v>153915</v>
      </c>
      <c r="N58" s="242">
        <f t="shared" ref="N58:N65" si="24">(L58-M58)/M58</f>
        <v>-0.66838839619270374</v>
      </c>
      <c r="O58" s="240">
        <f>SUM(O59:O65)</f>
        <v>486263</v>
      </c>
      <c r="P58" s="115">
        <f>SUM(P59:P65)</f>
        <v>1352804</v>
      </c>
      <c r="Q58" s="241">
        <f t="shared" ref="Q58:Q65" si="25">(O58-P58)/P58</f>
        <v>-0.64055177246666928</v>
      </c>
      <c r="R58" s="242">
        <f t="shared" ref="R58:R65" si="26">O58/$O$70</f>
        <v>3.9692845585449124E-2</v>
      </c>
      <c r="S58" s="239" t="s">
        <v>19</v>
      </c>
      <c r="T58" s="244"/>
      <c r="U58" s="240">
        <f>SUM(U59:U65)</f>
        <v>79096</v>
      </c>
      <c r="V58" s="115">
        <f>SUM(V59:V65)</f>
        <v>163808</v>
      </c>
      <c r="W58" s="242">
        <f t="shared" ref="W58:W65" si="27">(U58-V58)/V58</f>
        <v>-0.5171420199257668</v>
      </c>
      <c r="X58" s="240">
        <f>SUM(X59:X65)</f>
        <v>709296</v>
      </c>
      <c r="Y58" s="115">
        <f>SUM(Y59:Y65)</f>
        <v>1499973</v>
      </c>
      <c r="Z58" s="241">
        <f t="shared" ref="Z58:Z65" si="28">(X58-Y58)/Y58</f>
        <v>-0.52712748829478928</v>
      </c>
      <c r="AA58" s="242">
        <f t="shared" ref="AA58:AA65" si="29">X58/$X$70</f>
        <v>1.5849923240397766E-2</v>
      </c>
    </row>
    <row r="59" spans="1:27" ht="14.1" customHeight="1" x14ac:dyDescent="0.2">
      <c r="A59" s="31"/>
      <c r="B59" s="296" t="s">
        <v>19</v>
      </c>
      <c r="C59" s="243">
        <f>[3]United!$GY$19</f>
        <v>286</v>
      </c>
      <c r="D59" s="2">
        <f>[3]United!$GK$19+[3]Continental!$GK$19</f>
        <v>792</v>
      </c>
      <c r="E59" s="58">
        <f t="shared" si="21"/>
        <v>-0.63888888888888884</v>
      </c>
      <c r="F59" s="2">
        <f>SUM([3]United!$GP$19:$GY$19)</f>
        <v>2446</v>
      </c>
      <c r="G59" s="2">
        <f>SUM([3]United!$GB$19:$GK$19)+SUM([3]Continental!$GB$19:$GK$19)</f>
        <v>6046</v>
      </c>
      <c r="H59" s="3">
        <f t="shared" si="22"/>
        <v>-0.59543499834601388</v>
      </c>
      <c r="I59" s="58">
        <f t="shared" si="23"/>
        <v>1.3619684508861704E-2</v>
      </c>
      <c r="J59" s="31"/>
      <c r="K59" s="296" t="s">
        <v>19</v>
      </c>
      <c r="L59" s="243">
        <f>[3]United!$GY$41</f>
        <v>31605</v>
      </c>
      <c r="M59" s="2">
        <f>[3]United!$GK$41+[3]Continental!$GK$41</f>
        <v>101865</v>
      </c>
      <c r="N59" s="58">
        <f t="shared" si="24"/>
        <v>-0.68973641584450007</v>
      </c>
      <c r="O59" s="243">
        <f>SUM([3]United!$GP$41:$GY$41)</f>
        <v>241546</v>
      </c>
      <c r="P59" s="2">
        <f>SUM([3]United!$GB$41:$GK$41)+SUM([3]Continental!$GB$41:$GK$41)</f>
        <v>800936</v>
      </c>
      <c r="Q59" s="3">
        <f t="shared" si="25"/>
        <v>-0.69842034819261467</v>
      </c>
      <c r="R59" s="58">
        <f t="shared" si="26"/>
        <v>1.9717001046312171E-2</v>
      </c>
      <c r="S59" s="31"/>
      <c r="T59" s="296" t="s">
        <v>19</v>
      </c>
      <c r="U59" s="243">
        <f>[3]United!$GY$64</f>
        <v>79096</v>
      </c>
      <c r="V59" s="2">
        <f>[3]United!$GK$64+[3]Continental!$GK$64</f>
        <v>163808</v>
      </c>
      <c r="W59" s="58">
        <f t="shared" si="27"/>
        <v>-0.5171420199257668</v>
      </c>
      <c r="X59" s="243">
        <f>SUM([3]United!$GP$64:$GY$64)</f>
        <v>709296</v>
      </c>
      <c r="Y59" s="2">
        <f>SUM([3]United!$GB$64:$GK$64)+SUM([3]Continental!$GB$64:$GK$64)</f>
        <v>1499973</v>
      </c>
      <c r="Z59" s="3">
        <f t="shared" si="28"/>
        <v>-0.52712748829478928</v>
      </c>
      <c r="AA59" s="58">
        <f t="shared" si="29"/>
        <v>1.5849923240397766E-2</v>
      </c>
    </row>
    <row r="60" spans="1:27" ht="14.1" customHeight="1" x14ac:dyDescent="0.2">
      <c r="A60" s="31"/>
      <c r="B60" s="296" t="s">
        <v>167</v>
      </c>
      <c r="C60" s="243">
        <f>'[3]Continental Express'!$GY$19</f>
        <v>0</v>
      </c>
      <c r="D60" s="2">
        <f>'[3]Continental Express'!$GK$19</f>
        <v>92</v>
      </c>
      <c r="E60" s="58">
        <f t="shared" si="21"/>
        <v>-1</v>
      </c>
      <c r="F60" s="2">
        <f>SUM('[3]Continental Express'!$GP$19:$GY$19)</f>
        <v>236</v>
      </c>
      <c r="G60" s="2">
        <f>SUM('[3]Continental Express'!$GB$19:$GK$19)</f>
        <v>500</v>
      </c>
      <c r="H60" s="3">
        <f t="shared" si="22"/>
        <v>-0.52800000000000002</v>
      </c>
      <c r="I60" s="58">
        <f t="shared" si="23"/>
        <v>1.3140823974208348E-3</v>
      </c>
      <c r="J60" s="31"/>
      <c r="K60" s="296" t="s">
        <v>167</v>
      </c>
      <c r="L60" s="243">
        <f>'[3]Continental Express'!$GY$41</f>
        <v>0</v>
      </c>
      <c r="M60" s="2">
        <f>'[3]Continental Express'!$GK$41</f>
        <v>5298</v>
      </c>
      <c r="N60" s="58">
        <f t="shared" si="24"/>
        <v>-1</v>
      </c>
      <c r="O60" s="243">
        <f>SUM('[3]Continental Express'!$GP$41:$GY$41)</f>
        <v>10983</v>
      </c>
      <c r="P60" s="2">
        <f>SUM('[3]Continental Express'!$GB$41:$GK$41)</f>
        <v>27326</v>
      </c>
      <c r="Q60" s="3">
        <f t="shared" si="25"/>
        <v>-0.59807509331771935</v>
      </c>
      <c r="R60" s="58">
        <f t="shared" si="26"/>
        <v>8.9652415064479048E-4</v>
      </c>
      <c r="S60" s="31"/>
      <c r="T60" s="296" t="s">
        <v>167</v>
      </c>
      <c r="U60" s="243">
        <f>'[3]Continental Express'!$GY$64</f>
        <v>0</v>
      </c>
      <c r="V60" s="2">
        <f>'[3]Continental Express'!$GK$64</f>
        <v>0</v>
      </c>
      <c r="W60" s="58" t="e">
        <f t="shared" si="27"/>
        <v>#DIV/0!</v>
      </c>
      <c r="X60" s="243">
        <f>SUM('[3]Continental Express'!$GP$64:$GY$64)</f>
        <v>0</v>
      </c>
      <c r="Y60" s="2">
        <f>SUM('[3]Continental Express'!$GB$64:$GK$64)</f>
        <v>0</v>
      </c>
      <c r="Z60" s="3" t="e">
        <f t="shared" si="28"/>
        <v>#DIV/0!</v>
      </c>
      <c r="AA60" s="58">
        <f t="shared" si="29"/>
        <v>0</v>
      </c>
    </row>
    <row r="61" spans="1:27" ht="14.1" customHeight="1" x14ac:dyDescent="0.2">
      <c r="A61" s="31"/>
      <c r="B61" s="33" t="s">
        <v>155</v>
      </c>
      <c r="C61" s="243">
        <f>'[3]Go Jet_UA'!$GY$19</f>
        <v>0</v>
      </c>
      <c r="D61" s="2">
        <f>'[3]Go Jet_UA'!$GK$19</f>
        <v>10</v>
      </c>
      <c r="E61" s="58">
        <f t="shared" si="21"/>
        <v>-1</v>
      </c>
      <c r="F61" s="2">
        <f>SUM('[3]Go Jet_UA'!$GP$19:$GY$19)</f>
        <v>2</v>
      </c>
      <c r="G61" s="2">
        <f>SUM('[3]Go Jet_UA'!$GB$19:$GK$19)</f>
        <v>80</v>
      </c>
      <c r="H61" s="3">
        <f t="shared" si="22"/>
        <v>-0.97499999999999998</v>
      </c>
      <c r="I61" s="58">
        <f t="shared" si="23"/>
        <v>1.1136291503566397E-5</v>
      </c>
      <c r="J61" s="31"/>
      <c r="K61" s="33" t="s">
        <v>155</v>
      </c>
      <c r="L61" s="243">
        <f>'[3]Go Jet_UA'!$GY$41</f>
        <v>0</v>
      </c>
      <c r="M61" s="2">
        <f>'[3]Go Jet_UA'!$GK$41</f>
        <v>645</v>
      </c>
      <c r="N61" s="58">
        <f t="shared" si="24"/>
        <v>-1</v>
      </c>
      <c r="O61" s="243">
        <f>SUM('[3]Go Jet_UA'!$GP$41:$GY$41)</f>
        <v>83</v>
      </c>
      <c r="P61" s="2">
        <f>SUM('[3]Go Jet_UA'!$GB$41:$GK$41)</f>
        <v>4958</v>
      </c>
      <c r="Q61" s="3">
        <f t="shared" si="25"/>
        <v>-0.98325937878176684</v>
      </c>
      <c r="R61" s="58">
        <f t="shared" si="26"/>
        <v>6.7751529184665039E-6</v>
      </c>
      <c r="S61" s="31"/>
      <c r="T61" s="33" t="s">
        <v>155</v>
      </c>
      <c r="U61" s="243">
        <f>'[3]Go Jet_UA'!$GY$64</f>
        <v>0</v>
      </c>
      <c r="V61" s="2">
        <f>'[3]Go Jet_UA'!$GK$64</f>
        <v>0</v>
      </c>
      <c r="W61" s="58" t="e">
        <f t="shared" si="27"/>
        <v>#DIV/0!</v>
      </c>
      <c r="X61" s="243">
        <f>SUM('[3]Go Jet_UA'!$GP$64:$GY$64)</f>
        <v>0</v>
      </c>
      <c r="Y61" s="2">
        <f>SUM('[3]Go Jet_UA'!$GB$64:$GK$64)</f>
        <v>0</v>
      </c>
      <c r="Z61" s="3" t="e">
        <f t="shared" si="28"/>
        <v>#DIV/0!</v>
      </c>
      <c r="AA61" s="58">
        <f t="shared" si="29"/>
        <v>0</v>
      </c>
    </row>
    <row r="62" spans="1:27" ht="14.1" customHeight="1" x14ac:dyDescent="0.2">
      <c r="A62" s="31"/>
      <c r="B62" s="33" t="s">
        <v>51</v>
      </c>
      <c r="C62" s="243">
        <f>[3]MESA_UA!$GY$19</f>
        <v>124</v>
      </c>
      <c r="D62" s="2">
        <f>[3]MESA_UA!$GK$19</f>
        <v>152</v>
      </c>
      <c r="E62" s="58">
        <f t="shared" si="21"/>
        <v>-0.18421052631578946</v>
      </c>
      <c r="F62" s="2">
        <f>SUM([3]MESA_UA!$GP$19:$GY$19)</f>
        <v>1551</v>
      </c>
      <c r="G62" s="2">
        <f>SUM([3]MESA_UA!$GB$19:$GK$19)</f>
        <v>2232</v>
      </c>
      <c r="H62" s="3">
        <f>(F62-G62)/G62</f>
        <v>-0.30510752688172044</v>
      </c>
      <c r="I62" s="58">
        <f t="shared" si="23"/>
        <v>8.6361940610157409E-3</v>
      </c>
      <c r="J62" s="31"/>
      <c r="K62" s="33" t="s">
        <v>51</v>
      </c>
      <c r="L62" s="243">
        <f>[3]MESA_UA!$GY$41</f>
        <v>6799</v>
      </c>
      <c r="M62" s="2">
        <f>[3]MESA_UA!$GK$41</f>
        <v>8964</v>
      </c>
      <c r="N62" s="58">
        <f t="shared" si="24"/>
        <v>-0.24152164212405175</v>
      </c>
      <c r="O62" s="243">
        <f>SUM([3]MESA_UA!$GP$41:$GY$41)</f>
        <v>74287</v>
      </c>
      <c r="P62" s="2">
        <f>SUM([3]MESA_UA!$GB$41:$GK$41)</f>
        <v>142371</v>
      </c>
      <c r="Q62" s="3">
        <f t="shared" si="25"/>
        <v>-0.47821536689353872</v>
      </c>
      <c r="R62" s="58">
        <f t="shared" si="26"/>
        <v>6.0639251187243511E-3</v>
      </c>
      <c r="S62" s="31"/>
      <c r="T62" s="33" t="s">
        <v>51</v>
      </c>
      <c r="U62" s="243">
        <f>[3]MESA_UA!$GY$64</f>
        <v>0</v>
      </c>
      <c r="V62" s="2">
        <f>[3]MESA_UA!$GK$64</f>
        <v>0</v>
      </c>
      <c r="W62" s="58" t="e">
        <f t="shared" si="27"/>
        <v>#DIV/0!</v>
      </c>
      <c r="X62" s="243">
        <f>SUM([3]MESA_UA!$GP$64:$GY$64)</f>
        <v>0</v>
      </c>
      <c r="Y62" s="2">
        <f>SUM([3]MESA_UA!$GB$64:$GK$64)</f>
        <v>0</v>
      </c>
      <c r="Z62" s="3" t="e">
        <f t="shared" si="28"/>
        <v>#DIV/0!</v>
      </c>
      <c r="AA62" s="58">
        <f t="shared" si="29"/>
        <v>0</v>
      </c>
    </row>
    <row r="63" spans="1:27" ht="14.1" customHeight="1" x14ac:dyDescent="0.2">
      <c r="A63" s="31"/>
      <c r="B63" s="296" t="s">
        <v>52</v>
      </c>
      <c r="C63" s="243">
        <f>[3]Republic_UA!$GY$19</f>
        <v>124</v>
      </c>
      <c r="D63" s="2">
        <f>[3]Republic_UA!$GK$19</f>
        <v>516</v>
      </c>
      <c r="E63" s="58">
        <f t="shared" si="21"/>
        <v>-0.75968992248062017</v>
      </c>
      <c r="F63" s="2">
        <f>SUM([3]Republic_UA!$GP$19:$GY$19)</f>
        <v>1918</v>
      </c>
      <c r="G63" s="2">
        <f>SUM([3]Republic_UA!$GB$19:$GK$19)</f>
        <v>4842</v>
      </c>
      <c r="H63" s="3">
        <f t="shared" ref="H63" si="30">(F63-G63)/G63</f>
        <v>-0.60388269310202392</v>
      </c>
      <c r="I63" s="58">
        <f t="shared" si="23"/>
        <v>1.0679703551920175E-2</v>
      </c>
      <c r="J63" s="31"/>
      <c r="K63" s="296" t="s">
        <v>52</v>
      </c>
      <c r="L63" s="243">
        <f>[3]Republic_UA!$GY$41</f>
        <v>5713</v>
      </c>
      <c r="M63" s="2">
        <f>[3]Republic_UA!$GK$41</f>
        <v>31291</v>
      </c>
      <c r="N63" s="58">
        <f t="shared" si="24"/>
        <v>-0.81742354031510656</v>
      </c>
      <c r="O63" s="243">
        <f>SUM([3]Republic_UA!$GP$41:$GY$41)</f>
        <v>86682</v>
      </c>
      <c r="P63" s="2">
        <f>SUM([3]Republic_UA!$GB$41:$GK$41)</f>
        <v>299292</v>
      </c>
      <c r="Q63" s="3">
        <f t="shared" si="25"/>
        <v>-0.71037648851289037</v>
      </c>
      <c r="R63" s="58">
        <f t="shared" si="26"/>
        <v>7.0757084973314876E-3</v>
      </c>
      <c r="S63" s="31"/>
      <c r="T63" s="296" t="s">
        <v>52</v>
      </c>
      <c r="U63" s="243">
        <f>[3]Republic_UA!$GY$64</f>
        <v>0</v>
      </c>
      <c r="V63" s="2">
        <f>[3]Republic_UA!$GK$64</f>
        <v>0</v>
      </c>
      <c r="W63" s="58" t="e">
        <f t="shared" si="27"/>
        <v>#DIV/0!</v>
      </c>
      <c r="X63" s="243">
        <f>SUM([3]Republic_UA!$GP$64:$GY$64)</f>
        <v>0</v>
      </c>
      <c r="Y63" s="2">
        <f>SUM([3]Republic_UA!$GB$64:$GK$64)</f>
        <v>0</v>
      </c>
      <c r="Z63" s="3" t="e">
        <f t="shared" si="28"/>
        <v>#DIV/0!</v>
      </c>
      <c r="AA63" s="58">
        <f t="shared" si="29"/>
        <v>0</v>
      </c>
    </row>
    <row r="64" spans="1:27" ht="14.1" customHeight="1" x14ac:dyDescent="0.2">
      <c r="A64" s="31"/>
      <c r="B64" s="33" t="s">
        <v>98</v>
      </c>
      <c r="C64" s="243">
        <f>'[3]Sky West_UA'!$GY$19</f>
        <v>142</v>
      </c>
      <c r="D64" s="2">
        <f>'[3]Sky West_UA'!$GK$19+'[3]Sky West_CO'!$GK$19</f>
        <v>92</v>
      </c>
      <c r="E64" s="58">
        <f t="shared" si="21"/>
        <v>0.54347826086956519</v>
      </c>
      <c r="F64" s="2">
        <f>SUM('[3]Sky West_UA'!$GP$19:$GY$19)</f>
        <v>1428</v>
      </c>
      <c r="G64" s="2">
        <f>SUM('[3]Sky West_UA'!$GB$19:$GK$19)+SUM('[3]Sky West_CO'!$GB$19:$GK$19)</f>
        <v>1198</v>
      </c>
      <c r="H64" s="3">
        <f t="shared" si="22"/>
        <v>0.19198664440734559</v>
      </c>
      <c r="I64" s="58">
        <f t="shared" si="23"/>
        <v>7.9513121335464069E-3</v>
      </c>
      <c r="J64" s="31"/>
      <c r="K64" s="33" t="s">
        <v>98</v>
      </c>
      <c r="L64" s="243">
        <f>'[3]Sky West_UA'!$GY$41</f>
        <v>6923</v>
      </c>
      <c r="M64" s="2">
        <f>'[3]Sky West_UA'!$GK$41+'[3]Sky West_CO'!$GK$41</f>
        <v>5852</v>
      </c>
      <c r="N64" s="58">
        <f t="shared" si="24"/>
        <v>0.18301435406698566</v>
      </c>
      <c r="O64" s="243">
        <f>SUM('[3]Sky West_UA'!$GP$41:$GY$41)</f>
        <v>72682</v>
      </c>
      <c r="P64" s="2">
        <f>SUM('[3]Sky West_UA'!$GB$41:$GK$41)+SUM('[3]Sky West_CO'!$GB$41:$GK$41)</f>
        <v>77921</v>
      </c>
      <c r="Q64" s="3">
        <f t="shared" si="25"/>
        <v>-6.7234763414227225E-2</v>
      </c>
      <c r="R64" s="58">
        <f t="shared" si="26"/>
        <v>5.9329116195178605E-3</v>
      </c>
      <c r="S64" s="31"/>
      <c r="T64" s="33" t="s">
        <v>98</v>
      </c>
      <c r="U64" s="243">
        <f>'[3]Sky West_UA'!$GY$64</f>
        <v>0</v>
      </c>
      <c r="V64" s="2">
        <f>'[3]Sky West_UA'!$GK$64+'[3]Sky West_CO'!$GK$64</f>
        <v>0</v>
      </c>
      <c r="W64" s="58" t="e">
        <f t="shared" si="27"/>
        <v>#DIV/0!</v>
      </c>
      <c r="X64" s="243">
        <f>SUM('[3]Sky West_UA'!$GP$64:$GY$64)</f>
        <v>0</v>
      </c>
      <c r="Y64" s="2">
        <f>SUM('[3]Sky West_UA'!$GB$64:$GK$64)+SUM('[3]Sky West_CO'!$GB$64:$GK$64)</f>
        <v>0</v>
      </c>
      <c r="Z64" s="3" t="e">
        <f t="shared" si="28"/>
        <v>#DIV/0!</v>
      </c>
      <c r="AA64" s="58">
        <f t="shared" si="29"/>
        <v>0</v>
      </c>
    </row>
    <row r="65" spans="1:27" ht="14.1" customHeight="1" x14ac:dyDescent="0.2">
      <c r="A65" s="31"/>
      <c r="B65" s="245" t="s">
        <v>132</v>
      </c>
      <c r="C65" s="243">
        <f>'[3]Shuttle America'!$GY$19</f>
        <v>0</v>
      </c>
      <c r="D65" s="2">
        <f>'[3]Shuttle America'!$GK$19</f>
        <v>0</v>
      </c>
      <c r="E65" s="58" t="e">
        <f t="shared" si="21"/>
        <v>#DIV/0!</v>
      </c>
      <c r="F65" s="2">
        <f>SUM('[3]Shuttle America'!$GP$19:$GY$19)</f>
        <v>0</v>
      </c>
      <c r="G65" s="2">
        <f>SUM('[3]Shuttle America'!$GB$19:$GK$19)</f>
        <v>0</v>
      </c>
      <c r="H65" s="3" t="e">
        <f t="shared" si="22"/>
        <v>#DIV/0!</v>
      </c>
      <c r="I65" s="58">
        <f t="shared" si="23"/>
        <v>0</v>
      </c>
      <c r="J65" s="31"/>
      <c r="K65" s="245" t="s">
        <v>132</v>
      </c>
      <c r="L65" s="243">
        <f>'[3]Shuttle America'!$GY$41</f>
        <v>0</v>
      </c>
      <c r="M65" s="2">
        <f>'[3]Shuttle America'!$GK$41</f>
        <v>0</v>
      </c>
      <c r="N65" s="58" t="e">
        <f t="shared" si="24"/>
        <v>#DIV/0!</v>
      </c>
      <c r="O65" s="243">
        <f>SUM('[3]Shuttle America'!$GP$41:$GY$41)</f>
        <v>0</v>
      </c>
      <c r="P65" s="2">
        <f>SUM('[3]Shuttle America'!$GB$41:$GK$41)</f>
        <v>0</v>
      </c>
      <c r="Q65" s="3" t="e">
        <f t="shared" si="25"/>
        <v>#DIV/0!</v>
      </c>
      <c r="R65" s="58">
        <f t="shared" si="26"/>
        <v>0</v>
      </c>
      <c r="S65" s="31"/>
      <c r="T65" s="245" t="s">
        <v>132</v>
      </c>
      <c r="U65" s="243">
        <f>'[3]Shuttle America'!$GY$64</f>
        <v>0</v>
      </c>
      <c r="V65" s="2">
        <f>'[3]Shuttle America'!$GK$64</f>
        <v>0</v>
      </c>
      <c r="W65" s="58" t="e">
        <f t="shared" si="27"/>
        <v>#DIV/0!</v>
      </c>
      <c r="X65" s="243">
        <f>SUM('[3]Shuttle America'!$GP$64:$GY$64)</f>
        <v>0</v>
      </c>
      <c r="Y65" s="2">
        <f>SUM('[3]Shuttle America'!$GB$64:$GK$64)</f>
        <v>0</v>
      </c>
      <c r="Z65" s="3" t="e">
        <f t="shared" si="28"/>
        <v>#DIV/0!</v>
      </c>
      <c r="AA65" s="58">
        <f t="shared" si="29"/>
        <v>0</v>
      </c>
    </row>
    <row r="66" spans="1:27" ht="14.1" customHeight="1" thickBot="1" x14ac:dyDescent="0.25">
      <c r="A66" s="298"/>
      <c r="B66" s="299"/>
      <c r="C66" s="246"/>
      <c r="D66" s="248"/>
      <c r="E66" s="249"/>
      <c r="F66" s="248"/>
      <c r="G66" s="248"/>
      <c r="H66" s="247"/>
      <c r="I66" s="249"/>
      <c r="J66" s="298"/>
      <c r="K66" s="299"/>
      <c r="L66" s="246"/>
      <c r="M66" s="248"/>
      <c r="N66" s="249"/>
      <c r="O66" s="246"/>
      <c r="P66" s="248"/>
      <c r="Q66" s="247"/>
      <c r="R66" s="326"/>
      <c r="S66" s="298"/>
      <c r="T66" s="299"/>
      <c r="U66" s="246"/>
      <c r="V66" s="248"/>
      <c r="W66" s="249"/>
      <c r="X66" s="246"/>
      <c r="Y66" s="248"/>
      <c r="Z66" s="247"/>
      <c r="AA66" s="326"/>
    </row>
    <row r="67" spans="1:27" s="142" customFormat="1" ht="14.1" customHeight="1" thickBot="1" x14ac:dyDescent="0.25">
      <c r="B67" s="141"/>
      <c r="C67" s="115"/>
      <c r="D67" s="115"/>
      <c r="E67" s="241"/>
      <c r="F67" s="297"/>
      <c r="G67" s="115"/>
      <c r="H67" s="241"/>
      <c r="I67" s="241"/>
      <c r="J67" s="250"/>
      <c r="K67" s="141"/>
      <c r="L67" s="251"/>
      <c r="M67" s="252"/>
      <c r="N67" s="250"/>
      <c r="S67" s="250"/>
      <c r="T67" s="141"/>
      <c r="U67" s="251"/>
      <c r="V67" s="252"/>
      <c r="W67" s="250"/>
    </row>
    <row r="68" spans="1:27" ht="14.1" customHeight="1" x14ac:dyDescent="0.2">
      <c r="B68" s="253" t="s">
        <v>134</v>
      </c>
      <c r="C68" s="306">
        <f>+C70-C69</f>
        <v>9412</v>
      </c>
      <c r="D68" s="306">
        <f>+D70-D69</f>
        <v>20214</v>
      </c>
      <c r="E68" s="307">
        <f>(C68-D68)/D68</f>
        <v>-0.53438211140793512</v>
      </c>
      <c r="F68" s="306">
        <f>+F70-F69</f>
        <v>99508</v>
      </c>
      <c r="G68" s="306">
        <f>+G70-G69</f>
        <v>193311</v>
      </c>
      <c r="H68" s="307">
        <f>(F68-G68)/G68</f>
        <v>-0.48524398508103522</v>
      </c>
      <c r="I68" s="348">
        <f>F68/$F$70</f>
        <v>0.55407504746844249</v>
      </c>
      <c r="K68" s="253" t="s">
        <v>134</v>
      </c>
      <c r="L68" s="306">
        <f>+L70-L69</f>
        <v>781482</v>
      </c>
      <c r="M68" s="306">
        <f>+M70-M69</f>
        <v>2682877</v>
      </c>
      <c r="N68" s="307">
        <f>(L68-M68)/M68</f>
        <v>-0.70871493549648379</v>
      </c>
      <c r="O68" s="306">
        <f>+O70-O69</f>
        <v>9417007</v>
      </c>
      <c r="P68" s="306">
        <f>+P70-P69</f>
        <v>25995096</v>
      </c>
      <c r="Q68" s="339">
        <f>(O68-P68)/P68</f>
        <v>-0.63773909509701365</v>
      </c>
      <c r="R68" s="343">
        <f>+O68/O70</f>
        <v>0.76869472842493369</v>
      </c>
      <c r="S68" s="3"/>
      <c r="T68" s="253" t="s">
        <v>134</v>
      </c>
      <c r="U68" s="306">
        <f>+U70-U69</f>
        <v>3971038</v>
      </c>
      <c r="V68" s="306">
        <f>+V70-V69</f>
        <v>10043269</v>
      </c>
      <c r="W68" s="307">
        <f>(U68-V68)/V68</f>
        <v>-0.60460702585980719</v>
      </c>
      <c r="X68" s="306">
        <f>+X70-X69</f>
        <v>44720265</v>
      </c>
      <c r="Y68" s="306">
        <f>+Y70-Y69</f>
        <v>103700375</v>
      </c>
      <c r="Z68" s="339">
        <f>(X68-Y68)/Y68</f>
        <v>-0.56875503102086178</v>
      </c>
      <c r="AA68" s="343">
        <f>+X68/X70</f>
        <v>0.99931871537446537</v>
      </c>
    </row>
    <row r="69" spans="1:27" ht="14.1" customHeight="1" x14ac:dyDescent="0.2">
      <c r="B69" s="141" t="s">
        <v>135</v>
      </c>
      <c r="C69" s="308">
        <f>C65+C42+C40+C38+C37+C41+C22+C64+C61+C39+C60+C62+C27+C26+C23+C17+C8+C63+C24+C25+C9+C18</f>
        <v>9523</v>
      </c>
      <c r="D69" s="308">
        <f>D65+D42+D40+D38+D37+D41+D22+D64+D61+D39+D60+D62+D27+D26+D23+D17+D8+D63+D24+D25+D9+D18</f>
        <v>11767</v>
      </c>
      <c r="E69" s="254">
        <f>(C69-D69)/D69</f>
        <v>-0.19070281295147445</v>
      </c>
      <c r="F69" s="308">
        <f>F65+F42+F40+F38+F37+F41+F22+F64+F61+F39+F60+F62+F27+F26+F23+F17+F8+F63+F24+F25+F9+F18</f>
        <v>80085</v>
      </c>
      <c r="G69" s="308">
        <f>G65+G42+G40+G38+G37+G41+G22+G64+G61+G39+G60+G62+G27+G26+G23+G17+G8+G63+G24+G25+G9+G18</f>
        <v>119720</v>
      </c>
      <c r="H69" s="254">
        <f>(F69-G69)/G69</f>
        <v>-0.33106414968259273</v>
      </c>
      <c r="I69" s="349">
        <f>F69/$F$70</f>
        <v>0.44592495253155745</v>
      </c>
      <c r="K69" s="141" t="s">
        <v>135</v>
      </c>
      <c r="L69" s="308">
        <f>L65+L42+L40+L38+L37+L41+L22+L64+L61+L39+L60+L62+L27+L26+L23+L17+L8+L63+L24+L25+L9+L18</f>
        <v>323107</v>
      </c>
      <c r="M69" s="308">
        <f>M65+M42+M40+M38+M37+M41+M22+M64+M61+M39+M60+M62+M27+M26+M23+M17+M8+M63+M24+M25+M9+M18</f>
        <v>601293</v>
      </c>
      <c r="N69" s="254">
        <f>(L69-M69)/M69</f>
        <v>-0.46264633049112497</v>
      </c>
      <c r="O69" s="308">
        <f>O65+O42+O40+O38+O37+O41+O22+O64+O61+O39+O60+O62+O27+O26+O23+O17+O8+O63+O24+O25+O9+O18</f>
        <v>2833639</v>
      </c>
      <c r="P69" s="308">
        <f>P65+P42+P40+P38+P37+P41+P22+P64+P61+P39+P60+P62+P27+P26+P23+P17+P8+P63+P24+P25+P9+P18</f>
        <v>6346964</v>
      </c>
      <c r="Q69" s="337">
        <f>(O69-P69)/P69</f>
        <v>-0.55354418269900385</v>
      </c>
      <c r="R69" s="344">
        <f>+O69/O70</f>
        <v>0.23130527157506633</v>
      </c>
      <c r="S69" s="3"/>
      <c r="T69" s="141" t="s">
        <v>135</v>
      </c>
      <c r="U69" s="308">
        <f>U65+U42+U40+U38+U37+U41+U22+U64+U61+U39+U60+U62+U27+U26+U23+U17+U8+U63+U24+U25+U9+U18</f>
        <v>1069</v>
      </c>
      <c r="V69" s="308">
        <f>V65+V42+V40+V38+V37+V41+V22+V64+V61+V39+V60+V62+V27+V26+V23+V17+V8+V63+V24+V25+V9+V18</f>
        <v>8840</v>
      </c>
      <c r="W69" s="254">
        <f>(U69-V69)/V69</f>
        <v>-0.87907239819004523</v>
      </c>
      <c r="X69" s="308">
        <f>X65+X42+X40+X38+X37+X41+X22+X64+X61+X39+X60+X62+X27+X26+X23+X17+X8+X63+X24+X25+X9+X18</f>
        <v>30488</v>
      </c>
      <c r="Y69" s="308">
        <f>Y65+Y42+Y40+Y38+Y37+Y41+Y22+Y64+Y61+Y39+Y60+Y62+Y27+Y26+Y23+Y17+Y8+Y63+Y24+Y25+Y9+Y18</f>
        <v>97259</v>
      </c>
      <c r="Z69" s="337">
        <f>(X69-Y69)/Y69</f>
        <v>-0.68652772494062242</v>
      </c>
      <c r="AA69" s="344">
        <f>+X69/X70</f>
        <v>6.812846255346809E-4</v>
      </c>
    </row>
    <row r="70" spans="1:27" ht="14.1" customHeight="1" thickBot="1" x14ac:dyDescent="0.25">
      <c r="B70" s="141" t="s">
        <v>136</v>
      </c>
      <c r="C70" s="309">
        <f>C58+C56+C52+C46+C44+C35+C20+C15+C6+C54+C31+C29+C11+C50+C13+C48+C4+C33</f>
        <v>18935</v>
      </c>
      <c r="D70" s="309">
        <f>D58+D56+D52+D46+D44+D35+D20+D15+D6+D54+D31+D29+D11+D50+D13+D48+D4+D33</f>
        <v>31981</v>
      </c>
      <c r="E70" s="310">
        <f>(C70-D70)/D70</f>
        <v>-0.40792970826428193</v>
      </c>
      <c r="F70" s="309">
        <f>F58+F56+F52+F46+F44+F35+F20+F15+F6+F54+F31+F29+F11+F50+F13+F48+F4+F33</f>
        <v>179593</v>
      </c>
      <c r="G70" s="309">
        <f>G58+G56+G52+G46+G44+G35+G20+G15+G6+G54+G31+G29+G11+G50+G13+G48+G4+G33</f>
        <v>313031</v>
      </c>
      <c r="H70" s="310">
        <f>(F70-G70)/G70</f>
        <v>-0.42627726966338797</v>
      </c>
      <c r="I70" s="350">
        <f>+H70/H70</f>
        <v>1</v>
      </c>
      <c r="K70" s="141" t="s">
        <v>136</v>
      </c>
      <c r="L70" s="309">
        <f>L58+L56+L52+L46+L44+L35+L20+L15+L6+L54+L31+L29+L11+L50+L13+L48+L4+L33</f>
        <v>1104589</v>
      </c>
      <c r="M70" s="309">
        <f>M58+M56+M52+M46+M44+M35+M20+M15+M6+M54+M31+M29+M11+M50+M13+M48+M4+M33</f>
        <v>3284170</v>
      </c>
      <c r="N70" s="310">
        <f>(L70-M70)/M70</f>
        <v>-0.66366266058090784</v>
      </c>
      <c r="O70" s="309">
        <f>O58+O56+O52+O46+O44+O35+O20+O15+O6+O54+O31+O29+O11+O50+O13+O48+O4+O33</f>
        <v>12250646</v>
      </c>
      <c r="P70" s="309">
        <f>P58+P56+P52+P46+P44+P35+P20+P15+P6+P54+P31+P29+P11+P50+P13+P48+P4+P33</f>
        <v>32342060</v>
      </c>
      <c r="Q70" s="340">
        <f>(O70-P70)/P70</f>
        <v>-0.62121627379332056</v>
      </c>
      <c r="R70" s="345">
        <f>+O70/O70</f>
        <v>1</v>
      </c>
      <c r="S70" s="3"/>
      <c r="T70" s="141" t="s">
        <v>136</v>
      </c>
      <c r="U70" s="309">
        <f>U58+U56+U52+U46+U44+U35+U20+U15+U6+U54+U31+U29+U11+U50+U13+U48+U4+U33</f>
        <v>3972107</v>
      </c>
      <c r="V70" s="309">
        <f>V58+V56+V52+V46+V44+V35+V20+V15+V6+V54+V31+V29+V11+V50+V13+V48+V4+V33</f>
        <v>10052109</v>
      </c>
      <c r="W70" s="310">
        <f>(U70-V70)/V70</f>
        <v>-0.60484839549591041</v>
      </c>
      <c r="X70" s="309">
        <f>X58+X56+X52+X46+X44+X35+X20+X15+X6+X54+X31+X29+X11+X50+X13+X48+X4+X33</f>
        <v>44750753</v>
      </c>
      <c r="Y70" s="309">
        <f>Y58+Y56+Y52+Y46+Y44+Y35+Y20+Y15+Y6+Y54+Y31+Y29+Y11+Y50+Y13+Y48+Y4+Y33</f>
        <v>103797634</v>
      </c>
      <c r="Z70" s="340">
        <f>(X70-Y70)/Y70</f>
        <v>-0.5688653847350702</v>
      </c>
      <c r="AA70" s="345">
        <f>+X70/X70</f>
        <v>1</v>
      </c>
    </row>
    <row r="71" spans="1:27" x14ac:dyDescent="0.2">
      <c r="D71" s="3"/>
      <c r="F71" s="2"/>
      <c r="G71"/>
      <c r="H71"/>
      <c r="I71"/>
      <c r="J71"/>
      <c r="K71"/>
      <c r="M71"/>
      <c r="N71"/>
    </row>
    <row r="72" spans="1:27" x14ac:dyDescent="0.2">
      <c r="F72" s="2"/>
      <c r="H72"/>
      <c r="I72"/>
      <c r="J72"/>
      <c r="K72"/>
      <c r="N72"/>
      <c r="O72" s="2"/>
      <c r="P72" s="2"/>
    </row>
    <row r="73" spans="1:27" x14ac:dyDescent="0.2">
      <c r="F73" s="2"/>
      <c r="H73"/>
      <c r="I73"/>
      <c r="J73"/>
      <c r="K73"/>
      <c r="N73"/>
      <c r="O73" s="2"/>
      <c r="P73" s="2"/>
      <c r="U73" s="83"/>
    </row>
    <row r="74" spans="1:27" x14ac:dyDescent="0.2">
      <c r="F74" s="2"/>
      <c r="H74"/>
      <c r="I74"/>
      <c r="J74"/>
      <c r="K74"/>
      <c r="N74"/>
      <c r="O74" s="2"/>
      <c r="P74" s="2"/>
      <c r="U74" s="83"/>
    </row>
    <row r="75" spans="1:27" x14ac:dyDescent="0.2">
      <c r="D75" s="3"/>
      <c r="F75"/>
      <c r="G75"/>
      <c r="H75"/>
      <c r="I75"/>
      <c r="J75"/>
      <c r="K75"/>
      <c r="M75"/>
      <c r="N75"/>
    </row>
    <row r="76" spans="1:27" x14ac:dyDescent="0.2">
      <c r="D76" s="3"/>
      <c r="F76"/>
      <c r="G76"/>
      <c r="H76"/>
      <c r="I76"/>
      <c r="J76"/>
      <c r="K76"/>
      <c r="L76"/>
      <c r="M76"/>
      <c r="N76"/>
    </row>
    <row r="77" spans="1:27" x14ac:dyDescent="0.2">
      <c r="D77" s="3"/>
      <c r="F77"/>
      <c r="G77"/>
      <c r="H77"/>
      <c r="I77"/>
      <c r="J77"/>
      <c r="K77"/>
      <c r="L77"/>
      <c r="M77"/>
      <c r="N77"/>
    </row>
    <row r="78" spans="1:27" x14ac:dyDescent="0.2">
      <c r="D78" s="3"/>
      <c r="F78"/>
      <c r="G78"/>
      <c r="H78"/>
      <c r="I78"/>
      <c r="J78"/>
      <c r="K78"/>
      <c r="L78"/>
      <c r="M78"/>
      <c r="N78"/>
    </row>
    <row r="79" spans="1:27" x14ac:dyDescent="0.2">
      <c r="D79" s="3"/>
      <c r="F79"/>
      <c r="G79"/>
      <c r="H79"/>
      <c r="I79"/>
      <c r="J79"/>
      <c r="K79"/>
      <c r="L79"/>
      <c r="M79"/>
      <c r="N79"/>
    </row>
    <row r="80" spans="1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F142" s="143"/>
      <c r="K142"/>
    </row>
    <row r="143" spans="4:14" x14ac:dyDescent="0.2">
      <c r="F143" s="143"/>
      <c r="K143"/>
    </row>
    <row r="144" spans="4:14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  <row r="4671" spans="6:11" x14ac:dyDescent="0.2">
      <c r="F4671" s="143"/>
      <c r="K4671"/>
    </row>
    <row r="4672" spans="6:11" x14ac:dyDescent="0.2">
      <c r="F4672" s="143"/>
      <c r="K4672"/>
    </row>
    <row r="4673" spans="6:11" x14ac:dyDescent="0.2">
      <c r="F4673" s="143"/>
      <c r="K4673"/>
    </row>
    <row r="4674" spans="6:11" x14ac:dyDescent="0.2">
      <c r="F4674" s="143"/>
      <c r="K4674"/>
    </row>
    <row r="4675" spans="6:11" x14ac:dyDescent="0.2">
      <c r="F4675" s="143"/>
      <c r="K4675"/>
    </row>
    <row r="4676" spans="6:11" x14ac:dyDescent="0.2">
      <c r="F4676" s="143"/>
      <c r="K4676"/>
    </row>
    <row r="4677" spans="6:11" x14ac:dyDescent="0.2">
      <c r="F4677" s="143"/>
      <c r="K4677"/>
    </row>
    <row r="4678" spans="6:11" x14ac:dyDescent="0.2">
      <c r="F4678" s="143"/>
      <c r="K4678"/>
    </row>
    <row r="4679" spans="6:11" x14ac:dyDescent="0.2">
      <c r="F4679" s="143"/>
      <c r="K4679"/>
    </row>
    <row r="4680" spans="6:11" x14ac:dyDescent="0.2">
      <c r="F4680" s="143"/>
      <c r="K4680"/>
    </row>
    <row r="4681" spans="6:11" x14ac:dyDescent="0.2">
      <c r="F4681" s="143"/>
      <c r="K4681"/>
    </row>
    <row r="4682" spans="6:11" x14ac:dyDescent="0.2">
      <c r="F4682" s="143"/>
      <c r="K4682"/>
    </row>
    <row r="4683" spans="6:11" x14ac:dyDescent="0.2">
      <c r="F4683" s="143"/>
      <c r="K4683"/>
    </row>
    <row r="4684" spans="6:11" x14ac:dyDescent="0.2">
      <c r="F4684" s="143"/>
      <c r="K4684"/>
    </row>
    <row r="4685" spans="6:11" x14ac:dyDescent="0.2">
      <c r="F4685" s="143"/>
      <c r="K4685"/>
    </row>
    <row r="4686" spans="6:11" x14ac:dyDescent="0.2">
      <c r="F4686" s="143"/>
      <c r="K4686"/>
    </row>
    <row r="4687" spans="6:11" x14ac:dyDescent="0.2">
      <c r="F4687" s="143"/>
      <c r="K4687"/>
    </row>
    <row r="4688" spans="6:11" x14ac:dyDescent="0.2">
      <c r="F4688" s="143"/>
      <c r="K4688"/>
    </row>
    <row r="4689" spans="6:11" x14ac:dyDescent="0.2">
      <c r="F4689" s="143"/>
      <c r="K4689"/>
    </row>
    <row r="4690" spans="6:11" x14ac:dyDescent="0.2">
      <c r="F4690" s="143"/>
      <c r="K4690"/>
    </row>
    <row r="4691" spans="6:11" x14ac:dyDescent="0.2">
      <c r="F4691" s="143"/>
      <c r="K4691"/>
    </row>
    <row r="4692" spans="6:11" x14ac:dyDescent="0.2">
      <c r="F4692" s="143"/>
      <c r="K4692"/>
    </row>
    <row r="4693" spans="6:11" x14ac:dyDescent="0.2">
      <c r="F4693" s="143"/>
      <c r="K4693"/>
    </row>
    <row r="4694" spans="6:11" x14ac:dyDescent="0.2">
      <c r="F4694" s="143"/>
      <c r="K4694"/>
    </row>
    <row r="4695" spans="6:11" x14ac:dyDescent="0.2">
      <c r="F4695" s="143"/>
      <c r="K4695"/>
    </row>
    <row r="4696" spans="6:11" x14ac:dyDescent="0.2">
      <c r="F4696" s="143"/>
      <c r="K4696"/>
    </row>
    <row r="4697" spans="6:11" x14ac:dyDescent="0.2">
      <c r="F4697" s="143"/>
      <c r="K4697"/>
    </row>
    <row r="4698" spans="6:11" x14ac:dyDescent="0.2">
      <c r="F4698" s="143"/>
      <c r="K4698"/>
    </row>
    <row r="4699" spans="6:11" x14ac:dyDescent="0.2">
      <c r="F4699" s="143"/>
      <c r="K4699"/>
    </row>
    <row r="4700" spans="6:11" x14ac:dyDescent="0.2">
      <c r="F4700" s="143"/>
      <c r="K4700"/>
    </row>
    <row r="4701" spans="6:11" x14ac:dyDescent="0.2">
      <c r="F4701" s="143"/>
      <c r="K4701"/>
    </row>
    <row r="4702" spans="6:11" x14ac:dyDescent="0.2">
      <c r="F4702" s="143"/>
      <c r="K4702"/>
    </row>
    <row r="4703" spans="6:11" x14ac:dyDescent="0.2">
      <c r="F4703" s="143"/>
      <c r="K4703"/>
    </row>
    <row r="4704" spans="6:11" x14ac:dyDescent="0.2">
      <c r="F4704" s="143"/>
      <c r="K4704"/>
    </row>
    <row r="4705" spans="6:11" x14ac:dyDescent="0.2">
      <c r="F4705" s="143"/>
      <c r="K4705"/>
    </row>
    <row r="4706" spans="6:11" x14ac:dyDescent="0.2">
      <c r="F4706" s="143"/>
      <c r="K4706"/>
    </row>
    <row r="4707" spans="6:11" x14ac:dyDescent="0.2">
      <c r="F4707" s="143"/>
      <c r="K4707"/>
    </row>
    <row r="4708" spans="6:11" x14ac:dyDescent="0.2">
      <c r="F4708" s="143"/>
      <c r="K4708"/>
    </row>
    <row r="4709" spans="6:11" x14ac:dyDescent="0.2">
      <c r="F4709" s="143"/>
      <c r="K4709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5" fitToWidth="2" orientation="portrait" r:id="rId1"/>
  <headerFooter alignWithMargins="0">
    <oddHeader>&amp;L
Schedule 10
&amp;CMinneapolis-St. Paul International Airport
&amp;"Arial,Bold"&amp;A
October 2020</oddHeader>
    <oddFooter>&amp;LPrinted on &amp;D&amp;RPage &amp;P of &amp;N</oddFooter>
  </headerFooter>
  <colBreaks count="2" manualBreakCount="2">
    <brk id="9" max="67" man="1"/>
    <brk id="18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E44" sqref="E4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8">
        <v>44105</v>
      </c>
      <c r="B1" s="429" t="s">
        <v>17</v>
      </c>
      <c r="C1" s="429" t="s">
        <v>18</v>
      </c>
      <c r="D1" s="429" t="s">
        <v>19</v>
      </c>
      <c r="E1" s="429" t="s">
        <v>156</v>
      </c>
      <c r="F1" s="305" t="s">
        <v>162</v>
      </c>
      <c r="G1" s="305" t="s">
        <v>157</v>
      </c>
      <c r="H1" s="430" t="s">
        <v>201</v>
      </c>
      <c r="I1" s="352" t="s">
        <v>194</v>
      </c>
      <c r="J1" s="305" t="s">
        <v>20</v>
      </c>
      <c r="K1" s="304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51"/>
      <c r="I2" s="351"/>
      <c r="J2" s="34"/>
      <c r="K2" s="372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[3]American!$GY$22</f>
        <v>32401</v>
      </c>
      <c r="C4" s="12">
        <f>[3]Delta!$GY$22+[3]Delta!$GY$32</f>
        <v>227692</v>
      </c>
      <c r="D4" s="12">
        <f>[3]United!$GY$22</f>
        <v>15469</v>
      </c>
      <c r="E4" s="12">
        <f>[3]Spirit!$GY$22</f>
        <v>11341</v>
      </c>
      <c r="F4" s="12">
        <f>[3]Condor!$GY$22</f>
        <v>0</v>
      </c>
      <c r="G4" s="12">
        <f>'[3]Air France'!$GY$22</f>
        <v>0</v>
      </c>
      <c r="H4" s="12">
        <f>'[3]Jet Blue'!$GY$22</f>
        <v>522</v>
      </c>
      <c r="I4" s="12">
        <f>[3]KLM!$GY$22+[3]KLM!$GY$32</f>
        <v>0</v>
      </c>
      <c r="J4" s="12">
        <f>'Other Major Airline Stats'!K5</f>
        <v>94649</v>
      </c>
      <c r="K4" s="373">
        <f>SUM(B4:J4)</f>
        <v>382074</v>
      </c>
    </row>
    <row r="5" spans="1:20" x14ac:dyDescent="0.2">
      <c r="A5" s="38" t="s">
        <v>31</v>
      </c>
      <c r="B5" s="7">
        <f>[3]American!$GY$23</f>
        <v>33377</v>
      </c>
      <c r="C5" s="7">
        <f>[3]Delta!$GY$23+[3]Delta!$GY$33</f>
        <v>236824</v>
      </c>
      <c r="D5" s="7">
        <f>[3]United!$GY$23</f>
        <v>16136</v>
      </c>
      <c r="E5" s="7">
        <f>[3]Spirit!$GY$23</f>
        <v>11814</v>
      </c>
      <c r="F5" s="7">
        <f>[3]Condor!$GY$23</f>
        <v>0</v>
      </c>
      <c r="G5" s="7">
        <f>'[3]Air France'!$GY$23</f>
        <v>0</v>
      </c>
      <c r="H5" s="7">
        <f>'[3]Jet Blue'!$GY$23</f>
        <v>616</v>
      </c>
      <c r="I5" s="7">
        <f>[3]KLM!$GY$23+[3]KLM!$GY$33</f>
        <v>0</v>
      </c>
      <c r="J5" s="7">
        <f>'Other Major Airline Stats'!K6</f>
        <v>100641</v>
      </c>
      <c r="K5" s="374">
        <f>SUM(B5:J5)</f>
        <v>399408</v>
      </c>
      <c r="M5" s="204"/>
      <c r="N5" s="204"/>
      <c r="O5" s="204"/>
      <c r="P5" s="204"/>
      <c r="Q5" s="204"/>
      <c r="R5" s="204"/>
      <c r="S5" s="204"/>
      <c r="T5" s="204"/>
    </row>
    <row r="6" spans="1:20" ht="15" x14ac:dyDescent="0.25">
      <c r="A6" s="36" t="s">
        <v>7</v>
      </c>
      <c r="B6" s="18">
        <f t="shared" ref="B6:J6" si="0">SUM(B4:B5)</f>
        <v>65778</v>
      </c>
      <c r="C6" s="18">
        <f t="shared" si="0"/>
        <v>464516</v>
      </c>
      <c r="D6" s="18">
        <f t="shared" si="0"/>
        <v>31605</v>
      </c>
      <c r="E6" s="18">
        <f t="shared" si="0"/>
        <v>23155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1138</v>
      </c>
      <c r="I6" s="18">
        <f t="shared" si="1"/>
        <v>0</v>
      </c>
      <c r="J6" s="18">
        <f t="shared" si="0"/>
        <v>195290</v>
      </c>
      <c r="K6" s="375">
        <f>SUM(B6:J6)</f>
        <v>781482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3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3">
        <f>SUM(B8:J8)</f>
        <v>0</v>
      </c>
    </row>
    <row r="9" spans="1:20" x14ac:dyDescent="0.2">
      <c r="A9" s="38" t="s">
        <v>30</v>
      </c>
      <c r="B9" s="12">
        <f>[3]American!$GY$27</f>
        <v>1240</v>
      </c>
      <c r="C9" s="12">
        <f>[3]Delta!$GY$27+[3]Delta!$GY$37</f>
        <v>3665</v>
      </c>
      <c r="D9" s="12">
        <f>[3]United!$GY$27</f>
        <v>865</v>
      </c>
      <c r="E9" s="12">
        <f>[3]Spirit!$GY$27</f>
        <v>103</v>
      </c>
      <c r="F9" s="12">
        <f>[3]Condor!$GY$27</f>
        <v>0</v>
      </c>
      <c r="G9" s="12">
        <f>'[3]Air France'!$GY$27</f>
        <v>0</v>
      </c>
      <c r="H9" s="12">
        <f>'[3]Jet Blue'!$GY$27</f>
        <v>40</v>
      </c>
      <c r="I9" s="12">
        <f>[3]KLM!$GY$27+[3]KLM!$GY$37</f>
        <v>0</v>
      </c>
      <c r="J9" s="12">
        <f>'Other Major Airline Stats'!K10</f>
        <v>2511</v>
      </c>
      <c r="K9" s="373">
        <f>SUM(B9:J9)</f>
        <v>8424</v>
      </c>
    </row>
    <row r="10" spans="1:20" x14ac:dyDescent="0.2">
      <c r="A10" s="38" t="s">
        <v>33</v>
      </c>
      <c r="B10" s="7">
        <f>[3]American!$GY$28</f>
        <v>1309</v>
      </c>
      <c r="C10" s="7">
        <f>[3]Delta!$GY$28+[3]Delta!$GY$38</f>
        <v>13395</v>
      </c>
      <c r="D10" s="7">
        <f>[3]United!$GY$28</f>
        <v>1030</v>
      </c>
      <c r="E10" s="7">
        <f>[3]Spirit!$GY$28</f>
        <v>94</v>
      </c>
      <c r="F10" s="7">
        <f>[3]Condor!$GY$28</f>
        <v>0</v>
      </c>
      <c r="G10" s="7">
        <f>'[3]Air France'!$GY$28</f>
        <v>0</v>
      </c>
      <c r="H10" s="7">
        <f>'[3]Jet Blue'!$GY$28</f>
        <v>53</v>
      </c>
      <c r="I10" s="7">
        <f>[3]KLM!$GY$28+[3]KLM!$GY$38</f>
        <v>0</v>
      </c>
      <c r="J10" s="7">
        <f>'Other Major Airline Stats'!K11</f>
        <v>2719</v>
      </c>
      <c r="K10" s="374">
        <f>SUM(B10:J10)</f>
        <v>18600</v>
      </c>
    </row>
    <row r="11" spans="1:20" ht="15.75" thickBot="1" x14ac:dyDescent="0.3">
      <c r="A11" s="39" t="s">
        <v>34</v>
      </c>
      <c r="B11" s="187">
        <f t="shared" ref="B11:J11" si="3">SUM(B9:B10)</f>
        <v>2549</v>
      </c>
      <c r="C11" s="187">
        <f t="shared" si="3"/>
        <v>17060</v>
      </c>
      <c r="D11" s="187">
        <f t="shared" si="3"/>
        <v>1895</v>
      </c>
      <c r="E11" s="187">
        <f t="shared" si="3"/>
        <v>197</v>
      </c>
      <c r="F11" s="187">
        <f t="shared" ref="F11:I11" si="4">SUM(F9:F10)</f>
        <v>0</v>
      </c>
      <c r="G11" s="187">
        <f t="shared" si="4"/>
        <v>0</v>
      </c>
      <c r="H11" s="187">
        <f t="shared" ref="H11" si="5">SUM(H9:H10)</f>
        <v>93</v>
      </c>
      <c r="I11" s="187">
        <f t="shared" si="4"/>
        <v>0</v>
      </c>
      <c r="J11" s="187">
        <f t="shared" si="3"/>
        <v>5230</v>
      </c>
      <c r="K11" s="376">
        <f>SUM(B11:J11)</f>
        <v>27024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7"/>
    </row>
    <row r="15" spans="1:20" x14ac:dyDescent="0.2">
      <c r="A15" s="38" t="s">
        <v>22</v>
      </c>
      <c r="B15" s="12">
        <f>[3]American!$GY$4</f>
        <v>266</v>
      </c>
      <c r="C15" s="12">
        <f>[3]Delta!$GY$4+[3]Delta!$GY$15</f>
        <v>3118</v>
      </c>
      <c r="D15" s="12">
        <f>[3]United!$GY$4</f>
        <v>143</v>
      </c>
      <c r="E15" s="12">
        <f>[3]Spirit!$GY$4</f>
        <v>80</v>
      </c>
      <c r="F15" s="12">
        <f>[3]Condor!$GY$4</f>
        <v>0</v>
      </c>
      <c r="G15" s="12">
        <f>'[3]Air France'!$GY$4</f>
        <v>0</v>
      </c>
      <c r="H15" s="12">
        <f>'[3]Jet Blue'!$GY$4</f>
        <v>15</v>
      </c>
      <c r="I15" s="12">
        <f>[3]KLM!$GY$4+[3]KLM!$GY$15</f>
        <v>0</v>
      </c>
      <c r="J15" s="12">
        <f>'Other Major Airline Stats'!K16</f>
        <v>996</v>
      </c>
      <c r="K15" s="373">
        <f>SUM(B15:J15)</f>
        <v>4618</v>
      </c>
    </row>
    <row r="16" spans="1:20" x14ac:dyDescent="0.2">
      <c r="A16" s="38" t="s">
        <v>23</v>
      </c>
      <c r="B16" s="7">
        <f>[3]American!$GY$5</f>
        <v>265</v>
      </c>
      <c r="C16" s="7">
        <f>[3]Delta!$GY$5+[3]Delta!$GY$16</f>
        <v>3099</v>
      </c>
      <c r="D16" s="7">
        <f>[3]United!$GY$5</f>
        <v>143</v>
      </c>
      <c r="E16" s="7">
        <f>[3]Spirit!$GY$5</f>
        <v>79</v>
      </c>
      <c r="F16" s="7">
        <f>[3]Condor!$GY$5</f>
        <v>0</v>
      </c>
      <c r="G16" s="7">
        <f>'[3]Air France'!$GY$5</f>
        <v>0</v>
      </c>
      <c r="H16" s="7">
        <f>'[3]Jet Blue'!$GY$5</f>
        <v>15</v>
      </c>
      <c r="I16" s="7">
        <f>[3]KLM!$GY$5+[3]KLM!$GY$16</f>
        <v>0</v>
      </c>
      <c r="J16" s="7">
        <f>'Other Major Airline Stats'!K17</f>
        <v>989</v>
      </c>
      <c r="K16" s="374">
        <f>SUM(B16:J16)</f>
        <v>4590</v>
      </c>
    </row>
    <row r="17" spans="1:11" x14ac:dyDescent="0.2">
      <c r="A17" s="38" t="s">
        <v>24</v>
      </c>
      <c r="B17" s="189">
        <f t="shared" ref="B17:J17" si="6">SUM(B15:B16)</f>
        <v>531</v>
      </c>
      <c r="C17" s="188">
        <f t="shared" si="6"/>
        <v>6217</v>
      </c>
      <c r="D17" s="188">
        <f t="shared" si="6"/>
        <v>286</v>
      </c>
      <c r="E17" s="188">
        <f t="shared" si="6"/>
        <v>159</v>
      </c>
      <c r="F17" s="188">
        <f t="shared" ref="F17:I17" si="7">SUM(F15:F16)</f>
        <v>0</v>
      </c>
      <c r="G17" s="188">
        <f t="shared" si="7"/>
        <v>0</v>
      </c>
      <c r="H17" s="188">
        <f t="shared" ref="H17" si="8">SUM(H15:H16)</f>
        <v>30</v>
      </c>
      <c r="I17" s="188">
        <f t="shared" si="7"/>
        <v>0</v>
      </c>
      <c r="J17" s="188">
        <f t="shared" si="6"/>
        <v>1985</v>
      </c>
      <c r="K17" s="378">
        <f>SUM(B17:J17)</f>
        <v>9208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3"/>
    </row>
    <row r="19" spans="1:11" x14ac:dyDescent="0.2">
      <c r="A19" s="38" t="s">
        <v>25</v>
      </c>
      <c r="B19" s="12">
        <f>[3]American!$GY$8</f>
        <v>0</v>
      </c>
      <c r="C19" s="12">
        <f>[3]Delta!$GY$8</f>
        <v>1</v>
      </c>
      <c r="D19" s="12">
        <f>[3]United!$GY$8</f>
        <v>0</v>
      </c>
      <c r="E19" s="12">
        <f>[3]Spirit!$GY$8</f>
        <v>0</v>
      </c>
      <c r="F19" s="12">
        <f>[3]Condor!$GY$8</f>
        <v>0</v>
      </c>
      <c r="G19" s="12">
        <f>'[3]Air France'!$GY$8</f>
        <v>0</v>
      </c>
      <c r="H19" s="12">
        <f>'[3]Jet Blue'!$GY$8</f>
        <v>0</v>
      </c>
      <c r="I19" s="12">
        <f>[3]KLM!$GY$8</f>
        <v>0</v>
      </c>
      <c r="J19" s="12">
        <f>'Other Major Airline Stats'!K20</f>
        <v>93</v>
      </c>
      <c r="K19" s="373">
        <f>SUM(B19:J19)</f>
        <v>94</v>
      </c>
    </row>
    <row r="20" spans="1:11" x14ac:dyDescent="0.2">
      <c r="A20" s="38" t="s">
        <v>26</v>
      </c>
      <c r="B20" s="7">
        <f>[3]American!$GY$9</f>
        <v>0</v>
      </c>
      <c r="C20" s="7">
        <f>[3]Delta!$GY$9</f>
        <v>1</v>
      </c>
      <c r="D20" s="7">
        <f>[3]United!$GY$9</f>
        <v>0</v>
      </c>
      <c r="E20" s="7">
        <f>[3]Spirit!$GY$9</f>
        <v>0</v>
      </c>
      <c r="F20" s="7">
        <f>[3]Condor!$GY$9</f>
        <v>0</v>
      </c>
      <c r="G20" s="7">
        <f>'[3]Air France'!$GY$9</f>
        <v>0</v>
      </c>
      <c r="H20" s="7">
        <f>'[3]Jet Blue'!$GY$9</f>
        <v>0</v>
      </c>
      <c r="I20" s="7">
        <f>[3]KLM!$GY$9</f>
        <v>0</v>
      </c>
      <c r="J20" s="7">
        <f>'Other Major Airline Stats'!K21</f>
        <v>109</v>
      </c>
      <c r="K20" s="374">
        <f>SUM(B20:J20)</f>
        <v>110</v>
      </c>
    </row>
    <row r="21" spans="1:11" x14ac:dyDescent="0.2">
      <c r="A21" s="38" t="s">
        <v>27</v>
      </c>
      <c r="B21" s="189">
        <f t="shared" ref="B21:J21" si="9">SUM(B19:B20)</f>
        <v>0</v>
      </c>
      <c r="C21" s="188">
        <f t="shared" si="9"/>
        <v>2</v>
      </c>
      <c r="D21" s="188">
        <f t="shared" si="9"/>
        <v>0</v>
      </c>
      <c r="E21" s="188">
        <f t="shared" si="9"/>
        <v>0</v>
      </c>
      <c r="F21" s="188">
        <f t="shared" ref="F21:I21" si="10">SUM(F19:F20)</f>
        <v>0</v>
      </c>
      <c r="G21" s="188">
        <f t="shared" si="10"/>
        <v>0</v>
      </c>
      <c r="H21" s="188">
        <f t="shared" ref="H21" si="11">SUM(H19:H20)</f>
        <v>0</v>
      </c>
      <c r="I21" s="188">
        <f t="shared" si="10"/>
        <v>0</v>
      </c>
      <c r="J21" s="188">
        <f t="shared" si="9"/>
        <v>202</v>
      </c>
      <c r="K21" s="379">
        <f>SUM(B21:J21)</f>
        <v>204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3"/>
    </row>
    <row r="23" spans="1:11" ht="15.75" thickBot="1" x14ac:dyDescent="0.3">
      <c r="A23" s="39" t="s">
        <v>28</v>
      </c>
      <c r="B23" s="16">
        <f t="shared" ref="B23:J23" si="12">B17+B21</f>
        <v>531</v>
      </c>
      <c r="C23" s="16">
        <f t="shared" si="12"/>
        <v>6219</v>
      </c>
      <c r="D23" s="16">
        <f t="shared" si="12"/>
        <v>286</v>
      </c>
      <c r="E23" s="16">
        <f>E17+E21</f>
        <v>159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30</v>
      </c>
      <c r="I23" s="16">
        <f t="shared" si="13"/>
        <v>0</v>
      </c>
      <c r="J23" s="16">
        <f t="shared" si="12"/>
        <v>2187</v>
      </c>
      <c r="K23" s="376">
        <f>SUM(B23:J23)</f>
        <v>9412</v>
      </c>
    </row>
    <row r="25" spans="1:11" ht="13.5" thickBot="1" x14ac:dyDescent="0.25">
      <c r="B25" s="289"/>
      <c r="C25" s="289"/>
      <c r="D25" s="289"/>
      <c r="E25" s="289"/>
      <c r="F25" s="289"/>
      <c r="G25" s="289"/>
      <c r="H25" s="289"/>
      <c r="I25" s="289"/>
      <c r="J25" s="289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80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[3]American!$GY$47</f>
        <v>33268</v>
      </c>
      <c r="C28" s="12">
        <f>[3]Delta!$GY$47</f>
        <v>594177</v>
      </c>
      <c r="D28" s="12">
        <f>[3]United!$GY$47</f>
        <v>20298</v>
      </c>
      <c r="E28" s="12">
        <f>[3]Spirit!$GY$47</f>
        <v>0</v>
      </c>
      <c r="F28" s="12">
        <f>[3]Condor!$GY$47</f>
        <v>0</v>
      </c>
      <c r="G28" s="12">
        <f>'[3]Air France'!$GY$47</f>
        <v>0</v>
      </c>
      <c r="H28" s="12">
        <f>'[3]Jet Blue'!$GY$47</f>
        <v>0</v>
      </c>
      <c r="I28" s="12">
        <f>[3]KLM!$GY$47</f>
        <v>0</v>
      </c>
      <c r="J28" s="12">
        <f>'Other Major Airline Stats'!K28</f>
        <v>247729</v>
      </c>
      <c r="K28" s="373">
        <f>SUM(B28:J28)</f>
        <v>895472</v>
      </c>
    </row>
    <row r="29" spans="1:11" x14ac:dyDescent="0.2">
      <c r="A29" s="38" t="s">
        <v>38</v>
      </c>
      <c r="B29" s="7">
        <f>[3]American!$GY$48</f>
        <v>36786</v>
      </c>
      <c r="C29" s="7">
        <f>[3]Delta!$GY$48</f>
        <v>1105602</v>
      </c>
      <c r="D29" s="7">
        <f>[3]United!$GY$48</f>
        <v>15561</v>
      </c>
      <c r="E29" s="7">
        <f>[3]Spirit!$GY$48</f>
        <v>0</v>
      </c>
      <c r="F29" s="7">
        <f>[3]Condor!$GY$48</f>
        <v>0</v>
      </c>
      <c r="G29" s="7">
        <f>'[3]Air France'!$GY$48</f>
        <v>0</v>
      </c>
      <c r="H29" s="7">
        <f>'[3]Jet Blue'!$GY$48</f>
        <v>0</v>
      </c>
      <c r="I29" s="7">
        <f>[3]KLM!$GY$48</f>
        <v>0</v>
      </c>
      <c r="J29" s="7">
        <f>'Other Major Airline Stats'!K29</f>
        <v>170237</v>
      </c>
      <c r="K29" s="374">
        <f>SUM(B29:J29)</f>
        <v>1328186</v>
      </c>
    </row>
    <row r="30" spans="1:11" x14ac:dyDescent="0.2">
      <c r="A30" s="42" t="s">
        <v>39</v>
      </c>
      <c r="B30" s="189">
        <f t="shared" ref="B30:J30" si="15">SUM(B28:B29)</f>
        <v>70054</v>
      </c>
      <c r="C30" s="189">
        <f t="shared" si="15"/>
        <v>1699779</v>
      </c>
      <c r="D30" s="189">
        <f t="shared" si="15"/>
        <v>35859</v>
      </c>
      <c r="E30" s="189">
        <f t="shared" si="15"/>
        <v>0</v>
      </c>
      <c r="F30" s="189">
        <f t="shared" ref="F30:I30" si="16">SUM(F28:F29)</f>
        <v>0</v>
      </c>
      <c r="G30" s="189">
        <f t="shared" si="16"/>
        <v>0</v>
      </c>
      <c r="H30" s="189">
        <f t="shared" ref="H30" si="17">SUM(H28:H29)</f>
        <v>0</v>
      </c>
      <c r="I30" s="189">
        <f t="shared" si="16"/>
        <v>0</v>
      </c>
      <c r="J30" s="189">
        <f t="shared" si="15"/>
        <v>417966</v>
      </c>
      <c r="K30" s="373">
        <f>SUM(B30:J30)</f>
        <v>2223658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3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3">
        <f t="shared" ref="K32:K40" si="18">SUM(B32:J32)</f>
        <v>0</v>
      </c>
    </row>
    <row r="33" spans="1:11" x14ac:dyDescent="0.2">
      <c r="A33" s="38" t="s">
        <v>37</v>
      </c>
      <c r="B33" s="12">
        <f>[3]American!$GY$52</f>
        <v>5697</v>
      </c>
      <c r="C33" s="12">
        <f>[3]Delta!$GY$52</f>
        <v>236310</v>
      </c>
      <c r="D33" s="12">
        <f>[3]United!$GY$52</f>
        <v>17345</v>
      </c>
      <c r="E33" s="12">
        <f>[3]Spirit!$GY$52</f>
        <v>0</v>
      </c>
      <c r="F33" s="12">
        <f>[3]Condor!$GY$52</f>
        <v>0</v>
      </c>
      <c r="G33" s="12">
        <f>'[3]Air France'!$GY$52</f>
        <v>0</v>
      </c>
      <c r="H33" s="12">
        <f>'[3]Jet Blue'!$GY$52</f>
        <v>0</v>
      </c>
      <c r="I33" s="12">
        <f>[3]KLM!$GY$52</f>
        <v>0</v>
      </c>
      <c r="J33" s="12">
        <f>'Other Major Airline Stats'!K33</f>
        <v>82873</v>
      </c>
      <c r="K33" s="373">
        <f t="shared" si="18"/>
        <v>342225</v>
      </c>
    </row>
    <row r="34" spans="1:11" x14ac:dyDescent="0.2">
      <c r="A34" s="38" t="s">
        <v>38</v>
      </c>
      <c r="B34" s="7">
        <f>[3]American!$GY$53</f>
        <v>74298</v>
      </c>
      <c r="C34" s="7">
        <f>[3]Delta!$GY$53</f>
        <v>1112992</v>
      </c>
      <c r="D34" s="7">
        <f>[3]United!$GY$53</f>
        <v>25892</v>
      </c>
      <c r="E34" s="7">
        <f>[3]Spirit!$GY$53</f>
        <v>0</v>
      </c>
      <c r="F34" s="7">
        <f>[3]Condor!$GY$53</f>
        <v>0</v>
      </c>
      <c r="G34" s="7">
        <f>'[3]Air France'!$GY$53</f>
        <v>0</v>
      </c>
      <c r="H34" s="7">
        <f>'[3]Jet Blue'!$GY$53</f>
        <v>0</v>
      </c>
      <c r="I34" s="7">
        <f>[3]KLM!$GY$53</f>
        <v>0</v>
      </c>
      <c r="J34" s="7">
        <f>'Other Major Airline Stats'!K34</f>
        <v>191973</v>
      </c>
      <c r="K34" s="374">
        <f t="shared" si="18"/>
        <v>1405155</v>
      </c>
    </row>
    <row r="35" spans="1:11" x14ac:dyDescent="0.2">
      <c r="A35" s="42" t="s">
        <v>41</v>
      </c>
      <c r="B35" s="189">
        <f t="shared" ref="B35:J35" si="19">SUM(B33:B34)</f>
        <v>79995</v>
      </c>
      <c r="C35" s="189">
        <f t="shared" si="19"/>
        <v>1349302</v>
      </c>
      <c r="D35" s="189">
        <f t="shared" si="19"/>
        <v>43237</v>
      </c>
      <c r="E35" s="189">
        <f t="shared" si="19"/>
        <v>0</v>
      </c>
      <c r="F35" s="189">
        <f t="shared" ref="F35:I35" si="20">SUM(F33:F34)</f>
        <v>0</v>
      </c>
      <c r="G35" s="189">
        <f t="shared" si="20"/>
        <v>0</v>
      </c>
      <c r="H35" s="189">
        <f t="shared" ref="H35" si="21">SUM(H33:H34)</f>
        <v>0</v>
      </c>
      <c r="I35" s="189">
        <f t="shared" si="20"/>
        <v>0</v>
      </c>
      <c r="J35" s="189">
        <f t="shared" si="19"/>
        <v>274846</v>
      </c>
      <c r="K35" s="373">
        <f t="shared" si="18"/>
        <v>1747380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3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3">
        <f t="shared" si="18"/>
        <v>0</v>
      </c>
    </row>
    <row r="38" spans="1:11" hidden="1" x14ac:dyDescent="0.2">
      <c r="A38" s="38" t="s">
        <v>37</v>
      </c>
      <c r="B38" s="12">
        <f>[3]American!$GY$57</f>
        <v>0</v>
      </c>
      <c r="C38" s="12">
        <f>[3]Delta!$GY$57</f>
        <v>0</v>
      </c>
      <c r="D38" s="12">
        <f>[3]United!$GY$57</f>
        <v>0</v>
      </c>
      <c r="E38" s="12">
        <f>[3]Spirit!$GY$57</f>
        <v>0</v>
      </c>
      <c r="F38" s="12">
        <f>[3]Condor!$GY$57</f>
        <v>0</v>
      </c>
      <c r="G38" s="12">
        <f>'[3]Air France'!$GY$57</f>
        <v>0</v>
      </c>
      <c r="H38" s="12">
        <f>'[3]Jet Blue'!$GY$57</f>
        <v>0</v>
      </c>
      <c r="I38" s="12">
        <f>[3]KLM!$GY$57</f>
        <v>0</v>
      </c>
      <c r="J38" s="12">
        <f>'Other Major Airline Stats'!K38</f>
        <v>0</v>
      </c>
      <c r="K38" s="373">
        <f t="shared" si="18"/>
        <v>0</v>
      </c>
    </row>
    <row r="39" spans="1:11" hidden="1" x14ac:dyDescent="0.2">
      <c r="A39" s="38" t="s">
        <v>38</v>
      </c>
      <c r="B39" s="7">
        <f>[3]American!$GY$58</f>
        <v>0</v>
      </c>
      <c r="C39" s="7">
        <f>[3]Delta!$GY$58</f>
        <v>0</v>
      </c>
      <c r="D39" s="7">
        <f>[3]United!$GY$58</f>
        <v>0</v>
      </c>
      <c r="E39" s="7">
        <f>[3]Spirit!$GY$58</f>
        <v>0</v>
      </c>
      <c r="F39" s="7">
        <f>[3]Condor!$GY$58</f>
        <v>0</v>
      </c>
      <c r="G39" s="7">
        <f>'[3]Air France'!$GY$58</f>
        <v>0</v>
      </c>
      <c r="H39" s="7">
        <f>'[3]Jet Blue'!$GY$58</f>
        <v>0</v>
      </c>
      <c r="I39" s="7">
        <f>[3]KLM!$GY$58</f>
        <v>0</v>
      </c>
      <c r="J39" s="7">
        <f>'Other Major Airline Stats'!K39</f>
        <v>0</v>
      </c>
      <c r="K39" s="374">
        <f t="shared" si="18"/>
        <v>0</v>
      </c>
    </row>
    <row r="40" spans="1:11" hidden="1" x14ac:dyDescent="0.2">
      <c r="A40" s="42" t="s">
        <v>43</v>
      </c>
      <c r="B40" s="189">
        <f t="shared" ref="B40:J40" si="22">SUM(B38:B39)</f>
        <v>0</v>
      </c>
      <c r="C40" s="189">
        <f t="shared" si="22"/>
        <v>0</v>
      </c>
      <c r="D40" s="189">
        <f t="shared" si="22"/>
        <v>0</v>
      </c>
      <c r="E40" s="189">
        <f t="shared" si="22"/>
        <v>0</v>
      </c>
      <c r="F40" s="189">
        <f t="shared" ref="F40:I40" si="23">SUM(F38:F39)</f>
        <v>0</v>
      </c>
      <c r="G40" s="189">
        <f t="shared" si="23"/>
        <v>0</v>
      </c>
      <c r="H40" s="189">
        <f t="shared" ref="H40" si="24">SUM(H38:H39)</f>
        <v>0</v>
      </c>
      <c r="I40" s="189">
        <f t="shared" si="23"/>
        <v>0</v>
      </c>
      <c r="J40" s="189">
        <f t="shared" si="22"/>
        <v>0</v>
      </c>
      <c r="K40" s="373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3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3">
        <f>SUM(B42:J42)</f>
        <v>0</v>
      </c>
    </row>
    <row r="43" spans="1:11" x14ac:dyDescent="0.2">
      <c r="A43" s="38" t="s">
        <v>45</v>
      </c>
      <c r="B43" s="12">
        <f t="shared" ref="B43:J44" si="25">B28+B33+B38</f>
        <v>38965</v>
      </c>
      <c r="C43" s="12">
        <f t="shared" si="25"/>
        <v>830487</v>
      </c>
      <c r="D43" s="12">
        <f t="shared" si="25"/>
        <v>37643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330602</v>
      </c>
      <c r="K43" s="373">
        <f>SUM(B43:J43)</f>
        <v>1237697</v>
      </c>
    </row>
    <row r="44" spans="1:11" x14ac:dyDescent="0.2">
      <c r="A44" s="38" t="s">
        <v>38</v>
      </c>
      <c r="B44" s="7">
        <f t="shared" si="25"/>
        <v>111084</v>
      </c>
      <c r="C44" s="7">
        <f t="shared" si="25"/>
        <v>2218594</v>
      </c>
      <c r="D44" s="7">
        <f t="shared" si="25"/>
        <v>41453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362210</v>
      </c>
      <c r="K44" s="373">
        <f>SUM(B44:J44)</f>
        <v>2733341</v>
      </c>
    </row>
    <row r="45" spans="1:11" ht="15.75" thickBot="1" x14ac:dyDescent="0.3">
      <c r="A45" s="39" t="s">
        <v>46</v>
      </c>
      <c r="B45" s="190">
        <f t="shared" ref="B45:J45" si="30">SUM(B43:B44)</f>
        <v>150049</v>
      </c>
      <c r="C45" s="190">
        <f t="shared" si="30"/>
        <v>3049081</v>
      </c>
      <c r="D45" s="190">
        <f t="shared" si="30"/>
        <v>79096</v>
      </c>
      <c r="E45" s="190">
        <f t="shared" si="30"/>
        <v>0</v>
      </c>
      <c r="F45" s="190">
        <f t="shared" ref="F45:I45" si="31">SUM(F43:F44)</f>
        <v>0</v>
      </c>
      <c r="G45" s="190">
        <f t="shared" si="31"/>
        <v>0</v>
      </c>
      <c r="H45" s="190">
        <f t="shared" ref="H45" si="32">SUM(H43:H44)</f>
        <v>0</v>
      </c>
      <c r="I45" s="190">
        <f t="shared" si="31"/>
        <v>0</v>
      </c>
      <c r="J45" s="190">
        <f t="shared" si="30"/>
        <v>692812</v>
      </c>
      <c r="K45" s="381">
        <f>SUM(B45:J45)</f>
        <v>3971038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5" t="s">
        <v>122</v>
      </c>
      <c r="C47" s="213">
        <f>[3]Delta!$GY$70+[3]Delta!$GY$73</f>
        <v>124685</v>
      </c>
      <c r="D47" s="201"/>
      <c r="E47" s="201"/>
      <c r="F47" s="201"/>
      <c r="G47" s="201"/>
      <c r="H47" s="201"/>
      <c r="I47" s="201"/>
      <c r="J47" s="201"/>
      <c r="K47" s="202">
        <f>SUM(B47:J47)</f>
        <v>124685</v>
      </c>
    </row>
    <row r="48" spans="1:11" hidden="1" x14ac:dyDescent="0.2">
      <c r="A48" s="256" t="s">
        <v>123</v>
      </c>
      <c r="C48" s="213">
        <f>[3]Delta!$GY$71+[3]Delta!$GY$74</f>
        <v>112139</v>
      </c>
      <c r="D48" s="201"/>
      <c r="E48" s="201"/>
      <c r="F48" s="201"/>
      <c r="G48" s="201"/>
      <c r="H48" s="201"/>
      <c r="I48" s="201"/>
      <c r="J48" s="201"/>
      <c r="K48" s="202">
        <f>SUM(B48:J48)</f>
        <v>112139</v>
      </c>
    </row>
    <row r="49" spans="1:11" hidden="1" x14ac:dyDescent="0.2">
      <c r="A49" s="257" t="s">
        <v>124</v>
      </c>
      <c r="C49" s="214">
        <f>SUM(C47:C48)</f>
        <v>236824</v>
      </c>
      <c r="K49" s="202">
        <f>SUM(B49:J49)</f>
        <v>236824</v>
      </c>
    </row>
    <row r="50" spans="1:11" x14ac:dyDescent="0.2">
      <c r="A50" s="255" t="s">
        <v>122</v>
      </c>
      <c r="B50" s="265"/>
      <c r="C50" s="216">
        <f>[3]Delta!$GY$70+[3]Delta!$GY$73</f>
        <v>124685</v>
      </c>
      <c r="D50" s="265"/>
      <c r="E50" s="216">
        <f>[3]Spirit!$GY$70+[3]Spirit!$GY$73</f>
        <v>0</v>
      </c>
      <c r="F50" s="265"/>
      <c r="G50" s="265"/>
      <c r="H50" s="265"/>
      <c r="I50" s="265"/>
      <c r="J50" s="215">
        <f>'Other Major Airline Stats'!K48</f>
        <v>88021</v>
      </c>
      <c r="K50" s="205">
        <f>SUM(B50:J50)</f>
        <v>212706</v>
      </c>
    </row>
    <row r="51" spans="1:11" x14ac:dyDescent="0.2">
      <c r="A51" s="267" t="s">
        <v>123</v>
      </c>
      <c r="B51" s="265"/>
      <c r="C51" s="216">
        <f>[3]Delta!$GY$71+[3]Delta!$GY$74</f>
        <v>112139</v>
      </c>
      <c r="D51" s="265"/>
      <c r="E51" s="216">
        <f>[3]Spirit!$GY$71+[3]Spirit!$GY$74</f>
        <v>0</v>
      </c>
      <c r="F51" s="265"/>
      <c r="G51" s="265"/>
      <c r="H51" s="265"/>
      <c r="I51" s="265"/>
      <c r="J51" s="215">
        <f>+'Other Major Airline Stats'!K49</f>
        <v>1</v>
      </c>
      <c r="K51" s="205">
        <f>SUM(B51:J51)</f>
        <v>112140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F34" sqref="F34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258">
        <v>44105</v>
      </c>
      <c r="B2" s="429" t="s">
        <v>47</v>
      </c>
      <c r="C2" s="431" t="s">
        <v>179</v>
      </c>
      <c r="D2" s="431" t="s">
        <v>241</v>
      </c>
      <c r="E2" s="431" t="s">
        <v>211</v>
      </c>
      <c r="F2" s="431" t="s">
        <v>224</v>
      </c>
      <c r="G2" s="429" t="s">
        <v>48</v>
      </c>
      <c r="H2" s="431" t="s">
        <v>130</v>
      </c>
      <c r="I2" s="431" t="s">
        <v>49</v>
      </c>
      <c r="J2" s="431" t="s">
        <v>129</v>
      </c>
      <c r="K2" s="113" t="s">
        <v>61</v>
      </c>
    </row>
    <row r="3" spans="1:14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382"/>
    </row>
    <row r="4" spans="1:14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83"/>
      <c r="K4" s="383"/>
    </row>
    <row r="5" spans="1:14" x14ac:dyDescent="0.2">
      <c r="A5" s="38" t="s">
        <v>30</v>
      </c>
      <c r="B5" s="83">
        <f>[3]Frontier!$GY$22</f>
        <v>7425</v>
      </c>
      <c r="C5" s="83">
        <f>'[3]Air Choice One'!$GY$22</f>
        <v>114</v>
      </c>
      <c r="D5" s="83">
        <f>'[3]Boutique Air'!$GY$22</f>
        <v>98</v>
      </c>
      <c r="E5" s="83">
        <f>'[3]Aer Lingus'!$GY$32</f>
        <v>0</v>
      </c>
      <c r="F5" s="83">
        <f>'[3]Denver Air'!$GY$22</f>
        <v>148</v>
      </c>
      <c r="G5" s="83">
        <f>[3]Icelandair!$GY$32</f>
        <v>0</v>
      </c>
      <c r="H5" s="83">
        <f>[3]Southwest!$GY$22</f>
        <v>21159</v>
      </c>
      <c r="I5" s="83">
        <f>'[3]Sun Country'!$GY$22+'[3]Sun Country'!$GY$32</f>
        <v>60968</v>
      </c>
      <c r="J5" s="83">
        <f>[3]Alaska!$GY$22</f>
        <v>4737</v>
      </c>
      <c r="K5" s="384">
        <f>SUM(B5:J5)</f>
        <v>94649</v>
      </c>
      <c r="N5" s="83"/>
    </row>
    <row r="6" spans="1:14" x14ac:dyDescent="0.2">
      <c r="A6" s="38" t="s">
        <v>31</v>
      </c>
      <c r="B6" s="83">
        <f>[3]Frontier!$GY$23</f>
        <v>7475</v>
      </c>
      <c r="C6" s="83">
        <f>'[3]Air Choice One'!$GY$23</f>
        <v>117</v>
      </c>
      <c r="D6" s="83">
        <f>'[3]Boutique Air'!$GY$23</f>
        <v>71</v>
      </c>
      <c r="E6" s="83">
        <f>'[3]Aer Lingus'!$GY$33</f>
        <v>0</v>
      </c>
      <c r="F6" s="83">
        <f>'[3]Denver Air'!$GY$23</f>
        <v>150</v>
      </c>
      <c r="G6" s="83">
        <f>[3]Icelandair!$GY$33</f>
        <v>0</v>
      </c>
      <c r="H6" s="83">
        <f>[3]Southwest!$GY$23</f>
        <v>21810</v>
      </c>
      <c r="I6" s="83">
        <f>'[3]Sun Country'!$GY$23+'[3]Sun Country'!$GY$33</f>
        <v>66212</v>
      </c>
      <c r="J6" s="83">
        <f>[3]Alaska!$GY$23</f>
        <v>4806</v>
      </c>
      <c r="K6" s="384">
        <f>SUM(B6:J6)</f>
        <v>100641</v>
      </c>
    </row>
    <row r="7" spans="1:14" ht="15" x14ac:dyDescent="0.25">
      <c r="A7" s="36" t="s">
        <v>7</v>
      </c>
      <c r="B7" s="101">
        <f t="shared" ref="B7:J7" si="0">SUM(B5:B6)</f>
        <v>14900</v>
      </c>
      <c r="C7" s="101">
        <f t="shared" ref="C7:F7" si="1">SUM(C5:C6)</f>
        <v>231</v>
      </c>
      <c r="D7" s="101">
        <f t="shared" ref="D7" si="2">SUM(D5:D6)</f>
        <v>169</v>
      </c>
      <c r="E7" s="101">
        <f t="shared" si="1"/>
        <v>0</v>
      </c>
      <c r="F7" s="101">
        <f t="shared" si="1"/>
        <v>298</v>
      </c>
      <c r="G7" s="101">
        <f t="shared" si="0"/>
        <v>0</v>
      </c>
      <c r="H7" s="101">
        <f t="shared" si="0"/>
        <v>42969</v>
      </c>
      <c r="I7" s="101">
        <f>SUM(I5:I6)</f>
        <v>127180</v>
      </c>
      <c r="J7" s="101">
        <f t="shared" si="0"/>
        <v>9543</v>
      </c>
      <c r="K7" s="385">
        <f>SUM(B7:J7)</f>
        <v>195290</v>
      </c>
    </row>
    <row r="8" spans="1:14" x14ac:dyDescent="0.2">
      <c r="A8" s="38"/>
      <c r="B8" s="100"/>
      <c r="C8" s="100"/>
      <c r="D8" s="100"/>
      <c r="E8" s="100"/>
      <c r="F8" s="100"/>
      <c r="G8" s="100"/>
      <c r="H8" s="100"/>
      <c r="I8" s="100"/>
      <c r="J8" s="100"/>
      <c r="K8" s="384"/>
    </row>
    <row r="9" spans="1:14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100"/>
      <c r="K9" s="384"/>
    </row>
    <row r="10" spans="1:14" x14ac:dyDescent="0.2">
      <c r="A10" s="38" t="s">
        <v>30</v>
      </c>
      <c r="B10" s="100">
        <f>[3]Frontier!$GY$27</f>
        <v>94</v>
      </c>
      <c r="C10" s="100">
        <f>'[3]Air Choice One'!$GY$27</f>
        <v>0</v>
      </c>
      <c r="D10" s="100">
        <f>'[3]Boutique Air'!$GY$27</f>
        <v>0</v>
      </c>
      <c r="E10" s="100">
        <f>'[3]Aer Lingus'!$GY$37</f>
        <v>0</v>
      </c>
      <c r="F10" s="100">
        <f>'[3]Denver Air'!$GY$27</f>
        <v>18</v>
      </c>
      <c r="G10" s="100">
        <f>[3]Icelandair!$GY$37</f>
        <v>0</v>
      </c>
      <c r="H10" s="100">
        <f>[3]Southwest!$GY$27</f>
        <v>856</v>
      </c>
      <c r="I10" s="100">
        <f>'[3]Sun Country'!$GY$27+'[3]Sun Country'!$GY$37</f>
        <v>1286</v>
      </c>
      <c r="J10" s="100">
        <f>[3]Alaska!$GY$27</f>
        <v>257</v>
      </c>
      <c r="K10" s="384">
        <f>SUM(B10:J10)</f>
        <v>2511</v>
      </c>
    </row>
    <row r="11" spans="1:14" x14ac:dyDescent="0.2">
      <c r="A11" s="38" t="s">
        <v>33</v>
      </c>
      <c r="B11" s="102">
        <f>[3]Frontier!$GY$28</f>
        <v>112</v>
      </c>
      <c r="C11" s="102">
        <f>'[3]Air Choice One'!$GY$28</f>
        <v>0</v>
      </c>
      <c r="D11" s="102">
        <f>'[3]Boutique Air'!$GY$28</f>
        <v>0</v>
      </c>
      <c r="E11" s="102">
        <f>'[3]Aer Lingus'!$GY$38</f>
        <v>0</v>
      </c>
      <c r="F11" s="102">
        <f>'[3]Denver Air'!$GY$28</f>
        <v>17</v>
      </c>
      <c r="G11" s="102">
        <f>[3]Icelandair!$GY$38</f>
        <v>0</v>
      </c>
      <c r="H11" s="102">
        <f>[3]Southwest!$GY$28</f>
        <v>904</v>
      </c>
      <c r="I11" s="102">
        <f>'[3]Sun Country'!$GY$28+'[3]Sun Country'!$GY$38</f>
        <v>1419</v>
      </c>
      <c r="J11" s="102">
        <f>[3]Alaska!$GY$28</f>
        <v>267</v>
      </c>
      <c r="K11" s="384">
        <f>SUM(B11:J11)</f>
        <v>2719</v>
      </c>
    </row>
    <row r="12" spans="1:14" ht="15.75" thickBot="1" x14ac:dyDescent="0.3">
      <c r="A12" s="39" t="s">
        <v>34</v>
      </c>
      <c r="B12" s="99">
        <f t="shared" ref="B12:J12" si="3">SUM(B10:B11)</f>
        <v>206</v>
      </c>
      <c r="C12" s="99">
        <f t="shared" ref="C12:F12" si="4">SUM(C10:C11)</f>
        <v>0</v>
      </c>
      <c r="D12" s="99">
        <f t="shared" ref="D12" si="5">SUM(D10:D11)</f>
        <v>0</v>
      </c>
      <c r="E12" s="99">
        <f t="shared" si="4"/>
        <v>0</v>
      </c>
      <c r="F12" s="99">
        <f t="shared" si="4"/>
        <v>35</v>
      </c>
      <c r="G12" s="99">
        <f t="shared" si="3"/>
        <v>0</v>
      </c>
      <c r="H12" s="99">
        <f t="shared" si="3"/>
        <v>1760</v>
      </c>
      <c r="I12" s="99">
        <f>SUM(I10:I11)</f>
        <v>2705</v>
      </c>
      <c r="J12" s="99">
        <f t="shared" si="3"/>
        <v>524</v>
      </c>
      <c r="K12" s="386">
        <f>SUM(B12:J12)</f>
        <v>5230</v>
      </c>
      <c r="N12" s="83"/>
    </row>
    <row r="13" spans="1:14" ht="15" x14ac:dyDescent="0.25">
      <c r="A13" s="35"/>
      <c r="B13" s="191"/>
      <c r="C13" s="191"/>
      <c r="D13" s="191"/>
      <c r="E13" s="191"/>
      <c r="F13" s="191"/>
      <c r="G13" s="191"/>
      <c r="H13" s="191"/>
      <c r="I13" s="191"/>
      <c r="J13" s="191"/>
      <c r="K13" s="192"/>
    </row>
    <row r="14" spans="1:14" ht="13.5" thickBot="1" x14ac:dyDescent="0.25"/>
    <row r="15" spans="1:14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387"/>
    </row>
    <row r="16" spans="1:14" x14ac:dyDescent="0.2">
      <c r="A16" s="38" t="s">
        <v>22</v>
      </c>
      <c r="B16" s="83">
        <f>[3]Frontier!$GY$4</f>
        <v>62</v>
      </c>
      <c r="C16" s="76">
        <f>'[3]Air Choice One'!$GY$4</f>
        <v>74</v>
      </c>
      <c r="D16" s="76">
        <f>'[3]Boutique Air'!$GY$4</f>
        <v>24</v>
      </c>
      <c r="E16" s="83">
        <f>'[3]Aer Lingus'!$GY$15</f>
        <v>0</v>
      </c>
      <c r="F16" s="76">
        <f>'[3]Denver Air'!$GY$4</f>
        <v>52</v>
      </c>
      <c r="G16" s="83">
        <f>[3]Icelandair!$GY$15</f>
        <v>0</v>
      </c>
      <c r="H16" s="76">
        <f>[3]Southwest!$GY$4</f>
        <v>250</v>
      </c>
      <c r="I16" s="83">
        <f>'[3]Sun Country'!$GY$4+'[3]Sun Country'!$GY$15</f>
        <v>472</v>
      </c>
      <c r="J16" s="83">
        <f>[3]Alaska!$GY$4</f>
        <v>62</v>
      </c>
      <c r="K16" s="384">
        <f>SUM(B16:J16)</f>
        <v>996</v>
      </c>
    </row>
    <row r="17" spans="1:258" x14ac:dyDescent="0.2">
      <c r="A17" s="38" t="s">
        <v>23</v>
      </c>
      <c r="B17" s="83">
        <f>[3]Frontier!$GY$5</f>
        <v>62</v>
      </c>
      <c r="C17" s="76">
        <f>'[3]Air Choice One'!$GY$5</f>
        <v>74</v>
      </c>
      <c r="D17" s="76">
        <f>'[3]Boutique Air'!$GY$5</f>
        <v>24</v>
      </c>
      <c r="E17" s="83">
        <f>'[3]Aer Lingus'!$GY$16</f>
        <v>0</v>
      </c>
      <c r="F17" s="76">
        <f>'[3]Denver Air'!$GY$5</f>
        <v>52</v>
      </c>
      <c r="G17" s="83">
        <f>[3]Icelandair!$GY$16</f>
        <v>0</v>
      </c>
      <c r="H17" s="76">
        <f>[3]Southwest!$GY$5</f>
        <v>249</v>
      </c>
      <c r="I17" s="83">
        <f>'[3]Sun Country'!$GY$5+'[3]Sun Country'!$GY$16</f>
        <v>466</v>
      </c>
      <c r="J17" s="83">
        <f>[3]Alaska!$GY$5</f>
        <v>62</v>
      </c>
      <c r="K17" s="384">
        <f>SUM(B17:J17)</f>
        <v>989</v>
      </c>
    </row>
    <row r="18" spans="1:258" x14ac:dyDescent="0.2">
      <c r="A18" s="42" t="s">
        <v>24</v>
      </c>
      <c r="B18" s="98">
        <f t="shared" ref="B18:J18" si="6">SUM(B16:B17)</f>
        <v>124</v>
      </c>
      <c r="C18" s="98">
        <f t="shared" ref="C18:F18" si="7">SUM(C16:C17)</f>
        <v>148</v>
      </c>
      <c r="D18" s="98">
        <f t="shared" ref="D18" si="8">SUM(D16:D17)</f>
        <v>48</v>
      </c>
      <c r="E18" s="98">
        <f t="shared" si="7"/>
        <v>0</v>
      </c>
      <c r="F18" s="98">
        <f t="shared" si="7"/>
        <v>104</v>
      </c>
      <c r="G18" s="98">
        <f t="shared" si="6"/>
        <v>0</v>
      </c>
      <c r="H18" s="98">
        <f t="shared" si="6"/>
        <v>499</v>
      </c>
      <c r="I18" s="98">
        <f t="shared" si="6"/>
        <v>938</v>
      </c>
      <c r="J18" s="98">
        <f t="shared" si="6"/>
        <v>124</v>
      </c>
      <c r="K18" s="388">
        <f>SUM(B18:J18)</f>
        <v>1985</v>
      </c>
    </row>
    <row r="19" spans="1:258" x14ac:dyDescent="0.2">
      <c r="A19" s="42"/>
      <c r="B19" s="82"/>
      <c r="C19" s="82"/>
      <c r="D19" s="82"/>
      <c r="E19" s="82"/>
      <c r="F19" s="82"/>
      <c r="G19" s="82"/>
      <c r="H19" s="82"/>
      <c r="I19" s="82"/>
      <c r="J19" s="82"/>
      <c r="K19" s="384"/>
    </row>
    <row r="20" spans="1:258" x14ac:dyDescent="0.2">
      <c r="A20" s="38" t="s">
        <v>25</v>
      </c>
      <c r="B20" s="83">
        <f>[3]Frontier!$GY$8</f>
        <v>0</v>
      </c>
      <c r="C20" s="83">
        <f>'[3]Air Choice One'!$GY$8</f>
        <v>0</v>
      </c>
      <c r="D20" s="83">
        <f>'[3]Boutique Air'!$GY$8</f>
        <v>0</v>
      </c>
      <c r="E20" s="83">
        <f>'[3]Aer Lingus'!$GY$8</f>
        <v>0</v>
      </c>
      <c r="F20" s="83">
        <f>'[3]Denver Air'!$GY$8</f>
        <v>0</v>
      </c>
      <c r="G20" s="83">
        <f>[3]Icelandair!$GY$8</f>
        <v>0</v>
      </c>
      <c r="H20" s="83">
        <f>[3]Southwest!$GY$8</f>
        <v>0</v>
      </c>
      <c r="I20" s="83">
        <f>'[3]Sun Country'!$GY$8</f>
        <v>93</v>
      </c>
      <c r="J20" s="83">
        <f>[3]Alaska!$GY$8</f>
        <v>0</v>
      </c>
      <c r="K20" s="384">
        <f>SUM(B20:J20)</f>
        <v>93</v>
      </c>
    </row>
    <row r="21" spans="1:258" x14ac:dyDescent="0.2">
      <c r="A21" s="38" t="s">
        <v>26</v>
      </c>
      <c r="B21" s="83">
        <f>[3]Frontier!$GY$9</f>
        <v>0</v>
      </c>
      <c r="C21" s="83">
        <f>'[3]Air Choice One'!$GY$9</f>
        <v>0</v>
      </c>
      <c r="D21" s="83">
        <f>'[3]Boutique Air'!$GY$9</f>
        <v>0</v>
      </c>
      <c r="E21" s="83">
        <f>'[3]Aer Lingus'!$GY$9</f>
        <v>0</v>
      </c>
      <c r="F21" s="83">
        <f>'[3]Denver Air'!$GY$9</f>
        <v>0</v>
      </c>
      <c r="G21" s="83">
        <f>[3]Icelandair!$GY$9</f>
        <v>0</v>
      </c>
      <c r="H21" s="83">
        <f>[3]Southwest!$GY$9</f>
        <v>0</v>
      </c>
      <c r="I21" s="83">
        <f>'[3]Sun Country'!$GY$9</f>
        <v>109</v>
      </c>
      <c r="J21" s="83">
        <f>[3]Alaska!$GY$9</f>
        <v>0</v>
      </c>
      <c r="K21" s="384">
        <f>SUM(B21:J21)</f>
        <v>109</v>
      </c>
    </row>
    <row r="22" spans="1:258" x14ac:dyDescent="0.2">
      <c r="A22" s="42" t="s">
        <v>27</v>
      </c>
      <c r="B22" s="98">
        <f t="shared" ref="B22:J22" si="9">SUM(B20:B21)</f>
        <v>0</v>
      </c>
      <c r="C22" s="98">
        <f t="shared" ref="C22:F22" si="10">SUM(C20:C21)</f>
        <v>0</v>
      </c>
      <c r="D22" s="98">
        <f t="shared" ref="D22" si="11">SUM(D20:D21)</f>
        <v>0</v>
      </c>
      <c r="E22" s="98">
        <f t="shared" si="10"/>
        <v>0</v>
      </c>
      <c r="F22" s="98">
        <f t="shared" si="10"/>
        <v>0</v>
      </c>
      <c r="G22" s="98">
        <f t="shared" si="9"/>
        <v>0</v>
      </c>
      <c r="H22" s="98">
        <f t="shared" si="9"/>
        <v>0</v>
      </c>
      <c r="I22" s="98">
        <f t="shared" si="9"/>
        <v>202</v>
      </c>
      <c r="J22" s="98">
        <f t="shared" si="9"/>
        <v>0</v>
      </c>
      <c r="K22" s="388">
        <f>SUM(B22:J22)</f>
        <v>202</v>
      </c>
    </row>
    <row r="23" spans="1:258" ht="15.75" thickBot="1" x14ac:dyDescent="0.3">
      <c r="A23" s="39" t="s">
        <v>28</v>
      </c>
      <c r="B23" s="99">
        <f t="shared" ref="B23:J23" si="12">B22+B18</f>
        <v>124</v>
      </c>
      <c r="C23" s="99">
        <f t="shared" ref="C23:F23" si="13">C22+C18</f>
        <v>148</v>
      </c>
      <c r="D23" s="99">
        <f t="shared" ref="D23" si="14">D22+D18</f>
        <v>48</v>
      </c>
      <c r="E23" s="99">
        <f t="shared" si="13"/>
        <v>0</v>
      </c>
      <c r="F23" s="99">
        <f t="shared" si="13"/>
        <v>104</v>
      </c>
      <c r="G23" s="99">
        <f t="shared" si="12"/>
        <v>0</v>
      </c>
      <c r="H23" s="99">
        <f t="shared" si="12"/>
        <v>499</v>
      </c>
      <c r="I23" s="99">
        <f t="shared" si="12"/>
        <v>1140</v>
      </c>
      <c r="J23" s="99">
        <f t="shared" si="12"/>
        <v>124</v>
      </c>
      <c r="K23" s="389">
        <f>SUM(B23:J23)</f>
        <v>2187</v>
      </c>
    </row>
    <row r="24" spans="1:258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289"/>
      <c r="C25" s="289"/>
      <c r="D25" s="289"/>
      <c r="E25" s="289"/>
      <c r="F25" s="289"/>
      <c r="G25" s="289"/>
      <c r="H25" s="289"/>
      <c r="I25" s="289"/>
      <c r="J25" s="289"/>
      <c r="K25" s="83"/>
    </row>
    <row r="26" spans="1:258" ht="15.75" thickTop="1" x14ac:dyDescent="0.25">
      <c r="A26" s="41" t="s">
        <v>35</v>
      </c>
      <c r="B26" s="103"/>
      <c r="C26" s="103"/>
      <c r="D26" s="434"/>
      <c r="E26" s="103"/>
      <c r="F26" s="434"/>
      <c r="G26" s="103"/>
      <c r="H26" s="103"/>
      <c r="I26" s="103"/>
      <c r="J26" s="103"/>
      <c r="K26" s="390"/>
    </row>
    <row r="27" spans="1:258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104"/>
      <c r="K27" s="383"/>
    </row>
    <row r="28" spans="1:258" x14ac:dyDescent="0.2">
      <c r="A28" s="38" t="s">
        <v>37</v>
      </c>
      <c r="B28" s="83">
        <f>[3]Frontier!$GY$47</f>
        <v>0</v>
      </c>
      <c r="C28" s="83">
        <f>'[3]Air Choice One'!$GY$47</f>
        <v>0</v>
      </c>
      <c r="D28" s="83">
        <f>'[3]Boutique Air'!$GY$47</f>
        <v>0</v>
      </c>
      <c r="E28" s="83">
        <f>'[3]Aer Lingus'!$GY$47</f>
        <v>0</v>
      </c>
      <c r="F28" s="83">
        <f>'[3]Denver Air'!$GY$47</f>
        <v>0</v>
      </c>
      <c r="G28" s="83">
        <f>[3]Icelandair!$GY$47</f>
        <v>0</v>
      </c>
      <c r="H28" s="83">
        <f>[3]Southwest!$GY$47</f>
        <v>212661</v>
      </c>
      <c r="I28" s="83">
        <f>'[3]Sun Country'!$GY$47</f>
        <v>12134</v>
      </c>
      <c r="J28" s="83">
        <f>[3]Alaska!$GY$47</f>
        <v>22934</v>
      </c>
      <c r="K28" s="384">
        <f>SUM(B28:J28)</f>
        <v>247729</v>
      </c>
    </row>
    <row r="29" spans="1:258" x14ac:dyDescent="0.2">
      <c r="A29" s="38" t="s">
        <v>38</v>
      </c>
      <c r="B29" s="83">
        <f>[3]Frontier!$GY$48</f>
        <v>0</v>
      </c>
      <c r="C29" s="83">
        <f>'[3]Air Choice One'!$GY$48</f>
        <v>0</v>
      </c>
      <c r="D29" s="83">
        <f>'[3]Boutique Air'!$GY$48</f>
        <v>0</v>
      </c>
      <c r="E29" s="83">
        <f>'[3]Aer Lingus'!$GY$48</f>
        <v>0</v>
      </c>
      <c r="F29" s="83">
        <f>'[3]Denver Air'!$GY$48</f>
        <v>0</v>
      </c>
      <c r="G29" s="83">
        <f>[3]Icelandair!$GY$48</f>
        <v>0</v>
      </c>
      <c r="H29" s="83">
        <f>[3]Southwest!$GY$48</f>
        <v>0</v>
      </c>
      <c r="I29" s="83">
        <f>'[3]Sun Country'!$GY$48</f>
        <v>170097</v>
      </c>
      <c r="J29" s="83">
        <f>[3]Alaska!$GY$48</f>
        <v>140</v>
      </c>
      <c r="K29" s="384">
        <f>SUM(B29:J29)</f>
        <v>170237</v>
      </c>
    </row>
    <row r="30" spans="1:258" x14ac:dyDescent="0.2">
      <c r="A30" s="42" t="s">
        <v>39</v>
      </c>
      <c r="B30" s="105">
        <f t="shared" ref="B30:J30" si="15">SUM(B28:B29)</f>
        <v>0</v>
      </c>
      <c r="C30" s="105">
        <f t="shared" ref="C30:F30" si="16">SUM(C28:C29)</f>
        <v>0</v>
      </c>
      <c r="D30" s="105">
        <f t="shared" ref="D30" si="17">SUM(D28:D29)</f>
        <v>0</v>
      </c>
      <c r="E30" s="105">
        <f t="shared" si="16"/>
        <v>0</v>
      </c>
      <c r="F30" s="105">
        <f t="shared" si="16"/>
        <v>0</v>
      </c>
      <c r="G30" s="105">
        <f t="shared" si="15"/>
        <v>0</v>
      </c>
      <c r="H30" s="105">
        <f t="shared" si="15"/>
        <v>212661</v>
      </c>
      <c r="I30" s="105">
        <f t="shared" si="15"/>
        <v>182231</v>
      </c>
      <c r="J30" s="105">
        <f t="shared" si="15"/>
        <v>23074</v>
      </c>
      <c r="K30" s="391">
        <f>SUM(B30:J30)</f>
        <v>417966</v>
      </c>
    </row>
    <row r="31" spans="1:258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100"/>
      <c r="K31" s="384"/>
    </row>
    <row r="32" spans="1:258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83"/>
      <c r="K32" s="384"/>
    </row>
    <row r="33" spans="1:11" x14ac:dyDescent="0.2">
      <c r="A33" s="38" t="s">
        <v>37</v>
      </c>
      <c r="B33" s="83">
        <f>[3]Frontier!$GY$52</f>
        <v>0</v>
      </c>
      <c r="C33" s="83">
        <f>'[3]Air Choice One'!$GY$52</f>
        <v>0</v>
      </c>
      <c r="D33" s="83">
        <f>'[3]Boutique Air'!$GY$52</f>
        <v>0</v>
      </c>
      <c r="E33" s="83">
        <f>'[3]Aer Lingus'!$GY$52</f>
        <v>0</v>
      </c>
      <c r="F33" s="83">
        <f>'[3]Denver Air'!$GY$52</f>
        <v>0</v>
      </c>
      <c r="G33" s="83">
        <f>[3]Icelandair!$GY$52</f>
        <v>0</v>
      </c>
      <c r="H33" s="83">
        <f>[3]Southwest!$GY$52</f>
        <v>78761</v>
      </c>
      <c r="I33" s="83">
        <f>'[3]Sun Country'!$GY$52</f>
        <v>0</v>
      </c>
      <c r="J33" s="83">
        <f>[3]Alaska!$GY$52</f>
        <v>4112</v>
      </c>
      <c r="K33" s="384">
        <f>SUM(B33:J33)</f>
        <v>82873</v>
      </c>
    </row>
    <row r="34" spans="1:11" x14ac:dyDescent="0.2">
      <c r="A34" s="38" t="s">
        <v>38</v>
      </c>
      <c r="B34" s="83">
        <f>[3]Frontier!$GY$53</f>
        <v>0</v>
      </c>
      <c r="C34" s="83">
        <f>'[3]Air Choice One'!$GY$53</f>
        <v>0</v>
      </c>
      <c r="D34" s="83">
        <f>'[3]Boutique Air'!$GY$53</f>
        <v>0</v>
      </c>
      <c r="E34" s="83">
        <f>'[3]Aer Lingus'!$GY$53</f>
        <v>0</v>
      </c>
      <c r="F34" s="83">
        <f>'[3]Denver Air'!$GY$53</f>
        <v>0</v>
      </c>
      <c r="G34" s="83">
        <f>[3]Icelandair!$GY$53</f>
        <v>0</v>
      </c>
      <c r="H34" s="83">
        <f>[3]Southwest!$GY$53</f>
        <v>0</v>
      </c>
      <c r="I34" s="83">
        <f>'[3]Sun Country'!$GY$53</f>
        <v>191973</v>
      </c>
      <c r="J34" s="83">
        <f>[3]Alaska!$GY$53</f>
        <v>0</v>
      </c>
      <c r="K34" s="392">
        <f>SUM(B34:J34)</f>
        <v>191973</v>
      </c>
    </row>
    <row r="35" spans="1:11" x14ac:dyDescent="0.2">
      <c r="A35" s="42" t="s">
        <v>41</v>
      </c>
      <c r="B35" s="98">
        <f t="shared" ref="B35:J35" si="18">SUM(B33:B34)</f>
        <v>0</v>
      </c>
      <c r="C35" s="98">
        <f t="shared" ref="C35:F35" si="19">SUM(C33:C34)</f>
        <v>0</v>
      </c>
      <c r="D35" s="98">
        <f t="shared" ref="D35" si="20">SUM(D33:D34)</f>
        <v>0</v>
      </c>
      <c r="E35" s="98">
        <f t="shared" si="19"/>
        <v>0</v>
      </c>
      <c r="F35" s="98">
        <f t="shared" si="19"/>
        <v>0</v>
      </c>
      <c r="G35" s="98">
        <f t="shared" si="18"/>
        <v>0</v>
      </c>
      <c r="H35" s="98">
        <f t="shared" si="18"/>
        <v>78761</v>
      </c>
      <c r="I35" s="98">
        <f t="shared" si="18"/>
        <v>191973</v>
      </c>
      <c r="J35" s="98">
        <f t="shared" si="18"/>
        <v>4112</v>
      </c>
      <c r="K35" s="391">
        <f>SUM(B35:J35)</f>
        <v>274846</v>
      </c>
    </row>
    <row r="36" spans="1:11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100"/>
      <c r="K36" s="384"/>
    </row>
    <row r="37" spans="1:11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384"/>
    </row>
    <row r="38" spans="1:11" hidden="1" x14ac:dyDescent="0.2">
      <c r="A38" s="38" t="s">
        <v>37</v>
      </c>
      <c r="B38" s="100">
        <f>[3]Frontier!$GY$57</f>
        <v>0</v>
      </c>
      <c r="C38" s="100">
        <f>'[3]Air Choice One'!$GY$57</f>
        <v>0</v>
      </c>
      <c r="D38" s="100">
        <f>'[3]Boutique Air'!$GY$57</f>
        <v>0</v>
      </c>
      <c r="E38" s="100">
        <f>'[3]Aer Lingus'!$GY$57</f>
        <v>0</v>
      </c>
      <c r="F38" s="100">
        <f>'[3]Denver Air'!$GY$57</f>
        <v>0</v>
      </c>
      <c r="G38" s="100">
        <f>[3]Icelandair!$GY$57</f>
        <v>0</v>
      </c>
      <c r="H38" s="100">
        <f>[3]Southwest!$GY$57</f>
        <v>0</v>
      </c>
      <c r="I38" s="100">
        <f>'[3]Sun Country'!$GY$57</f>
        <v>0</v>
      </c>
      <c r="J38" s="100">
        <f>[3]Alaska!$GY$57</f>
        <v>0</v>
      </c>
      <c r="K38" s="384">
        <f>SUM(B38:I38)</f>
        <v>0</v>
      </c>
    </row>
    <row r="39" spans="1:11" hidden="1" x14ac:dyDescent="0.2">
      <c r="A39" s="38" t="s">
        <v>38</v>
      </c>
      <c r="B39" s="102">
        <f>[3]Frontier!$GY$58</f>
        <v>0</v>
      </c>
      <c r="C39" s="102">
        <f>'[3]Air Choice One'!$GY$58</f>
        <v>0</v>
      </c>
      <c r="D39" s="102">
        <f>'[3]Boutique Air'!$GY$58</f>
        <v>0</v>
      </c>
      <c r="E39" s="102">
        <f>'[3]Aer Lingus'!$GY$58</f>
        <v>0</v>
      </c>
      <c r="F39" s="102">
        <f>'[3]Denver Air'!$GY$58</f>
        <v>0</v>
      </c>
      <c r="G39" s="102">
        <f>[3]Icelandair!$GY$58</f>
        <v>0</v>
      </c>
      <c r="H39" s="102">
        <f>[3]Southwest!$GY$58</f>
        <v>0</v>
      </c>
      <c r="I39" s="102">
        <f>'[3]Sun Country'!$GY$58</f>
        <v>0</v>
      </c>
      <c r="J39" s="102">
        <f>[3]Alaska!$GY$58</f>
        <v>0</v>
      </c>
      <c r="K39" s="392">
        <f>SUM(B39:I39)</f>
        <v>0</v>
      </c>
    </row>
    <row r="40" spans="1:11" hidden="1" x14ac:dyDescent="0.2">
      <c r="A40" s="42" t="s">
        <v>43</v>
      </c>
      <c r="B40" s="106">
        <f t="shared" ref="B40:J40" si="21">SUM(B38:B39)</f>
        <v>0</v>
      </c>
      <c r="C40" s="106">
        <f t="shared" ref="C40:F40" si="22">SUM(C38:C39)</f>
        <v>0</v>
      </c>
      <c r="D40" s="106">
        <f t="shared" ref="D40" si="23">SUM(D38:D39)</f>
        <v>0</v>
      </c>
      <c r="E40" s="106">
        <f t="shared" si="22"/>
        <v>0</v>
      </c>
      <c r="F40" s="106">
        <f t="shared" si="22"/>
        <v>0</v>
      </c>
      <c r="G40" s="106">
        <f t="shared" si="21"/>
        <v>0</v>
      </c>
      <c r="H40" s="106">
        <f t="shared" si="21"/>
        <v>0</v>
      </c>
      <c r="I40" s="106">
        <f t="shared" si="21"/>
        <v>0</v>
      </c>
      <c r="J40" s="106">
        <f t="shared" si="21"/>
        <v>0</v>
      </c>
      <c r="K40" s="384">
        <f>SUM(B40:I40)</f>
        <v>0</v>
      </c>
    </row>
    <row r="41" spans="1:11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100"/>
      <c r="K41" s="384"/>
    </row>
    <row r="42" spans="1:11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384"/>
    </row>
    <row r="43" spans="1:11" x14ac:dyDescent="0.2">
      <c r="A43" s="38" t="s">
        <v>45</v>
      </c>
      <c r="B43" s="100">
        <f t="shared" ref="B43:J43" si="24">B28+B33+B38</f>
        <v>0</v>
      </c>
      <c r="C43" s="100">
        <f t="shared" ref="C43:F43" si="25">C28+C33+C38</f>
        <v>0</v>
      </c>
      <c r="D43" s="100">
        <f t="shared" ref="D43" si="26">D28+D33+D38</f>
        <v>0</v>
      </c>
      <c r="E43" s="100">
        <f t="shared" si="25"/>
        <v>0</v>
      </c>
      <c r="F43" s="100">
        <f t="shared" si="25"/>
        <v>0</v>
      </c>
      <c r="G43" s="100">
        <f t="shared" si="24"/>
        <v>0</v>
      </c>
      <c r="H43" s="100">
        <f t="shared" si="24"/>
        <v>291422</v>
      </c>
      <c r="I43" s="100">
        <f t="shared" si="24"/>
        <v>12134</v>
      </c>
      <c r="J43" s="100">
        <f t="shared" si="24"/>
        <v>27046</v>
      </c>
      <c r="K43" s="384">
        <f>SUM(B43:J43)</f>
        <v>330602</v>
      </c>
    </row>
    <row r="44" spans="1:11" x14ac:dyDescent="0.2">
      <c r="A44" s="38" t="s">
        <v>38</v>
      </c>
      <c r="B44" s="102">
        <f t="shared" ref="B44:J44" si="27">+B39+B34+B29</f>
        <v>0</v>
      </c>
      <c r="C44" s="102">
        <f t="shared" ref="C44:F44" si="28">+C39+C34+C29</f>
        <v>0</v>
      </c>
      <c r="D44" s="102">
        <f t="shared" ref="D44" si="29">+D39+D34+D29</f>
        <v>0</v>
      </c>
      <c r="E44" s="102">
        <f t="shared" si="28"/>
        <v>0</v>
      </c>
      <c r="F44" s="102">
        <f t="shared" si="28"/>
        <v>0</v>
      </c>
      <c r="G44" s="102">
        <f t="shared" si="27"/>
        <v>0</v>
      </c>
      <c r="H44" s="102">
        <f t="shared" si="27"/>
        <v>0</v>
      </c>
      <c r="I44" s="102">
        <f t="shared" si="27"/>
        <v>362070</v>
      </c>
      <c r="J44" s="102">
        <f t="shared" si="27"/>
        <v>140</v>
      </c>
      <c r="K44" s="384">
        <f>SUM(B44:J44)</f>
        <v>362210</v>
      </c>
    </row>
    <row r="45" spans="1:11" ht="15.75" thickBot="1" x14ac:dyDescent="0.3">
      <c r="A45" s="39" t="s">
        <v>46</v>
      </c>
      <c r="B45" s="107">
        <f t="shared" ref="B45:J45" si="30">B43+B44</f>
        <v>0</v>
      </c>
      <c r="C45" s="107">
        <f t="shared" ref="C45:F45" si="31">C43+C44</f>
        <v>0</v>
      </c>
      <c r="D45" s="107">
        <f t="shared" ref="D45" si="32">D43+D44</f>
        <v>0</v>
      </c>
      <c r="E45" s="107">
        <f t="shared" si="31"/>
        <v>0</v>
      </c>
      <c r="F45" s="107">
        <f t="shared" si="31"/>
        <v>0</v>
      </c>
      <c r="G45" s="107">
        <f t="shared" si="30"/>
        <v>0</v>
      </c>
      <c r="H45" s="107">
        <f t="shared" si="30"/>
        <v>291422</v>
      </c>
      <c r="I45" s="107">
        <f t="shared" si="30"/>
        <v>374204</v>
      </c>
      <c r="J45" s="107">
        <f t="shared" si="30"/>
        <v>27186</v>
      </c>
      <c r="K45" s="393">
        <f>SUM(B45:J45)</f>
        <v>692812</v>
      </c>
    </row>
    <row r="48" spans="1:11" x14ac:dyDescent="0.2">
      <c r="A48" s="255" t="s">
        <v>122</v>
      </c>
      <c r="B48" s="265"/>
      <c r="C48" s="265"/>
      <c r="D48" s="265"/>
      <c r="E48" s="265"/>
      <c r="F48" s="265"/>
      <c r="H48" s="216">
        <f>[3]Southwest!$GY$70+[3]Southwest!$GY$73</f>
        <v>21809</v>
      </c>
      <c r="I48" s="216">
        <f>'[3]Sun Country'!$GY$70+'[3]Sun Country'!$GY$73</f>
        <v>66212</v>
      </c>
      <c r="J48" s="265"/>
      <c r="K48" s="205">
        <f>SUM(B48:J48)</f>
        <v>88021</v>
      </c>
    </row>
    <row r="49" spans="1:11" x14ac:dyDescent="0.2">
      <c r="A49" s="267" t="s">
        <v>123</v>
      </c>
      <c r="B49" s="265"/>
      <c r="C49" s="265"/>
      <c r="D49" s="265"/>
      <c r="E49" s="265"/>
      <c r="F49" s="265"/>
      <c r="H49" s="216">
        <f>[3]Southwest!$GY$71+[3]Southwest!$GY$74</f>
        <v>1</v>
      </c>
      <c r="I49" s="216">
        <f>'[3]Sun Country'!$GY$71+'[3]Sun Country'!$GY$74</f>
        <v>0</v>
      </c>
      <c r="J49" s="265"/>
      <c r="K49" s="205">
        <f>SUM(B49:J49)</f>
        <v>1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October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O8" sqref="O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3"/>
    </row>
    <row r="2" spans="1:13" ht="51.75" thickBot="1" x14ac:dyDescent="0.25">
      <c r="A2" s="258">
        <v>44105</v>
      </c>
      <c r="B2" s="432" t="s">
        <v>158</v>
      </c>
      <c r="C2" s="432" t="s">
        <v>161</v>
      </c>
      <c r="D2" s="432" t="s">
        <v>169</v>
      </c>
      <c r="E2" s="432" t="s">
        <v>168</v>
      </c>
      <c r="F2" s="432" t="s">
        <v>170</v>
      </c>
      <c r="G2" s="432" t="s">
        <v>198</v>
      </c>
      <c r="H2" s="432" t="s">
        <v>174</v>
      </c>
      <c r="I2" s="432" t="s">
        <v>181</v>
      </c>
      <c r="J2" s="432" t="s">
        <v>196</v>
      </c>
      <c r="K2" s="432" t="s">
        <v>173</v>
      </c>
      <c r="L2" s="303" t="s">
        <v>116</v>
      </c>
      <c r="M2" s="400" t="s">
        <v>21</v>
      </c>
    </row>
    <row r="3" spans="1:13" ht="15.75" thickTop="1" x14ac:dyDescent="0.25">
      <c r="A3" s="186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4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5"/>
    </row>
    <row r="5" spans="1:13" x14ac:dyDescent="0.2">
      <c r="A5" s="38" t="s">
        <v>30</v>
      </c>
      <c r="B5" s="78">
        <f>[3]Pinnacle!$GY$22+[3]Pinnacle!$GY$32</f>
        <v>84627</v>
      </c>
      <c r="C5" s="78">
        <f>[3]MESA_UA!$GY$22</f>
        <v>3265</v>
      </c>
      <c r="D5" s="83">
        <f>'[3]Sky West'!$GY$22+'[3]Sky West'!$GY$32</f>
        <v>60749</v>
      </c>
      <c r="E5" s="83">
        <f>'[3]Sky West_UA'!$GY$22</f>
        <v>3223</v>
      </c>
      <c r="F5" s="83">
        <f>'[3]Sky West_AS'!$GY$22</f>
        <v>0</v>
      </c>
      <c r="G5" s="83">
        <f>'[3]Sky West_AA'!$GY$22</f>
        <v>0</v>
      </c>
      <c r="H5" s="83">
        <f>[3]Republic!$GY$22</f>
        <v>6123</v>
      </c>
      <c r="I5" s="83">
        <f>[3]Republic_UA!$GY$22</f>
        <v>2642</v>
      </c>
      <c r="J5" s="83">
        <f>'[3]Sky Regional'!$GY$32</f>
        <v>0</v>
      </c>
      <c r="K5" s="83">
        <f>'[3]American Eagle'!$GY$22</f>
        <v>971</v>
      </c>
      <c r="L5" s="83">
        <f>'Other Regional'!J5</f>
        <v>0</v>
      </c>
      <c r="M5" s="395">
        <f>SUM(B5:L5)</f>
        <v>161600</v>
      </c>
    </row>
    <row r="6" spans="1:13" s="6" customFormat="1" x14ac:dyDescent="0.2">
      <c r="A6" s="38" t="s">
        <v>31</v>
      </c>
      <c r="B6" s="78">
        <f>[3]Pinnacle!$GY$23+[3]Pinnacle!$GY$33</f>
        <v>83069</v>
      </c>
      <c r="C6" s="78">
        <f>[3]MESA_UA!$GY$23</f>
        <v>3534</v>
      </c>
      <c r="D6" s="83">
        <f>'[3]Sky West'!$GY$23+'[3]Sky West'!$GY$33</f>
        <v>60527</v>
      </c>
      <c r="E6" s="83">
        <f>'[3]Sky West_UA'!$GY$23</f>
        <v>3700</v>
      </c>
      <c r="F6" s="83">
        <f>'[3]Sky West_AS'!$GY$23</f>
        <v>0</v>
      </c>
      <c r="G6" s="83">
        <f>'[3]Sky West_AA'!$GY$23</f>
        <v>0</v>
      </c>
      <c r="H6" s="83">
        <f>[3]Republic!$GY$23</f>
        <v>6555</v>
      </c>
      <c r="I6" s="83">
        <f>[3]Republic_UA!$GY$23</f>
        <v>3071</v>
      </c>
      <c r="J6" s="83">
        <f>'[3]Sky Regional'!$GY$33</f>
        <v>0</v>
      </c>
      <c r="K6" s="83">
        <f>'[3]American Eagle'!$GY$23</f>
        <v>1051</v>
      </c>
      <c r="L6" s="83">
        <f>'Other Regional'!J6</f>
        <v>0</v>
      </c>
      <c r="M6" s="396">
        <f>SUM(B6:L6)</f>
        <v>161507</v>
      </c>
    </row>
    <row r="7" spans="1:13" ht="15" thickBot="1" x14ac:dyDescent="0.25">
      <c r="A7" s="47" t="s">
        <v>7</v>
      </c>
      <c r="B7" s="91">
        <f>SUM(B5:B6)</f>
        <v>167696</v>
      </c>
      <c r="C7" s="91">
        <f t="shared" ref="C7:L7" si="0">SUM(C5:C6)</f>
        <v>6799</v>
      </c>
      <c r="D7" s="91">
        <f t="shared" si="0"/>
        <v>121276</v>
      </c>
      <c r="E7" s="91">
        <f t="shared" si="0"/>
        <v>6923</v>
      </c>
      <c r="F7" s="91">
        <f t="shared" ref="F7:G7" si="1">SUM(F5:F6)</f>
        <v>0</v>
      </c>
      <c r="G7" s="91">
        <f t="shared" si="1"/>
        <v>0</v>
      </c>
      <c r="H7" s="91">
        <f t="shared" si="0"/>
        <v>12678</v>
      </c>
      <c r="I7" s="91">
        <f t="shared" si="0"/>
        <v>5713</v>
      </c>
      <c r="J7" s="91">
        <f t="shared" si="0"/>
        <v>0</v>
      </c>
      <c r="K7" s="91">
        <f t="shared" si="0"/>
        <v>2022</v>
      </c>
      <c r="L7" s="91">
        <f t="shared" si="0"/>
        <v>0</v>
      </c>
      <c r="M7" s="397">
        <f>SUM(B7:L7)</f>
        <v>323107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8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5"/>
    </row>
    <row r="10" spans="1:13" x14ac:dyDescent="0.2">
      <c r="A10" s="38" t="s">
        <v>30</v>
      </c>
      <c r="B10" s="78">
        <f>[3]Pinnacle!$GY$27+[3]Pinnacle!$GY$37</f>
        <v>3652</v>
      </c>
      <c r="C10" s="78">
        <f>[3]MESA_UA!$GY$27</f>
        <v>216</v>
      </c>
      <c r="D10" s="83">
        <f>'[3]Sky West'!$GY$27+'[3]Sky West'!$GY$37</f>
        <v>3768</v>
      </c>
      <c r="E10" s="83">
        <f>'[3]Sky West_UA'!$GY$27</f>
        <v>181</v>
      </c>
      <c r="F10" s="83">
        <f>'[3]Sky West_AS'!$GY$27</f>
        <v>0</v>
      </c>
      <c r="G10" s="83">
        <f>'[3]Sky West_AA'!$GY$27</f>
        <v>0</v>
      </c>
      <c r="H10" s="83">
        <f>[3]Republic!$GY$27</f>
        <v>453</v>
      </c>
      <c r="I10" s="83">
        <f>[3]Republic_UA!$GY$27</f>
        <v>167</v>
      </c>
      <c r="J10" s="83">
        <f>'[3]Sky Regional'!$GY$37</f>
        <v>0</v>
      </c>
      <c r="K10" s="83">
        <f>'[3]American Eagle'!$GY$27</f>
        <v>74</v>
      </c>
      <c r="L10" s="83">
        <f>'Other Regional'!J10</f>
        <v>0</v>
      </c>
      <c r="M10" s="395">
        <f>SUM(B10:L10)</f>
        <v>8511</v>
      </c>
    </row>
    <row r="11" spans="1:13" x14ac:dyDescent="0.2">
      <c r="A11" s="38" t="s">
        <v>33</v>
      </c>
      <c r="B11" s="78">
        <f>[3]Pinnacle!$GY$28+[3]Pinnacle!$GY$38</f>
        <v>3523</v>
      </c>
      <c r="C11" s="78">
        <f>[3]MESA_UA!$GY$28</f>
        <v>252</v>
      </c>
      <c r="D11" s="83">
        <f>'[3]Sky West'!$GY$28+'[3]Sky West'!$GY$38</f>
        <v>3337</v>
      </c>
      <c r="E11" s="83">
        <f>'[3]Sky West_UA'!$GY$28</f>
        <v>290</v>
      </c>
      <c r="F11" s="83">
        <f>'[3]Sky West_AS'!$GY$28</f>
        <v>0</v>
      </c>
      <c r="G11" s="83">
        <f>'[3]Sky West_AA'!$GY$28</f>
        <v>0</v>
      </c>
      <c r="H11" s="83">
        <f>[3]Republic!$GY$28</f>
        <v>465</v>
      </c>
      <c r="I11" s="83">
        <f>[3]Republic_UA!$GY$28</f>
        <v>149</v>
      </c>
      <c r="J11" s="83">
        <f>'[3]Sky Regional'!$GY$38</f>
        <v>0</v>
      </c>
      <c r="K11" s="83">
        <f>'[3]American Eagle'!$GY$28</f>
        <v>71</v>
      </c>
      <c r="L11" s="83">
        <f>'Other Regional'!J11</f>
        <v>0</v>
      </c>
      <c r="M11" s="396">
        <f>SUM(B11:L11)</f>
        <v>8087</v>
      </c>
    </row>
    <row r="12" spans="1:13" ht="15" thickBot="1" x14ac:dyDescent="0.25">
      <c r="A12" s="48" t="s">
        <v>34</v>
      </c>
      <c r="B12" s="92">
        <f t="shared" ref="B12:L12" si="2">SUM(B10:B11)</f>
        <v>7175</v>
      </c>
      <c r="C12" s="92">
        <f t="shared" si="2"/>
        <v>468</v>
      </c>
      <c r="D12" s="92">
        <f t="shared" si="2"/>
        <v>7105</v>
      </c>
      <c r="E12" s="92">
        <f t="shared" si="2"/>
        <v>471</v>
      </c>
      <c r="F12" s="92">
        <f t="shared" ref="F12:G12" si="3">SUM(F10:F11)</f>
        <v>0</v>
      </c>
      <c r="G12" s="92">
        <f t="shared" si="3"/>
        <v>0</v>
      </c>
      <c r="H12" s="92">
        <f t="shared" si="2"/>
        <v>918</v>
      </c>
      <c r="I12" s="92">
        <f t="shared" si="2"/>
        <v>316</v>
      </c>
      <c r="J12" s="92">
        <f t="shared" si="2"/>
        <v>0</v>
      </c>
      <c r="K12" s="92">
        <f t="shared" si="2"/>
        <v>145</v>
      </c>
      <c r="L12" s="92">
        <f t="shared" si="2"/>
        <v>0</v>
      </c>
      <c r="M12" s="399">
        <f>SUM(B12:L12)</f>
        <v>16598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401">
        <f t="shared" ref="M14" si="4">SUM(B14:L14)</f>
        <v>0</v>
      </c>
    </row>
    <row r="15" spans="1:13" x14ac:dyDescent="0.2">
      <c r="A15" s="38" t="s">
        <v>53</v>
      </c>
      <c r="B15" s="12">
        <f>[3]Pinnacle!$GY$4+[3]Pinnacle!$GY$15</f>
        <v>2621</v>
      </c>
      <c r="C15" s="77">
        <f>[3]MESA_UA!$GY$4</f>
        <v>62</v>
      </c>
      <c r="D15" s="76">
        <f>'[3]Sky West'!$GY$4+'[3]Sky West'!$GY$15</f>
        <v>1812</v>
      </c>
      <c r="E15" s="76">
        <f>'[3]Sky West_UA'!$GY$4</f>
        <v>71</v>
      </c>
      <c r="F15" s="76">
        <f>'[3]Sky West_AS'!$GY$4</f>
        <v>0</v>
      </c>
      <c r="G15" s="76">
        <f>'[3]Sky West_AA'!$GY$4</f>
        <v>0</v>
      </c>
      <c r="H15" s="78">
        <f>[3]Republic!$GY$4</f>
        <v>119</v>
      </c>
      <c r="I15" s="312">
        <f>[3]Republic_UA!$GY$4</f>
        <v>62</v>
      </c>
      <c r="J15" s="312">
        <f>'[3]Sky Regional'!$GY$15</f>
        <v>0</v>
      </c>
      <c r="K15" s="312">
        <f>'[3]American Eagle'!$GY$4</f>
        <v>15</v>
      </c>
      <c r="L15" s="77">
        <f>'Other Regional'!J15</f>
        <v>0</v>
      </c>
      <c r="M15" s="395">
        <f t="shared" ref="M15:M21" si="5">SUM(B15:L15)</f>
        <v>4762</v>
      </c>
    </row>
    <row r="16" spans="1:13" x14ac:dyDescent="0.2">
      <c r="A16" s="38" t="s">
        <v>54</v>
      </c>
      <c r="B16" s="7">
        <f>[3]Pinnacle!$GY$5+[3]Pinnacle!$GY$16</f>
        <v>2619</v>
      </c>
      <c r="C16" s="80">
        <f>[3]MESA_UA!$GY$5</f>
        <v>62</v>
      </c>
      <c r="D16" s="79">
        <f>'[3]Sky West'!$GY$5+'[3]Sky West'!$GY$16</f>
        <v>1810</v>
      </c>
      <c r="E16" s="79">
        <f>'[3]Sky West_UA'!$GY$5</f>
        <v>71</v>
      </c>
      <c r="F16" s="79">
        <f>'[3]Sky West_AS'!$GY$5</f>
        <v>0</v>
      </c>
      <c r="G16" s="79">
        <f>'[3]Sky West_AA'!$GY$5</f>
        <v>0</v>
      </c>
      <c r="H16" s="81">
        <f>[3]Republic!$GY$5</f>
        <v>118</v>
      </c>
      <c r="I16" s="194">
        <f>[3]Republic_UA!$GY$5</f>
        <v>62</v>
      </c>
      <c r="J16" s="194">
        <f>'[3]Sky Regional'!$GY$16</f>
        <v>0</v>
      </c>
      <c r="K16" s="194">
        <f>'[3]American Eagle'!$GY$5</f>
        <v>16</v>
      </c>
      <c r="L16" s="80">
        <f>'Other Regional'!J16</f>
        <v>0</v>
      </c>
      <c r="M16" s="396">
        <f t="shared" si="5"/>
        <v>4758</v>
      </c>
    </row>
    <row r="17" spans="1:13" x14ac:dyDescent="0.2">
      <c r="A17" s="42" t="s">
        <v>55</v>
      </c>
      <c r="B17" s="82">
        <f t="shared" ref="B17:K17" si="6">SUM(B15:B16)</f>
        <v>5240</v>
      </c>
      <c r="C17" s="82">
        <f t="shared" si="6"/>
        <v>124</v>
      </c>
      <c r="D17" s="82">
        <f t="shared" si="6"/>
        <v>3622</v>
      </c>
      <c r="E17" s="82">
        <f>SUM(E15:E16)</f>
        <v>142</v>
      </c>
      <c r="F17" s="82">
        <f>SUM(F15:F16)</f>
        <v>0</v>
      </c>
      <c r="G17" s="82">
        <f>SUM(G15:G16)</f>
        <v>0</v>
      </c>
      <c r="H17" s="82">
        <f>SUM(H15:H16)</f>
        <v>237</v>
      </c>
      <c r="I17" s="82">
        <f t="shared" ref="I17" si="7">SUM(I15:I16)</f>
        <v>124</v>
      </c>
      <c r="J17" s="82">
        <f>SUM(J15:J16)</f>
        <v>0</v>
      </c>
      <c r="K17" s="82">
        <f t="shared" si="6"/>
        <v>31</v>
      </c>
      <c r="L17" s="82">
        <f>SUM(L15:L16)</f>
        <v>0</v>
      </c>
      <c r="M17" s="402">
        <f t="shared" si="5"/>
        <v>9520</v>
      </c>
    </row>
    <row r="18" spans="1:13" x14ac:dyDescent="0.2">
      <c r="A18" s="38" t="s">
        <v>56</v>
      </c>
      <c r="B18" s="83">
        <f>[3]Pinnacle!$GY$8</f>
        <v>0</v>
      </c>
      <c r="C18" s="78">
        <f>[3]MESA_UA!$GY$8</f>
        <v>0</v>
      </c>
      <c r="D18" s="83">
        <f>'[3]Sky West'!$GY$8</f>
        <v>0</v>
      </c>
      <c r="E18" s="83">
        <f>'[3]Sky West_UA'!$GY$8</f>
        <v>0</v>
      </c>
      <c r="F18" s="83">
        <f>'[3]Sky West_AS'!$GY$8</f>
        <v>0</v>
      </c>
      <c r="G18" s="83">
        <f>'[3]Sky West_AA'!$GY$8</f>
        <v>0</v>
      </c>
      <c r="H18" s="83">
        <f>[3]Republic!$GY$8</f>
        <v>0</v>
      </c>
      <c r="I18" s="83">
        <f>[3]Republic_UA!$GY$8</f>
        <v>0</v>
      </c>
      <c r="J18" s="83">
        <f>'[3]Sky Regional'!$GY$8</f>
        <v>0</v>
      </c>
      <c r="K18" s="83">
        <f>'[3]American Eagle'!$GY$8</f>
        <v>0</v>
      </c>
      <c r="L18" s="83">
        <f>'Other Regional'!J18</f>
        <v>0</v>
      </c>
      <c r="M18" s="395">
        <f t="shared" si="5"/>
        <v>0</v>
      </c>
    </row>
    <row r="19" spans="1:13" x14ac:dyDescent="0.2">
      <c r="A19" s="38" t="s">
        <v>57</v>
      </c>
      <c r="B19" s="84">
        <f>[3]Pinnacle!$GY$9</f>
        <v>2</v>
      </c>
      <c r="C19" s="81">
        <f>[3]MESA_UA!$GY$9</f>
        <v>0</v>
      </c>
      <c r="D19" s="84">
        <f>'[3]Sky West'!$GY$9</f>
        <v>1</v>
      </c>
      <c r="E19" s="84">
        <f>'[3]Sky West_UA'!$GY$9</f>
        <v>0</v>
      </c>
      <c r="F19" s="84">
        <f>'[3]Sky West_AS'!$GY$9</f>
        <v>0</v>
      </c>
      <c r="G19" s="84">
        <f>'[3]Sky West_AA'!$GY$9</f>
        <v>0</v>
      </c>
      <c r="H19" s="84">
        <f>[3]Republic!$GY$9</f>
        <v>0</v>
      </c>
      <c r="I19" s="84">
        <f>[3]Republic_UA!$GY$9</f>
        <v>0</v>
      </c>
      <c r="J19" s="84">
        <f>'[3]Sky Regional'!$GY$9</f>
        <v>0</v>
      </c>
      <c r="K19" s="84">
        <f>'[3]American Eagle'!$GY$9</f>
        <v>0</v>
      </c>
      <c r="L19" s="84">
        <f>'Other Regional'!J19</f>
        <v>0</v>
      </c>
      <c r="M19" s="396">
        <f t="shared" si="5"/>
        <v>3</v>
      </c>
    </row>
    <row r="20" spans="1:13" x14ac:dyDescent="0.2">
      <c r="A20" s="42" t="s">
        <v>58</v>
      </c>
      <c r="B20" s="82">
        <f t="shared" ref="B20:L20" si="8">SUM(B18:B19)</f>
        <v>2</v>
      </c>
      <c r="C20" s="82">
        <f t="shared" si="8"/>
        <v>0</v>
      </c>
      <c r="D20" s="82">
        <f t="shared" si="8"/>
        <v>1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2">
        <f t="shared" si="5"/>
        <v>3</v>
      </c>
    </row>
    <row r="21" spans="1:13" ht="15.75" thickBot="1" x14ac:dyDescent="0.3">
      <c r="A21" s="46" t="s">
        <v>28</v>
      </c>
      <c r="B21" s="85">
        <f t="shared" ref="B21:K21" si="10">SUM(B20,B17)</f>
        <v>5242</v>
      </c>
      <c r="C21" s="85">
        <f t="shared" si="10"/>
        <v>124</v>
      </c>
      <c r="D21" s="85">
        <f t="shared" si="10"/>
        <v>3623</v>
      </c>
      <c r="E21" s="85">
        <f t="shared" si="10"/>
        <v>142</v>
      </c>
      <c r="F21" s="85">
        <f t="shared" ref="F21:G21" si="11">SUM(F20,F17)</f>
        <v>0</v>
      </c>
      <c r="G21" s="85">
        <f t="shared" si="11"/>
        <v>0</v>
      </c>
      <c r="H21" s="85">
        <f t="shared" si="10"/>
        <v>237</v>
      </c>
      <c r="I21" s="85">
        <f t="shared" si="10"/>
        <v>124</v>
      </c>
      <c r="J21" s="85">
        <f t="shared" si="10"/>
        <v>0</v>
      </c>
      <c r="K21" s="85">
        <f t="shared" si="10"/>
        <v>31</v>
      </c>
      <c r="L21" s="85">
        <f>SUM(L20,L17)</f>
        <v>0</v>
      </c>
      <c r="M21" s="403">
        <f t="shared" si="5"/>
        <v>9523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4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5"/>
    </row>
    <row r="25" spans="1:13" x14ac:dyDescent="0.2">
      <c r="A25" s="38" t="s">
        <v>37</v>
      </c>
      <c r="B25" s="83">
        <f>[3]Pinnacle!$GY$47</f>
        <v>0</v>
      </c>
      <c r="C25" s="78">
        <f>[3]MESA_UA!$GY$47</f>
        <v>0</v>
      </c>
      <c r="D25" s="83">
        <f>'[3]Sky West'!$GY$47</f>
        <v>0</v>
      </c>
      <c r="E25" s="83">
        <f>'[3]Sky West_UA'!$GY$47</f>
        <v>0</v>
      </c>
      <c r="F25" s="83">
        <f>'[3]Sky West_AS'!$GY$47</f>
        <v>0</v>
      </c>
      <c r="G25" s="83">
        <f>'[3]Sky West_AA'!$GY$47</f>
        <v>0</v>
      </c>
      <c r="H25" s="83">
        <f>[3]Republic!$GY$47</f>
        <v>0</v>
      </c>
      <c r="I25" s="83">
        <f>[3]Republic_UA!$GY$47</f>
        <v>0</v>
      </c>
      <c r="J25" s="83">
        <f>'[3]Sky Regional'!$GY$47</f>
        <v>0</v>
      </c>
      <c r="K25" s="83">
        <f>'[3]American Eagle'!$GY$47</f>
        <v>0</v>
      </c>
      <c r="L25" s="83">
        <f>'Other Regional'!J25</f>
        <v>0</v>
      </c>
      <c r="M25" s="395">
        <f>SUM(B25:L25)</f>
        <v>0</v>
      </c>
    </row>
    <row r="26" spans="1:13" x14ac:dyDescent="0.2">
      <c r="A26" s="38" t="s">
        <v>38</v>
      </c>
      <c r="B26" s="83">
        <f>[3]Pinnacle!$GY$48</f>
        <v>0</v>
      </c>
      <c r="C26" s="78">
        <f>[3]MESA_UA!$GY$48</f>
        <v>0</v>
      </c>
      <c r="D26" s="83">
        <f>'[3]Sky West'!$GY$48</f>
        <v>0</v>
      </c>
      <c r="E26" s="83">
        <f>'[3]Sky West_UA'!$GY$48</f>
        <v>0</v>
      </c>
      <c r="F26" s="83">
        <f>'[3]Sky West_AS'!$GY$48</f>
        <v>0</v>
      </c>
      <c r="G26" s="83">
        <f>'[3]Sky West_AA'!$GY$48</f>
        <v>0</v>
      </c>
      <c r="H26" s="83">
        <f>[3]Republic!$GY$48</f>
        <v>29</v>
      </c>
      <c r="I26" s="83">
        <f>[3]Republic_UA!$GY$48</f>
        <v>0</v>
      </c>
      <c r="J26" s="83">
        <f>'[3]Sky Regional'!$GY$48</f>
        <v>0</v>
      </c>
      <c r="K26" s="83">
        <f>'[3]American Eagle'!$GY$48</f>
        <v>0</v>
      </c>
      <c r="L26" s="83">
        <f>'Other Regional'!J26</f>
        <v>0</v>
      </c>
      <c r="M26" s="395">
        <f>SUM(B26:L26)</f>
        <v>29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0</v>
      </c>
      <c r="H27" s="91">
        <f t="shared" si="12"/>
        <v>29</v>
      </c>
      <c r="I27" s="91">
        <f t="shared" si="12"/>
        <v>0</v>
      </c>
      <c r="J27" s="91">
        <f t="shared" si="12"/>
        <v>0</v>
      </c>
      <c r="K27" s="91">
        <f t="shared" si="12"/>
        <v>0</v>
      </c>
      <c r="L27" s="91">
        <f t="shared" si="12"/>
        <v>0</v>
      </c>
      <c r="M27" s="397">
        <f>SUM(B27:L27)</f>
        <v>29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5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5"/>
    </row>
    <row r="30" spans="1:13" x14ac:dyDescent="0.2">
      <c r="A30" s="38" t="s">
        <v>59</v>
      </c>
      <c r="B30" s="83">
        <f>[3]Pinnacle!$GY$52</f>
        <v>0</v>
      </c>
      <c r="C30" s="78">
        <f>[3]MESA_UA!$GY$52</f>
        <v>0</v>
      </c>
      <c r="D30" s="83">
        <f>'[3]Sky West'!$GY$52</f>
        <v>0</v>
      </c>
      <c r="E30" s="83">
        <f>'[3]Sky West_UA'!$GY$52</f>
        <v>0</v>
      </c>
      <c r="F30" s="83">
        <f>'[3]Sky West_AS'!$GY$52</f>
        <v>0</v>
      </c>
      <c r="G30" s="83">
        <f>'[3]Sky West_AA'!$GY$52</f>
        <v>0</v>
      </c>
      <c r="H30" s="83">
        <f>[3]Republic!$GY$52</f>
        <v>868</v>
      </c>
      <c r="I30" s="83">
        <f>[3]Republic_UA!$GY$52</f>
        <v>0</v>
      </c>
      <c r="J30" s="83">
        <f>'[3]Sky Regional'!$GY$52</f>
        <v>0</v>
      </c>
      <c r="K30" s="83">
        <f>'[3]American Eagle'!$GY$52</f>
        <v>172</v>
      </c>
      <c r="L30" s="83">
        <f>'Other Regional'!J30</f>
        <v>0</v>
      </c>
      <c r="M30" s="395">
        <f t="shared" ref="M30:M37" si="14">SUM(B30:L30)</f>
        <v>1040</v>
      </c>
    </row>
    <row r="31" spans="1:13" x14ac:dyDescent="0.2">
      <c r="A31" s="38" t="s">
        <v>60</v>
      </c>
      <c r="B31" s="83">
        <f>[3]Pinnacle!$GY$53</f>
        <v>0</v>
      </c>
      <c r="C31" s="78">
        <f>[3]MESA_UA!$GY$53</f>
        <v>0</v>
      </c>
      <c r="D31" s="83">
        <f>'[3]Sky West'!$GY$53</f>
        <v>0</v>
      </c>
      <c r="E31" s="83">
        <f>'[3]Sky West_UA'!$GY$53</f>
        <v>0</v>
      </c>
      <c r="F31" s="83">
        <f>'[3]Sky West_AS'!$GY$53</f>
        <v>0</v>
      </c>
      <c r="G31" s="83">
        <f>'[3]Sky West_AA'!$GY$53</f>
        <v>0</v>
      </c>
      <c r="H31" s="83">
        <f>[3]Republic!$GY$53</f>
        <v>0</v>
      </c>
      <c r="I31" s="83">
        <f>[3]Republic_UA!$GY$53</f>
        <v>0</v>
      </c>
      <c r="J31" s="83">
        <f>'[3]Sky Regional'!$GY$53</f>
        <v>0</v>
      </c>
      <c r="K31" s="83">
        <f>'[3]American Eagle'!$GY$53</f>
        <v>0</v>
      </c>
      <c r="L31" s="83">
        <f>'Other Regional'!J31</f>
        <v>0</v>
      </c>
      <c r="M31" s="395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0</v>
      </c>
      <c r="H32" s="91">
        <f t="shared" si="15"/>
        <v>868</v>
      </c>
      <c r="I32" s="91">
        <f t="shared" si="15"/>
        <v>0</v>
      </c>
      <c r="J32" s="91">
        <f t="shared" si="15"/>
        <v>0</v>
      </c>
      <c r="K32" s="91">
        <f t="shared" si="15"/>
        <v>172</v>
      </c>
      <c r="L32" s="91">
        <f>SUM(L30:L31)</f>
        <v>0</v>
      </c>
      <c r="M32" s="397">
        <f t="shared" si="14"/>
        <v>1040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5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5">
        <f t="shared" si="14"/>
        <v>0</v>
      </c>
    </row>
    <row r="35" spans="1:13" ht="13.5" hidden="1" thickTop="1" x14ac:dyDescent="0.2">
      <c r="A35" s="38" t="s">
        <v>37</v>
      </c>
      <c r="B35" s="83">
        <f>[3]Pinnacle!$GY$57</f>
        <v>0</v>
      </c>
      <c r="C35" s="78">
        <f>[3]MESA_UA!$GY$57</f>
        <v>0</v>
      </c>
      <c r="D35" s="83">
        <f>'[3]Sky West'!$GY$57</f>
        <v>0</v>
      </c>
      <c r="E35" s="83">
        <f>'[3]Sky West_UA'!$GY$57</f>
        <v>0</v>
      </c>
      <c r="F35" s="83">
        <f>'[3]Sky West_AS'!$GY$57</f>
        <v>0</v>
      </c>
      <c r="G35" s="83">
        <f>'[3]Sky West_AA'!$GY$57</f>
        <v>0</v>
      </c>
      <c r="H35" s="83">
        <f>[3]Republic!$GY$57</f>
        <v>0</v>
      </c>
      <c r="I35" s="83">
        <f>[3]Republic!$GY$57</f>
        <v>0</v>
      </c>
      <c r="J35" s="83">
        <f>[3]Republic!$GY$57</f>
        <v>0</v>
      </c>
      <c r="K35" s="83">
        <f>'[3]American Eagle'!$GY$57</f>
        <v>0</v>
      </c>
      <c r="L35" s="83">
        <f>'Other Regional'!J35</f>
        <v>0</v>
      </c>
      <c r="M35" s="395">
        <f t="shared" si="14"/>
        <v>0</v>
      </c>
    </row>
    <row r="36" spans="1:13" ht="13.5" hidden="1" thickTop="1" x14ac:dyDescent="0.2">
      <c r="A36" s="38" t="s">
        <v>38</v>
      </c>
      <c r="B36" s="83">
        <f>[3]Pinnacle!$GY$58</f>
        <v>0</v>
      </c>
      <c r="C36" s="78">
        <f>[3]MESA_UA!$GY$58</f>
        <v>0</v>
      </c>
      <c r="D36" s="83">
        <f>'[3]Sky West'!$GY$58</f>
        <v>0</v>
      </c>
      <c r="E36" s="83">
        <f>'[3]Sky West_UA'!$GY$58</f>
        <v>0</v>
      </c>
      <c r="F36" s="83">
        <f>'[3]Sky West_AS'!$GY$58</f>
        <v>0</v>
      </c>
      <c r="G36" s="83">
        <f>'[3]Sky West_AA'!$GY$58</f>
        <v>0</v>
      </c>
      <c r="H36" s="83">
        <f>[3]Republic!$GY$58</f>
        <v>0</v>
      </c>
      <c r="I36" s="83">
        <f>[3]Republic!$GY$58</f>
        <v>0</v>
      </c>
      <c r="J36" s="83">
        <f>[3]Republic!$GY$58</f>
        <v>0</v>
      </c>
      <c r="K36" s="83">
        <f>'[3]American Eagle'!$GY$58</f>
        <v>0</v>
      </c>
      <c r="L36" s="83">
        <f>'Other Regional'!J36</f>
        <v>0</v>
      </c>
      <c r="M36" s="395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5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5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5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0</v>
      </c>
      <c r="H40" s="83">
        <f t="shared" si="19"/>
        <v>868</v>
      </c>
      <c r="I40" s="83">
        <f t="shared" si="19"/>
        <v>0</v>
      </c>
      <c r="J40" s="83">
        <f t="shared" si="19"/>
        <v>0</v>
      </c>
      <c r="K40" s="83">
        <f>SUM(K35,K30,K25)</f>
        <v>172</v>
      </c>
      <c r="L40" s="83">
        <f>L35+L30+L25</f>
        <v>0</v>
      </c>
      <c r="M40" s="395">
        <f>SUM(B40:L40)</f>
        <v>1040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29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5">
        <f>SUM(B41:L41)</f>
        <v>29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0</v>
      </c>
      <c r="H42" s="92">
        <f t="shared" si="19"/>
        <v>897</v>
      </c>
      <c r="I42" s="92">
        <f t="shared" si="19"/>
        <v>0</v>
      </c>
      <c r="J42" s="92">
        <f t="shared" si="19"/>
        <v>0</v>
      </c>
      <c r="K42" s="92">
        <f>SUM(K37,K32,K27)</f>
        <v>172</v>
      </c>
      <c r="L42" s="92">
        <f>SUM(L37,L32,L27)</f>
        <v>0</v>
      </c>
      <c r="M42" s="399">
        <f>SUM(B42:L42)</f>
        <v>1069</v>
      </c>
    </row>
    <row r="44" spans="1:13" x14ac:dyDescent="0.2">
      <c r="A44" s="255" t="s">
        <v>122</v>
      </c>
      <c r="B44" s="215">
        <f>[3]Pinnacle!$GY$70+[3]Pinnacle!$GY$73</f>
        <v>23814</v>
      </c>
      <c r="D44" s="216">
        <f>'[3]Sky West'!$GY$70+'[3]Sky West'!$GY$73</f>
        <v>22984</v>
      </c>
      <c r="E44" s="2"/>
      <c r="F44" s="2"/>
      <c r="G44" s="2"/>
      <c r="L44" s="216">
        <f>+'Other Regional'!J46</f>
        <v>0</v>
      </c>
      <c r="M44" s="205">
        <f>SUM(B44:L44)</f>
        <v>46798</v>
      </c>
    </row>
    <row r="45" spans="1:13" x14ac:dyDescent="0.2">
      <c r="A45" s="267" t="s">
        <v>123</v>
      </c>
      <c r="B45" s="215">
        <f>[3]Pinnacle!$GY$71+[3]Pinnacle!$GY$74</f>
        <v>59255</v>
      </c>
      <c r="D45" s="216">
        <f>'[3]Sky West'!$GY$71+'[3]Sky West'!$GY$74</f>
        <v>37543</v>
      </c>
      <c r="E45" s="2"/>
      <c r="F45" s="2"/>
      <c r="G45" s="2"/>
      <c r="L45" s="216">
        <f>+'Other Regional'!J47</f>
        <v>0</v>
      </c>
      <c r="M45" s="205">
        <f>SUM(B45:L45)</f>
        <v>96798</v>
      </c>
    </row>
    <row r="46" spans="1:13" x14ac:dyDescent="0.2">
      <c r="A46" s="206" t="s">
        <v>124</v>
      </c>
      <c r="B46" s="207">
        <f>SUM(B44:B45)</f>
        <v>83069</v>
      </c>
      <c r="L46" s="2"/>
      <c r="M46" s="193"/>
    </row>
    <row r="47" spans="1:13" x14ac:dyDescent="0.2">
      <c r="A47" s="208"/>
      <c r="B47" s="209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October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K6" sqref="K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x14ac:dyDescent="0.2">
      <c r="A1" s="263"/>
    </row>
    <row r="2" spans="1:10" ht="55.5" customHeight="1" thickBot="1" x14ac:dyDescent="0.25">
      <c r="A2" s="258">
        <v>44105</v>
      </c>
      <c r="B2" s="353" t="s">
        <v>172</v>
      </c>
      <c r="C2" s="353" t="s">
        <v>171</v>
      </c>
      <c r="D2" s="433" t="s">
        <v>197</v>
      </c>
      <c r="E2" s="433" t="s">
        <v>226</v>
      </c>
      <c r="F2" s="433" t="s">
        <v>176</v>
      </c>
      <c r="G2" s="433" t="s">
        <v>175</v>
      </c>
      <c r="H2" s="353" t="s">
        <v>160</v>
      </c>
      <c r="I2" s="353" t="s">
        <v>163</v>
      </c>
      <c r="J2" s="353" t="s">
        <v>21</v>
      </c>
    </row>
    <row r="3" spans="1:10" ht="15" x14ac:dyDescent="0.25">
      <c r="A3" s="186" t="s">
        <v>3</v>
      </c>
      <c r="B3" s="279"/>
      <c r="C3" s="279"/>
      <c r="D3" s="279"/>
      <c r="E3" s="279"/>
      <c r="F3" s="280"/>
      <c r="G3" s="280"/>
      <c r="H3" s="280"/>
      <c r="I3" s="280"/>
      <c r="J3" s="394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5"/>
    </row>
    <row r="5" spans="1:10" x14ac:dyDescent="0.2">
      <c r="A5" s="38" t="s">
        <v>30</v>
      </c>
      <c r="B5" s="78">
        <f>'[3]Shuttle America'!$GY$22</f>
        <v>0</v>
      </c>
      <c r="C5" s="78">
        <f>'[3]Shuttle America_Delta'!$GY$22</f>
        <v>0</v>
      </c>
      <c r="D5" s="312">
        <f>[3]Horizon_AS!$GY$22</f>
        <v>0</v>
      </c>
      <c r="E5" s="312">
        <f>'[3]Air Wisconsin'!$GY$22</f>
        <v>0</v>
      </c>
      <c r="F5" s="78">
        <f>'[3]Atlantic Southeast'!$GY$22+'[3]Atlantic Southeast'!$GY$32</f>
        <v>0</v>
      </c>
      <c r="G5" s="78">
        <f>'[3]Continental Express'!$GY$22</f>
        <v>0</v>
      </c>
      <c r="H5" s="83">
        <f>'[3]Go Jet_UA'!$GY$22</f>
        <v>0</v>
      </c>
      <c r="I5" s="12">
        <f>'[3]Go Jet'!$GY$22+'[3]Go Jet'!$GY$32</f>
        <v>0</v>
      </c>
      <c r="J5" s="395">
        <f>SUM(B5:I5)</f>
        <v>0</v>
      </c>
    </row>
    <row r="6" spans="1:10" s="6" customFormat="1" x14ac:dyDescent="0.2">
      <c r="A6" s="38" t="s">
        <v>31</v>
      </c>
      <c r="B6" s="78">
        <f>'[3]Shuttle America'!$GY$23</f>
        <v>0</v>
      </c>
      <c r="C6" s="78">
        <f>'[3]Shuttle America_Delta'!$GY$23</f>
        <v>0</v>
      </c>
      <c r="D6" s="312">
        <f>[3]Horizon_AS!$GY$23</f>
        <v>0</v>
      </c>
      <c r="E6" s="312">
        <f>'[3]Air Wisconsin'!$GY$23</f>
        <v>0</v>
      </c>
      <c r="F6" s="78">
        <f>'[3]Atlantic Southeast'!$GY$23+'[3]Atlantic Southeast'!$GY$33</f>
        <v>0</v>
      </c>
      <c r="G6" s="78">
        <f>'[3]Continental Express'!$GY$23</f>
        <v>0</v>
      </c>
      <c r="H6" s="83">
        <f>'[3]Go Jet_UA'!$GY$23</f>
        <v>0</v>
      </c>
      <c r="I6" s="7">
        <f>'[3]Go Jet'!$GY$23+'[3]Go Jet'!$GY$33</f>
        <v>0</v>
      </c>
      <c r="J6" s="396">
        <f>SUM(B6:I6)</f>
        <v>0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>SUM(I5:I6)</f>
        <v>0</v>
      </c>
      <c r="J7" s="397">
        <f>SUM(B7:I7)</f>
        <v>0</v>
      </c>
    </row>
    <row r="8" spans="1:10" ht="13.5" thickTop="1" x14ac:dyDescent="0.2">
      <c r="A8" s="38"/>
      <c r="B8" s="78"/>
      <c r="C8" s="78"/>
      <c r="D8" s="312"/>
      <c r="E8" s="312"/>
      <c r="F8" s="78"/>
      <c r="G8" s="78"/>
      <c r="H8" s="83"/>
      <c r="I8" s="230"/>
      <c r="J8" s="398"/>
    </row>
    <row r="9" spans="1:10" s="6" customFormat="1" x14ac:dyDescent="0.2">
      <c r="A9" s="38" t="s">
        <v>32</v>
      </c>
      <c r="B9" s="78"/>
      <c r="C9" s="78"/>
      <c r="D9" s="312"/>
      <c r="E9" s="312"/>
      <c r="F9" s="78"/>
      <c r="G9" s="78"/>
      <c r="H9" s="83"/>
      <c r="I9" s="12"/>
      <c r="J9" s="395"/>
    </row>
    <row r="10" spans="1:10" x14ac:dyDescent="0.2">
      <c r="A10" s="38" t="s">
        <v>30</v>
      </c>
      <c r="B10" s="78">
        <f>'[3]Shuttle America'!$GY$27</f>
        <v>0</v>
      </c>
      <c r="C10" s="78">
        <f>'[3]Shuttle America_Delta'!$GY$27</f>
        <v>0</v>
      </c>
      <c r="D10" s="312">
        <f>[3]Horizon_AS!$GY$27</f>
        <v>0</v>
      </c>
      <c r="E10" s="312">
        <f>'[3]Air Wisconsin'!$GY$27</f>
        <v>0</v>
      </c>
      <c r="F10" s="12">
        <f>'[3]Atlantic Southeast'!$GY$27+'[3]Atlantic Southeast'!$GY$37</f>
        <v>0</v>
      </c>
      <c r="G10" s="78">
        <f>'[3]Continental Express'!$GY$27</f>
        <v>0</v>
      </c>
      <c r="H10" s="83">
        <f>'[3]Go Jet_UA'!$GY$27</f>
        <v>0</v>
      </c>
      <c r="I10" s="12">
        <f>'[3]Go Jet'!$GY$27+'[3]Go Jet'!$GY$37</f>
        <v>0</v>
      </c>
      <c r="J10" s="395">
        <f>SUM(B10:I10)</f>
        <v>0</v>
      </c>
    </row>
    <row r="11" spans="1:10" x14ac:dyDescent="0.2">
      <c r="A11" s="38" t="s">
        <v>33</v>
      </c>
      <c r="B11" s="78">
        <f>'[3]Shuttle America'!$GY$28</f>
        <v>0</v>
      </c>
      <c r="C11" s="78">
        <f>'[3]Shuttle America_Delta'!$GY$28</f>
        <v>0</v>
      </c>
      <c r="D11" s="312">
        <f>[3]Horizon_AS!$GY$28</f>
        <v>0</v>
      </c>
      <c r="E11" s="312">
        <f>'[3]Air Wisconsin'!$GY$28</f>
        <v>0</v>
      </c>
      <c r="F11" s="7">
        <f>'[3]Atlantic Southeast'!$GY$28+'[3]Atlantic Southeast'!$GY$38</f>
        <v>0</v>
      </c>
      <c r="G11" s="78">
        <f>'[3]Continental Express'!$GY$28</f>
        <v>0</v>
      </c>
      <c r="H11" s="83">
        <f>'[3]Go Jet_UA'!$GY$28</f>
        <v>0</v>
      </c>
      <c r="I11" s="7">
        <f>'[3]Go Jet'!$GY$28+'[3]Go Jet'!$GY$38</f>
        <v>0</v>
      </c>
      <c r="J11" s="396">
        <f>SUM(B11:I11)</f>
        <v>0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0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9">
        <f>SUM(B12:I12)</f>
        <v>0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401"/>
    </row>
    <row r="15" spans="1:10" x14ac:dyDescent="0.2">
      <c r="A15" s="38" t="s">
        <v>53</v>
      </c>
      <c r="B15" s="76">
        <f>'[3]Shuttle America'!$GY$4</f>
        <v>0</v>
      </c>
      <c r="C15" s="76">
        <f>'[3]Shuttle America_Delta'!$GY$4</f>
        <v>0</v>
      </c>
      <c r="D15" s="313">
        <f>[3]Horizon_AS!$GY$4</f>
        <v>0</v>
      </c>
      <c r="E15" s="313">
        <f>'[3]Air Wisconsin'!$GY$4</f>
        <v>0</v>
      </c>
      <c r="F15" s="77">
        <f>'[3]Atlantic Southeast'!$GY$4+'[3]Atlantic Southeast'!$GY$15</f>
        <v>0</v>
      </c>
      <c r="G15" s="77">
        <f>'[3]Continental Express'!$GY$4</f>
        <v>0</v>
      </c>
      <c r="H15" s="76">
        <f>'[3]Go Jet_UA'!$GY$4</f>
        <v>0</v>
      </c>
      <c r="I15" s="12">
        <f>'[3]Go Jet'!$GY$4+'[3]Go Jet'!$GY$15</f>
        <v>0</v>
      </c>
      <c r="J15" s="395">
        <f t="shared" ref="J15:J21" si="5">SUM(B15:I15)</f>
        <v>0</v>
      </c>
    </row>
    <row r="16" spans="1:10" x14ac:dyDescent="0.2">
      <c r="A16" s="38" t="s">
        <v>54</v>
      </c>
      <c r="B16" s="79">
        <f>'[3]Shuttle America'!$GY$5</f>
        <v>0</v>
      </c>
      <c r="C16" s="79">
        <f>'[3]Shuttle America_Delta'!$GY$5</f>
        <v>0</v>
      </c>
      <c r="D16" s="314">
        <f>[3]Horizon_AS!$GY$5</f>
        <v>0</v>
      </c>
      <c r="E16" s="314">
        <f>'[3]Air Wisconsin'!$GY$5</f>
        <v>0</v>
      </c>
      <c r="F16" s="80">
        <f>'[3]Atlantic Southeast'!$GY$5+'[3]Atlantic Southeast'!$GY$16</f>
        <v>0</v>
      </c>
      <c r="G16" s="80">
        <f>'[3]Continental Express'!$GY$5</f>
        <v>0</v>
      </c>
      <c r="H16" s="79">
        <f>'[3]Go Jet_UA'!$GY$5</f>
        <v>0</v>
      </c>
      <c r="I16" s="7">
        <f>'[3]Go Jet'!$GY$5+'[3]Go Jet'!$GY$16</f>
        <v>0</v>
      </c>
      <c r="J16" s="396">
        <f t="shared" si="5"/>
        <v>0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0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0</v>
      </c>
      <c r="I17" s="188">
        <f>SUM(I15:I16)</f>
        <v>0</v>
      </c>
      <c r="J17" s="402">
        <f t="shared" si="5"/>
        <v>0</v>
      </c>
    </row>
    <row r="18" spans="1:10" x14ac:dyDescent="0.2">
      <c r="A18" s="38" t="s">
        <v>56</v>
      </c>
      <c r="B18" s="83">
        <f>'[3]Shuttle America'!$GY$8</f>
        <v>0</v>
      </c>
      <c r="C18" s="83">
        <f>'[3]Shuttle America_Delta'!$GY$8</f>
        <v>0</v>
      </c>
      <c r="D18" s="83">
        <f>[3]Horizon_AS!$GY$8</f>
        <v>0</v>
      </c>
      <c r="E18" s="83">
        <f>'[3]Air Wisconsin'!$GY$8</f>
        <v>0</v>
      </c>
      <c r="F18" s="78">
        <f>'[3]Atlantic Southeast'!$GY$8</f>
        <v>0</v>
      </c>
      <c r="G18" s="78">
        <f>'[3]Continental Express'!$GY$8</f>
        <v>0</v>
      </c>
      <c r="H18" s="83">
        <f>'[3]Go Jet_UA'!$GY$8</f>
        <v>0</v>
      </c>
      <c r="I18" s="12">
        <f>'[3]Go Jet'!$GY$8</f>
        <v>0</v>
      </c>
      <c r="J18" s="395">
        <f t="shared" si="5"/>
        <v>0</v>
      </c>
    </row>
    <row r="19" spans="1:10" x14ac:dyDescent="0.2">
      <c r="A19" s="38" t="s">
        <v>57</v>
      </c>
      <c r="B19" s="84">
        <f>'[3]Shuttle America'!$GY$9</f>
        <v>0</v>
      </c>
      <c r="C19" s="84">
        <f>'[3]Shuttle America_Delta'!$GY$9</f>
        <v>0</v>
      </c>
      <c r="D19" s="84">
        <f>[3]Horizon_AS!$GY$9</f>
        <v>0</v>
      </c>
      <c r="E19" s="84">
        <f>'[3]Air Wisconsin'!$GY$9</f>
        <v>0</v>
      </c>
      <c r="F19" s="81">
        <f>'[3]Atlantic Southeast'!$GY$9</f>
        <v>0</v>
      </c>
      <c r="G19" s="81">
        <f>'[3]Continental Express'!$GY$9</f>
        <v>0</v>
      </c>
      <c r="H19" s="84">
        <f>'[3]Go Jet_UA'!$GY$9</f>
        <v>0</v>
      </c>
      <c r="I19" s="7">
        <f>'[3]Go Jet'!$GY$9</f>
        <v>0</v>
      </c>
      <c r="J19" s="396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8">
        <f>SUM(I18:I19)</f>
        <v>0</v>
      </c>
      <c r="J20" s="402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0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0</v>
      </c>
      <c r="I21" s="85">
        <f t="shared" ref="I21" si="12">SUM(I20,I17)</f>
        <v>0</v>
      </c>
      <c r="J21" s="403">
        <f t="shared" si="5"/>
        <v>0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4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5"/>
    </row>
    <row r="25" spans="1:10" x14ac:dyDescent="0.2">
      <c r="A25" s="38" t="s">
        <v>37</v>
      </c>
      <c r="B25" s="83">
        <f>'[3]Shuttle America'!$GY$47</f>
        <v>0</v>
      </c>
      <c r="C25" s="83">
        <f>'[3]Shuttle America_Delta'!$GY$47</f>
        <v>0</v>
      </c>
      <c r="D25" s="83">
        <f>[3]Horizon_AS!$GY$47</f>
        <v>0</v>
      </c>
      <c r="E25" s="83">
        <f>'[3]Air Wisconsin'!$GY$47</f>
        <v>0</v>
      </c>
      <c r="F25" s="78">
        <f>'[3]Atlantic Southeast'!$GY$47</f>
        <v>0</v>
      </c>
      <c r="G25" s="78">
        <f>'[3]Continental Express'!$GY$47</f>
        <v>0</v>
      </c>
      <c r="H25" s="83">
        <f>'[3]Go Jet_UA'!$GY$47</f>
        <v>0</v>
      </c>
      <c r="I25" s="83">
        <f>'[3]Go Jet'!$GY$47</f>
        <v>0</v>
      </c>
      <c r="J25" s="395">
        <f>SUM(B25:I25)</f>
        <v>0</v>
      </c>
    </row>
    <row r="26" spans="1:10" x14ac:dyDescent="0.2">
      <c r="A26" s="38" t="s">
        <v>38</v>
      </c>
      <c r="B26" s="83">
        <f>'[3]Shuttle America'!$GY$48</f>
        <v>0</v>
      </c>
      <c r="C26" s="83">
        <f>'[3]Shuttle America_Delta'!$GY$48</f>
        <v>0</v>
      </c>
      <c r="D26" s="83">
        <f>[3]Horizon_AS!$GY$48</f>
        <v>0</v>
      </c>
      <c r="E26" s="83">
        <f>'[3]Air Wisconsin'!$GY$48</f>
        <v>0</v>
      </c>
      <c r="F26" s="78">
        <f>'[3]Atlantic Southeast'!$GY$48</f>
        <v>0</v>
      </c>
      <c r="G26" s="78">
        <f>'[3]Continental Express'!$GY$48</f>
        <v>0</v>
      </c>
      <c r="H26" s="83">
        <f>'[3]Go Jet_UA'!$GY$48</f>
        <v>0</v>
      </c>
      <c r="I26" s="83">
        <f>'[3]Go Jet'!$GY$48</f>
        <v>0</v>
      </c>
      <c r="J26" s="395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7">
        <f>SUM(B27:I27)</f>
        <v>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5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5"/>
    </row>
    <row r="30" spans="1:10" x14ac:dyDescent="0.2">
      <c r="A30" s="38" t="s">
        <v>59</v>
      </c>
      <c r="B30" s="83">
        <f>'[3]Shuttle America'!$GY$52</f>
        <v>0</v>
      </c>
      <c r="C30" s="83">
        <f>'[3]Shuttle America_Delta'!$GY$52</f>
        <v>0</v>
      </c>
      <c r="D30" s="83">
        <f>[3]Horizon_AS!$GY$52</f>
        <v>0</v>
      </c>
      <c r="E30" s="83">
        <f>'[3]Air Wisconsin'!$GY$52</f>
        <v>0</v>
      </c>
      <c r="F30" s="78">
        <f>'[3]Atlantic Southeast'!$GY$52</f>
        <v>0</v>
      </c>
      <c r="G30" s="78">
        <f>'[3]Continental Express'!$GY$52</f>
        <v>0</v>
      </c>
      <c r="H30" s="83">
        <f>'[3]Go Jet_UA'!$GY$52</f>
        <v>0</v>
      </c>
      <c r="I30" s="83">
        <f>'[3]Go Jet'!$GY$52</f>
        <v>0</v>
      </c>
      <c r="J30" s="395">
        <f>SUM(B30:I30)</f>
        <v>0</v>
      </c>
    </row>
    <row r="31" spans="1:10" x14ac:dyDescent="0.2">
      <c r="A31" s="38" t="s">
        <v>60</v>
      </c>
      <c r="B31" s="83">
        <f>'[3]Shuttle America'!$GY$53</f>
        <v>0</v>
      </c>
      <c r="C31" s="83">
        <f>'[3]Shuttle America_Delta'!$GY$53</f>
        <v>0</v>
      </c>
      <c r="D31" s="83">
        <f>[3]Horizon_AS!$GY$53</f>
        <v>0</v>
      </c>
      <c r="E31" s="83">
        <f>'[3]Air Wisconsin'!$GY$53</f>
        <v>0</v>
      </c>
      <c r="F31" s="78">
        <f>'[3]Atlantic Southeast'!$GY$53</f>
        <v>0</v>
      </c>
      <c r="G31" s="78">
        <f>'[3]Continental Express'!$GY$53</f>
        <v>0</v>
      </c>
      <c r="H31" s="83">
        <f>'[3]Go Jet_UA'!$GY$53</f>
        <v>0</v>
      </c>
      <c r="I31" s="83">
        <f>'[3]Go Jet'!$GY$53</f>
        <v>0</v>
      </c>
      <c r="J31" s="395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7">
        <f>SUM(B32:I32)</f>
        <v>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5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5"/>
    </row>
    <row r="35" spans="1:10" ht="13.5" hidden="1" thickTop="1" x14ac:dyDescent="0.2">
      <c r="A35" s="38" t="s">
        <v>37</v>
      </c>
      <c r="B35" s="83">
        <f>'[3]Shuttle America'!$GY$57</f>
        <v>0</v>
      </c>
      <c r="C35" s="83">
        <f>'[3]Shuttle America_Delta'!$GY$57</f>
        <v>0</v>
      </c>
      <c r="D35" s="83">
        <f>[3]Horizon_AS!$GY$57</f>
        <v>0</v>
      </c>
      <c r="E35" s="83">
        <f>'[3]Air Wisconsin'!$GY$57</f>
        <v>0</v>
      </c>
      <c r="F35" s="78">
        <f>'[3]Atlantic Southeast'!$GY$57</f>
        <v>0</v>
      </c>
      <c r="G35" s="78">
        <f>'[3]Continental Express'!$GY$57</f>
        <v>0</v>
      </c>
      <c r="H35" s="83">
        <f>'[3]Go Jet_UA'!$AJ$57</f>
        <v>0</v>
      </c>
      <c r="I35" s="83">
        <f>'[3]Go Jet'!$GY$57</f>
        <v>0</v>
      </c>
      <c r="J35" s="395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5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5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5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5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5">
        <f>SUM(B40:I40)</f>
        <v>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5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9">
        <f>SUM(B42:I42)</f>
        <v>0</v>
      </c>
    </row>
    <row r="43" spans="1:10" ht="4.5" customHeight="1" x14ac:dyDescent="0.2"/>
    <row r="44" spans="1:10" hidden="1" x14ac:dyDescent="0.2">
      <c r="A44" s="217" t="s">
        <v>125</v>
      </c>
      <c r="F44" s="203"/>
      <c r="I44" s="216">
        <f>'[3]Go Jet'!BK$70+'[3]Go Jet'!BK$73</f>
        <v>0</v>
      </c>
      <c r="J44" s="205" t="e">
        <f>SUM(#REF!)</f>
        <v>#REF!</v>
      </c>
    </row>
    <row r="45" spans="1:10" hidden="1" x14ac:dyDescent="0.2">
      <c r="A45" s="217" t="s">
        <v>126</v>
      </c>
      <c r="F45" s="220"/>
      <c r="I45" s="216">
        <f>'[3]Go Jet'!BK$71+'[3]Go Jet'!BK$74</f>
        <v>0</v>
      </c>
      <c r="J45" s="205" t="e">
        <f>SUM(#REF!)</f>
        <v>#REF!</v>
      </c>
    </row>
    <row r="46" spans="1:10" x14ac:dyDescent="0.2">
      <c r="A46" s="255" t="s">
        <v>122</v>
      </c>
      <c r="C46" s="216">
        <f>'[3]Shuttle America_Delta'!$GY$70+'[3]Shuttle America_Delta'!$GY$73</f>
        <v>0</v>
      </c>
      <c r="D46" s="2"/>
      <c r="F46" s="216">
        <f>'[3]Atlantic Southeast'!$GY$70+'[3]Atlantic Southeast'!$GY$73</f>
        <v>0</v>
      </c>
      <c r="I46" s="216">
        <f>'[3]Go Jet'!$GY$70+'[3]Go Jet'!$GY$73</f>
        <v>0</v>
      </c>
      <c r="J46" s="266">
        <f>SUM(B46:I46)</f>
        <v>0</v>
      </c>
    </row>
    <row r="47" spans="1:10" x14ac:dyDescent="0.2">
      <c r="A47" s="267" t="s">
        <v>123</v>
      </c>
      <c r="C47" s="216">
        <f>'[3]Shuttle America_Delta'!$GY$71+'[3]Shuttle America_Delta'!$GY$74</f>
        <v>0</v>
      </c>
      <c r="D47" s="2"/>
      <c r="F47" s="216">
        <f>'[3]Atlantic Southeast'!$GY$71+'[3]Atlantic Southeast'!$GY$74</f>
        <v>0</v>
      </c>
      <c r="I47" s="216">
        <f>'[3]Go Jet'!$GY$71+'[3]Go Jet'!$GY$74</f>
        <v>0</v>
      </c>
      <c r="J47" s="266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5" orientation="landscape" r:id="rId1"/>
  <headerFooter alignWithMargins="0">
    <oddHeader>&amp;L
Schedule 5
&amp;CMinneapolis-St. Paul International Airport
&amp;"Arial,Bold"Other Regional
October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0" zoomScale="115" zoomScaleNormal="115" workbookViewId="0">
      <selection activeCell="E30" sqref="E30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8">
        <v>44105</v>
      </c>
      <c r="B2" s="359" t="s">
        <v>117</v>
      </c>
      <c r="C2" s="359" t="s">
        <v>153</v>
      </c>
      <c r="D2" s="360" t="s">
        <v>78</v>
      </c>
      <c r="E2" s="360" t="s">
        <v>154</v>
      </c>
      <c r="F2" s="359" t="s">
        <v>131</v>
      </c>
      <c r="G2" s="304" t="s">
        <v>79</v>
      </c>
    </row>
    <row r="3" spans="1:17" x14ac:dyDescent="0.2">
      <c r="A3" s="185" t="s">
        <v>3</v>
      </c>
      <c r="B3" s="121"/>
      <c r="C3" s="120"/>
      <c r="D3" s="120"/>
      <c r="E3" s="120"/>
      <c r="F3" s="120"/>
      <c r="G3" s="406"/>
    </row>
    <row r="4" spans="1:17" x14ac:dyDescent="0.2">
      <c r="A4" s="38" t="s">
        <v>29</v>
      </c>
      <c r="B4" s="291"/>
      <c r="C4" s="119"/>
      <c r="D4" s="119"/>
      <c r="E4" s="119"/>
      <c r="F4" s="119"/>
      <c r="G4" s="407"/>
    </row>
    <row r="5" spans="1:17" x14ac:dyDescent="0.2">
      <c r="A5" s="38" t="s">
        <v>30</v>
      </c>
      <c r="B5" s="291">
        <f>'[3]Charter Misc'!$GY$22</f>
        <v>0</v>
      </c>
      <c r="C5" s="119">
        <f>[3]Ryan!$GY$22</f>
        <v>0</v>
      </c>
      <c r="D5" s="119">
        <f>'[3]Charter Misc'!$GY$32</f>
        <v>0</v>
      </c>
      <c r="E5" s="119">
        <f>[3]Omni!$GY$32</f>
        <v>0</v>
      </c>
      <c r="F5" s="119">
        <f>[3]Xtra!$GY$32+[3]Xtra!$GY$22</f>
        <v>0</v>
      </c>
      <c r="G5" s="408">
        <f>SUM(B5:F5)</f>
        <v>0</v>
      </c>
    </row>
    <row r="6" spans="1:17" x14ac:dyDescent="0.2">
      <c r="A6" s="38" t="s">
        <v>31</v>
      </c>
      <c r="B6" s="292">
        <f>'[3]Charter Misc'!$GY$23</f>
        <v>0</v>
      </c>
      <c r="C6" s="122">
        <f>[3]Ryan!$GY$23</f>
        <v>0</v>
      </c>
      <c r="D6" s="122">
        <f>'[3]Charter Misc'!$GY$33</f>
        <v>0</v>
      </c>
      <c r="E6" s="122">
        <f>[3]Omni!$GY$33+[3]Omni!$GY$23</f>
        <v>0</v>
      </c>
      <c r="F6" s="122">
        <f>[3]Xtra!$GY$33+[3]Xtra!$GY$23</f>
        <v>0</v>
      </c>
      <c r="G6" s="409">
        <f>SUM(B6:F6)</f>
        <v>0</v>
      </c>
    </row>
    <row r="7" spans="1:17" ht="15.75" thickBot="1" x14ac:dyDescent="0.3">
      <c r="A7" s="118" t="s">
        <v>7</v>
      </c>
      <c r="B7" s="293">
        <f>SUM(B5:B6)</f>
        <v>0</v>
      </c>
      <c r="C7" s="195">
        <f>SUM(C5:C6)</f>
        <v>0</v>
      </c>
      <c r="D7" s="195">
        <f>SUM(D5:D6)</f>
        <v>0</v>
      </c>
      <c r="E7" s="195">
        <f>SUM(E5:E6)</f>
        <v>0</v>
      </c>
      <c r="F7" s="195">
        <f>SUM(F5:F6)</f>
        <v>0</v>
      </c>
      <c r="G7" s="410">
        <f>SUM(B7:F7)</f>
        <v>0</v>
      </c>
    </row>
    <row r="8" spans="1:17" ht="13.5" thickBot="1" x14ac:dyDescent="0.25">
      <c r="G8" s="38"/>
    </row>
    <row r="9" spans="1:17" x14ac:dyDescent="0.2">
      <c r="A9" s="116" t="s">
        <v>9</v>
      </c>
      <c r="B9" s="294"/>
      <c r="C9" s="23"/>
      <c r="D9" s="23"/>
      <c r="E9" s="23"/>
      <c r="F9" s="23"/>
      <c r="G9" s="411"/>
    </row>
    <row r="10" spans="1:17" x14ac:dyDescent="0.2">
      <c r="A10" s="117" t="s">
        <v>80</v>
      </c>
      <c r="B10" s="291">
        <f>'[3]Charter Misc'!$GY$4</f>
        <v>0</v>
      </c>
      <c r="C10" s="119">
        <f>[3]Ryan!$GY$4</f>
        <v>0</v>
      </c>
      <c r="D10" s="119">
        <f>'[3]Charter Misc'!$GY$15</f>
        <v>0</v>
      </c>
      <c r="E10" s="119">
        <f>[3]Omni!$GY$15+[3]Omni!$GY$4+[3]Omni!$GY$8</f>
        <v>0</v>
      </c>
      <c r="F10" s="119">
        <f>[3]Xtra!$GY$15+[3]Xtra!$GY$4+[3]Omni!$GY$8</f>
        <v>0</v>
      </c>
      <c r="G10" s="409">
        <f>SUM(B10:F10)</f>
        <v>0</v>
      </c>
    </row>
    <row r="11" spans="1:17" x14ac:dyDescent="0.2">
      <c r="A11" s="117" t="s">
        <v>81</v>
      </c>
      <c r="B11" s="291">
        <f>'[3]Charter Misc'!$GY$5</f>
        <v>0</v>
      </c>
      <c r="C11" s="119">
        <f>[3]Ryan!$GY$5</f>
        <v>0</v>
      </c>
      <c r="D11" s="119">
        <f>'[3]Charter Misc'!$GY$16</f>
        <v>0</v>
      </c>
      <c r="E11" s="119">
        <f>[3]Omni!$GY$16+[3]Omni!$GY$5+[3]Omni!$GY$9</f>
        <v>0</v>
      </c>
      <c r="F11" s="119">
        <f>[3]Xtra!$GY$16+[3]Xtra!$GY$5+[3]Omni!$GY$9</f>
        <v>0</v>
      </c>
      <c r="G11" s="409">
        <f>SUM(B11:F11)</f>
        <v>0</v>
      </c>
    </row>
    <row r="12" spans="1:17" ht="15.75" thickBot="1" x14ac:dyDescent="0.3">
      <c r="A12" s="184" t="s">
        <v>28</v>
      </c>
      <c r="B12" s="295">
        <f>SUM(B10:B11)</f>
        <v>0</v>
      </c>
      <c r="C12" s="196">
        <f>SUM(C10:C11)</f>
        <v>0</v>
      </c>
      <c r="D12" s="196">
        <f>SUM(D10:D11)</f>
        <v>0</v>
      </c>
      <c r="E12" s="196">
        <f>SUM(E10:E11)</f>
        <v>0</v>
      </c>
      <c r="F12" s="196">
        <f>SUM(F10:F11)</f>
        <v>0</v>
      </c>
      <c r="G12" s="412">
        <f>SUM(B12:F12)</f>
        <v>0</v>
      </c>
      <c r="Q12" s="83"/>
    </row>
    <row r="17" spans="1:16" x14ac:dyDescent="0.2">
      <c r="B17" s="464" t="s">
        <v>151</v>
      </c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6"/>
    </row>
    <row r="18" spans="1:16" ht="13.5" thickBot="1" x14ac:dyDescent="0.25">
      <c r="A18" s="211"/>
      <c r="E18" s="141"/>
      <c r="G18" s="141"/>
      <c r="H18" s="141"/>
      <c r="L18" s="145"/>
      <c r="N18" s="4"/>
    </row>
    <row r="19" spans="1:16" ht="13.5" customHeight="1" thickBot="1" x14ac:dyDescent="0.25">
      <c r="A19" s="281"/>
      <c r="B19" s="467" t="s">
        <v>119</v>
      </c>
      <c r="C19" s="468"/>
      <c r="D19" s="468"/>
      <c r="E19" s="469"/>
      <c r="G19" s="467" t="s">
        <v>120</v>
      </c>
      <c r="H19" s="470"/>
      <c r="I19" s="470"/>
      <c r="J19" s="471"/>
      <c r="L19" s="472" t="s">
        <v>121</v>
      </c>
      <c r="M19" s="473"/>
      <c r="N19" s="473"/>
      <c r="O19" s="474"/>
    </row>
    <row r="20" spans="1:16" ht="13.5" thickBot="1" x14ac:dyDescent="0.25">
      <c r="A20" s="148" t="s">
        <v>100</v>
      </c>
      <c r="B20" s="420" t="s">
        <v>101</v>
      </c>
      <c r="C20" s="428" t="s">
        <v>102</v>
      </c>
      <c r="D20" s="5" t="s">
        <v>215</v>
      </c>
      <c r="E20" s="5" t="s">
        <v>202</v>
      </c>
      <c r="F20" s="154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4" t="s">
        <v>97</v>
      </c>
      <c r="L20" s="153" t="s">
        <v>101</v>
      </c>
      <c r="M20" s="147" t="s">
        <v>102</v>
      </c>
      <c r="N20" s="5" t="s">
        <v>215</v>
      </c>
      <c r="O20" s="5" t="s">
        <v>202</v>
      </c>
      <c r="P20" s="154" t="s">
        <v>97</v>
      </c>
    </row>
    <row r="21" spans="1:16" ht="14.1" customHeight="1" x14ac:dyDescent="0.2">
      <c r="A21" s="157" t="s">
        <v>103</v>
      </c>
      <c r="B21" s="421">
        <f>+[4]Charter!$B$21</f>
        <v>154018</v>
      </c>
      <c r="C21" s="422">
        <f>+[4]Charter!$C$21</f>
        <v>145053</v>
      </c>
      <c r="D21" s="357">
        <f t="shared" ref="D21:D32" si="0">SUM(B21:C21)</f>
        <v>299071</v>
      </c>
      <c r="E21" s="358">
        <f>[5]Charter!$D$21</f>
        <v>266711</v>
      </c>
      <c r="F21" s="229">
        <f t="shared" ref="F21:F32" si="1">(D21-E21)/E21</f>
        <v>0.12132982891594273</v>
      </c>
      <c r="G21" s="225">
        <f t="shared" ref="G21:H23" si="2">L21-B21</f>
        <v>1288852</v>
      </c>
      <c r="H21" s="226">
        <f t="shared" si="2"/>
        <v>1327520</v>
      </c>
      <c r="I21" s="226">
        <f t="shared" ref="I21:I26" si="3">SUM(G21:H21)</f>
        <v>2616372</v>
      </c>
      <c r="J21" s="227">
        <f>[5]Charter!$I$21</f>
        <v>2470130</v>
      </c>
      <c r="K21" s="158">
        <f t="shared" ref="K21:K32" si="4">(I21-J21)/J21</f>
        <v>5.9204171440369532E-2</v>
      </c>
      <c r="L21" s="225">
        <f>+[4]Charter!$L$21</f>
        <v>1442870</v>
      </c>
      <c r="M21" s="226">
        <f>+[4]Charter!$M$21</f>
        <v>1472573</v>
      </c>
      <c r="N21" s="226">
        <f t="shared" ref="N21:N32" si="5">SUM(L21:M21)</f>
        <v>2915443</v>
      </c>
      <c r="O21" s="227">
        <f>[5]Charter!$N$21</f>
        <v>2736841</v>
      </c>
      <c r="P21" s="158">
        <f>(N21-O21)/O21</f>
        <v>6.5258449431296883E-2</v>
      </c>
    </row>
    <row r="22" spans="1:16" ht="14.1" customHeight="1" x14ac:dyDescent="0.2">
      <c r="A22" s="159" t="s">
        <v>104</v>
      </c>
      <c r="B22" s="423">
        <f>+[6]Charter!$B$22</f>
        <v>152114</v>
      </c>
      <c r="C22" s="424">
        <f>+[6]Charter!$C$22</f>
        <v>153672</v>
      </c>
      <c r="D22" s="425">
        <f t="shared" ref="D22" si="6">SUM(B22:C22)</f>
        <v>305786</v>
      </c>
      <c r="E22" s="354">
        <f>[7]Charter!$D22</f>
        <v>274882</v>
      </c>
      <c r="F22" s="224">
        <f t="shared" si="1"/>
        <v>0.11242642297422166</v>
      </c>
      <c r="G22" s="355">
        <f t="shared" si="2"/>
        <v>1270024</v>
      </c>
      <c r="H22" s="356">
        <f t="shared" si="2"/>
        <v>1284803</v>
      </c>
      <c r="I22" s="356">
        <f t="shared" si="3"/>
        <v>2554827</v>
      </c>
      <c r="J22" s="228">
        <f>[7]Charter!$I22</f>
        <v>2350129</v>
      </c>
      <c r="K22" s="161">
        <f t="shared" si="4"/>
        <v>8.7100750639645744E-2</v>
      </c>
      <c r="L22" s="355">
        <f>+[6]Charter!$L$22</f>
        <v>1422138</v>
      </c>
      <c r="M22" s="356">
        <f>+[6]Charter!$M$22</f>
        <v>1438475</v>
      </c>
      <c r="N22" s="356">
        <f t="shared" ref="N22" si="7">SUM(L22:M22)</f>
        <v>2860613</v>
      </c>
      <c r="O22" s="228">
        <f>[7]Charter!$N22</f>
        <v>2625011</v>
      </c>
      <c r="P22" s="160">
        <f t="shared" ref="P22:P32" si="8">(N22-O22)/O22</f>
        <v>8.9752766750310756E-2</v>
      </c>
    </row>
    <row r="23" spans="1:16" ht="14.1" customHeight="1" x14ac:dyDescent="0.2">
      <c r="A23" s="159" t="s">
        <v>105</v>
      </c>
      <c r="B23" s="423">
        <f>+[8]Charter!$B$23</f>
        <v>102884</v>
      </c>
      <c r="C23" s="424">
        <f>+[8]Charter!$C$23</f>
        <v>82442</v>
      </c>
      <c r="D23" s="425">
        <f t="shared" ref="D23" si="9">SUM(B23:C23)</f>
        <v>185326</v>
      </c>
      <c r="E23" s="354">
        <f>[9]Charter!$D23</f>
        <v>366937</v>
      </c>
      <c r="F23" s="160">
        <f t="shared" si="1"/>
        <v>-0.49493782311404955</v>
      </c>
      <c r="G23" s="355">
        <f t="shared" si="2"/>
        <v>853906</v>
      </c>
      <c r="H23" s="356">
        <f t="shared" si="2"/>
        <v>748879</v>
      </c>
      <c r="I23" s="356">
        <f t="shared" si="3"/>
        <v>1602785</v>
      </c>
      <c r="J23" s="228">
        <f>[9]Charter!$I23</f>
        <v>3170467</v>
      </c>
      <c r="K23" s="161">
        <f t="shared" si="4"/>
        <v>-0.49446406475765242</v>
      </c>
      <c r="L23" s="355">
        <f>+[8]Charter!$L$23</f>
        <v>956790</v>
      </c>
      <c r="M23" s="356">
        <f>+[8]Charter!$M$23</f>
        <v>831321</v>
      </c>
      <c r="N23" s="356">
        <f t="shared" ref="N23" si="10">SUM(L23:M23)</f>
        <v>1788111</v>
      </c>
      <c r="O23" s="228">
        <f>[9]Charter!$N23</f>
        <v>3537404</v>
      </c>
      <c r="P23" s="160">
        <f t="shared" si="8"/>
        <v>-0.49451320799094478</v>
      </c>
    </row>
    <row r="24" spans="1:16" ht="14.1" customHeight="1" x14ac:dyDescent="0.2">
      <c r="A24" s="159" t="s">
        <v>106</v>
      </c>
      <c r="B24" s="423">
        <f>+[10]Charter!$B$24</f>
        <v>347</v>
      </c>
      <c r="C24" s="424">
        <f>+[10]Charter!$C$24</f>
        <v>541</v>
      </c>
      <c r="D24" s="425">
        <f t="shared" ref="D24" si="11">SUM(B24:C24)</f>
        <v>888</v>
      </c>
      <c r="E24" s="354">
        <f>[11]Charter!$D24</f>
        <v>249952</v>
      </c>
      <c r="F24" s="160">
        <f t="shared" si="1"/>
        <v>-0.99644731788503393</v>
      </c>
      <c r="G24" s="355">
        <f t="shared" ref="G24" si="12">L24-B24</f>
        <v>80644</v>
      </c>
      <c r="H24" s="356">
        <f t="shared" ref="H24" si="13">M24-C24</f>
        <v>69951</v>
      </c>
      <c r="I24" s="356">
        <f t="shared" si="3"/>
        <v>150595</v>
      </c>
      <c r="J24" s="228">
        <f>[11]Charter!$I24</f>
        <v>2886078</v>
      </c>
      <c r="K24" s="161">
        <f t="shared" si="4"/>
        <v>-0.94782019058389966</v>
      </c>
      <c r="L24" s="355">
        <f>+[10]Charter!$L$24</f>
        <v>80991</v>
      </c>
      <c r="M24" s="356">
        <f>+[10]Charter!$M$24</f>
        <v>70492</v>
      </c>
      <c r="N24" s="356">
        <f t="shared" ref="N24" si="14">SUM(L24:M24)</f>
        <v>151483</v>
      </c>
      <c r="O24" s="228">
        <f>[11]Charter!$N24</f>
        <v>3136030</v>
      </c>
      <c r="P24" s="160">
        <f t="shared" si="8"/>
        <v>-0.95169593403124331</v>
      </c>
    </row>
    <row r="25" spans="1:16" ht="14.1" customHeight="1" x14ac:dyDescent="0.2">
      <c r="A25" s="146" t="s">
        <v>76</v>
      </c>
      <c r="B25" s="423">
        <f>+[12]Charter!$B$25</f>
        <v>965</v>
      </c>
      <c r="C25" s="424">
        <f>+[12]Charter!$C$25</f>
        <v>487</v>
      </c>
      <c r="D25" s="425">
        <f t="shared" ref="D25" si="15">SUM(B25:C25)</f>
        <v>1452</v>
      </c>
      <c r="E25" s="354">
        <f>[13]Charter!$D25</f>
        <v>253273</v>
      </c>
      <c r="F25" s="149">
        <f t="shared" si="1"/>
        <v>-0.99426705570668805</v>
      </c>
      <c r="G25" s="355">
        <f t="shared" ref="G25" si="16">L25-B25</f>
        <v>144345</v>
      </c>
      <c r="H25" s="356">
        <f t="shared" ref="H25" si="17">M25-C25</f>
        <v>138273</v>
      </c>
      <c r="I25" s="356">
        <f t="shared" si="3"/>
        <v>282618</v>
      </c>
      <c r="J25" s="228">
        <f>[13]Charter!$I25</f>
        <v>3087539</v>
      </c>
      <c r="K25" s="155">
        <f t="shared" si="4"/>
        <v>-0.90846496190007642</v>
      </c>
      <c r="L25" s="355">
        <f>+[12]Charter!$L$25</f>
        <v>145310</v>
      </c>
      <c r="M25" s="356">
        <f>+[12]Charter!$M$25</f>
        <v>138760</v>
      </c>
      <c r="N25" s="356">
        <f t="shared" ref="N25" si="18">SUM(L25:M25)</f>
        <v>284070</v>
      </c>
      <c r="O25" s="228">
        <f>[13]Charter!$N25</f>
        <v>3340812</v>
      </c>
      <c r="P25" s="149">
        <f t="shared" si="8"/>
        <v>-0.91496977381546762</v>
      </c>
    </row>
    <row r="26" spans="1:16" ht="14.1" customHeight="1" x14ac:dyDescent="0.2">
      <c r="A26" s="159" t="s">
        <v>107</v>
      </c>
      <c r="B26" s="423">
        <f>+[14]Charter!$B$26</f>
        <v>1529</v>
      </c>
      <c r="C26" s="424">
        <f>+[14]Charter!$C$26</f>
        <v>780</v>
      </c>
      <c r="D26" s="425">
        <f t="shared" ref="D26" si="19">SUM(B26:C26)</f>
        <v>2309</v>
      </c>
      <c r="E26" s="354">
        <f>[15]Charter!$D26</f>
        <v>288101</v>
      </c>
      <c r="F26" s="160">
        <f t="shared" si="1"/>
        <v>-0.99198544954720735</v>
      </c>
      <c r="G26" s="355">
        <f t="shared" ref="G26" si="20">L26-B26</f>
        <v>257876</v>
      </c>
      <c r="H26" s="356">
        <f t="shared" ref="H26" si="21">M26-C26</f>
        <v>253532</v>
      </c>
      <c r="I26" s="356">
        <f t="shared" si="3"/>
        <v>511408</v>
      </c>
      <c r="J26" s="228">
        <f>[15]Charter!$I26</f>
        <v>3379244</v>
      </c>
      <c r="K26" s="161">
        <f t="shared" si="4"/>
        <v>-0.84866200842555317</v>
      </c>
      <c r="L26" s="355">
        <f>+[14]Charter!$L$26</f>
        <v>259405</v>
      </c>
      <c r="M26" s="356">
        <f>+[14]Charter!$M$26</f>
        <v>254312</v>
      </c>
      <c r="N26" s="356">
        <f t="shared" ref="N26" si="22">SUM(L26:M26)</f>
        <v>513717</v>
      </c>
      <c r="O26" s="228">
        <f>[15]Charter!$N26</f>
        <v>3667345</v>
      </c>
      <c r="P26" s="160">
        <f t="shared" si="8"/>
        <v>-0.85992127819989661</v>
      </c>
    </row>
    <row r="27" spans="1:16" ht="14.1" customHeight="1" x14ac:dyDescent="0.2">
      <c r="A27" s="146" t="s">
        <v>108</v>
      </c>
      <c r="B27" s="423">
        <f>+[16]Charter!$B$27</f>
        <v>1298</v>
      </c>
      <c r="C27" s="424">
        <f>+[16]Charter!$C$27</f>
        <v>972</v>
      </c>
      <c r="D27" s="425">
        <f t="shared" ref="D27" si="23">SUM(B27:C27)</f>
        <v>2270</v>
      </c>
      <c r="E27" s="354">
        <f>[17]Charter!$D27</f>
        <v>296768</v>
      </c>
      <c r="F27" s="149">
        <f t="shared" si="1"/>
        <v>-0.99235092732370067</v>
      </c>
      <c r="G27" s="355">
        <f t="shared" ref="G27" si="24">L27-B27</f>
        <v>464182</v>
      </c>
      <c r="H27" s="356">
        <f t="shared" ref="H27" si="25">M27-C27</f>
        <v>471556</v>
      </c>
      <c r="I27" s="356">
        <f t="shared" ref="I27" si="26">SUM(G27:H27)</f>
        <v>935738</v>
      </c>
      <c r="J27" s="228">
        <f>[17]Charter!$I27</f>
        <v>3548261</v>
      </c>
      <c r="K27" s="155">
        <f t="shared" si="4"/>
        <v>-0.73628264662605147</v>
      </c>
      <c r="L27" s="355">
        <f>+[16]Charter!$L$27</f>
        <v>465480</v>
      </c>
      <c r="M27" s="356">
        <f>+[16]Charter!$M$27</f>
        <v>472528</v>
      </c>
      <c r="N27" s="356">
        <f t="shared" ref="N27" si="27">SUM(L27:M27)</f>
        <v>938008</v>
      </c>
      <c r="O27" s="228">
        <f>[17]Charter!$N27</f>
        <v>3845029</v>
      </c>
      <c r="P27" s="149">
        <f t="shared" si="8"/>
        <v>-0.75604657338085102</v>
      </c>
    </row>
    <row r="28" spans="1:16" ht="14.1" customHeight="1" x14ac:dyDescent="0.2">
      <c r="A28" s="159" t="s">
        <v>109</v>
      </c>
      <c r="B28" s="423">
        <f>+[18]Charter!$B$28</f>
        <v>1482</v>
      </c>
      <c r="C28" s="424">
        <f>+[18]Charter!$C$28</f>
        <v>1488</v>
      </c>
      <c r="D28" s="425">
        <f>SUM(B28:C28)</f>
        <v>2970</v>
      </c>
      <c r="E28" s="354">
        <f>[19]Charter!$D28</f>
        <v>306857</v>
      </c>
      <c r="F28" s="160">
        <f t="shared" si="1"/>
        <v>-0.99032122454433169</v>
      </c>
      <c r="G28" s="355">
        <f t="shared" ref="G28" si="28">L28-B28</f>
        <v>563349</v>
      </c>
      <c r="H28" s="356">
        <f t="shared" ref="H28" si="29">M28-C28</f>
        <v>566075</v>
      </c>
      <c r="I28" s="356">
        <f t="shared" ref="I28" si="30">SUM(G28:H28)</f>
        <v>1129424</v>
      </c>
      <c r="J28" s="228">
        <f>[19]Charter!$I28</f>
        <v>3538740</v>
      </c>
      <c r="K28" s="161">
        <f t="shared" si="4"/>
        <v>-0.68084007302034055</v>
      </c>
      <c r="L28" s="355">
        <f>+[18]Charter!$L$28</f>
        <v>564831</v>
      </c>
      <c r="M28" s="356">
        <f>+[18]Charter!$M$28</f>
        <v>567563</v>
      </c>
      <c r="N28" s="356">
        <f t="shared" ref="N28" si="31">SUM(L28:M28)</f>
        <v>1132394</v>
      </c>
      <c r="O28" s="228">
        <f>[19]Charter!$N28</f>
        <v>3845597</v>
      </c>
      <c r="P28" s="160">
        <f t="shared" si="8"/>
        <v>-0.70553492734678125</v>
      </c>
    </row>
    <row r="29" spans="1:16" ht="14.1" customHeight="1" x14ac:dyDescent="0.2">
      <c r="A29" s="146" t="s">
        <v>110</v>
      </c>
      <c r="B29" s="423">
        <f>+[2]Charter!$B$29</f>
        <v>1310</v>
      </c>
      <c r="C29" s="424">
        <f>+[2]Charter!$C$29</f>
        <v>1152</v>
      </c>
      <c r="D29" s="425">
        <f>SUM(B29:C29)</f>
        <v>2462</v>
      </c>
      <c r="E29" s="354">
        <f>[20]Charter!$D29</f>
        <v>270210</v>
      </c>
      <c r="F29" s="149">
        <f t="shared" si="1"/>
        <v>-0.99088856815069759</v>
      </c>
      <c r="G29" s="355">
        <f t="shared" ref="G29" si="32">L29-B29</f>
        <v>515223</v>
      </c>
      <c r="H29" s="356">
        <f t="shared" ref="H29" si="33">M29-C29</f>
        <v>518017</v>
      </c>
      <c r="I29" s="356">
        <f t="shared" ref="I29" si="34">SUM(G29:H29)</f>
        <v>1033240</v>
      </c>
      <c r="J29" s="228">
        <f>[20]Charter!$I29</f>
        <v>2978352</v>
      </c>
      <c r="K29" s="155">
        <f t="shared" si="4"/>
        <v>-0.65308331587401358</v>
      </c>
      <c r="L29" s="355">
        <f>+[2]Charter!$L$29</f>
        <v>516533</v>
      </c>
      <c r="M29" s="356">
        <f>+[2]Charter!$M$29</f>
        <v>519169</v>
      </c>
      <c r="N29" s="356">
        <f t="shared" ref="N29" si="35">SUM(L29:M29)</f>
        <v>1035702</v>
      </c>
      <c r="O29" s="228">
        <f>[20]Charter!$N29</f>
        <v>3248562</v>
      </c>
      <c r="P29" s="149">
        <f t="shared" si="8"/>
        <v>-0.68118139656869714</v>
      </c>
    </row>
    <row r="30" spans="1:16" ht="14.1" customHeight="1" x14ac:dyDescent="0.2">
      <c r="A30" s="159" t="s">
        <v>111</v>
      </c>
      <c r="B30" s="426">
        <f>'Intl Detail'!$P$4+'Intl Detail'!$P$9</f>
        <v>2417</v>
      </c>
      <c r="C30" s="427">
        <f>'Intl Detail'!$P$5+'Intl Detail'!$P$10</f>
        <v>2292</v>
      </c>
      <c r="D30" s="425">
        <f>SUM(B30:C30)</f>
        <v>4709</v>
      </c>
      <c r="E30" s="354">
        <f>[1]Charter!$D30</f>
        <v>250015</v>
      </c>
      <c r="F30" s="160">
        <f t="shared" si="1"/>
        <v>-0.98116513009219442</v>
      </c>
      <c r="G30" s="355">
        <f t="shared" ref="G30" si="36">L30-B30</f>
        <v>558192</v>
      </c>
      <c r="H30" s="356">
        <f t="shared" ref="H30" si="37">M30-C30</f>
        <v>585310</v>
      </c>
      <c r="I30" s="356">
        <f t="shared" ref="I30" si="38">SUM(G30:H30)</f>
        <v>1143502</v>
      </c>
      <c r="J30" s="228">
        <f>[1]Charter!$I30</f>
        <v>3134707</v>
      </c>
      <c r="K30" s="161">
        <f t="shared" si="4"/>
        <v>-0.63521247759359967</v>
      </c>
      <c r="L30" s="355">
        <f>'Monthly Summary'!$B$11</f>
        <v>560609</v>
      </c>
      <c r="M30" s="356">
        <f>'Monthly Summary'!$C$11</f>
        <v>587602</v>
      </c>
      <c r="N30" s="356">
        <f t="shared" ref="N30" si="39">SUM(L30:M30)</f>
        <v>1148211</v>
      </c>
      <c r="O30" s="228">
        <f>[1]Charter!$N30</f>
        <v>3384722</v>
      </c>
      <c r="P30" s="160">
        <f t="shared" si="8"/>
        <v>-0.6607665267634979</v>
      </c>
    </row>
    <row r="31" spans="1:16" ht="14.1" customHeight="1" x14ac:dyDescent="0.2">
      <c r="A31" s="146" t="s">
        <v>112</v>
      </c>
      <c r="B31" s="221"/>
      <c r="C31" s="223"/>
      <c r="D31" s="222">
        <f>SUM(B31:C31)</f>
        <v>0</v>
      </c>
      <c r="E31" s="228"/>
      <c r="F31" s="149" t="e">
        <f t="shared" si="1"/>
        <v>#DIV/0!</v>
      </c>
      <c r="G31" s="221"/>
      <c r="H31" s="223"/>
      <c r="I31" s="222">
        <f t="shared" ref="I31:I32" si="40">SUM(G31:H31)</f>
        <v>0</v>
      </c>
      <c r="J31" s="228"/>
      <c r="K31" s="155" t="e">
        <f t="shared" si="4"/>
        <v>#DIV/0!</v>
      </c>
      <c r="L31" s="221"/>
      <c r="M31" s="223"/>
      <c r="N31" s="222">
        <f>SUM(L31:M31)</f>
        <v>0</v>
      </c>
      <c r="O31" s="228"/>
      <c r="P31" s="149" t="e">
        <f t="shared" si="8"/>
        <v>#DIV/0!</v>
      </c>
    </row>
    <row r="32" spans="1:16" ht="14.1" customHeight="1" x14ac:dyDescent="0.2">
      <c r="A32" s="162" t="s">
        <v>113</v>
      </c>
      <c r="B32" s="221"/>
      <c r="C32" s="223"/>
      <c r="D32" s="104">
        <f t="shared" si="0"/>
        <v>0</v>
      </c>
      <c r="E32" s="228"/>
      <c r="F32" s="163" t="e">
        <f t="shared" si="1"/>
        <v>#DIV/0!</v>
      </c>
      <c r="G32" s="164"/>
      <c r="H32" s="104"/>
      <c r="I32" s="104">
        <f t="shared" si="40"/>
        <v>0</v>
      </c>
      <c r="J32" s="228"/>
      <c r="K32" s="163" t="e">
        <f t="shared" si="4"/>
        <v>#DIV/0!</v>
      </c>
      <c r="L32" s="221"/>
      <c r="M32" s="223"/>
      <c r="N32" s="104">
        <f t="shared" si="5"/>
        <v>0</v>
      </c>
      <c r="O32" s="228"/>
      <c r="P32" s="163" t="e">
        <f t="shared" si="8"/>
        <v>#DIV/0!</v>
      </c>
    </row>
    <row r="33" spans="1:16" ht="13.5" thickBot="1" x14ac:dyDescent="0.25">
      <c r="A33" s="156" t="s">
        <v>77</v>
      </c>
      <c r="B33" s="165">
        <f>SUM(B21:B32)</f>
        <v>418364</v>
      </c>
      <c r="C33" s="166">
        <f>SUM(C21:C32)</f>
        <v>388879</v>
      </c>
      <c r="D33" s="166">
        <f>SUM(D21:D32)</f>
        <v>807243</v>
      </c>
      <c r="E33" s="167">
        <f>SUM(E21:E32)</f>
        <v>2823706</v>
      </c>
      <c r="F33" s="151">
        <f>(D33-E33)/E33</f>
        <v>-0.71411931695438546</v>
      </c>
      <c r="G33" s="168">
        <f>SUM(G21:G32)</f>
        <v>5996593</v>
      </c>
      <c r="H33" s="166">
        <f>SUM(H21:H32)</f>
        <v>5963916</v>
      </c>
      <c r="I33" s="166">
        <f>SUM(I21:I32)</f>
        <v>11960509</v>
      </c>
      <c r="J33" s="169">
        <f>SUM(J21:J32)</f>
        <v>30543647</v>
      </c>
      <c r="K33" s="152">
        <f>(I33-J33)/J33</f>
        <v>-0.60841254484115792</v>
      </c>
      <c r="L33" s="168">
        <f>SUM(L21:L32)</f>
        <v>6414957</v>
      </c>
      <c r="M33" s="166">
        <f>SUM(M21:M32)</f>
        <v>6352795</v>
      </c>
      <c r="N33" s="166">
        <f>SUM(N21:N32)</f>
        <v>12767752</v>
      </c>
      <c r="O33" s="167">
        <f>SUM(O21:O32)</f>
        <v>33367353</v>
      </c>
      <c r="P33" s="150">
        <f>(N33-O33)/O33</f>
        <v>-0.61735796063895154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October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D4" sqref="D4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78" t="s">
        <v>227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80"/>
    </row>
    <row r="2" spans="1:20" s="21" customFormat="1" ht="39" customHeight="1" thickBot="1" x14ac:dyDescent="0.25">
      <c r="A2" s="258">
        <v>44105</v>
      </c>
      <c r="B2" s="304" t="s">
        <v>204</v>
      </c>
      <c r="C2" s="304" t="s">
        <v>177</v>
      </c>
      <c r="D2" s="360" t="s">
        <v>84</v>
      </c>
      <c r="E2" s="304" t="s">
        <v>228</v>
      </c>
      <c r="F2" s="359" t="s">
        <v>209</v>
      </c>
      <c r="G2" s="305" t="s">
        <v>82</v>
      </c>
      <c r="H2" s="359" t="s">
        <v>178</v>
      </c>
      <c r="I2" s="304" t="s">
        <v>229</v>
      </c>
      <c r="J2" s="359" t="s">
        <v>86</v>
      </c>
      <c r="K2" s="304" t="s">
        <v>230</v>
      </c>
      <c r="L2" s="304" t="s">
        <v>231</v>
      </c>
      <c r="M2" s="304" t="s">
        <v>225</v>
      </c>
      <c r="N2" s="305" t="s">
        <v>83</v>
      </c>
      <c r="O2" s="359" t="s">
        <v>128</v>
      </c>
      <c r="P2" s="359" t="s">
        <v>21</v>
      </c>
    </row>
    <row r="3" spans="1:20" ht="15" x14ac:dyDescent="0.25">
      <c r="A3" s="127" t="s">
        <v>9</v>
      </c>
      <c r="B3" s="442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3"/>
      <c r="R3" s="324"/>
      <c r="S3" s="324"/>
      <c r="T3" s="324"/>
    </row>
    <row r="4" spans="1:20" x14ac:dyDescent="0.2">
      <c r="A4" s="31" t="s">
        <v>53</v>
      </c>
      <c r="B4" s="164">
        <f>'[3]Atlas Air'!$GY$4</f>
        <v>3</v>
      </c>
      <c r="C4" s="104">
        <f>[3]DHL!$GY$4+[3]DHL_Atlas!$GY$4+[3]DHL_Atlas!$GY$8+[3]DHL_Atlas!$GY$15</f>
        <v>0</v>
      </c>
      <c r="D4" s="83">
        <f>[3]Bemidji!$GY$4</f>
        <v>203</v>
      </c>
      <c r="E4" s="104">
        <f>[3]DHL_Encore!$GY$4+[3]DHL_Encore!$GY$15</f>
        <v>42</v>
      </c>
      <c r="F4" s="104">
        <f>[3]Encore!$GY$4+[3]Encore!$GY$15</f>
        <v>0</v>
      </c>
      <c r="G4" s="104">
        <f>[3]FedEx!$GY$4+[3]FedEx!$GY$15</f>
        <v>149</v>
      </c>
      <c r="H4" s="104">
        <f>[3]IFL!$GY$4+[3]IFL!$GY$15</f>
        <v>16</v>
      </c>
      <c r="I4" s="104">
        <f>[3]DHL_Kalitta!$GY$4+[3]DHL_Kalitta!$GY$15</f>
        <v>0</v>
      </c>
      <c r="J4" s="83">
        <f>'[3]Mountain Cargo'!$GY$4</f>
        <v>23</v>
      </c>
      <c r="K4" s="104">
        <f>[3]DHL_Southair!$GY$4+[3]DHL_Southair!$GY$15</f>
        <v>0</v>
      </c>
      <c r="L4" s="104">
        <f>[3]DHL_Swift!$GY$4+[3]DHL_Swift!$GY$15</f>
        <v>19</v>
      </c>
      <c r="M4" s="104">
        <f>+'[3]Sun Country Cargo'!$GY$4+'[3]Sun Country Cargo'!$GY$8+'[3]Sun Country Cargo'!$GY$15</f>
        <v>58</v>
      </c>
      <c r="N4" s="104">
        <f>[3]UPS!$GY$4+[3]UPS!$GY$15</f>
        <v>164</v>
      </c>
      <c r="O4" s="83">
        <f>'[3]Misc Cargo'!$GY$4</f>
        <v>0</v>
      </c>
      <c r="P4" s="414">
        <f>SUM(B4:O4)</f>
        <v>677</v>
      </c>
      <c r="R4" s="324"/>
      <c r="S4" s="324"/>
      <c r="T4" s="193"/>
    </row>
    <row r="5" spans="1:20" x14ac:dyDescent="0.2">
      <c r="A5" s="31" t="s">
        <v>54</v>
      </c>
      <c r="B5" s="443">
        <f>'[3]Atlas Air'!$GY$5</f>
        <v>3</v>
      </c>
      <c r="C5" s="126">
        <f>[3]DHL!$GY$5+[3]DHL_Atlas!$GY$5+[3]DHL_Atlas!$GY$9+[3]DHL_Atlas!$GY$16</f>
        <v>0</v>
      </c>
      <c r="D5" s="84">
        <f>[3]Bemidji!$GY$5</f>
        <v>203</v>
      </c>
      <c r="E5" s="126">
        <f>[3]DHL_Encore!$GY$5</f>
        <v>42</v>
      </c>
      <c r="F5" s="126">
        <f>[3]Encore!$GY$5</f>
        <v>0</v>
      </c>
      <c r="G5" s="126">
        <f>[3]FedEx!$GY$5</f>
        <v>149</v>
      </c>
      <c r="H5" s="126">
        <f>[3]IFL!$GY$5</f>
        <v>16</v>
      </c>
      <c r="I5" s="126">
        <f>[3]DHL_Kalitta!$GY$5</f>
        <v>0</v>
      </c>
      <c r="J5" s="84">
        <f>'[3]Mountain Cargo'!$GY$5</f>
        <v>23</v>
      </c>
      <c r="K5" s="126">
        <f>[3]DHL_Southair!$GY$5</f>
        <v>0</v>
      </c>
      <c r="L5" s="126">
        <f>[3]DHL_Swift!$GY$5</f>
        <v>19</v>
      </c>
      <c r="M5" s="126">
        <f>+'[3]Sun Country Cargo'!$GY$5+'[3]Sun Country Cargo'!$GY$9+'[3]Sun Country Cargo'!$GY$16</f>
        <v>58</v>
      </c>
      <c r="N5" s="126">
        <f>[3]UPS!$GY$5+[3]UPS!$GY$16</f>
        <v>164</v>
      </c>
      <c r="O5" s="84">
        <f>'[3]Misc Cargo'!$GY$5</f>
        <v>0</v>
      </c>
      <c r="P5" s="414">
        <f t="shared" ref="P5:P10" si="0">SUM(B5:O5)</f>
        <v>677</v>
      </c>
      <c r="R5" s="324"/>
      <c r="S5" s="324"/>
      <c r="T5" s="193"/>
    </row>
    <row r="6" spans="1:20" s="123" customFormat="1" x14ac:dyDescent="0.2">
      <c r="A6" s="129" t="s">
        <v>55</v>
      </c>
      <c r="B6" s="444">
        <f t="shared" ref="B6:N6" si="1">SUM(B4:B5)</f>
        <v>6</v>
      </c>
      <c r="C6" s="130">
        <f t="shared" si="1"/>
        <v>0</v>
      </c>
      <c r="D6" s="82">
        <f t="shared" si="1"/>
        <v>406</v>
      </c>
      <c r="E6" s="130">
        <f t="shared" si="1"/>
        <v>84</v>
      </c>
      <c r="F6" s="130">
        <f t="shared" si="1"/>
        <v>0</v>
      </c>
      <c r="G6" s="130">
        <f t="shared" si="1"/>
        <v>298</v>
      </c>
      <c r="H6" s="130">
        <f t="shared" si="1"/>
        <v>32</v>
      </c>
      <c r="I6" s="130">
        <f t="shared" si="1"/>
        <v>0</v>
      </c>
      <c r="J6" s="82">
        <f t="shared" si="1"/>
        <v>46</v>
      </c>
      <c r="K6" s="130">
        <f t="shared" si="1"/>
        <v>0</v>
      </c>
      <c r="L6" s="130">
        <f t="shared" si="1"/>
        <v>38</v>
      </c>
      <c r="M6" s="130">
        <f t="shared" si="1"/>
        <v>116</v>
      </c>
      <c r="N6" s="130">
        <f t="shared" si="1"/>
        <v>328</v>
      </c>
      <c r="O6" s="82">
        <f t="shared" ref="O6" si="2">SUM(O4:O5)</f>
        <v>0</v>
      </c>
      <c r="P6" s="414">
        <f t="shared" si="0"/>
        <v>1354</v>
      </c>
      <c r="T6" s="265"/>
    </row>
    <row r="7" spans="1:20" x14ac:dyDescent="0.2">
      <c r="A7" s="31"/>
      <c r="B7" s="164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4"/>
      <c r="R7" s="301"/>
      <c r="S7" s="324"/>
      <c r="T7" s="193"/>
    </row>
    <row r="8" spans="1:20" x14ac:dyDescent="0.2">
      <c r="A8" s="31" t="s">
        <v>56</v>
      </c>
      <c r="B8" s="164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Cargo'!$GY$8</f>
        <v>1</v>
      </c>
      <c r="P8" s="414">
        <f t="shared" si="0"/>
        <v>1</v>
      </c>
      <c r="R8" s="324"/>
      <c r="S8" s="324"/>
      <c r="T8" s="193"/>
    </row>
    <row r="9" spans="1:20" ht="15" x14ac:dyDescent="0.25">
      <c r="A9" s="31" t="s">
        <v>57</v>
      </c>
      <c r="B9" s="443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Cargo'!$GY$9</f>
        <v>1</v>
      </c>
      <c r="P9" s="414">
        <f t="shared" si="0"/>
        <v>1</v>
      </c>
      <c r="R9" s="324"/>
      <c r="S9" s="8"/>
      <c r="T9" s="193"/>
    </row>
    <row r="10" spans="1:20" s="123" customFormat="1" x14ac:dyDescent="0.2">
      <c r="A10" s="129" t="s">
        <v>58</v>
      </c>
      <c r="B10" s="444">
        <f t="shared" ref="B10:N10" si="3">SUM(B8:B9)</f>
        <v>0</v>
      </c>
      <c r="C10" s="130">
        <f t="shared" si="3"/>
        <v>0</v>
      </c>
      <c r="D10" s="82">
        <f t="shared" si="3"/>
        <v>0</v>
      </c>
      <c r="E10" s="130">
        <f t="shared" si="3"/>
        <v>0</v>
      </c>
      <c r="F10" s="130">
        <f t="shared" si="3"/>
        <v>0</v>
      </c>
      <c r="G10" s="130">
        <f t="shared" si="3"/>
        <v>0</v>
      </c>
      <c r="H10" s="130">
        <f t="shared" si="3"/>
        <v>0</v>
      </c>
      <c r="I10" s="130">
        <f t="shared" si="3"/>
        <v>0</v>
      </c>
      <c r="J10" s="82">
        <f t="shared" si="3"/>
        <v>0</v>
      </c>
      <c r="K10" s="130">
        <f t="shared" si="3"/>
        <v>0</v>
      </c>
      <c r="L10" s="130">
        <f t="shared" si="3"/>
        <v>0</v>
      </c>
      <c r="M10" s="130">
        <f t="shared" si="3"/>
        <v>0</v>
      </c>
      <c r="N10" s="130">
        <f t="shared" si="3"/>
        <v>0</v>
      </c>
      <c r="O10" s="82">
        <f t="shared" ref="O10" si="4">SUM(O8:O9)</f>
        <v>2</v>
      </c>
      <c r="P10" s="414">
        <f t="shared" si="0"/>
        <v>2</v>
      </c>
      <c r="T10" s="265"/>
    </row>
    <row r="11" spans="1:20" x14ac:dyDescent="0.2">
      <c r="A11" s="31"/>
      <c r="B11" s="164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3"/>
      <c r="R11" s="324"/>
      <c r="S11" s="324"/>
      <c r="T11" s="193"/>
    </row>
    <row r="12" spans="1:20" ht="18" customHeight="1" thickBot="1" x14ac:dyDescent="0.25">
      <c r="A12" s="131" t="s">
        <v>28</v>
      </c>
      <c r="B12" s="445">
        <f t="shared" ref="B12:N12" si="5">B6+B10</f>
        <v>6</v>
      </c>
      <c r="C12" s="132">
        <f t="shared" si="5"/>
        <v>0</v>
      </c>
      <c r="D12" s="133">
        <f t="shared" si="5"/>
        <v>406</v>
      </c>
      <c r="E12" s="132">
        <f t="shared" si="5"/>
        <v>84</v>
      </c>
      <c r="F12" s="132">
        <f t="shared" si="5"/>
        <v>0</v>
      </c>
      <c r="G12" s="132">
        <f t="shared" si="5"/>
        <v>298</v>
      </c>
      <c r="H12" s="132">
        <f t="shared" si="5"/>
        <v>32</v>
      </c>
      <c r="I12" s="132">
        <f t="shared" si="5"/>
        <v>0</v>
      </c>
      <c r="J12" s="133">
        <f t="shared" si="5"/>
        <v>46</v>
      </c>
      <c r="K12" s="132">
        <f t="shared" si="5"/>
        <v>0</v>
      </c>
      <c r="L12" s="132">
        <f t="shared" si="5"/>
        <v>38</v>
      </c>
      <c r="M12" s="132">
        <f t="shared" si="5"/>
        <v>116</v>
      </c>
      <c r="N12" s="132">
        <f t="shared" si="5"/>
        <v>328</v>
      </c>
      <c r="O12" s="133">
        <f t="shared" ref="O12" si="6">O6+O10</f>
        <v>2</v>
      </c>
      <c r="P12" s="416">
        <f>SUM(B12:O12)</f>
        <v>1356</v>
      </c>
      <c r="R12" s="324"/>
      <c r="S12" s="324"/>
      <c r="T12" s="193"/>
    </row>
    <row r="13" spans="1:20" ht="18" customHeight="1" thickBot="1" x14ac:dyDescent="0.25">
      <c r="A13" s="114"/>
      <c r="B13" s="446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4"/>
      <c r="S13" s="324"/>
      <c r="T13" s="193"/>
    </row>
    <row r="14" spans="1:20" ht="15" x14ac:dyDescent="0.25">
      <c r="A14" s="134" t="s">
        <v>93</v>
      </c>
      <c r="B14" s="447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7"/>
      <c r="R14" s="324"/>
      <c r="S14" s="324"/>
      <c r="T14" s="193"/>
    </row>
    <row r="15" spans="1:20" x14ac:dyDescent="0.2">
      <c r="A15" s="136" t="s">
        <v>94</v>
      </c>
      <c r="B15" s="164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4"/>
      <c r="S15" s="324"/>
      <c r="T15" s="193"/>
    </row>
    <row r="16" spans="1:20" x14ac:dyDescent="0.2">
      <c r="A16" s="31" t="s">
        <v>37</v>
      </c>
      <c r="B16" s="164">
        <f>'[3]Atlas Air'!$GY$47</f>
        <v>100046</v>
      </c>
      <c r="C16" s="104">
        <f>[3]DHL!$GY$47+[3]DHL_Atlas!$GY$47</f>
        <v>0</v>
      </c>
      <c r="D16" s="475" t="s">
        <v>87</v>
      </c>
      <c r="E16" s="104">
        <f>[3]DHL_Encore!$GY$47</f>
        <v>73311</v>
      </c>
      <c r="F16" s="104">
        <f>[3]Encore!$GY$47</f>
        <v>0</v>
      </c>
      <c r="G16" s="104">
        <f>[3]FedEx!$GY$47</f>
        <v>8846773</v>
      </c>
      <c r="H16" s="104">
        <f>[3]IFL!$GY$47</f>
        <v>56581</v>
      </c>
      <c r="I16" s="104">
        <f>[3]DHL_Kalitta!$GY$47</f>
        <v>0</v>
      </c>
      <c r="J16" s="83">
        <f>'[3]Mountain Cargo'!$GY$47</f>
        <v>0</v>
      </c>
      <c r="K16" s="104">
        <f>[3]DHL_Southair!$GY$47</f>
        <v>0</v>
      </c>
      <c r="L16" s="104">
        <f>[3]DHL_Swift!$GY$47</f>
        <v>553000</v>
      </c>
      <c r="M16" s="104">
        <f>+'[3]Sun Country Cargo'!$GY$47</f>
        <v>1557819</v>
      </c>
      <c r="N16" s="104">
        <f>[3]UPS!$GY$47</f>
        <v>7557823</v>
      </c>
      <c r="O16" s="83">
        <f>'[3]Misc Cargo'!$GY$47</f>
        <v>0</v>
      </c>
      <c r="P16" s="414">
        <f>SUM(B16:C16)+SUM(E16:O16)</f>
        <v>18745353</v>
      </c>
      <c r="R16" s="324"/>
      <c r="S16" s="324"/>
      <c r="T16" s="193"/>
    </row>
    <row r="17" spans="1:20" x14ac:dyDescent="0.2">
      <c r="A17" s="31" t="s">
        <v>38</v>
      </c>
      <c r="B17" s="164">
        <f>'[3]Atlas Air'!$GY$48</f>
        <v>0</v>
      </c>
      <c r="C17" s="104">
        <f>[3]DHL!$GY$48</f>
        <v>0</v>
      </c>
      <c r="D17" s="476"/>
      <c r="E17" s="104">
        <f>[3]DHL_Encore!$GY$48</f>
        <v>0</v>
      </c>
      <c r="F17" s="104">
        <f>[3]Encore!$GY$48</f>
        <v>0</v>
      </c>
      <c r="G17" s="104">
        <f>[3]FedEx!$GY$48</f>
        <v>0</v>
      </c>
      <c r="H17" s="104">
        <f>[3]IFL!$GY$48</f>
        <v>0</v>
      </c>
      <c r="I17" s="104">
        <f>[3]DHL_Kalitta!$GY$48</f>
        <v>0</v>
      </c>
      <c r="J17" s="83">
        <f>'[3]Mountain Cargo'!$GY$48</f>
        <v>55885</v>
      </c>
      <c r="K17" s="104">
        <f>[3]DHL_Southair!$GY$48</f>
        <v>0</v>
      </c>
      <c r="L17" s="104">
        <f>[3]DHL_Swift!$GY$48</f>
        <v>0</v>
      </c>
      <c r="M17" s="104">
        <f>+'[3]Sun Country Cargo'!$GY$48</f>
        <v>0</v>
      </c>
      <c r="N17" s="104">
        <f>[3]UPS!$GY$48</f>
        <v>761733</v>
      </c>
      <c r="O17" s="83">
        <f>'[3]Misc Cargo'!$GY$48</f>
        <v>0</v>
      </c>
      <c r="P17" s="414">
        <f>SUM(B17:C17)+SUM(E17:O17)</f>
        <v>817618</v>
      </c>
      <c r="R17" s="324"/>
      <c r="S17" s="324"/>
      <c r="T17" s="193"/>
    </row>
    <row r="18" spans="1:20" ht="18" customHeight="1" x14ac:dyDescent="0.2">
      <c r="A18" s="137" t="s">
        <v>39</v>
      </c>
      <c r="B18" s="448">
        <f>SUM(B16:B17)</f>
        <v>100046</v>
      </c>
      <c r="C18" s="197">
        <f>SUM(C16:C17)</f>
        <v>0</v>
      </c>
      <c r="D18" s="476"/>
      <c r="E18" s="197">
        <f>SUM(E16:E17)</f>
        <v>73311</v>
      </c>
      <c r="F18" s="197">
        <f>SUM(F16:F17)</f>
        <v>0</v>
      </c>
      <c r="G18" s="197">
        <f>SUM(G16:G17)</f>
        <v>8846773</v>
      </c>
      <c r="H18" s="197">
        <f>SUM(H16:H17)</f>
        <v>56581</v>
      </c>
      <c r="I18" s="197">
        <f t="shared" ref="I18:O18" si="7">SUM(I16:I17)</f>
        <v>0</v>
      </c>
      <c r="J18" s="198">
        <f t="shared" si="7"/>
        <v>55885</v>
      </c>
      <c r="K18" s="197">
        <f t="shared" si="7"/>
        <v>0</v>
      </c>
      <c r="L18" s="197">
        <f t="shared" si="7"/>
        <v>553000</v>
      </c>
      <c r="M18" s="197">
        <f t="shared" si="7"/>
        <v>1557819</v>
      </c>
      <c r="N18" s="197">
        <f t="shared" si="7"/>
        <v>8319556</v>
      </c>
      <c r="O18" s="198">
        <f t="shared" si="7"/>
        <v>0</v>
      </c>
      <c r="P18" s="418">
        <f>SUM(B18:C18)+SUM(E18:O18)</f>
        <v>19562971</v>
      </c>
      <c r="R18" s="324"/>
      <c r="S18" s="324"/>
      <c r="T18" s="193"/>
    </row>
    <row r="19" spans="1:20" x14ac:dyDescent="0.2">
      <c r="A19" s="31"/>
      <c r="B19" s="164"/>
      <c r="C19" s="104"/>
      <c r="D19" s="476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4"/>
      <c r="R19" s="301"/>
      <c r="S19" s="324"/>
      <c r="T19" s="193"/>
    </row>
    <row r="20" spans="1:20" x14ac:dyDescent="0.2">
      <c r="A20" s="138" t="s">
        <v>88</v>
      </c>
      <c r="B20" s="164"/>
      <c r="C20" s="104"/>
      <c r="D20" s="476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4"/>
      <c r="R20" s="301"/>
      <c r="S20" s="324"/>
      <c r="T20" s="193"/>
    </row>
    <row r="21" spans="1:20" x14ac:dyDescent="0.2">
      <c r="A21" s="31" t="s">
        <v>59</v>
      </c>
      <c r="B21" s="164">
        <f>'[3]Atlas Air'!$GY$52</f>
        <v>8089</v>
      </c>
      <c r="C21" s="104">
        <f>[3]DHL!$GY$52+[3]DHL_Atlas!$GY$52</f>
        <v>0</v>
      </c>
      <c r="D21" s="476"/>
      <c r="E21" s="104">
        <f>[3]DHL_Encore!$GY$52</f>
        <v>48065</v>
      </c>
      <c r="F21" s="104">
        <f>[3]Encore!$GY$52</f>
        <v>0</v>
      </c>
      <c r="G21" s="104">
        <f>[3]FedEx!$GY$52</f>
        <v>8809457</v>
      </c>
      <c r="H21" s="104">
        <f>[3]IFL!$GY$52</f>
        <v>4727</v>
      </c>
      <c r="I21" s="104">
        <f>[3]DHL_Kalitta!$GY$52</f>
        <v>0</v>
      </c>
      <c r="J21" s="83">
        <f>'[3]Mountain Cargo'!$GY$52</f>
        <v>0</v>
      </c>
      <c r="K21" s="104">
        <f>[3]DHL_Southair!$GY$52</f>
        <v>0</v>
      </c>
      <c r="L21" s="104">
        <f>[3]DHL_Swift!$GY$52</f>
        <v>371001</v>
      </c>
      <c r="M21" s="104">
        <f>+'[3]Sun Country Cargo'!$GY$52</f>
        <v>606557</v>
      </c>
      <c r="N21" s="104">
        <f>[3]UPS!$GY$52</f>
        <v>6336968</v>
      </c>
      <c r="O21" s="83">
        <f>'[3]Misc Cargo'!$GY$52</f>
        <v>3206</v>
      </c>
      <c r="P21" s="414">
        <f t="shared" ref="P21:P23" si="8">SUM(B21:C21)+SUM(E21:O21)</f>
        <v>16188070</v>
      </c>
      <c r="R21" s="324"/>
      <c r="S21" s="324"/>
      <c r="T21" s="193"/>
    </row>
    <row r="22" spans="1:20" x14ac:dyDescent="0.2">
      <c r="A22" s="31" t="s">
        <v>60</v>
      </c>
      <c r="B22" s="164">
        <f>'[3]Atlas Air'!$GY$53</f>
        <v>0</v>
      </c>
      <c r="C22" s="104">
        <f>[3]DHL!$GY$53</f>
        <v>0</v>
      </c>
      <c r="D22" s="476"/>
      <c r="E22" s="104">
        <f>[3]DHL_Encore!$GY$53</f>
        <v>0</v>
      </c>
      <c r="F22" s="104">
        <f>[3]Encore!$GY$53</f>
        <v>0</v>
      </c>
      <c r="G22" s="104">
        <f>[3]FedEx!$GY$53</f>
        <v>0</v>
      </c>
      <c r="H22" s="104">
        <f>[3]IFL!$GY$53</f>
        <v>0</v>
      </c>
      <c r="I22" s="104">
        <f>[3]DHL_Kalitta!$GY$53</f>
        <v>0</v>
      </c>
      <c r="J22" s="83">
        <f>'[3]Mountain Cargo'!$GY$53</f>
        <v>100239</v>
      </c>
      <c r="K22" s="104">
        <f>[3]DHL_Southair!$GY$53</f>
        <v>0</v>
      </c>
      <c r="L22" s="104">
        <f>[3]DHL_Swift!$GY$53</f>
        <v>0</v>
      </c>
      <c r="M22" s="104">
        <f>+'[3]Sun Country Cargo'!$GY$53</f>
        <v>0</v>
      </c>
      <c r="N22" s="104">
        <f>[3]UPS!$GY$53</f>
        <v>1053721</v>
      </c>
      <c r="O22" s="83">
        <f>'[3]Misc Cargo'!$GY$53</f>
        <v>0</v>
      </c>
      <c r="P22" s="414">
        <f t="shared" si="8"/>
        <v>1153960</v>
      </c>
      <c r="R22" s="324"/>
      <c r="S22" s="324"/>
      <c r="T22" s="193"/>
    </row>
    <row r="23" spans="1:20" ht="18" customHeight="1" x14ac:dyDescent="0.2">
      <c r="A23" s="137" t="s">
        <v>41</v>
      </c>
      <c r="B23" s="448">
        <f>SUM(B21:B22)</f>
        <v>8089</v>
      </c>
      <c r="C23" s="197">
        <f>SUM(C21:C22)</f>
        <v>0</v>
      </c>
      <c r="D23" s="476"/>
      <c r="E23" s="197">
        <f t="shared" ref="E23:O23" si="9">SUM(E21:E22)</f>
        <v>48065</v>
      </c>
      <c r="F23" s="197">
        <f t="shared" si="9"/>
        <v>0</v>
      </c>
      <c r="G23" s="197">
        <f t="shared" si="9"/>
        <v>8809457</v>
      </c>
      <c r="H23" s="197">
        <f t="shared" si="9"/>
        <v>4727</v>
      </c>
      <c r="I23" s="197">
        <f t="shared" si="9"/>
        <v>0</v>
      </c>
      <c r="J23" s="198">
        <f t="shared" si="9"/>
        <v>100239</v>
      </c>
      <c r="K23" s="197">
        <f t="shared" si="9"/>
        <v>0</v>
      </c>
      <c r="L23" s="197">
        <f t="shared" si="9"/>
        <v>371001</v>
      </c>
      <c r="M23" s="197">
        <f t="shared" si="9"/>
        <v>606557</v>
      </c>
      <c r="N23" s="197">
        <f t="shared" si="9"/>
        <v>7390689</v>
      </c>
      <c r="O23" s="198">
        <f t="shared" si="9"/>
        <v>3206</v>
      </c>
      <c r="P23" s="418">
        <f t="shared" si="8"/>
        <v>17342030</v>
      </c>
      <c r="R23" s="324"/>
      <c r="S23" s="324"/>
      <c r="T23" s="193"/>
    </row>
    <row r="24" spans="1:20" x14ac:dyDescent="0.2">
      <c r="A24" s="31"/>
      <c r="B24" s="164"/>
      <c r="C24" s="104"/>
      <c r="D24" s="476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4"/>
      <c r="R24" s="324"/>
      <c r="S24" s="324"/>
      <c r="T24" s="193"/>
    </row>
    <row r="25" spans="1:20" x14ac:dyDescent="0.2">
      <c r="A25" s="138" t="s">
        <v>95</v>
      </c>
      <c r="B25" s="164"/>
      <c r="C25" s="104"/>
      <c r="D25" s="476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4"/>
      <c r="R25" s="324"/>
      <c r="S25" s="324"/>
      <c r="T25" s="193"/>
    </row>
    <row r="26" spans="1:20" x14ac:dyDescent="0.2">
      <c r="A26" s="31" t="s">
        <v>59</v>
      </c>
      <c r="B26" s="164">
        <f>'[3]Atlas Air'!$GY$57</f>
        <v>0</v>
      </c>
      <c r="C26" s="104">
        <f>[3]DHL!$GY$57</f>
        <v>0</v>
      </c>
      <c r="D26" s="476"/>
      <c r="E26" s="104">
        <f>[3]DHL_Encore!$GY$57</f>
        <v>0</v>
      </c>
      <c r="F26" s="104">
        <f>[3]Encore!$GY$57</f>
        <v>0</v>
      </c>
      <c r="G26" s="104">
        <f>[3]FedEx!$GY$57</f>
        <v>0</v>
      </c>
      <c r="H26" s="104">
        <f>[3]IFL!$GY$57</f>
        <v>0</v>
      </c>
      <c r="I26" s="104">
        <f>[3]DHL_Kalitta!$GY$57</f>
        <v>0</v>
      </c>
      <c r="J26" s="83">
        <f>'[3]Mountain Cargo'!$GY$57</f>
        <v>0</v>
      </c>
      <c r="K26" s="104">
        <f>[3]DHL_Southair!$GY$57</f>
        <v>0</v>
      </c>
      <c r="L26" s="104">
        <f>[3]DHL_Swift!$GY$57</f>
        <v>0</v>
      </c>
      <c r="M26" s="104">
        <f>+'[3]Sun Country Cargo'!$GY$57</f>
        <v>0</v>
      </c>
      <c r="N26" s="104">
        <f>[3]UPS!$GY$57</f>
        <v>0</v>
      </c>
      <c r="O26" s="83">
        <f>'[3]Misc Cargo'!$GY$57</f>
        <v>0</v>
      </c>
      <c r="P26" s="414">
        <f t="shared" ref="P26:P28" si="10">SUM(B26:C26)+SUM(E26:O26)</f>
        <v>0</v>
      </c>
      <c r="R26" s="324"/>
      <c r="S26" s="324"/>
      <c r="T26" s="324"/>
    </row>
    <row r="27" spans="1:20" x14ac:dyDescent="0.2">
      <c r="A27" s="31" t="s">
        <v>60</v>
      </c>
      <c r="B27" s="164">
        <f>'[3]Atlas Air'!$GY$58</f>
        <v>0</v>
      </c>
      <c r="C27" s="104">
        <f>[3]DHL!$GY$58</f>
        <v>0</v>
      </c>
      <c r="D27" s="476"/>
      <c r="E27" s="104">
        <f>[3]DHL_Encore!$GY$58</f>
        <v>0</v>
      </c>
      <c r="F27" s="104">
        <f>[3]Encore!$GY$58</f>
        <v>0</v>
      </c>
      <c r="G27" s="104">
        <f>[3]FedEx!$GY$58</f>
        <v>0</v>
      </c>
      <c r="H27" s="104">
        <f>[3]IFL!$GY$58</f>
        <v>0</v>
      </c>
      <c r="I27" s="104">
        <f>[3]DHL_Kalitta!$GY$58</f>
        <v>0</v>
      </c>
      <c r="J27" s="83">
        <f>'[3]Mountain Cargo'!$GY$58</f>
        <v>0</v>
      </c>
      <c r="K27" s="104">
        <f>[3]DHL_Southair!$GY$58</f>
        <v>0</v>
      </c>
      <c r="L27" s="104">
        <f>[3]DHL_Swift!$GY$58</f>
        <v>0</v>
      </c>
      <c r="M27" s="104">
        <f>+'[3]Sun Country Cargo'!$GY$58</f>
        <v>0</v>
      </c>
      <c r="N27" s="104">
        <f>[3]UPS!$GY$58</f>
        <v>0</v>
      </c>
      <c r="O27" s="83">
        <f>'[3]Misc Cargo'!$GY$58</f>
        <v>0</v>
      </c>
      <c r="P27" s="414">
        <f t="shared" si="10"/>
        <v>0</v>
      </c>
      <c r="R27" s="324"/>
      <c r="S27" s="324"/>
      <c r="T27" s="193"/>
    </row>
    <row r="28" spans="1:20" ht="18" customHeight="1" x14ac:dyDescent="0.2">
      <c r="A28" s="137" t="s">
        <v>43</v>
      </c>
      <c r="B28" s="448">
        <f>SUM(B26:B27)</f>
        <v>0</v>
      </c>
      <c r="C28" s="197">
        <f>SUM(C26:C27)</f>
        <v>0</v>
      </c>
      <c r="D28" s="476"/>
      <c r="E28" s="197">
        <f t="shared" ref="E28:O28" si="11">SUM(E26:E27)</f>
        <v>0</v>
      </c>
      <c r="F28" s="197">
        <f t="shared" si="11"/>
        <v>0</v>
      </c>
      <c r="G28" s="197">
        <f t="shared" si="11"/>
        <v>0</v>
      </c>
      <c r="H28" s="197">
        <f t="shared" si="11"/>
        <v>0</v>
      </c>
      <c r="I28" s="197">
        <f t="shared" si="11"/>
        <v>0</v>
      </c>
      <c r="J28" s="198">
        <f t="shared" si="11"/>
        <v>0</v>
      </c>
      <c r="K28" s="197">
        <f t="shared" si="11"/>
        <v>0</v>
      </c>
      <c r="L28" s="197">
        <f t="shared" si="11"/>
        <v>0</v>
      </c>
      <c r="M28" s="197">
        <f t="shared" si="11"/>
        <v>0</v>
      </c>
      <c r="N28" s="197">
        <f t="shared" si="11"/>
        <v>0</v>
      </c>
      <c r="O28" s="198">
        <f t="shared" si="11"/>
        <v>0</v>
      </c>
      <c r="P28" s="418">
        <f t="shared" si="10"/>
        <v>0</v>
      </c>
      <c r="R28" s="324"/>
      <c r="S28" s="324"/>
      <c r="T28" s="324"/>
    </row>
    <row r="29" spans="1:20" x14ac:dyDescent="0.2">
      <c r="A29" s="31"/>
      <c r="B29" s="164"/>
      <c r="C29" s="104"/>
      <c r="D29" s="476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4"/>
      <c r="R29" s="324"/>
      <c r="S29" s="324"/>
      <c r="T29" s="324"/>
    </row>
    <row r="30" spans="1:20" x14ac:dyDescent="0.2">
      <c r="A30" s="139" t="s">
        <v>44</v>
      </c>
      <c r="B30" s="164"/>
      <c r="C30" s="104"/>
      <c r="D30" s="476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4"/>
      <c r="R30" s="324"/>
      <c r="S30" s="324"/>
      <c r="T30" s="324"/>
    </row>
    <row r="31" spans="1:20" x14ac:dyDescent="0.2">
      <c r="A31" s="31" t="s">
        <v>89</v>
      </c>
      <c r="B31" s="164">
        <f>B26+B21+B16</f>
        <v>108135</v>
      </c>
      <c r="C31" s="104">
        <f t="shared" ref="C31:N33" si="12">C26+C21+C16</f>
        <v>0</v>
      </c>
      <c r="D31" s="476"/>
      <c r="E31" s="104">
        <f t="shared" ref="E31:L31" si="13">E26+E21+E16</f>
        <v>121376</v>
      </c>
      <c r="F31" s="104">
        <f t="shared" ref="F31" si="14">F26+F21+F16</f>
        <v>0</v>
      </c>
      <c r="G31" s="104">
        <f t="shared" ref="G31:H33" si="15">G26+G21+G16</f>
        <v>17656230</v>
      </c>
      <c r="H31" s="104">
        <f t="shared" si="15"/>
        <v>61308</v>
      </c>
      <c r="I31" s="104">
        <f t="shared" si="13"/>
        <v>0</v>
      </c>
      <c r="J31" s="83">
        <f>J26+J21+J16</f>
        <v>0</v>
      </c>
      <c r="K31" s="104">
        <f t="shared" si="13"/>
        <v>0</v>
      </c>
      <c r="L31" s="104">
        <f t="shared" si="13"/>
        <v>924001</v>
      </c>
      <c r="M31" s="104">
        <f t="shared" ref="M31" si="16">M26+M21+M16</f>
        <v>2164376</v>
      </c>
      <c r="N31" s="104">
        <f t="shared" si="12"/>
        <v>13894791</v>
      </c>
      <c r="O31" s="83">
        <f>O26+O21+O16</f>
        <v>3206</v>
      </c>
      <c r="P31" s="414">
        <f t="shared" ref="P31:P32" si="17">SUM(B31:C31)+SUM(E31:O31)</f>
        <v>34933423</v>
      </c>
    </row>
    <row r="32" spans="1:20" x14ac:dyDescent="0.2">
      <c r="A32" s="31" t="s">
        <v>60</v>
      </c>
      <c r="B32" s="164">
        <f>B27+B22+B17</f>
        <v>0</v>
      </c>
      <c r="C32" s="104">
        <f t="shared" si="12"/>
        <v>0</v>
      </c>
      <c r="D32" s="477"/>
      <c r="E32" s="104">
        <f t="shared" ref="E32:L32" si="18">E27+E22+E17</f>
        <v>0</v>
      </c>
      <c r="F32" s="104">
        <f t="shared" ref="F32" si="19">F27+F22+F17</f>
        <v>0</v>
      </c>
      <c r="G32" s="104">
        <f t="shared" si="15"/>
        <v>0</v>
      </c>
      <c r="H32" s="104">
        <f t="shared" si="15"/>
        <v>0</v>
      </c>
      <c r="I32" s="104">
        <f t="shared" si="18"/>
        <v>0</v>
      </c>
      <c r="J32" s="83">
        <f>J27+J22+J17</f>
        <v>156124</v>
      </c>
      <c r="K32" s="104">
        <f t="shared" si="18"/>
        <v>0</v>
      </c>
      <c r="L32" s="104">
        <f t="shared" si="18"/>
        <v>0</v>
      </c>
      <c r="M32" s="104">
        <f t="shared" ref="M32" si="20">M27+M22+M17</f>
        <v>0</v>
      </c>
      <c r="N32" s="104">
        <f t="shared" si="12"/>
        <v>1815454</v>
      </c>
      <c r="O32" s="83">
        <f>O27+O22+O17</f>
        <v>0</v>
      </c>
      <c r="P32" s="415">
        <f t="shared" si="17"/>
        <v>1971578</v>
      </c>
    </row>
    <row r="33" spans="1:16" ht="18" customHeight="1" thickBot="1" x14ac:dyDescent="0.25">
      <c r="A33" s="131" t="s">
        <v>46</v>
      </c>
      <c r="B33" s="445">
        <f>B28+B23+B18</f>
        <v>108135</v>
      </c>
      <c r="C33" s="132">
        <f>C28+C23+C18</f>
        <v>0</v>
      </c>
      <c r="D33" s="199">
        <f>D28+D23+D18</f>
        <v>0</v>
      </c>
      <c r="E33" s="132">
        <f>E28+E23+E18</f>
        <v>121376</v>
      </c>
      <c r="F33" s="132">
        <f>F28+F23+F18</f>
        <v>0</v>
      </c>
      <c r="G33" s="132">
        <f t="shared" si="15"/>
        <v>17656230</v>
      </c>
      <c r="H33" s="132">
        <f t="shared" si="15"/>
        <v>61308</v>
      </c>
      <c r="I33" s="132">
        <f t="shared" ref="I33:L33" si="21">I28+I23+I18</f>
        <v>0</v>
      </c>
      <c r="J33" s="133">
        <f>J28+J23+J18</f>
        <v>156124</v>
      </c>
      <c r="K33" s="132">
        <f t="shared" si="21"/>
        <v>0</v>
      </c>
      <c r="L33" s="132">
        <f t="shared" si="21"/>
        <v>924001</v>
      </c>
      <c r="M33" s="132">
        <f t="shared" si="12"/>
        <v>2164376</v>
      </c>
      <c r="N33" s="132">
        <f t="shared" si="12"/>
        <v>15710245</v>
      </c>
      <c r="O33" s="133">
        <f t="shared" ref="O33" si="22">O28+O23+O18</f>
        <v>3206</v>
      </c>
      <c r="P33" s="416">
        <f>SUM(B33:C33)+SUM(E33:O33)</f>
        <v>36905001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D16:D32"/>
    <mergeCell ref="B1:O1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7
&amp;CMinneapolis-St. Paul International Airport
&amp;"Arial,Bold"Cargo
October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9"/>
  <sheetViews>
    <sheetView zoomScaleNormal="100" workbookViewId="0">
      <selection activeCell="I20" sqref="I2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8">
        <v>44105</v>
      </c>
      <c r="B2" s="50" t="s">
        <v>63</v>
      </c>
      <c r="C2" s="50" t="s">
        <v>64</v>
      </c>
      <c r="D2" s="50" t="s">
        <v>65</v>
      </c>
      <c r="E2" s="210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895472</v>
      </c>
      <c r="C5" s="83">
        <f>'Regional Major'!M25</f>
        <v>0</v>
      </c>
      <c r="D5" s="83">
        <f>Cargo!P16</f>
        <v>18745353</v>
      </c>
      <c r="E5" s="83">
        <f>SUM(B5:D5)</f>
        <v>19640825</v>
      </c>
      <c r="F5" s="83">
        <f>E5*0.00045359237</f>
        <v>8908.9283605052497</v>
      </c>
      <c r="G5" s="83">
        <f>'[1]Cargo Summary'!F5</f>
        <v>10416.405407625909</v>
      </c>
      <c r="H5" s="70">
        <f>(F5-G5)/G5</f>
        <v>-0.14472142626255954</v>
      </c>
      <c r="I5" s="83">
        <f>+F5+'[2]Cargo Summary'!I5</f>
        <v>84140.927867483406</v>
      </c>
      <c r="J5" s="83">
        <f>'[1]Cargo Summary'!I5</f>
        <v>92773.629360875537</v>
      </c>
      <c r="K5" s="58">
        <f>(I5-J5)/J5</f>
        <v>-9.3051242609170914E-2</v>
      </c>
      <c r="M5" s="19"/>
    </row>
    <row r="6" spans="1:18" x14ac:dyDescent="0.2">
      <c r="A6" s="38" t="s">
        <v>16</v>
      </c>
      <c r="B6" s="108">
        <f>'Major Airline Stats'!K29</f>
        <v>1328186</v>
      </c>
      <c r="C6" s="83">
        <f>'Regional Major'!M26</f>
        <v>29</v>
      </c>
      <c r="D6" s="83">
        <f>Cargo!P17</f>
        <v>817618</v>
      </c>
      <c r="E6" s="83">
        <f>SUM(B6:D6)</f>
        <v>2145833</v>
      </c>
      <c r="F6" s="83">
        <f>E6*0.00045359237</f>
        <v>973.33347609421003</v>
      </c>
      <c r="G6" s="83">
        <f>'[1]Cargo Summary'!F6</f>
        <v>1003.0455906986899</v>
      </c>
      <c r="H6" s="3">
        <f>(F6-G6)/G6</f>
        <v>-2.9621898426155657E-2</v>
      </c>
      <c r="I6" s="83">
        <f>+F6+'[2]Cargo Summary'!I6</f>
        <v>5780.2246396771798</v>
      </c>
      <c r="J6" s="83">
        <f>'[1]Cargo Summary'!I6</f>
        <v>8655.2568275827507</v>
      </c>
      <c r="K6" s="58">
        <f>(I6-J6)/J6</f>
        <v>-0.33217179399499264</v>
      </c>
      <c r="M6" s="19"/>
    </row>
    <row r="7" spans="1:18" ht="18" customHeight="1" thickBot="1" x14ac:dyDescent="0.25">
      <c r="A7" s="47" t="s">
        <v>72</v>
      </c>
      <c r="B7" s="110">
        <f>SUM(B5:B6)</f>
        <v>2223658</v>
      </c>
      <c r="C7" s="91">
        <f t="shared" ref="C7:J7" si="0">SUM(C5:C6)</f>
        <v>29</v>
      </c>
      <c r="D7" s="91">
        <f t="shared" si="0"/>
        <v>19562971</v>
      </c>
      <c r="E7" s="91">
        <f t="shared" si="0"/>
        <v>21786658</v>
      </c>
      <c r="F7" s="91">
        <f t="shared" si="0"/>
        <v>9882.2618365994604</v>
      </c>
      <c r="G7" s="91">
        <f t="shared" si="0"/>
        <v>11419.450998324599</v>
      </c>
      <c r="H7" s="22">
        <f>(F7-G7)/G7</f>
        <v>-0.13461147667700196</v>
      </c>
      <c r="I7" s="91">
        <f t="shared" si="0"/>
        <v>89921.152507160587</v>
      </c>
      <c r="J7" s="91">
        <f t="shared" si="0"/>
        <v>101428.88618845829</v>
      </c>
      <c r="K7" s="212">
        <f>(I7-J7)/J7</f>
        <v>-0.11345617716747815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342225</v>
      </c>
      <c r="C10" s="83">
        <f>'Regional Major'!M30</f>
        <v>1040</v>
      </c>
      <c r="D10" s="83">
        <f>Cargo!P21</f>
        <v>16188070</v>
      </c>
      <c r="E10" s="83">
        <f>SUM(B10:D10)</f>
        <v>16531335</v>
      </c>
      <c r="F10" s="83">
        <f>E10*0.00045359237</f>
        <v>7498.4874219139501</v>
      </c>
      <c r="G10" s="83">
        <f>'[1]Cargo Summary'!F10</f>
        <v>8434.1831639226693</v>
      </c>
      <c r="H10" s="3">
        <f>(F10-G10)/G10</f>
        <v>-0.11094088470963853</v>
      </c>
      <c r="I10" s="83">
        <f>+F10+'[2]Cargo Summary'!I10</f>
        <v>67951.435096122281</v>
      </c>
      <c r="J10" s="83">
        <f>'[1]Cargo Summary'!I10</f>
        <v>75727.588633739346</v>
      </c>
      <c r="K10" s="58">
        <f>(I10-J10)/J10</f>
        <v>-0.10268587284915225</v>
      </c>
      <c r="M10" s="19"/>
    </row>
    <row r="11" spans="1:18" x14ac:dyDescent="0.2">
      <c r="A11" s="38" t="s">
        <v>16</v>
      </c>
      <c r="B11" s="108">
        <f>'Major Airline Stats'!K34</f>
        <v>1405155</v>
      </c>
      <c r="C11" s="83">
        <f>'Regional Major'!M31</f>
        <v>0</v>
      </c>
      <c r="D11" s="83">
        <f>Cargo!P22</f>
        <v>1153960</v>
      </c>
      <c r="E11" s="83">
        <f>SUM(B11:D11)</f>
        <v>2559115</v>
      </c>
      <c r="F11" s="83">
        <f>E11*0.00045359237</f>
        <v>1160.79503795255</v>
      </c>
      <c r="G11" s="83">
        <f>'[1]Cargo Summary'!F11</f>
        <v>1373.11164731741</v>
      </c>
      <c r="H11" s="19">
        <f>(F11-G11)/G11</f>
        <v>-0.15462443260142311</v>
      </c>
      <c r="I11" s="83">
        <f>+F11+'[2]Cargo Summary'!I11</f>
        <v>8895.929310365791</v>
      </c>
      <c r="J11" s="83">
        <f>'[1]Cargo Summary'!I11</f>
        <v>12116.079974540078</v>
      </c>
      <c r="K11" s="58">
        <f>(I11-J11)/J11</f>
        <v>-0.26577495947046381</v>
      </c>
      <c r="M11" s="19"/>
    </row>
    <row r="12" spans="1:18" ht="18" customHeight="1" thickBot="1" x14ac:dyDescent="0.25">
      <c r="A12" s="47" t="s">
        <v>73</v>
      </c>
      <c r="B12" s="110">
        <f>SUM(B10:B11)</f>
        <v>1747380</v>
      </c>
      <c r="C12" s="91">
        <f t="shared" ref="C12:J12" si="1">SUM(C10:C11)</f>
        <v>1040</v>
      </c>
      <c r="D12" s="91">
        <f t="shared" si="1"/>
        <v>17342030</v>
      </c>
      <c r="E12" s="91">
        <f t="shared" si="1"/>
        <v>19090450</v>
      </c>
      <c r="F12" s="91">
        <f t="shared" si="1"/>
        <v>8659.2824598664993</v>
      </c>
      <c r="G12" s="91">
        <f t="shared" si="1"/>
        <v>9807.2948112400791</v>
      </c>
      <c r="H12" s="22">
        <f>(F12-G12)/G12</f>
        <v>-0.11705698395625368</v>
      </c>
      <c r="I12" s="91">
        <f t="shared" si="1"/>
        <v>76847.364406488079</v>
      </c>
      <c r="J12" s="91">
        <f t="shared" si="1"/>
        <v>87843.668608279419</v>
      </c>
      <c r="K12" s="212">
        <f>(I12-J12)/J12</f>
        <v>-0.12518038438065551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2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>B15+B10+B5</f>
        <v>1237697</v>
      </c>
      <c r="C20" s="83">
        <f t="shared" ref="B20:D21" si="3">C15+C10+C5</f>
        <v>1040</v>
      </c>
      <c r="D20" s="83">
        <f t="shared" si="3"/>
        <v>34933423</v>
      </c>
      <c r="E20" s="83">
        <f>SUM(B20:D20)</f>
        <v>36172160</v>
      </c>
      <c r="F20" s="83">
        <f>E20*0.00045359237</f>
        <v>16407.415782419201</v>
      </c>
      <c r="G20" s="83">
        <f>'[1]Cargo Summary'!F20</f>
        <v>18850.588571548578</v>
      </c>
      <c r="H20" s="3">
        <f>(F20-G20)/G20</f>
        <v>-0.12960724169731697</v>
      </c>
      <c r="I20" s="83">
        <f>+I5+I10+I15</f>
        <v>152092.36296360567</v>
      </c>
      <c r="J20" s="83">
        <f>+J5+J10+J15</f>
        <v>168501.21799461488</v>
      </c>
      <c r="K20" s="58">
        <f>(I20-J20)/J20</f>
        <v>-9.7381225051640985E-2</v>
      </c>
      <c r="M20" s="19"/>
    </row>
    <row r="21" spans="1:13" x14ac:dyDescent="0.2">
      <c r="A21" s="38" t="s">
        <v>16</v>
      </c>
      <c r="B21" s="108">
        <f t="shared" si="3"/>
        <v>2733341</v>
      </c>
      <c r="C21" s="84">
        <f t="shared" si="3"/>
        <v>29</v>
      </c>
      <c r="D21" s="84">
        <f t="shared" si="3"/>
        <v>1971578</v>
      </c>
      <c r="E21" s="83">
        <f>SUM(B21:D21)</f>
        <v>4704948</v>
      </c>
      <c r="F21" s="83">
        <f>E21*0.00045359237</f>
        <v>2134.1285140467598</v>
      </c>
      <c r="G21" s="83">
        <f>'[1]Cargo Summary'!F21</f>
        <v>2376.1572380161001</v>
      </c>
      <c r="H21" s="3">
        <f>(F21-G21)/G21</f>
        <v>-0.10185720039782163</v>
      </c>
      <c r="I21" s="83">
        <f>+I6+I11+I16</f>
        <v>14676.153950042972</v>
      </c>
      <c r="J21" s="83">
        <f>+J6+J11+J16</f>
        <v>20771.336802122831</v>
      </c>
      <c r="K21" s="58">
        <f>(I21-J21)/J21</f>
        <v>-0.29344201146730869</v>
      </c>
      <c r="M21" s="19"/>
    </row>
    <row r="22" spans="1:13" ht="18" customHeight="1" thickBot="1" x14ac:dyDescent="0.25">
      <c r="A22" s="60" t="s">
        <v>62</v>
      </c>
      <c r="B22" s="111">
        <f>SUM(B20:B21)</f>
        <v>3971038</v>
      </c>
      <c r="C22" s="112">
        <f t="shared" ref="C22:J22" si="4">SUM(C20:C21)</f>
        <v>1069</v>
      </c>
      <c r="D22" s="112">
        <f t="shared" si="4"/>
        <v>36905001</v>
      </c>
      <c r="E22" s="112">
        <f t="shared" si="4"/>
        <v>40877108</v>
      </c>
      <c r="F22" s="112">
        <f t="shared" si="4"/>
        <v>18541.54429646596</v>
      </c>
      <c r="G22" s="112">
        <f t="shared" si="4"/>
        <v>21226.74580956468</v>
      </c>
      <c r="H22" s="218">
        <f>(F22-G22)/G22</f>
        <v>-0.12650085591022531</v>
      </c>
      <c r="I22" s="112">
        <f t="shared" si="4"/>
        <v>166768.51691364864</v>
      </c>
      <c r="J22" s="112">
        <f t="shared" si="4"/>
        <v>189272.55479673771</v>
      </c>
      <c r="K22" s="219">
        <f>(I22-J22)/J22</f>
        <v>-0.11889752271403771</v>
      </c>
      <c r="M22" s="19"/>
    </row>
    <row r="23" spans="1:13" x14ac:dyDescent="0.2">
      <c r="G23" s="2"/>
    </row>
    <row r="26" spans="1:13" x14ac:dyDescent="0.2">
      <c r="A26" s="20"/>
    </row>
    <row r="29" spans="1:13" x14ac:dyDescent="0.2">
      <c r="B29" s="28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October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zoomScaleNormal="100" workbookViewId="0">
      <selection activeCell="F34" sqref="F3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40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4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3"/>
      <c r="K1"/>
    </row>
    <row r="2" spans="1:18" s="9" customFormat="1" ht="26.25" thickBot="1" x14ac:dyDescent="0.25">
      <c r="A2" s="487" t="s">
        <v>187</v>
      </c>
      <c r="B2" s="488"/>
      <c r="C2" s="315" t="s">
        <v>217</v>
      </c>
      <c r="D2" s="317" t="s">
        <v>205</v>
      </c>
      <c r="E2" s="318" t="s">
        <v>96</v>
      </c>
      <c r="F2" s="319" t="s">
        <v>218</v>
      </c>
      <c r="G2" s="317" t="s">
        <v>206</v>
      </c>
      <c r="H2" s="316" t="s">
        <v>97</v>
      </c>
      <c r="I2" s="318" t="s">
        <v>138</v>
      </c>
      <c r="J2" s="487" t="s">
        <v>183</v>
      </c>
      <c r="K2" s="488"/>
      <c r="L2" s="315" t="s">
        <v>219</v>
      </c>
      <c r="M2" s="317" t="s">
        <v>207</v>
      </c>
      <c r="N2" s="320" t="s">
        <v>97</v>
      </c>
      <c r="O2" s="321" t="s">
        <v>220</v>
      </c>
      <c r="P2" s="321" t="s">
        <v>208</v>
      </c>
      <c r="Q2" s="347" t="s">
        <v>97</v>
      </c>
      <c r="R2" s="318" t="s">
        <v>138</v>
      </c>
    </row>
    <row r="3" spans="1:18" s="9" customFormat="1" ht="13.5" customHeight="1" thickBot="1" x14ac:dyDescent="0.25">
      <c r="A3" s="489">
        <v>44105</v>
      </c>
      <c r="B3" s="490"/>
      <c r="C3" s="491" t="s">
        <v>9</v>
      </c>
      <c r="D3" s="492"/>
      <c r="E3" s="492"/>
      <c r="F3" s="492"/>
      <c r="G3" s="492"/>
      <c r="H3" s="493"/>
      <c r="I3" s="322"/>
      <c r="J3" s="489">
        <f>+A3</f>
        <v>44105</v>
      </c>
      <c r="K3" s="490"/>
      <c r="L3" s="481" t="s">
        <v>184</v>
      </c>
      <c r="M3" s="482"/>
      <c r="N3" s="482"/>
      <c r="O3" s="482"/>
      <c r="P3" s="482"/>
      <c r="Q3" s="482"/>
      <c r="R3" s="483"/>
    </row>
    <row r="4" spans="1:18" x14ac:dyDescent="0.2">
      <c r="A4" s="232"/>
      <c r="B4" s="233"/>
      <c r="C4" s="234"/>
      <c r="D4" s="235"/>
      <c r="E4" s="236"/>
      <c r="F4" s="323"/>
      <c r="G4" s="235"/>
      <c r="H4" s="336"/>
      <c r="I4" s="236"/>
      <c r="J4" s="237"/>
      <c r="K4" s="233"/>
      <c r="L4" s="243"/>
      <c r="N4" s="58"/>
      <c r="O4" s="31"/>
      <c r="R4" s="33"/>
    </row>
    <row r="5" spans="1:18" x14ac:dyDescent="0.2">
      <c r="A5" s="239" t="s">
        <v>238</v>
      </c>
      <c r="B5" s="33"/>
      <c r="C5" s="451">
        <f>SUM(C6:C7)</f>
        <v>122</v>
      </c>
      <c r="D5" s="451">
        <f>SUM(D6:D7)</f>
        <v>62</v>
      </c>
      <c r="E5" s="452">
        <f>(C5-D5)/D5</f>
        <v>0.967741935483871</v>
      </c>
      <c r="F5" s="451">
        <f>SUM(F6:F7)</f>
        <v>946</v>
      </c>
      <c r="G5" s="451">
        <f>SUM(G6:G7)</f>
        <v>610</v>
      </c>
      <c r="H5" s="453">
        <f>(F5-G5)/G5</f>
        <v>0.55081967213114758</v>
      </c>
      <c r="I5" s="452">
        <f>+F5/$F$33</f>
        <v>7.7674685934805809E-2</v>
      </c>
      <c r="J5" s="239" t="s">
        <v>238</v>
      </c>
      <c r="K5" s="33"/>
      <c r="L5" s="451">
        <f>SUM(L6:L7)</f>
        <v>2272511</v>
      </c>
      <c r="M5" s="451">
        <f>SUM(M6:M7)</f>
        <v>2146224</v>
      </c>
      <c r="N5" s="452">
        <f>(L5-M5)/M5</f>
        <v>5.8841481597447426E-2</v>
      </c>
      <c r="O5" s="451">
        <f>SUM(O6:O7)</f>
        <v>23804455</v>
      </c>
      <c r="P5" s="451">
        <f>SUM(P6:P7)</f>
        <v>23542577</v>
      </c>
      <c r="Q5" s="453">
        <f>(O5-P5)/P5</f>
        <v>1.1123591100498471E-2</v>
      </c>
      <c r="R5" s="452">
        <f>O5/$O$33</f>
        <v>7.371834022867213E-2</v>
      </c>
    </row>
    <row r="6" spans="1:18" x14ac:dyDescent="0.2">
      <c r="A6" s="31"/>
      <c r="B6" s="296" t="s">
        <v>233</v>
      </c>
      <c r="C6" s="300">
        <f>+'[3]Atlas Air'!$GY$19</f>
        <v>6</v>
      </c>
      <c r="D6" s="457">
        <f>+'[3]Atlas Air'!$GK$19</f>
        <v>62</v>
      </c>
      <c r="E6" s="302">
        <f>(C6-D6)/D6</f>
        <v>-0.90322580645161288</v>
      </c>
      <c r="F6" s="300">
        <f>+SUM('[3]Atlas Air'!$GP$19:$GY$19)</f>
        <v>286</v>
      </c>
      <c r="G6" s="193">
        <f>+SUM('[3]Atlas Air'!$GB$19:$GK$19)</f>
        <v>610</v>
      </c>
      <c r="H6" s="301">
        <f>(F6-G6)/G6</f>
        <v>-0.5311475409836065</v>
      </c>
      <c r="I6" s="302">
        <f>+F6/$F$33</f>
        <v>2.3483044584941291E-2</v>
      </c>
      <c r="J6" s="31"/>
      <c r="K6" s="296" t="s">
        <v>233</v>
      </c>
      <c r="L6" s="300">
        <f>+'[3]Atlas Air'!$GY$64</f>
        <v>108135</v>
      </c>
      <c r="M6" s="457">
        <f>+'[3]Atlas Air'!$GK$64</f>
        <v>2146224</v>
      </c>
      <c r="N6" s="302">
        <f>(L6-M6)/M6</f>
        <v>-0.94961616308456154</v>
      </c>
      <c r="O6" s="450">
        <f>+SUM('[3]Atlas Air'!$GP$64:$GY$64)</f>
        <v>12516748</v>
      </c>
      <c r="P6" s="193">
        <f>+SUM('[3]Atlas Air'!$GB$64:$GK$64)</f>
        <v>23542577</v>
      </c>
      <c r="Q6" s="301">
        <f>(O6-P6)/P6</f>
        <v>-0.46833568814492993</v>
      </c>
      <c r="R6" s="302">
        <f>O6/$O$33</f>
        <v>3.8762235372351579E-2</v>
      </c>
    </row>
    <row r="7" spans="1:18" x14ac:dyDescent="0.2">
      <c r="A7" s="31"/>
      <c r="B7" s="296" t="s">
        <v>49</v>
      </c>
      <c r="C7" s="300">
        <f>+'[3]Sun Country Cargo'!$GY$19</f>
        <v>116</v>
      </c>
      <c r="D7" s="193">
        <f>+'[3]Sun Country Cargo'!$GK$19</f>
        <v>0</v>
      </c>
      <c r="E7" s="302" t="e">
        <f>(C7-D7)/D7</f>
        <v>#DIV/0!</v>
      </c>
      <c r="F7" s="300">
        <f>+SUM('[3]Sun Country Cargo'!$GP$19:$GY$19)</f>
        <v>660</v>
      </c>
      <c r="G7" s="193">
        <f>+SUM('[3]Sun Country Cargo'!$GB$19:$GK$19)</f>
        <v>0</v>
      </c>
      <c r="H7" s="301" t="e">
        <f>(F7-G7)/G7</f>
        <v>#DIV/0!</v>
      </c>
      <c r="I7" s="302">
        <f>+F7/$F$33</f>
        <v>5.4191641349864518E-2</v>
      </c>
      <c r="J7" s="31"/>
      <c r="K7" s="296" t="s">
        <v>49</v>
      </c>
      <c r="L7" s="300">
        <f>+'[3]Sun Country Cargo'!$GY$64</f>
        <v>2164376</v>
      </c>
      <c r="M7" s="193">
        <f>+'[3]Sun Country Cargo'!$GK$64</f>
        <v>0</v>
      </c>
      <c r="N7" s="302" t="e">
        <f>(L7-M7)/M7</f>
        <v>#DIV/0!</v>
      </c>
      <c r="O7" s="450">
        <f>+SUM('[3]Sun Country Cargo'!$GP$64:$GY$64)</f>
        <v>11287707</v>
      </c>
      <c r="P7" s="193">
        <f>+SUM('[3]Sun Country Cargo'!$GB$64:$GK$64)</f>
        <v>0</v>
      </c>
      <c r="Q7" s="301" t="e">
        <f>(O7-P7)/P7</f>
        <v>#DIV/0!</v>
      </c>
      <c r="R7" s="302">
        <f>O7/$O$33</f>
        <v>3.4956104856320551E-2</v>
      </c>
    </row>
    <row r="8" spans="1:18" x14ac:dyDescent="0.2">
      <c r="A8" s="31"/>
      <c r="B8" s="33"/>
      <c r="C8" s="366"/>
      <c r="D8" s="366"/>
      <c r="E8" s="368"/>
      <c r="F8" s="449"/>
      <c r="G8" s="366"/>
      <c r="H8" s="368"/>
      <c r="I8" s="58"/>
      <c r="J8" s="369"/>
      <c r="K8" s="33"/>
      <c r="L8" s="366"/>
      <c r="N8" s="58"/>
      <c r="O8" s="370"/>
      <c r="R8" s="33"/>
    </row>
    <row r="9" spans="1:18" ht="14.1" customHeight="1" x14ac:dyDescent="0.2">
      <c r="A9" s="239" t="s">
        <v>232</v>
      </c>
      <c r="B9" s="33"/>
      <c r="C9" s="455">
        <f>SUM(C10:C16)</f>
        <v>122</v>
      </c>
      <c r="D9" s="455">
        <f>SUM(D10:D16)</f>
        <v>134</v>
      </c>
      <c r="E9" s="452">
        <f>(C9-D9)/D9</f>
        <v>-8.9552238805970144E-2</v>
      </c>
      <c r="F9" s="455">
        <f>SUM(F10:F16)</f>
        <v>1283</v>
      </c>
      <c r="G9" s="455">
        <f>SUM(G10:G16)</f>
        <v>1280</v>
      </c>
      <c r="H9" s="456">
        <f>(F9-G9)/G9</f>
        <v>2.3437499999999999E-3</v>
      </c>
      <c r="I9" s="452">
        <f>+F9/$F$33</f>
        <v>0.10534526644223664</v>
      </c>
      <c r="J9" s="239" t="s">
        <v>232</v>
      </c>
      <c r="K9" s="33"/>
      <c r="L9" s="455">
        <f>SUM(L10:L16)</f>
        <v>1045377</v>
      </c>
      <c r="M9" s="455">
        <f>SUM(M10:M16)</f>
        <v>1199070</v>
      </c>
      <c r="N9" s="452">
        <f t="shared" ref="N9:N16" si="0">(L9-M9)/M9</f>
        <v>-0.12817683704871274</v>
      </c>
      <c r="O9" s="451">
        <f>SUM(O10:O16)</f>
        <v>13332952</v>
      </c>
      <c r="P9" s="451">
        <f>SUM(P10:P16)</f>
        <v>13803480</v>
      </c>
      <c r="Q9" s="453">
        <f t="shared" ref="Q9:Q16" si="1">(O9-P9)/P9</f>
        <v>-3.4087635871533843E-2</v>
      </c>
      <c r="R9" s="452">
        <f t="shared" ref="R9:R16" si="2">O9/$O$33</f>
        <v>4.1289880057684768E-2</v>
      </c>
    </row>
    <row r="10" spans="1:18" ht="14.1" customHeight="1" x14ac:dyDescent="0.2">
      <c r="A10" s="239"/>
      <c r="B10" s="296" t="s">
        <v>240</v>
      </c>
      <c r="C10" s="300">
        <f>+[3]Airborne!$GY$19</f>
        <v>0</v>
      </c>
      <c r="D10" s="193">
        <f>+[3]Airborne!$GK$19</f>
        <v>0</v>
      </c>
      <c r="E10" s="302" t="e">
        <f>(C10-D10)/D10</f>
        <v>#DIV/0!</v>
      </c>
      <c r="F10" s="300">
        <f>+SUM([3]Airborne!$GP$19:$GY$19)</f>
        <v>0</v>
      </c>
      <c r="G10" s="193">
        <f>+SUM([3]Airborne!$GB$19:$GK$19)</f>
        <v>3</v>
      </c>
      <c r="H10" s="301">
        <f>(F10-G10)/G10</f>
        <v>-1</v>
      </c>
      <c r="I10" s="302">
        <f t="shared" ref="I10" si="3">+F10/$F$33</f>
        <v>0</v>
      </c>
      <c r="J10" s="239"/>
      <c r="K10" s="296" t="s">
        <v>240</v>
      </c>
      <c r="L10" s="300">
        <f>+[3]Airborne!$GY$64</f>
        <v>0</v>
      </c>
      <c r="M10" s="193">
        <f>+[3]Airborne!$GK$64</f>
        <v>0</v>
      </c>
      <c r="N10" s="302" t="e">
        <f t="shared" si="0"/>
        <v>#DIV/0!</v>
      </c>
      <c r="O10" s="300">
        <f>+SUM([3]Airborne!$GP$64:$GY$64)</f>
        <v>0</v>
      </c>
      <c r="P10" s="193">
        <f>+SUM([3]Airborne!$GB$64:$GK$64)</f>
        <v>43352</v>
      </c>
      <c r="Q10" s="301">
        <f t="shared" si="1"/>
        <v>-1</v>
      </c>
      <c r="R10" s="302">
        <f t="shared" si="2"/>
        <v>0</v>
      </c>
    </row>
    <row r="11" spans="1:18" ht="14.1" customHeight="1" x14ac:dyDescent="0.2">
      <c r="A11" s="239"/>
      <c r="B11" s="33" t="s">
        <v>233</v>
      </c>
      <c r="C11" s="300">
        <f>+[3]DHL_Atlas!$GY$19</f>
        <v>0</v>
      </c>
      <c r="D11" s="457">
        <f>+[3]DHL_Atlas!$GK$19</f>
        <v>0</v>
      </c>
      <c r="E11" s="302" t="e">
        <f t="shared" ref="E11" si="4">(C11-D11)/D11</f>
        <v>#DIV/0!</v>
      </c>
      <c r="F11" s="300">
        <f>+SUM([3]DHL_Atlas!$GP$19:$GY$19)</f>
        <v>6</v>
      </c>
      <c r="G11" s="193">
        <f>+SUM([3]DHL_Atlas!$GB$19:$GK$19)</f>
        <v>12</v>
      </c>
      <c r="H11" s="301">
        <f t="shared" ref="H11" si="5">(F11-G11)/G11</f>
        <v>-0.5</v>
      </c>
      <c r="I11" s="302">
        <f>+F11/$F$33</f>
        <v>4.9265128499876838E-4</v>
      </c>
      <c r="J11" s="239"/>
      <c r="K11" s="33" t="s">
        <v>233</v>
      </c>
      <c r="L11" s="300">
        <f>+[3]DHL_Atlas!$GY$64</f>
        <v>0</v>
      </c>
      <c r="M11" s="193">
        <f>+[3]DHL_Atlas!$GK$64</f>
        <v>0</v>
      </c>
      <c r="N11" s="302" t="e">
        <f t="shared" si="0"/>
        <v>#DIV/0!</v>
      </c>
      <c r="O11" s="300">
        <f>+SUM([3]DHL_Atlas!$GP$64:$GY$64)</f>
        <v>186366</v>
      </c>
      <c r="P11" s="193">
        <f>+SUM([3]DHL_Atlas!$GB$64:$GK$64)</f>
        <v>237035</v>
      </c>
      <c r="Q11" s="301">
        <f t="shared" si="1"/>
        <v>-0.21376168076444407</v>
      </c>
      <c r="R11" s="302">
        <f t="shared" si="2"/>
        <v>5.771437403232592E-4</v>
      </c>
    </row>
    <row r="12" spans="1:18" ht="14.1" customHeight="1" x14ac:dyDescent="0.2">
      <c r="A12" s="239"/>
      <c r="B12" s="33" t="s">
        <v>237</v>
      </c>
      <c r="C12" s="300">
        <f>+[3]DHL!$GY$19</f>
        <v>0</v>
      </c>
      <c r="D12" s="193">
        <f>+[3]DHL!$GK$19</f>
        <v>0</v>
      </c>
      <c r="E12" s="302" t="e">
        <f t="shared" ref="E12:E13" si="6">(C12-D12)/D12</f>
        <v>#DIV/0!</v>
      </c>
      <c r="F12" s="300">
        <f>+SUM([3]DHL!$GP$19:$GY$19)</f>
        <v>163</v>
      </c>
      <c r="G12" s="193">
        <f>+SUM([3]DHL!$GB$19:$GK$19)</f>
        <v>0</v>
      </c>
      <c r="H12" s="301" t="e">
        <f t="shared" ref="H12:H13" si="7">(F12-G12)/G12</f>
        <v>#DIV/0!</v>
      </c>
      <c r="I12" s="302">
        <f>+F12/$F$33</f>
        <v>1.338369324246654E-2</v>
      </c>
      <c r="J12" s="239"/>
      <c r="K12" s="33" t="s">
        <v>237</v>
      </c>
      <c r="L12" s="300">
        <f>+[3]DHL!$GY$64</f>
        <v>0</v>
      </c>
      <c r="M12" s="193">
        <f>+[3]DHL!$GK$64</f>
        <v>0</v>
      </c>
      <c r="N12" s="302" t="e">
        <f t="shared" si="0"/>
        <v>#DIV/0!</v>
      </c>
      <c r="O12" s="300">
        <f>+SUM([3]DHL!$GP$64:$GY$64)</f>
        <v>5299897</v>
      </c>
      <c r="P12" s="193">
        <f>+SUM([3]DHL!$GB$64:$GK$64)</f>
        <v>0</v>
      </c>
      <c r="Q12" s="301" t="e">
        <f t="shared" si="1"/>
        <v>#DIV/0!</v>
      </c>
      <c r="R12" s="302">
        <f t="shared" si="2"/>
        <v>1.6412877766910382E-2</v>
      </c>
    </row>
    <row r="13" spans="1:18" ht="14.1" customHeight="1" x14ac:dyDescent="0.2">
      <c r="A13" s="239"/>
      <c r="B13" s="33" t="s">
        <v>210</v>
      </c>
      <c r="C13" s="300">
        <f>+[3]Encore!$GY$19+[3]DHL_Encore!$GY$12</f>
        <v>84</v>
      </c>
      <c r="D13" s="457">
        <f>+[3]Encore!$GK$19+[3]DHL_Encore!$GK$19</f>
        <v>88</v>
      </c>
      <c r="E13" s="302">
        <f t="shared" si="6"/>
        <v>-4.5454545454545456E-2</v>
      </c>
      <c r="F13" s="300">
        <f>+SUM([3]Encore!$GP$19:$GY$19)+SUM([3]DHL_Encore!$GP$19:$GY$19)</f>
        <v>858</v>
      </c>
      <c r="G13" s="193">
        <f>+SUM([3]Encore!$GB$19:$GK$19)+SUM([3]DHL_Encore!$GB$19:$GK$19)</f>
        <v>851</v>
      </c>
      <c r="H13" s="301">
        <f t="shared" si="7"/>
        <v>8.2256169212690956E-3</v>
      </c>
      <c r="I13" s="302">
        <f t="shared" ref="I13:I16" si="8">+F13/$F$33</f>
        <v>7.0449133754823881E-2</v>
      </c>
      <c r="J13" s="239"/>
      <c r="K13" s="33" t="s">
        <v>210</v>
      </c>
      <c r="L13" s="300">
        <f>+[3]Encore!$GY$64+[3]DHL_Encore!$GY$64</f>
        <v>121376</v>
      </c>
      <c r="M13" s="457">
        <f>+[3]Encore!$GK$64+[3]DHL_Encore!$GK$64</f>
        <v>63006</v>
      </c>
      <c r="N13" s="302">
        <f t="shared" si="0"/>
        <v>0.92641970605974033</v>
      </c>
      <c r="O13" s="300">
        <f>+SUM([3]Encore!$GP$64:$GY$64)+SUM([3]DHL_Encore!$GP$64:$GY$64)</f>
        <v>1198055</v>
      </c>
      <c r="P13" s="193">
        <f>+SUM([3]Encore!$GB$64:$GK$64)+SUM([3]DHL_Encore!$GB$64:$GK$64)</f>
        <v>974724</v>
      </c>
      <c r="Q13" s="301">
        <f t="shared" si="1"/>
        <v>0.22912229513175011</v>
      </c>
      <c r="R13" s="302">
        <f t="shared" si="2"/>
        <v>3.7101721548618433E-3</v>
      </c>
    </row>
    <row r="14" spans="1:18" ht="14.1" customHeight="1" x14ac:dyDescent="0.2">
      <c r="A14" s="239"/>
      <c r="B14" s="33" t="s">
        <v>234</v>
      </c>
      <c r="C14" s="300">
        <f>+[3]DHL_Kalitta!$GY$19</f>
        <v>0</v>
      </c>
      <c r="D14" s="457">
        <f>+[3]DHL_Kalitta!$GK$19</f>
        <v>46</v>
      </c>
      <c r="E14" s="302">
        <f t="shared" ref="E14:E16" si="9">(C14-D14)/D14</f>
        <v>-1</v>
      </c>
      <c r="F14" s="300">
        <f>+SUM([3]DHL_Kalitta!$GP$19:$GY$19)</f>
        <v>10</v>
      </c>
      <c r="G14" s="193">
        <f>+SUM([3]DHL_Kalitta!$GB$19:$GK$19)</f>
        <v>414</v>
      </c>
      <c r="H14" s="301">
        <f t="shared" ref="H14:H16" si="10">(F14-G14)/G14</f>
        <v>-0.97584541062801933</v>
      </c>
      <c r="I14" s="302">
        <f>+F14/$F$33</f>
        <v>8.2108547499794727E-4</v>
      </c>
      <c r="J14" s="239"/>
      <c r="K14" s="33" t="s">
        <v>234</v>
      </c>
      <c r="L14" s="300">
        <f>+[3]DHL_Kalitta!$GY$64</f>
        <v>0</v>
      </c>
      <c r="M14" s="193">
        <f>+[3]DHL_Kalitta!$GK$64</f>
        <v>1136064</v>
      </c>
      <c r="N14" s="302">
        <f t="shared" si="0"/>
        <v>-1</v>
      </c>
      <c r="O14" s="300">
        <f>+SUM([3]DHL_Kalitta!$GP$64:$GY$64)</f>
        <v>227346</v>
      </c>
      <c r="P14" s="193">
        <f>+SUM([3]DHL_Kalitta!$GB$64:$GK$64)</f>
        <v>12548369</v>
      </c>
      <c r="Q14" s="301">
        <f t="shared" si="1"/>
        <v>-0.98188242631373046</v>
      </c>
      <c r="R14" s="302">
        <f t="shared" si="2"/>
        <v>7.0405181625152495E-4</v>
      </c>
    </row>
    <row r="15" spans="1:18" ht="14.1" customHeight="1" x14ac:dyDescent="0.2">
      <c r="A15" s="239"/>
      <c r="B15" s="33" t="s">
        <v>235</v>
      </c>
      <c r="C15" s="300">
        <f>+[3]DHL_Southair!$GY$19</f>
        <v>0</v>
      </c>
      <c r="D15" s="193">
        <f>+[3]DHL_Southair!$GK$19</f>
        <v>0</v>
      </c>
      <c r="E15" s="302" t="e">
        <f t="shared" si="9"/>
        <v>#DIV/0!</v>
      </c>
      <c r="F15" s="300">
        <f>+SUM([3]DHL_Southair!$GP$19:$GY$19)</f>
        <v>4</v>
      </c>
      <c r="G15" s="193">
        <f>+SUM([3]DHL_Southair!$GB$19:$GK$19)</f>
        <v>0</v>
      </c>
      <c r="H15" s="301" t="e">
        <f t="shared" si="10"/>
        <v>#DIV/0!</v>
      </c>
      <c r="I15" s="302">
        <f>+F15/$F$33</f>
        <v>3.2843418999917894E-4</v>
      </c>
      <c r="J15" s="239"/>
      <c r="K15" s="33" t="s">
        <v>235</v>
      </c>
      <c r="L15" s="300">
        <f>+[3]DHL_Southair!$GY$64</f>
        <v>0</v>
      </c>
      <c r="M15" s="193">
        <f>+[3]DHL_Southair!$GK$64</f>
        <v>0</v>
      </c>
      <c r="N15" s="302" t="e">
        <f t="shared" si="0"/>
        <v>#DIV/0!</v>
      </c>
      <c r="O15" s="300">
        <f>+SUM([3]DHL_Southair!$GP$64:$GY$64)</f>
        <v>46833</v>
      </c>
      <c r="P15" s="193">
        <f>+SUM([3]DHL_Southair!$GB$64:$GK$64)</f>
        <v>0</v>
      </c>
      <c r="Q15" s="301" t="e">
        <f t="shared" si="1"/>
        <v>#DIV/0!</v>
      </c>
      <c r="R15" s="302">
        <f t="shared" si="2"/>
        <v>1.4503381942285179E-4</v>
      </c>
    </row>
    <row r="16" spans="1:18" ht="14.1" customHeight="1" x14ac:dyDescent="0.2">
      <c r="A16" s="239"/>
      <c r="B16" s="33" t="s">
        <v>236</v>
      </c>
      <c r="C16" s="300">
        <f>+[3]DHL_Swift!$GY$19</f>
        <v>38</v>
      </c>
      <c r="D16" s="193">
        <f>+[3]DHL_Swift!$GK$19</f>
        <v>0</v>
      </c>
      <c r="E16" s="302" t="e">
        <f t="shared" si="9"/>
        <v>#DIV/0!</v>
      </c>
      <c r="F16" s="300">
        <f>+SUM([3]DHL_Swift!$GP$19:$GY$19)</f>
        <v>242</v>
      </c>
      <c r="G16" s="193">
        <f>+SUM([3]DHL_Swift!$GB$19:$GK$19)</f>
        <v>0</v>
      </c>
      <c r="H16" s="301" t="e">
        <f t="shared" si="10"/>
        <v>#DIV/0!</v>
      </c>
      <c r="I16" s="302">
        <f t="shared" si="8"/>
        <v>1.9870268494950324E-2</v>
      </c>
      <c r="J16" s="239"/>
      <c r="K16" s="33" t="s">
        <v>236</v>
      </c>
      <c r="L16" s="300">
        <f>+[3]DHL_Swift!$GY$64</f>
        <v>924001</v>
      </c>
      <c r="M16" s="193">
        <f>+[3]DHL_Swift!$GK$64</f>
        <v>0</v>
      </c>
      <c r="N16" s="302" t="e">
        <f t="shared" si="0"/>
        <v>#DIV/0!</v>
      </c>
      <c r="O16" s="300">
        <f>+SUM([3]DHL_Swift!$GP$64:$GY$64)</f>
        <v>6374455</v>
      </c>
      <c r="P16" s="193">
        <f>+SUM([3]DHL_Swift!$GB$64:$GK$64)</f>
        <v>0</v>
      </c>
      <c r="Q16" s="301" t="e">
        <f t="shared" si="1"/>
        <v>#DIV/0!</v>
      </c>
      <c r="R16" s="302">
        <f t="shared" si="2"/>
        <v>1.9740600759914906E-2</v>
      </c>
    </row>
    <row r="17" spans="1:19" ht="14.1" customHeight="1" x14ac:dyDescent="0.2">
      <c r="A17" s="239"/>
      <c r="B17" s="33"/>
      <c r="C17" s="240"/>
      <c r="D17" s="115"/>
      <c r="E17" s="242"/>
      <c r="F17" s="240"/>
      <c r="G17" s="115"/>
      <c r="H17" s="241"/>
      <c r="I17" s="242"/>
      <c r="J17" s="239"/>
      <c r="K17" s="33"/>
      <c r="L17" s="243"/>
      <c r="N17" s="58"/>
      <c r="O17" s="243"/>
      <c r="P17" s="115"/>
      <c r="Q17" s="3"/>
      <c r="R17" s="58"/>
    </row>
    <row r="18" spans="1:19" ht="14.1" customHeight="1" x14ac:dyDescent="0.2">
      <c r="A18" s="239" t="s">
        <v>185</v>
      </c>
      <c r="B18" s="33"/>
      <c r="C18" s="454">
        <f>SUM(C19:C22)</f>
        <v>376</v>
      </c>
      <c r="D18" s="455">
        <f>SUM(D19:D22)</f>
        <v>370</v>
      </c>
      <c r="E18" s="452">
        <f>(C18-D18)/D18</f>
        <v>1.6216216216216217E-2</v>
      </c>
      <c r="F18" s="454">
        <f>SUM(F19:F22)</f>
        <v>3221</v>
      </c>
      <c r="G18" s="455">
        <f>SUM(G19:G22)</f>
        <v>3292</v>
      </c>
      <c r="H18" s="453">
        <f t="shared" ref="H18" si="11">(F18-G18)/G18</f>
        <v>-2.1567436208991493E-2</v>
      </c>
      <c r="I18" s="452">
        <f>+F18/$F$33</f>
        <v>0.26447163149683883</v>
      </c>
      <c r="J18" s="239" t="s">
        <v>185</v>
      </c>
      <c r="K18" s="33"/>
      <c r="L18" s="454">
        <f>SUM(L19:L22)</f>
        <v>17873662</v>
      </c>
      <c r="M18" s="455">
        <f>SUM(M19:M22)</f>
        <v>17993426</v>
      </c>
      <c r="N18" s="452">
        <f>(L18-M18)/M18</f>
        <v>-6.6559864697251095E-3</v>
      </c>
      <c r="O18" s="454">
        <f>SUM(O19:O22)</f>
        <v>161307689</v>
      </c>
      <c r="P18" s="455">
        <f>SUM(P19:P22)</f>
        <v>152447559</v>
      </c>
      <c r="Q18" s="453">
        <f t="shared" ref="Q18" si="12">(O18-P18)/P18</f>
        <v>5.8119198878087641E-2</v>
      </c>
      <c r="R18" s="452">
        <f>O18/$O$33</f>
        <v>0.49954242175268587</v>
      </c>
    </row>
    <row r="19" spans="1:19" x14ac:dyDescent="0.2">
      <c r="A19" s="31"/>
      <c r="B19" s="296" t="s">
        <v>185</v>
      </c>
      <c r="C19" s="300">
        <f>+[3]FedEx!$GY$19</f>
        <v>298</v>
      </c>
      <c r="D19" s="457">
        <f>+[3]FedEx!$GK$19</f>
        <v>288</v>
      </c>
      <c r="E19" s="302">
        <f>(C19-D19)/D19</f>
        <v>3.4722222222222224E-2</v>
      </c>
      <c r="F19" s="300">
        <f>+SUM([3]FedEx!$GP$19:$GY$19)</f>
        <v>2466</v>
      </c>
      <c r="G19" s="193">
        <f>+SUM([3]FedEx!$GB$19:$GK$19)</f>
        <v>2586</v>
      </c>
      <c r="H19" s="301">
        <f t="shared" ref="H19" si="13">(F19-G19)/G19</f>
        <v>-4.6403712296983757E-2</v>
      </c>
      <c r="I19" s="302">
        <f>+F19/$F$33</f>
        <v>0.2024796781344938</v>
      </c>
      <c r="J19" s="239"/>
      <c r="K19" s="296" t="s">
        <v>185</v>
      </c>
      <c r="L19" s="300">
        <f>+[3]FedEx!$GY$64</f>
        <v>17656230</v>
      </c>
      <c r="M19" s="457">
        <f>+[3]FedEx!$GK$64</f>
        <v>17930855</v>
      </c>
      <c r="N19" s="302">
        <f>(L19-M19)/M19</f>
        <v>-1.531577830505015E-2</v>
      </c>
      <c r="O19" s="300">
        <f>+SUM([3]FedEx!$GP$64:$GY$64)</f>
        <v>158593986</v>
      </c>
      <c r="P19" s="193">
        <f>+SUM([3]FedEx!$GB$64:$GK$64)</f>
        <v>150870736</v>
      </c>
      <c r="Q19" s="301">
        <f t="shared" ref="Q19:Q20" si="14">(O19-P19)/P19</f>
        <v>5.1191173349880124E-2</v>
      </c>
      <c r="R19" s="302">
        <f>O19/$O$33</f>
        <v>0.4911385460481773</v>
      </c>
    </row>
    <row r="20" spans="1:19" x14ac:dyDescent="0.2">
      <c r="A20" s="31"/>
      <c r="B20" s="296" t="s">
        <v>239</v>
      </c>
      <c r="C20" s="300">
        <f>+'[3]Mountain Cargo'!$GY$19</f>
        <v>46</v>
      </c>
      <c r="D20" s="457">
        <f>+'[3]Mountain Cargo'!$GK$19</f>
        <v>46</v>
      </c>
      <c r="E20" s="302">
        <f>(C20-D20)/D20</f>
        <v>0</v>
      </c>
      <c r="F20" s="300">
        <f>+SUM('[3]Mountain Cargo'!$GP$19:$GY$19)</f>
        <v>432</v>
      </c>
      <c r="G20" s="193">
        <f>+SUM('[3]Mountain Cargo'!$GB$19:$GK$19)</f>
        <v>370</v>
      </c>
      <c r="H20" s="301">
        <f>(F20-G20)/G20</f>
        <v>0.16756756756756758</v>
      </c>
      <c r="I20" s="302">
        <f>+F20/$F$33</f>
        <v>3.5470892519911326E-2</v>
      </c>
      <c r="J20" s="369"/>
      <c r="K20" s="296" t="s">
        <v>239</v>
      </c>
      <c r="L20" s="300">
        <f>+'[3]Mountain Cargo'!$GY$64</f>
        <v>156124</v>
      </c>
      <c r="M20" s="457">
        <f>+'[3]Mountain Cargo'!$GK$64</f>
        <v>11569</v>
      </c>
      <c r="N20" s="302">
        <f>(L20-M20)/M20</f>
        <v>12.495029821073558</v>
      </c>
      <c r="O20" s="300">
        <f>+SUM('[3]Mountain Cargo'!$GP$64:$GY$64)</f>
        <v>2178536</v>
      </c>
      <c r="P20" s="193">
        <f>+SUM('[3]Mountain Cargo'!$GB$64:$GK$64)</f>
        <v>1289583</v>
      </c>
      <c r="Q20" s="301">
        <f t="shared" si="14"/>
        <v>0.68933368383423166</v>
      </c>
      <c r="R20" s="302">
        <f>O20/$O$33</f>
        <v>6.7465547120658907E-3</v>
      </c>
    </row>
    <row r="21" spans="1:19" x14ac:dyDescent="0.2">
      <c r="A21" s="31"/>
      <c r="B21" s="296" t="s">
        <v>178</v>
      </c>
      <c r="C21" s="300">
        <f>+[3]IFL!$GY$19</f>
        <v>32</v>
      </c>
      <c r="D21" s="457">
        <f>+[3]IFL!$GK$19</f>
        <v>36</v>
      </c>
      <c r="E21" s="302">
        <f>(C21-D21)/D21</f>
        <v>-0.1111111111111111</v>
      </c>
      <c r="F21" s="300">
        <f>+SUM([3]IFL!$GP$19:$GY$19)</f>
        <v>323</v>
      </c>
      <c r="G21" s="193">
        <f>+SUM([3]IFL!$GB$19:$GK$19)</f>
        <v>327</v>
      </c>
      <c r="H21" s="301">
        <f>(F21-G21)/G21</f>
        <v>-1.2232415902140673E-2</v>
      </c>
      <c r="I21" s="302">
        <f>+F21/$F$33</f>
        <v>2.6521060842433698E-2</v>
      </c>
      <c r="J21" s="369"/>
      <c r="K21" s="296" t="s">
        <v>178</v>
      </c>
      <c r="L21" s="300">
        <f>+[3]IFL!$GY$64</f>
        <v>61308</v>
      </c>
      <c r="M21" s="457">
        <f>+[3]IFL!$GK$64</f>
        <v>51002</v>
      </c>
      <c r="N21" s="302">
        <f>(L21-M21)/M21</f>
        <v>0.20207050703893964</v>
      </c>
      <c r="O21" s="300">
        <f>+SUM([3]IFL!$GP$64:$GY$64)</f>
        <v>535167</v>
      </c>
      <c r="P21" s="193">
        <f>+SUM([3]IFL!$GB$64:$GK$64)</f>
        <v>277554</v>
      </c>
      <c r="Q21" s="301">
        <f>(O21-P21)/P21</f>
        <v>0.9281545212823451</v>
      </c>
      <c r="R21" s="302">
        <f>O21/$O$33</f>
        <v>1.6573209924427078E-3</v>
      </c>
    </row>
    <row r="22" spans="1:19" ht="14.1" customHeight="1" x14ac:dyDescent="0.2">
      <c r="A22" s="239"/>
      <c r="B22" s="296" t="s">
        <v>85</v>
      </c>
      <c r="C22" s="300">
        <f>+'[3]CSA Air'!$GY$19</f>
        <v>0</v>
      </c>
      <c r="D22" s="193">
        <f>+'[3]CSA Air'!$GK$19</f>
        <v>0</v>
      </c>
      <c r="E22" s="302" t="e">
        <f>(C22-D22)/D22</f>
        <v>#DIV/0!</v>
      </c>
      <c r="F22" s="300">
        <f>+SUM('[3]CSA Air'!$GP$19:$GY$19)</f>
        <v>0</v>
      </c>
      <c r="G22" s="193">
        <f>+SUM('[3]CSA Air'!$GB$19:$GK$19)</f>
        <v>9</v>
      </c>
      <c r="H22" s="301">
        <f t="shared" ref="H22" si="15">(F22-G22)/G22</f>
        <v>-1</v>
      </c>
      <c r="I22" s="302">
        <f>+F22/$F$33</f>
        <v>0</v>
      </c>
      <c r="J22" s="239"/>
      <c r="K22" s="296" t="s">
        <v>85</v>
      </c>
      <c r="L22" s="300">
        <f>+'[3]CSA Air'!$GY$64</f>
        <v>0</v>
      </c>
      <c r="M22" s="193">
        <f>+'[3]CSA Air'!$GK$64</f>
        <v>0</v>
      </c>
      <c r="N22" s="302" t="e">
        <f>(L22-M22)/M22</f>
        <v>#DIV/0!</v>
      </c>
      <c r="O22" s="300">
        <f>+SUM('[3]CSA Air'!$GP$64:$GY$64)</f>
        <v>0</v>
      </c>
      <c r="P22" s="193">
        <f>+SUM('[3]CSA Air'!$GB$64:$GK$64)</f>
        <v>9686</v>
      </c>
      <c r="Q22" s="301">
        <f t="shared" ref="Q22" si="16">(O22-P22)/P22</f>
        <v>-1</v>
      </c>
      <c r="R22" s="302">
        <f>O22/$O$33</f>
        <v>0</v>
      </c>
    </row>
    <row r="23" spans="1:19" ht="14.1" customHeight="1" x14ac:dyDescent="0.2">
      <c r="A23" s="239"/>
      <c r="B23" s="33"/>
      <c r="C23" s="240"/>
      <c r="D23" s="115"/>
      <c r="E23" s="242"/>
      <c r="F23" s="240"/>
      <c r="G23" s="115"/>
      <c r="H23" s="241"/>
      <c r="I23" s="242"/>
      <c r="J23" s="239"/>
      <c r="K23" s="33"/>
      <c r="L23" s="243"/>
      <c r="N23" s="58"/>
      <c r="O23" s="243"/>
      <c r="P23" s="115"/>
      <c r="Q23" s="3"/>
      <c r="R23" s="58"/>
    </row>
    <row r="24" spans="1:19" ht="14.1" customHeight="1" x14ac:dyDescent="0.2">
      <c r="A24" s="239"/>
      <c r="B24" s="33"/>
      <c r="C24" s="240"/>
      <c r="D24" s="115"/>
      <c r="E24" s="242"/>
      <c r="F24" s="240"/>
      <c r="G24" s="115"/>
      <c r="H24" s="241"/>
      <c r="I24" s="242"/>
      <c r="J24" s="239"/>
      <c r="K24" s="33"/>
      <c r="L24" s="243"/>
      <c r="N24" s="58"/>
      <c r="O24" s="243"/>
      <c r="P24" s="2"/>
      <c r="Q24" s="3"/>
      <c r="R24" s="58"/>
    </row>
    <row r="25" spans="1:19" ht="14.1" customHeight="1" x14ac:dyDescent="0.2">
      <c r="A25" s="239" t="s">
        <v>83</v>
      </c>
      <c r="B25" s="33"/>
      <c r="C25" s="451">
        <f>SUM(C26:C27)</f>
        <v>734</v>
      </c>
      <c r="D25" s="451">
        <f>SUM(D26:D27)</f>
        <v>720</v>
      </c>
      <c r="E25" s="452">
        <f>(C25-D25)/D25</f>
        <v>1.9444444444444445E-2</v>
      </c>
      <c r="F25" s="451">
        <f>SUM(F26:F27)</f>
        <v>6714</v>
      </c>
      <c r="G25" s="451">
        <f>SUM(G26:G27)</f>
        <v>6658</v>
      </c>
      <c r="H25" s="453">
        <f>(F25-G25)/G25</f>
        <v>8.410934214478822E-3</v>
      </c>
      <c r="I25" s="452">
        <f>+F25/$F$33</f>
        <v>0.55127678791362178</v>
      </c>
      <c r="J25" s="239" t="s">
        <v>83</v>
      </c>
      <c r="K25" s="33"/>
      <c r="L25" s="451">
        <f>SUM(L26:L27)</f>
        <v>15710245</v>
      </c>
      <c r="M25" s="451">
        <f>SUM(M26:M27)</f>
        <v>15402635</v>
      </c>
      <c r="N25" s="452">
        <f>(L25-M25)/M25</f>
        <v>1.9971258164593265E-2</v>
      </c>
      <c r="O25" s="451">
        <f>SUM(O26:O27)</f>
        <v>124194035</v>
      </c>
      <c r="P25" s="451">
        <f>SUM(P26:P27)</f>
        <v>123683599</v>
      </c>
      <c r="Q25" s="453">
        <f>(O25-P25)/P25</f>
        <v>4.1269497663954623E-3</v>
      </c>
      <c r="R25" s="452">
        <f>O25/$O$33</f>
        <v>0.38460776045919193</v>
      </c>
    </row>
    <row r="26" spans="1:19" ht="14.1" customHeight="1" x14ac:dyDescent="0.2">
      <c r="A26" s="239"/>
      <c r="B26" s="296" t="s">
        <v>83</v>
      </c>
      <c r="C26" s="300">
        <f>+[3]UPS!$GY$19</f>
        <v>328</v>
      </c>
      <c r="D26" s="457">
        <f>+[3]UPS!$GK$19</f>
        <v>300</v>
      </c>
      <c r="E26" s="302">
        <f>(C26-D26)/D26</f>
        <v>9.3333333333333338E-2</v>
      </c>
      <c r="F26" s="300">
        <f>+SUM([3]UPS!$GP$19:$GY$19)</f>
        <v>2768</v>
      </c>
      <c r="G26" s="193">
        <f>+SUM([3]UPS!$GB$19:$GK$19)</f>
        <v>2746</v>
      </c>
      <c r="H26" s="301">
        <f>(F26-G26)/G26</f>
        <v>8.0116533139111441E-3</v>
      </c>
      <c r="I26" s="302">
        <f>+F26/$F$33</f>
        <v>0.22727645947943181</v>
      </c>
      <c r="J26" s="239"/>
      <c r="K26" s="296" t="s">
        <v>83</v>
      </c>
      <c r="L26" s="300">
        <f>+[3]UPS!$GY$64</f>
        <v>15710245</v>
      </c>
      <c r="M26" s="457">
        <f>+[3]UPS!$GK$64</f>
        <v>15402635</v>
      </c>
      <c r="N26" s="302">
        <f>(L26-M26)/M26</f>
        <v>1.9971258164593265E-2</v>
      </c>
      <c r="O26" s="300">
        <f>+SUM([3]UPS!$GP$64:$GY$64)</f>
        <v>124194035</v>
      </c>
      <c r="P26" s="193">
        <f>+SUM([3]UPS!$GB$64:$GK$64)</f>
        <v>123683599</v>
      </c>
      <c r="Q26" s="301">
        <f>(O26-P26)/P26</f>
        <v>4.1269497663954623E-3</v>
      </c>
      <c r="R26" s="302">
        <f>O26/$O$33</f>
        <v>0.38460776045919193</v>
      </c>
    </row>
    <row r="27" spans="1:19" ht="14.1" customHeight="1" x14ac:dyDescent="0.2">
      <c r="A27" s="239"/>
      <c r="B27" s="296" t="s">
        <v>84</v>
      </c>
      <c r="C27" s="300">
        <f>+[3]Bemidji!$GY$19</f>
        <v>406</v>
      </c>
      <c r="D27" s="457">
        <f>+[3]Bemidji!$GK$19</f>
        <v>420</v>
      </c>
      <c r="E27" s="302">
        <f>(C27-D27)/D27</f>
        <v>-3.3333333333333333E-2</v>
      </c>
      <c r="F27" s="300">
        <f>+SUM([3]Bemidji!$GP$19:$GY$19)</f>
        <v>3946</v>
      </c>
      <c r="G27" s="193">
        <f>+SUM([3]Bemidji!$GB$19:$GK$19)</f>
        <v>3912</v>
      </c>
      <c r="H27" s="301">
        <f t="shared" ref="H27" si="17">(F27-G27)/G27</f>
        <v>8.6912065439672809E-3</v>
      </c>
      <c r="I27" s="302">
        <f>+F27/$F$33</f>
        <v>0.32400032843419002</v>
      </c>
      <c r="J27" s="239"/>
      <c r="K27" s="296" t="s">
        <v>84</v>
      </c>
      <c r="L27" s="484" t="s">
        <v>188</v>
      </c>
      <c r="M27" s="485"/>
      <c r="N27" s="485"/>
      <c r="O27" s="485"/>
      <c r="P27" s="485"/>
      <c r="Q27" s="485"/>
      <c r="R27" s="486"/>
    </row>
    <row r="28" spans="1:19" ht="14.1" customHeight="1" x14ac:dyDescent="0.2">
      <c r="A28" s="31"/>
      <c r="B28" s="33"/>
      <c r="C28" s="240"/>
      <c r="E28" s="58"/>
      <c r="F28" s="243"/>
      <c r="I28" s="58"/>
      <c r="J28" s="31"/>
      <c r="K28" s="33"/>
      <c r="L28" s="243"/>
      <c r="N28" s="58"/>
      <c r="O28" s="243"/>
      <c r="P28" s="2"/>
      <c r="Q28" s="3"/>
      <c r="R28" s="58"/>
    </row>
    <row r="29" spans="1:19" ht="14.1" customHeight="1" x14ac:dyDescent="0.2">
      <c r="A29" s="239" t="s">
        <v>128</v>
      </c>
      <c r="B29" s="33"/>
      <c r="C29" s="454">
        <f>+'[3]Misc Cargo'!$GY$19</f>
        <v>2</v>
      </c>
      <c r="D29" s="455">
        <f>+'[3]Misc Cargo'!$GK$19</f>
        <v>3</v>
      </c>
      <c r="E29" s="452">
        <f>(C29-D29)/D29</f>
        <v>-0.33333333333333331</v>
      </c>
      <c r="F29" s="454">
        <f>+SUM('[3]Misc Cargo'!$GP$19:$GY$19)</f>
        <v>15</v>
      </c>
      <c r="G29" s="455">
        <f>+SUM('[3]Misc Cargo'!$GB$19:$GK$19)</f>
        <v>5</v>
      </c>
      <c r="H29" s="453">
        <f>(F29-G29)/G29</f>
        <v>2</v>
      </c>
      <c r="I29" s="452">
        <f>+F29/$F$33</f>
        <v>1.2316282124969209E-3</v>
      </c>
      <c r="J29" s="239" t="s">
        <v>128</v>
      </c>
      <c r="K29" s="33"/>
      <c r="L29" s="454">
        <f>+'[3]Misc Cargo'!$GY$64</f>
        <v>3206</v>
      </c>
      <c r="M29" s="455">
        <f>+'[3]Misc Cargo'!$GK$64</f>
        <v>3500</v>
      </c>
      <c r="N29" s="452">
        <f>(L29-M29)/M29</f>
        <v>-8.4000000000000005E-2</v>
      </c>
      <c r="O29" s="454">
        <f>+SUM('[3]Misc Cargo'!$GP$64:$GY$64)</f>
        <v>271761</v>
      </c>
      <c r="P29" s="455">
        <f>+SUM('[3]Misc Cargo'!$GB$64:$GK$64)</f>
        <v>33217</v>
      </c>
      <c r="Q29" s="453">
        <f>(O29-P29)/P29</f>
        <v>7.1813830267634042</v>
      </c>
      <c r="R29" s="452">
        <f>O29/$O$33</f>
        <v>8.4159750176528581E-4</v>
      </c>
      <c r="S29" s="324"/>
    </row>
    <row r="30" spans="1:19" ht="14.1" customHeight="1" x14ac:dyDescent="0.2">
      <c r="A30" s="31"/>
      <c r="B30" s="33"/>
      <c r="C30" s="240"/>
      <c r="E30" s="58"/>
      <c r="F30" s="243"/>
      <c r="I30" s="58"/>
      <c r="J30" s="31"/>
      <c r="K30" s="33"/>
      <c r="L30" s="243"/>
      <c r="N30" s="58"/>
      <c r="O30" s="243"/>
      <c r="P30" s="2"/>
      <c r="Q30" s="3"/>
      <c r="R30" s="58"/>
    </row>
    <row r="31" spans="1:19" ht="14.1" customHeight="1" thickBot="1" x14ac:dyDescent="0.25">
      <c r="A31" s="325"/>
      <c r="B31" s="326"/>
      <c r="C31" s="327"/>
      <c r="D31" s="329"/>
      <c r="E31" s="330"/>
      <c r="F31" s="327"/>
      <c r="G31" s="329"/>
      <c r="H31" s="328"/>
      <c r="I31" s="330"/>
      <c r="J31" s="239"/>
      <c r="K31" s="33"/>
      <c r="L31" s="246"/>
      <c r="M31" s="248"/>
      <c r="N31" s="249"/>
      <c r="O31" s="246"/>
      <c r="P31" s="248"/>
      <c r="Q31" s="247"/>
      <c r="R31" s="326"/>
      <c r="S31" s="324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31" t="s">
        <v>186</v>
      </c>
      <c r="C33" s="332">
        <f>+C29+C25+C18+C9+C5</f>
        <v>1356</v>
      </c>
      <c r="D33" s="332">
        <f>+D29+D25+D18+D9+D5</f>
        <v>1289</v>
      </c>
      <c r="E33" s="333">
        <f>(C33-D33)/D33</f>
        <v>5.1978277734678044E-2</v>
      </c>
      <c r="F33" s="332">
        <f>+F29+F25+F18+F9+F5</f>
        <v>12179</v>
      </c>
      <c r="G33" s="332">
        <f>+G29+G25+G18+G9+G5</f>
        <v>11845</v>
      </c>
      <c r="H33" s="334">
        <f>(F33-G33)/G33</f>
        <v>2.8197551709582103E-2</v>
      </c>
      <c r="I33" s="346"/>
      <c r="J33"/>
      <c r="K33" s="331" t="s">
        <v>186</v>
      </c>
      <c r="L33" s="332">
        <f>+L29+L25+L18+L9+L5</f>
        <v>36905001</v>
      </c>
      <c r="M33" s="332">
        <f>+M29+M25+M18+M9+M5</f>
        <v>36744855</v>
      </c>
      <c r="N33" s="335">
        <f>(L33-M33)/M33</f>
        <v>4.3583244511374453E-3</v>
      </c>
      <c r="O33" s="332">
        <f>+O29+O25+O18+O9+O5</f>
        <v>322910892</v>
      </c>
      <c r="P33" s="332">
        <f>+P29+P25+P18+P9+P5</f>
        <v>313510432</v>
      </c>
      <c r="Q33" s="334">
        <f t="shared" ref="Q33" si="18">(O33-P33)/P33</f>
        <v>2.9984520578887786E-2</v>
      </c>
      <c r="R33" s="346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13"/>
      <c r="F35"/>
      <c r="G35"/>
      <c r="H35"/>
      <c r="I35"/>
      <c r="J35"/>
      <c r="K35"/>
      <c r="L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3"/>
      <c r="K103"/>
    </row>
    <row r="104" spans="4:14" x14ac:dyDescent="0.2">
      <c r="F104" s="143"/>
      <c r="K104"/>
    </row>
    <row r="105" spans="4:14" x14ac:dyDescent="0.2">
      <c r="F105" s="143"/>
      <c r="K105"/>
    </row>
    <row r="106" spans="4:14" x14ac:dyDescent="0.2">
      <c r="F106" s="143"/>
      <c r="K106"/>
    </row>
    <row r="107" spans="4:14" x14ac:dyDescent="0.2">
      <c r="F107" s="143"/>
      <c r="K107"/>
    </row>
    <row r="108" spans="4:14" x14ac:dyDescent="0.2">
      <c r="F108" s="143"/>
      <c r="K108"/>
    </row>
    <row r="109" spans="4:14" x14ac:dyDescent="0.2">
      <c r="F109" s="143"/>
      <c r="K109"/>
    </row>
    <row r="110" spans="4:14" x14ac:dyDescent="0.2">
      <c r="F110" s="143"/>
      <c r="K110"/>
    </row>
    <row r="111" spans="4:14" x14ac:dyDescent="0.2">
      <c r="F111" s="143"/>
      <c r="K111"/>
    </row>
    <row r="112" spans="4:14" x14ac:dyDescent="0.2">
      <c r="F112" s="143"/>
      <c r="K112"/>
    </row>
    <row r="113" spans="6:11" x14ac:dyDescent="0.2">
      <c r="F113" s="143"/>
      <c r="K113"/>
    </row>
    <row r="114" spans="6:11" x14ac:dyDescent="0.2">
      <c r="F114" s="143"/>
      <c r="K114"/>
    </row>
    <row r="115" spans="6:11" x14ac:dyDescent="0.2">
      <c r="F115" s="143"/>
      <c r="K115"/>
    </row>
    <row r="116" spans="6:11" x14ac:dyDescent="0.2">
      <c r="F116" s="143"/>
      <c r="K116"/>
    </row>
    <row r="117" spans="6:11" x14ac:dyDescent="0.2">
      <c r="F117" s="143"/>
      <c r="K117"/>
    </row>
    <row r="118" spans="6:11" x14ac:dyDescent="0.2">
      <c r="F118" s="143"/>
      <c r="K118"/>
    </row>
    <row r="119" spans="6:11" x14ac:dyDescent="0.2">
      <c r="F119" s="143"/>
      <c r="K119"/>
    </row>
    <row r="120" spans="6:11" x14ac:dyDescent="0.2">
      <c r="F120" s="143"/>
      <c r="K120"/>
    </row>
    <row r="121" spans="6:11" x14ac:dyDescent="0.2">
      <c r="F121" s="143"/>
      <c r="K121"/>
    </row>
    <row r="122" spans="6:11" x14ac:dyDescent="0.2">
      <c r="F122" s="143"/>
      <c r="K122"/>
    </row>
    <row r="123" spans="6:11" x14ac:dyDescent="0.2">
      <c r="F123" s="143"/>
      <c r="K123"/>
    </row>
    <row r="124" spans="6:11" x14ac:dyDescent="0.2">
      <c r="F124" s="143"/>
      <c r="K124"/>
    </row>
    <row r="125" spans="6:11" x14ac:dyDescent="0.2">
      <c r="F125" s="143"/>
      <c r="K125"/>
    </row>
    <row r="126" spans="6:11" x14ac:dyDescent="0.2">
      <c r="F126" s="143"/>
      <c r="K126"/>
    </row>
    <row r="127" spans="6:11" x14ac:dyDescent="0.2">
      <c r="F127" s="143"/>
      <c r="K127"/>
    </row>
    <row r="128" spans="6:11" x14ac:dyDescent="0.2">
      <c r="F128" s="143"/>
      <c r="K128"/>
    </row>
    <row r="129" spans="6:11" x14ac:dyDescent="0.2">
      <c r="F129" s="143"/>
      <c r="K129"/>
    </row>
    <row r="130" spans="6:11" x14ac:dyDescent="0.2">
      <c r="F130" s="143"/>
      <c r="K130"/>
    </row>
    <row r="131" spans="6:11" x14ac:dyDescent="0.2">
      <c r="F131" s="143"/>
      <c r="K131"/>
    </row>
    <row r="132" spans="6:11" x14ac:dyDescent="0.2">
      <c r="F132" s="143"/>
      <c r="K132"/>
    </row>
    <row r="133" spans="6:11" x14ac:dyDescent="0.2">
      <c r="F133" s="143"/>
      <c r="K133"/>
    </row>
    <row r="134" spans="6:11" x14ac:dyDescent="0.2">
      <c r="F134" s="143"/>
      <c r="K134"/>
    </row>
    <row r="135" spans="6:11" x14ac:dyDescent="0.2">
      <c r="F135" s="143"/>
      <c r="K135"/>
    </row>
    <row r="136" spans="6:11" x14ac:dyDescent="0.2">
      <c r="F136" s="143"/>
      <c r="K136"/>
    </row>
    <row r="137" spans="6:11" x14ac:dyDescent="0.2">
      <c r="F137" s="143"/>
      <c r="K137"/>
    </row>
    <row r="138" spans="6:11" x14ac:dyDescent="0.2">
      <c r="F138" s="143"/>
      <c r="K138"/>
    </row>
    <row r="139" spans="6:11" x14ac:dyDescent="0.2">
      <c r="F139" s="143"/>
      <c r="K139"/>
    </row>
    <row r="140" spans="6:11" x14ac:dyDescent="0.2">
      <c r="F140" s="143"/>
      <c r="K140"/>
    </row>
    <row r="141" spans="6:11" x14ac:dyDescent="0.2">
      <c r="F141" s="143"/>
      <c r="K141"/>
    </row>
    <row r="142" spans="6:11" x14ac:dyDescent="0.2">
      <c r="F142" s="143"/>
      <c r="K142"/>
    </row>
    <row r="143" spans="6:11" x14ac:dyDescent="0.2">
      <c r="F143" s="143"/>
      <c r="K143"/>
    </row>
    <row r="144" spans="6:11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</sheetData>
  <mergeCells count="7">
    <mergeCell ref="L3:R3"/>
    <mergeCell ref="L27:R27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October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2020-09-16T21:35:09Z</cp:lastPrinted>
  <dcterms:created xsi:type="dcterms:W3CDTF">2007-09-24T12:26:24Z</dcterms:created>
  <dcterms:modified xsi:type="dcterms:W3CDTF">2021-02-24T18:14:20Z</dcterms:modified>
</cp:coreProperties>
</file>