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40733C59-8E40-415B-923E-1C6D828EA340}" xr6:coauthVersionLast="45" xr6:coauthVersionMax="45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Major'!$A$1:$M$47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6" l="1"/>
  <c r="C34" i="16"/>
  <c r="C28" i="16"/>
  <c r="C27" i="16"/>
  <c r="C22" i="16"/>
  <c r="C21" i="16"/>
  <c r="C17" i="16"/>
  <c r="C16" i="16"/>
  <c r="C10" i="16"/>
  <c r="C9" i="16"/>
  <c r="C5" i="16"/>
  <c r="C4" i="16"/>
  <c r="P9" i="17" l="1"/>
  <c r="O9" i="17"/>
  <c r="M9" i="17"/>
  <c r="N9" i="17" s="1"/>
  <c r="L9" i="17"/>
  <c r="G9" i="17"/>
  <c r="F9" i="17"/>
  <c r="D9" i="17"/>
  <c r="C9" i="17"/>
  <c r="H27" i="8"/>
  <c r="H26" i="8"/>
  <c r="H28" i="8" s="1"/>
  <c r="H22" i="8"/>
  <c r="H21" i="8"/>
  <c r="H17" i="8"/>
  <c r="H16" i="8"/>
  <c r="H5" i="8"/>
  <c r="H4" i="8"/>
  <c r="H10" i="8"/>
  <c r="H23" i="8" l="1"/>
  <c r="Q9" i="17"/>
  <c r="H18" i="8"/>
  <c r="E9" i="17"/>
  <c r="H32" i="8"/>
  <c r="H6" i="8"/>
  <c r="H12" i="8" s="1"/>
  <c r="H9" i="17"/>
  <c r="H31" i="8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9" i="7"/>
  <c r="M28" i="7"/>
  <c r="L28" i="7"/>
  <c r="J29" i="7"/>
  <c r="E29" i="7"/>
  <c r="P64" i="9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M35" i="16"/>
  <c r="L35" i="16"/>
  <c r="K35" i="16"/>
  <c r="J35" i="16"/>
  <c r="I35" i="16"/>
  <c r="H35" i="16"/>
  <c r="G35" i="16"/>
  <c r="F35" i="16"/>
  <c r="E35" i="16"/>
  <c r="D35" i="16"/>
  <c r="B35" i="16"/>
  <c r="M34" i="16"/>
  <c r="L34" i="16"/>
  <c r="K34" i="16"/>
  <c r="J34" i="16"/>
  <c r="I34" i="16"/>
  <c r="H34" i="16"/>
  <c r="G34" i="16"/>
  <c r="F34" i="16"/>
  <c r="E34" i="16"/>
  <c r="D34" i="16"/>
  <c r="B34" i="16"/>
  <c r="M28" i="16"/>
  <c r="L28" i="16"/>
  <c r="K28" i="16"/>
  <c r="J28" i="16"/>
  <c r="I28" i="16"/>
  <c r="H28" i="16"/>
  <c r="G28" i="16"/>
  <c r="F28" i="16"/>
  <c r="E28" i="16"/>
  <c r="D28" i="16"/>
  <c r="B28" i="16"/>
  <c r="M27" i="16"/>
  <c r="L27" i="16"/>
  <c r="K27" i="16"/>
  <c r="J27" i="16"/>
  <c r="I27" i="16"/>
  <c r="H27" i="16"/>
  <c r="G27" i="16"/>
  <c r="F27" i="16"/>
  <c r="E27" i="16"/>
  <c r="D27" i="16"/>
  <c r="B27" i="16"/>
  <c r="M22" i="16"/>
  <c r="L22" i="16"/>
  <c r="K22" i="16"/>
  <c r="J22" i="16"/>
  <c r="I22" i="16"/>
  <c r="H22" i="16"/>
  <c r="G22" i="16"/>
  <c r="F22" i="16"/>
  <c r="E22" i="16"/>
  <c r="D22" i="16"/>
  <c r="B22" i="16"/>
  <c r="M21" i="16"/>
  <c r="L21" i="16"/>
  <c r="K21" i="16"/>
  <c r="J21" i="16"/>
  <c r="I21" i="16"/>
  <c r="H21" i="16"/>
  <c r="G21" i="16"/>
  <c r="F21" i="16"/>
  <c r="E21" i="16"/>
  <c r="D21" i="16"/>
  <c r="B21" i="16"/>
  <c r="M17" i="16"/>
  <c r="L17" i="16"/>
  <c r="K17" i="16"/>
  <c r="J17" i="16"/>
  <c r="I17" i="16"/>
  <c r="H17" i="16"/>
  <c r="G17" i="16"/>
  <c r="F17" i="16"/>
  <c r="E17" i="16"/>
  <c r="D17" i="16"/>
  <c r="B17" i="16"/>
  <c r="M16" i="16"/>
  <c r="L16" i="16"/>
  <c r="K16" i="16"/>
  <c r="J16" i="16"/>
  <c r="I16" i="16"/>
  <c r="H16" i="16"/>
  <c r="G16" i="16"/>
  <c r="F16" i="16"/>
  <c r="E16" i="16"/>
  <c r="D16" i="16"/>
  <c r="B16" i="16"/>
  <c r="M10" i="16"/>
  <c r="L10" i="16"/>
  <c r="K10" i="16"/>
  <c r="J10" i="16"/>
  <c r="I10" i="16"/>
  <c r="H10" i="16"/>
  <c r="G10" i="16"/>
  <c r="F10" i="16"/>
  <c r="E10" i="16"/>
  <c r="D10" i="16"/>
  <c r="B10" i="16"/>
  <c r="M9" i="16"/>
  <c r="L9" i="16"/>
  <c r="K9" i="16"/>
  <c r="J9" i="16"/>
  <c r="I9" i="16"/>
  <c r="H9" i="16"/>
  <c r="G9" i="16"/>
  <c r="F9" i="16"/>
  <c r="E9" i="16"/>
  <c r="D9" i="16"/>
  <c r="B9" i="16"/>
  <c r="M5" i="16"/>
  <c r="L5" i="16"/>
  <c r="K5" i="16"/>
  <c r="J5" i="16"/>
  <c r="I5" i="16"/>
  <c r="H5" i="16"/>
  <c r="G5" i="16"/>
  <c r="F5" i="16"/>
  <c r="E5" i="16"/>
  <c r="D5" i="16"/>
  <c r="B5" i="16"/>
  <c r="M4" i="16"/>
  <c r="L4" i="16"/>
  <c r="K4" i="16"/>
  <c r="J4" i="16"/>
  <c r="I4" i="16"/>
  <c r="H4" i="16"/>
  <c r="G4" i="16"/>
  <c r="F4" i="16"/>
  <c r="E4" i="16"/>
  <c r="D4" i="16"/>
  <c r="B4" i="16"/>
  <c r="P25" i="17"/>
  <c r="M25" i="17"/>
  <c r="G25" i="17"/>
  <c r="D25" i="17"/>
  <c r="P23" i="17"/>
  <c r="M23" i="17"/>
  <c r="G23" i="17"/>
  <c r="D23" i="17"/>
  <c r="P21" i="17"/>
  <c r="M21" i="17"/>
  <c r="G21" i="17"/>
  <c r="D21" i="17"/>
  <c r="G19" i="17"/>
  <c r="D19" i="17"/>
  <c r="P17" i="17"/>
  <c r="M17" i="17"/>
  <c r="G17" i="17"/>
  <c r="D17" i="17"/>
  <c r="P15" i="17"/>
  <c r="M15" i="17"/>
  <c r="G15" i="17"/>
  <c r="D15" i="17"/>
  <c r="P13" i="17"/>
  <c r="M13" i="17"/>
  <c r="G13" i="17"/>
  <c r="D13" i="17"/>
  <c r="P11" i="17"/>
  <c r="M11" i="17"/>
  <c r="G11" i="17"/>
  <c r="D11" i="17"/>
  <c r="P7" i="17"/>
  <c r="M7" i="17"/>
  <c r="G7" i="17"/>
  <c r="D7" i="17"/>
  <c r="P5" i="17"/>
  <c r="M5" i="17"/>
  <c r="G5" i="17"/>
  <c r="D5" i="17"/>
  <c r="O25" i="17"/>
  <c r="L25" i="17"/>
  <c r="F25" i="17"/>
  <c r="C25" i="17"/>
  <c r="O23" i="17"/>
  <c r="L23" i="17"/>
  <c r="F23" i="17"/>
  <c r="C23" i="17"/>
  <c r="O21" i="17"/>
  <c r="L21" i="17"/>
  <c r="F21" i="17"/>
  <c r="C21" i="17"/>
  <c r="F19" i="17"/>
  <c r="C19" i="17"/>
  <c r="O17" i="17"/>
  <c r="L17" i="17"/>
  <c r="F17" i="17"/>
  <c r="C17" i="17"/>
  <c r="O15" i="17"/>
  <c r="L15" i="17"/>
  <c r="F15" i="17"/>
  <c r="C15" i="17"/>
  <c r="O13" i="17"/>
  <c r="L13" i="17"/>
  <c r="F13" i="17"/>
  <c r="C13" i="17"/>
  <c r="O11" i="17"/>
  <c r="L11" i="17"/>
  <c r="F11" i="17"/>
  <c r="C11" i="17"/>
  <c r="O7" i="17"/>
  <c r="L7" i="17"/>
  <c r="F7" i="17"/>
  <c r="C7" i="17"/>
  <c r="O5" i="17"/>
  <c r="L5" i="17"/>
  <c r="F5" i="17"/>
  <c r="C5" i="17"/>
  <c r="N27" i="8"/>
  <c r="M27" i="8"/>
  <c r="L27" i="8"/>
  <c r="J27" i="8"/>
  <c r="I27" i="8"/>
  <c r="G27" i="8"/>
  <c r="E27" i="8"/>
  <c r="D27" i="8"/>
  <c r="C27" i="8"/>
  <c r="B27" i="8"/>
  <c r="N26" i="8"/>
  <c r="M26" i="8"/>
  <c r="L26" i="8"/>
  <c r="J26" i="8"/>
  <c r="I26" i="8"/>
  <c r="G26" i="8"/>
  <c r="E26" i="8"/>
  <c r="D26" i="8"/>
  <c r="C26" i="8"/>
  <c r="B26" i="8"/>
  <c r="N22" i="8"/>
  <c r="M22" i="8"/>
  <c r="L22" i="8"/>
  <c r="J22" i="8"/>
  <c r="I22" i="8"/>
  <c r="G22" i="8"/>
  <c r="E22" i="8"/>
  <c r="D22" i="8"/>
  <c r="C22" i="8"/>
  <c r="B22" i="8"/>
  <c r="N21" i="8"/>
  <c r="M21" i="8"/>
  <c r="L21" i="8"/>
  <c r="J21" i="8"/>
  <c r="I21" i="8"/>
  <c r="G21" i="8"/>
  <c r="E21" i="8"/>
  <c r="D21" i="8"/>
  <c r="C21" i="8"/>
  <c r="B21" i="8"/>
  <c r="N17" i="8"/>
  <c r="M17" i="8"/>
  <c r="L17" i="8"/>
  <c r="J17" i="8"/>
  <c r="I17" i="8"/>
  <c r="G17" i="8"/>
  <c r="E17" i="8"/>
  <c r="D17" i="8"/>
  <c r="C17" i="8"/>
  <c r="B17" i="8"/>
  <c r="N16" i="8"/>
  <c r="M16" i="8"/>
  <c r="L16" i="8"/>
  <c r="J16" i="8"/>
  <c r="I16" i="8"/>
  <c r="G16" i="8"/>
  <c r="E16" i="8"/>
  <c r="D16" i="8"/>
  <c r="C16" i="8"/>
  <c r="B16" i="8"/>
  <c r="N9" i="8"/>
  <c r="N8" i="8"/>
  <c r="N5" i="8"/>
  <c r="M5" i="8"/>
  <c r="L5" i="8"/>
  <c r="K5" i="8"/>
  <c r="J5" i="8"/>
  <c r="I5" i="8"/>
  <c r="G5" i="8"/>
  <c r="E5" i="8"/>
  <c r="D5" i="8"/>
  <c r="C5" i="8"/>
  <c r="B5" i="8"/>
  <c r="N4" i="8"/>
  <c r="M4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H33" i="8" l="1"/>
  <c r="N28" i="7"/>
  <c r="M27" i="7"/>
  <c r="L27" i="7"/>
  <c r="O28" i="7"/>
  <c r="J28" i="7"/>
  <c r="E28" i="7"/>
  <c r="H17" i="4" l="1"/>
  <c r="K17" i="4"/>
  <c r="N27" i="7"/>
  <c r="E4" i="9"/>
  <c r="N4" i="9"/>
  <c r="Q4" i="9" l="1"/>
  <c r="H4" i="9"/>
  <c r="D30" i="3"/>
  <c r="D12" i="3"/>
  <c r="D7" i="3"/>
  <c r="D44" i="3"/>
  <c r="D40" i="3"/>
  <c r="D18" i="3"/>
  <c r="D22" i="3" l="1"/>
  <c r="D23" i="3" s="1"/>
  <c r="D35" i="3"/>
  <c r="D43" i="3"/>
  <c r="D45" i="3" s="1"/>
  <c r="O27" i="7"/>
  <c r="M26" i="7"/>
  <c r="L26" i="7"/>
  <c r="J27" i="7"/>
  <c r="E27" i="7"/>
  <c r="C26" i="7"/>
  <c r="B26" i="7"/>
  <c r="N26" i="7" l="1"/>
  <c r="D26" i="7"/>
  <c r="F50" i="9"/>
  <c r="O26" i="7"/>
  <c r="M25" i="7"/>
  <c r="L25" i="7"/>
  <c r="J26" i="7"/>
  <c r="C25" i="7"/>
  <c r="B25" i="7"/>
  <c r="E26" i="7"/>
  <c r="D25" i="7" l="1"/>
  <c r="H25" i="7"/>
  <c r="G25" i="7"/>
  <c r="N25" i="7"/>
  <c r="O25" i="7"/>
  <c r="M24" i="7"/>
  <c r="L24" i="7"/>
  <c r="J25" i="7"/>
  <c r="C24" i="7"/>
  <c r="B24" i="7"/>
  <c r="E25" i="7"/>
  <c r="I25" i="7" l="1"/>
  <c r="F68" i="9"/>
  <c r="N24" i="7"/>
  <c r="D24" i="7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M23" i="7"/>
  <c r="L23" i="7"/>
  <c r="O24" i="7"/>
  <c r="J24" i="7"/>
  <c r="C23" i="7"/>
  <c r="B23" i="7"/>
  <c r="E24" i="7"/>
  <c r="H23" i="7" l="1"/>
  <c r="G23" i="7"/>
  <c r="M22" i="7"/>
  <c r="L22" i="7"/>
  <c r="O23" i="7"/>
  <c r="J23" i="7"/>
  <c r="B22" i="7"/>
  <c r="C22" i="7"/>
  <c r="E23" i="7"/>
  <c r="O22" i="7" l="1"/>
  <c r="M21" i="7"/>
  <c r="L21" i="7"/>
  <c r="E22" i="7"/>
  <c r="J22" i="7"/>
  <c r="C21" i="7"/>
  <c r="B21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7" i="17" l="1"/>
  <c r="C10" i="8"/>
  <c r="O21" i="7"/>
  <c r="J21" i="7"/>
  <c r="E21" i="7"/>
  <c r="C6" i="8" l="1"/>
  <c r="C12" i="8" s="1"/>
  <c r="C23" i="8"/>
  <c r="C32" i="8"/>
  <c r="C28" i="8"/>
  <c r="C18" i="8"/>
  <c r="N7" i="17"/>
  <c r="Q7" i="17"/>
  <c r="H7" i="17"/>
  <c r="C31" i="8"/>
  <c r="H11" i="2" l="1"/>
  <c r="H21" i="2"/>
  <c r="H35" i="2"/>
  <c r="H6" i="2"/>
  <c r="C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I6" i="16"/>
  <c r="G41" i="4"/>
  <c r="D41" i="15"/>
  <c r="D7" i="15"/>
  <c r="D32" i="15"/>
  <c r="I30" i="16"/>
  <c r="J11" i="16"/>
  <c r="J23" i="16"/>
  <c r="J37" i="16"/>
  <c r="D12" i="15"/>
  <c r="G37" i="4"/>
  <c r="I11" i="16"/>
  <c r="I23" i="16"/>
  <c r="I37" i="16"/>
  <c r="D20" i="15"/>
  <c r="J6" i="16"/>
  <c r="J18" i="16"/>
  <c r="J30" i="16"/>
  <c r="G40" i="4"/>
  <c r="D40" i="15"/>
  <c r="I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F69" i="9" l="1"/>
  <c r="I4" i="9" s="1"/>
  <c r="P69" i="9"/>
  <c r="P67" i="9" s="1"/>
  <c r="L69" i="9"/>
  <c r="N69" i="9" s="1"/>
  <c r="D69" i="9"/>
  <c r="D67" i="9" s="1"/>
  <c r="G69" i="9"/>
  <c r="G67" i="9" s="1"/>
  <c r="O69" i="9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" i="9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54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28" i="17" l="1"/>
  <c r="P28" i="17" l="1"/>
  <c r="D28" i="17"/>
  <c r="G28" i="17"/>
  <c r="H17" i="17"/>
  <c r="Q17" i="17"/>
  <c r="H25" i="17"/>
  <c r="Q25" i="17"/>
  <c r="E5" i="17"/>
  <c r="E15" i="17"/>
  <c r="E17" i="17"/>
  <c r="H15" i="17"/>
  <c r="Q15" i="17"/>
  <c r="H23" i="17"/>
  <c r="Q23" i="17"/>
  <c r="F28" i="17"/>
  <c r="Q5" i="17"/>
  <c r="Q11" i="17"/>
  <c r="H13" i="17"/>
  <c r="Q13" i="17"/>
  <c r="E19" i="17"/>
  <c r="E21" i="17"/>
  <c r="E25" i="17"/>
  <c r="H21" i="17"/>
  <c r="E11" i="17"/>
  <c r="N11" i="17"/>
  <c r="H11" i="17"/>
  <c r="E13" i="17"/>
  <c r="N15" i="17"/>
  <c r="H19" i="17"/>
  <c r="E23" i="17"/>
  <c r="N23" i="17"/>
  <c r="C28" i="17"/>
  <c r="L28" i="17"/>
  <c r="Q21" i="17"/>
  <c r="O28" i="17"/>
  <c r="R9" i="17" s="1"/>
  <c r="H5" i="17"/>
  <c r="N5" i="17"/>
  <c r="N13" i="17"/>
  <c r="N17" i="17"/>
  <c r="N21" i="17"/>
  <c r="N25" i="17"/>
  <c r="I7" i="17" l="1"/>
  <c r="I9" i="17"/>
  <c r="R7" i="17"/>
  <c r="R5" i="17"/>
  <c r="Q28" i="17"/>
  <c r="H28" i="17"/>
  <c r="R25" i="17"/>
  <c r="R17" i="17"/>
  <c r="R23" i="17"/>
  <c r="R15" i="17"/>
  <c r="R13" i="17"/>
  <c r="R21" i="17"/>
  <c r="R11" i="17"/>
  <c r="I25" i="17"/>
  <c r="I19" i="17"/>
  <c r="I15" i="17"/>
  <c r="I13" i="17"/>
  <c r="I23" i="17"/>
  <c r="I17" i="17"/>
  <c r="I11" i="17"/>
  <c r="I21" i="17"/>
  <c r="I5" i="17"/>
  <c r="N28" i="17"/>
  <c r="E28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N4" i="16"/>
  <c r="J5" i="15"/>
  <c r="J15" i="15"/>
  <c r="J6" i="15"/>
  <c r="J16" i="15"/>
  <c r="J11" i="15"/>
  <c r="J19" i="15"/>
  <c r="I32" i="8" l="1"/>
  <c r="I18" i="8"/>
  <c r="I6" i="8"/>
  <c r="I31" i="8"/>
  <c r="I10" i="8"/>
  <c r="I12" i="8" l="1"/>
  <c r="I23" i="8"/>
  <c r="I28" i="8"/>
  <c r="I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K23" i="16" l="1"/>
  <c r="K30" i="16"/>
  <c r="K6" i="16"/>
  <c r="K37" i="16"/>
  <c r="K18" i="16"/>
  <c r="K11" i="16"/>
  <c r="J10" i="8" l="1"/>
  <c r="J18" i="8" l="1"/>
  <c r="J28" i="8"/>
  <c r="J31" i="8"/>
  <c r="J23" i="8"/>
  <c r="J6" i="8"/>
  <c r="J12" i="8" s="1"/>
  <c r="J32" i="8"/>
  <c r="M18" i="8"/>
  <c r="D30" i="2"/>
  <c r="B30" i="3"/>
  <c r="C27" i="4"/>
  <c r="K27" i="4"/>
  <c r="D23" i="8"/>
  <c r="D35" i="2"/>
  <c r="B35" i="3"/>
  <c r="F35" i="3"/>
  <c r="H35" i="3"/>
  <c r="E32" i="4"/>
  <c r="B32" i="15"/>
  <c r="H32" i="15"/>
  <c r="L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32" i="7"/>
  <c r="P32" i="7" s="1"/>
  <c r="I32" i="7"/>
  <c r="K32" i="7" s="1"/>
  <c r="D32" i="7"/>
  <c r="F32" i="7" s="1"/>
  <c r="I31" i="7"/>
  <c r="K31" i="7" s="1"/>
  <c r="I30" i="7"/>
  <c r="K30" i="7" s="1"/>
  <c r="J45" i="15"/>
  <c r="J44" i="15"/>
  <c r="N20" i="16"/>
  <c r="N8" i="16"/>
  <c r="K42" i="2"/>
  <c r="K37" i="2"/>
  <c r="K36" i="2"/>
  <c r="K32" i="2"/>
  <c r="K8" i="2"/>
  <c r="M34" i="4"/>
  <c r="M33" i="4"/>
  <c r="M14" i="4"/>
  <c r="B10" i="8"/>
  <c r="D10" i="8"/>
  <c r="E10" i="8"/>
  <c r="G10" i="8"/>
  <c r="K10" i="8"/>
  <c r="L10" i="8"/>
  <c r="M10" i="8"/>
  <c r="K33" i="8"/>
  <c r="M32" i="8" l="1"/>
  <c r="M37" i="16"/>
  <c r="H18" i="3"/>
  <c r="H23" i="3" s="1"/>
  <c r="C17" i="4"/>
  <c r="K37" i="4"/>
  <c r="E32" i="8"/>
  <c r="H37" i="16"/>
  <c r="B18" i="3"/>
  <c r="B37" i="16"/>
  <c r="E37" i="16"/>
  <c r="H44" i="3"/>
  <c r="J48" i="3"/>
  <c r="J50" i="2" s="1"/>
  <c r="K50" i="2" s="1"/>
  <c r="D30" i="16"/>
  <c r="H30" i="16"/>
  <c r="M11" i="16"/>
  <c r="K41" i="4"/>
  <c r="C23" i="16"/>
  <c r="M28" i="8"/>
  <c r="B22" i="3"/>
  <c r="K20" i="4"/>
  <c r="B46" i="4"/>
  <c r="B47" i="4" s="1"/>
  <c r="B44" i="3"/>
  <c r="D44" i="2"/>
  <c r="B18" i="8"/>
  <c r="L18" i="16"/>
  <c r="D6" i="16"/>
  <c r="C7" i="7"/>
  <c r="G18" i="3"/>
  <c r="H20" i="15"/>
  <c r="L28" i="8"/>
  <c r="B28" i="8"/>
  <c r="H37" i="15"/>
  <c r="E40" i="2"/>
  <c r="B40" i="2"/>
  <c r="G40" i="15"/>
  <c r="M18" i="16"/>
  <c r="B27" i="15"/>
  <c r="B30" i="16"/>
  <c r="E30" i="16"/>
  <c r="L30" i="16"/>
  <c r="E6" i="2"/>
  <c r="F12" i="15"/>
  <c r="I22" i="3"/>
  <c r="I23" i="3" s="1"/>
  <c r="B17" i="15"/>
  <c r="F12" i="7"/>
  <c r="B12" i="7"/>
  <c r="L6" i="8"/>
  <c r="L12" i="8" s="1"/>
  <c r="D20" i="1"/>
  <c r="N32" i="8"/>
  <c r="F41" i="15"/>
  <c r="B41" i="15"/>
  <c r="D41" i="4"/>
  <c r="D28" i="8"/>
  <c r="K40" i="4"/>
  <c r="H18" i="16"/>
  <c r="E43" i="2"/>
  <c r="B43" i="2"/>
  <c r="G32" i="15"/>
  <c r="C32" i="15"/>
  <c r="G44" i="3"/>
  <c r="B23" i="16"/>
  <c r="G11" i="16"/>
  <c r="E6" i="16"/>
  <c r="B6" i="16"/>
  <c r="H6" i="16"/>
  <c r="H12" i="15"/>
  <c r="H12" i="4"/>
  <c r="G12" i="3"/>
  <c r="C21" i="2"/>
  <c r="C23" i="2" s="1"/>
  <c r="H20" i="4"/>
  <c r="H17" i="15"/>
  <c r="D32" i="4"/>
  <c r="I35" i="3"/>
  <c r="N23" i="8"/>
  <c r="E23" i="8"/>
  <c r="F27" i="15"/>
  <c r="J28" i="3"/>
  <c r="J28" i="2" s="1"/>
  <c r="K28" i="2" s="1"/>
  <c r="B5" i="5" s="1"/>
  <c r="L23" i="8"/>
  <c r="J33" i="8"/>
  <c r="C30" i="16"/>
  <c r="G30" i="16"/>
  <c r="G7" i="3"/>
  <c r="E7" i="7"/>
  <c r="C12" i="7"/>
  <c r="M6" i="8"/>
  <c r="M12" i="8" s="1"/>
  <c r="K32" i="4"/>
  <c r="D27" i="4"/>
  <c r="N18" i="8"/>
  <c r="E18" i="8"/>
  <c r="G31" i="8"/>
  <c r="H23" i="16"/>
  <c r="G6" i="16"/>
  <c r="C6" i="16"/>
  <c r="F7" i="3"/>
  <c r="I7" i="3"/>
  <c r="B6" i="8"/>
  <c r="B12" i="8" s="1"/>
  <c r="B40" i="4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N31" i="8"/>
  <c r="E28" i="8"/>
  <c r="D40" i="4"/>
  <c r="H40" i="3"/>
  <c r="B40" i="3"/>
  <c r="D40" i="2"/>
  <c r="F44" i="3"/>
  <c r="B32" i="8"/>
  <c r="N10" i="8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N5" i="16"/>
  <c r="J26" i="15"/>
  <c r="L26" i="4" s="1"/>
  <c r="M26" i="4" s="1"/>
  <c r="C6" i="5" s="1"/>
  <c r="B23" i="8"/>
  <c r="L23" i="16"/>
  <c r="D37" i="4"/>
  <c r="B40" i="15"/>
  <c r="J20" i="3"/>
  <c r="J19" i="2" s="1"/>
  <c r="K19" i="2" s="1"/>
  <c r="O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E23" i="16"/>
  <c r="L11" i="16"/>
  <c r="C40" i="4"/>
  <c r="D31" i="8"/>
  <c r="F43" i="3"/>
  <c r="B41" i="4"/>
  <c r="C32" i="4"/>
  <c r="B18" i="16"/>
  <c r="E18" i="16"/>
  <c r="N21" i="16"/>
  <c r="H7" i="3"/>
  <c r="C6" i="2"/>
  <c r="G7" i="15"/>
  <c r="E7" i="4"/>
  <c r="J16" i="3"/>
  <c r="J15" i="2" s="1"/>
  <c r="K15" i="2" s="1"/>
  <c r="H40" i="15"/>
  <c r="E6" i="8"/>
  <c r="E12" i="8" s="1"/>
  <c r="O5" i="8"/>
  <c r="C19" i="1" s="1"/>
  <c r="O27" i="8"/>
  <c r="D16" i="5" s="1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G18" i="8"/>
  <c r="C30" i="2"/>
  <c r="I40" i="3"/>
  <c r="I44" i="3"/>
  <c r="O9" i="8"/>
  <c r="N28" i="16"/>
  <c r="N17" i="16"/>
  <c r="G18" i="16"/>
  <c r="D23" i="16"/>
  <c r="H40" i="4"/>
  <c r="H37" i="4"/>
  <c r="J38" i="3"/>
  <c r="J38" i="2" s="1"/>
  <c r="F40" i="3"/>
  <c r="G28" i="8"/>
  <c r="G32" i="8"/>
  <c r="O16" i="8"/>
  <c r="D5" i="5" s="1"/>
  <c r="G37" i="15"/>
  <c r="L18" i="4"/>
  <c r="M18" i="4" s="1"/>
  <c r="L32" i="8"/>
  <c r="N10" i="16"/>
  <c r="B11" i="16"/>
  <c r="K51" i="2"/>
  <c r="J21" i="3"/>
  <c r="J20" i="2" s="1"/>
  <c r="K20" i="2" s="1"/>
  <c r="G22" i="3"/>
  <c r="H41" i="4"/>
  <c r="O26" i="8"/>
  <c r="D15" i="5" s="1"/>
  <c r="C37" i="15"/>
  <c r="G30" i="3"/>
  <c r="J46" i="15"/>
  <c r="L44" i="4" s="1"/>
  <c r="M44" i="4" s="1"/>
  <c r="L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O22" i="8"/>
  <c r="D11" i="5" s="1"/>
  <c r="G27" i="15"/>
  <c r="C41" i="15"/>
  <c r="E41" i="4"/>
  <c r="F30" i="3"/>
  <c r="O17" i="8"/>
  <c r="G37" i="16"/>
  <c r="H11" i="16"/>
  <c r="D11" i="16"/>
  <c r="D6" i="2"/>
  <c r="L6" i="4"/>
  <c r="M6" i="4" s="1"/>
  <c r="F7" i="7"/>
  <c r="E11" i="2"/>
  <c r="B11" i="2"/>
  <c r="B12" i="3"/>
  <c r="C20" i="4"/>
  <c r="B37" i="15"/>
  <c r="O21" i="8"/>
  <c r="H27" i="4"/>
  <c r="M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N6" i="8"/>
  <c r="H41" i="15"/>
  <c r="B31" i="8"/>
  <c r="L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K6" i="8"/>
  <c r="K12" i="8" s="1"/>
  <c r="N28" i="8"/>
  <c r="G6" i="8"/>
  <c r="G12" i="8" s="1"/>
  <c r="B6" i="2"/>
  <c r="J17" i="3"/>
  <c r="J16" i="2" s="1"/>
  <c r="C41" i="4"/>
  <c r="C40" i="15"/>
  <c r="J25" i="15"/>
  <c r="L25" i="4" s="1"/>
  <c r="C27" i="15"/>
  <c r="E40" i="4"/>
  <c r="E27" i="4"/>
  <c r="M30" i="16"/>
  <c r="N27" i="16"/>
  <c r="N16" i="16"/>
  <c r="D18" i="16"/>
  <c r="M23" i="16"/>
  <c r="N22" i="16"/>
  <c r="N34" i="16"/>
  <c r="J12" i="5"/>
  <c r="J21" i="5"/>
  <c r="O4" i="8"/>
  <c r="B19" i="1" s="1"/>
  <c r="D6" i="8"/>
  <c r="M31" i="8"/>
  <c r="M23" i="8"/>
  <c r="D32" i="8"/>
  <c r="B43" i="3"/>
  <c r="C11" i="16"/>
  <c r="N9" i="16"/>
  <c r="B29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18" i="8"/>
  <c r="D37" i="16"/>
  <c r="C37" i="16"/>
  <c r="N35" i="16"/>
  <c r="L11" i="4"/>
  <c r="M11" i="4" s="1"/>
  <c r="L15" i="4"/>
  <c r="M15" i="4" s="1"/>
  <c r="L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29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O10" i="8"/>
  <c r="H45" i="3"/>
  <c r="L33" i="8"/>
  <c r="G45" i="3"/>
  <c r="D45" i="2"/>
  <c r="N12" i="8"/>
  <c r="G23" i="3"/>
  <c r="B33" i="8"/>
  <c r="G42" i="15"/>
  <c r="H21" i="15"/>
  <c r="B42" i="4"/>
  <c r="D7" i="1"/>
  <c r="J17" i="2"/>
  <c r="K17" i="2" s="1"/>
  <c r="J12" i="3"/>
  <c r="J44" i="3"/>
  <c r="E45" i="2"/>
  <c r="N33" i="8"/>
  <c r="E21" i="4"/>
  <c r="D17" i="5"/>
  <c r="F45" i="3"/>
  <c r="F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J32" i="15"/>
  <c r="M25" i="4"/>
  <c r="C5" i="5" s="1"/>
  <c r="J30" i="3"/>
  <c r="N6" i="16"/>
  <c r="J7" i="3"/>
  <c r="O23" i="8"/>
  <c r="B21" i="4"/>
  <c r="O18" i="8"/>
  <c r="O31" i="8"/>
  <c r="G12" i="7"/>
  <c r="N11" i="16"/>
  <c r="J22" i="5"/>
  <c r="K29" i="2"/>
  <c r="B6" i="5" s="1"/>
  <c r="B7" i="5" s="1"/>
  <c r="J21" i="2"/>
  <c r="K21" i="2" s="1"/>
  <c r="H42" i="4"/>
  <c r="N23" i="16"/>
  <c r="L32" i="4"/>
  <c r="M32" i="4" s="1"/>
  <c r="C37" i="1"/>
  <c r="H42" i="15"/>
  <c r="J22" i="3"/>
  <c r="E23" i="2"/>
  <c r="J27" i="15"/>
  <c r="B16" i="1"/>
  <c r="C17" i="1"/>
  <c r="N37" i="16"/>
  <c r="L41" i="4"/>
  <c r="M41" i="4" s="1"/>
  <c r="N18" i="16"/>
  <c r="D19" i="1"/>
  <c r="J6" i="2"/>
  <c r="K6" i="2" s="1"/>
  <c r="D5" i="1" s="1"/>
  <c r="L20" i="4"/>
  <c r="M20" i="4" s="1"/>
  <c r="O32" i="8"/>
  <c r="G7" i="7"/>
  <c r="N30" i="16"/>
  <c r="O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M33" i="8"/>
  <c r="J37" i="15"/>
  <c r="J18" i="3"/>
  <c r="L17" i="4"/>
  <c r="M17" i="4" s="1"/>
  <c r="D10" i="5"/>
  <c r="D12" i="8"/>
  <c r="O6" i="8"/>
  <c r="E42" i="4"/>
  <c r="C42" i="15"/>
  <c r="J40" i="15"/>
  <c r="J41" i="15"/>
  <c r="D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9" i="7" l="1"/>
  <c r="F29" i="7" s="1"/>
  <c r="F26" i="7"/>
  <c r="F25" i="7"/>
  <c r="F24" i="7"/>
  <c r="D23" i="7"/>
  <c r="F23" i="7" s="1"/>
  <c r="D22" i="7"/>
  <c r="F22" i="7" s="1"/>
  <c r="B8" i="1"/>
  <c r="F18" i="1"/>
  <c r="J21" i="15"/>
  <c r="D6" i="1"/>
  <c r="C8" i="1"/>
  <c r="C33" i="1" s="1"/>
  <c r="O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O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B32" i="1"/>
  <c r="B11" i="1"/>
  <c r="L29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M29" i="7" l="1"/>
  <c r="H29" i="7" s="1"/>
  <c r="G29" i="7"/>
  <c r="P28" i="7"/>
  <c r="H26" i="7"/>
  <c r="P26" i="7"/>
  <c r="G26" i="7"/>
  <c r="H24" i="7"/>
  <c r="P24" i="7"/>
  <c r="G24" i="7"/>
  <c r="H22" i="7"/>
  <c r="F10" i="1"/>
  <c r="N22" i="7"/>
  <c r="P22" i="7" s="1"/>
  <c r="G22" i="7"/>
  <c r="C32" i="1"/>
  <c r="F28" i="1"/>
  <c r="D11" i="1"/>
  <c r="F11" i="1" s="1"/>
  <c r="H21" i="7"/>
  <c r="N21" i="7"/>
  <c r="L33" i="7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N29" i="7" l="1"/>
  <c r="P29" i="7" s="1"/>
  <c r="I29" i="7"/>
  <c r="K29" i="7" s="1"/>
  <c r="I26" i="7"/>
  <c r="K26" i="7" s="1"/>
  <c r="P27" i="7"/>
  <c r="K25" i="7"/>
  <c r="I24" i="7"/>
  <c r="K24" i="7" s="1"/>
  <c r="P25" i="7"/>
  <c r="I23" i="7"/>
  <c r="K23" i="7" s="1"/>
  <c r="M33" i="7"/>
  <c r="N23" i="7"/>
  <c r="P23" i="7" s="1"/>
  <c r="I22" i="7"/>
  <c r="K22" i="7" s="1"/>
  <c r="P21" i="7"/>
  <c r="I21" i="7"/>
  <c r="F22" i="5"/>
  <c r="H22" i="5" s="1"/>
  <c r="H20" i="5"/>
  <c r="N33" i="7" l="1"/>
  <c r="P33" i="7" s="1"/>
  <c r="K21" i="7"/>
  <c r="B28" i="7" l="1"/>
  <c r="C28" i="7" l="1"/>
  <c r="H28" i="7" s="1"/>
  <c r="D28" i="7"/>
  <c r="F28" i="7" s="1"/>
  <c r="G28" i="7"/>
  <c r="I28" i="7" s="1"/>
  <c r="K28" i="7" s="1"/>
  <c r="B27" i="7" l="1"/>
  <c r="G21" i="1"/>
  <c r="G20" i="1"/>
  <c r="D33" i="1"/>
  <c r="G5" i="1"/>
  <c r="I16" i="5"/>
  <c r="C27" i="7" l="1"/>
  <c r="D27" i="7"/>
  <c r="B33" i="7"/>
  <c r="G27" i="7"/>
  <c r="I20" i="1"/>
  <c r="I21" i="1"/>
  <c r="G18" i="1"/>
  <c r="G19" i="1"/>
  <c r="G7" i="1"/>
  <c r="I5" i="1"/>
  <c r="G16" i="1"/>
  <c r="I6" i="5"/>
  <c r="F27" i="7" l="1"/>
  <c r="D33" i="7"/>
  <c r="F33" i="7" s="1"/>
  <c r="C33" i="7"/>
  <c r="H27" i="7"/>
  <c r="H33" i="7" s="1"/>
  <c r="G33" i="7"/>
  <c r="I27" i="7"/>
  <c r="I18" i="1"/>
  <c r="I7" i="1"/>
  <c r="I19" i="1"/>
  <c r="K6" i="5"/>
  <c r="I16" i="1"/>
  <c r="G6" i="1"/>
  <c r="D32" i="1"/>
  <c r="I5" i="5"/>
  <c r="I15" i="5"/>
  <c r="G27" i="1"/>
  <c r="I10" i="5"/>
  <c r="K27" i="7" l="1"/>
  <c r="I33" i="7"/>
  <c r="K33" i="7" s="1"/>
  <c r="I17" i="5"/>
  <c r="K17" i="5" s="1"/>
  <c r="K15" i="5"/>
  <c r="I6" i="1"/>
  <c r="G8" i="1"/>
  <c r="I27" i="1"/>
  <c r="G17" i="1"/>
  <c r="G28" i="1"/>
  <c r="D34" i="1"/>
  <c r="E33" i="1" s="1"/>
  <c r="I20" i="5"/>
  <c r="K5" i="5"/>
  <c r="I7" i="5"/>
  <c r="K7" i="5" s="1"/>
  <c r="I11" i="5"/>
  <c r="K10" i="5"/>
  <c r="G10" i="1"/>
  <c r="I12" i="5" l="1"/>
  <c r="K12" i="5" s="1"/>
  <c r="I28" i="1"/>
  <c r="G29" i="1"/>
  <c r="I29" i="1" s="1"/>
  <c r="I10" i="1"/>
  <c r="E32" i="1"/>
  <c r="I17" i="1"/>
  <c r="G22" i="1"/>
  <c r="I22" i="1" s="1"/>
  <c r="I8" i="1"/>
  <c r="G11" i="1"/>
  <c r="I11" i="1" s="1"/>
  <c r="K20" i="5"/>
  <c r="K11" i="5"/>
  <c r="I21" i="5"/>
  <c r="K21" i="5" s="1"/>
  <c r="I22" i="5" l="1"/>
  <c r="K22" i="5" s="1"/>
</calcChain>
</file>

<file path=xl/sharedStrings.xml><?xml version="1.0" encoding="utf-8"?>
<sst xmlns="http://schemas.openxmlformats.org/spreadsheetml/2006/main" count="596" uniqueCount="229">
  <si>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</si>
  <si>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</si>
  <si>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</si>
  <si>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</si>
  <si>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</si>
  <si>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</si>
  <si>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</si>
  <si>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</si>
  <si>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</si>
  <si>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</si>
  <si>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</si>
  <si>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</si>
  <si>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</si>
  <si>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</si>
  <si>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</si>
  <si>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</si>
  <si>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</si>
  <si>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</si>
  <si>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</si>
  <si>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</si>
  <si>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</si>
  <si>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</si>
  <si>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</si>
  <si>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</si>
  <si>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</si>
  <si>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</si>
  <si>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</si>
  <si>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</si>
  <si>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</si>
  <si>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</si>
  <si>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</si>
  <si>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</si>
  <si>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</si>
  <si>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</si>
  <si>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</si>
  <si>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</si>
  <si>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</si>
  <si>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</si>
  <si>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</si>
  <si>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</si>
  <si>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</si>
  <si>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</si>
  <si>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</si>
  <si>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</si>
  <si>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</si>
  <si>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</si>
  <si>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</si>
  <si>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</si>
  <si>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</si>
  <si>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</si>
  <si>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</si>
  <si>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</si>
  <si>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</si>
  <si>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</si>
  <si>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</si>
  <si>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</si>
  <si>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</si>
  <si>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</si>
  <si>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</si>
  <si>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</si>
  <si>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</si>
  <si>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</si>
  <si>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</si>
  <si>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</si>
  <si>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</si>
  <si>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</si>
  <si>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</si>
  <si>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</si>
  <si>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</si>
  <si>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</si>
  <si>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</si>
  <si>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</si>
  <si>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</si>
  <si>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</si>
  <si>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</si>
  <si>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</si>
  <si>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</si>
  <si>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</si>
  <si>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</si>
  <si>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</si>
  <si>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</si>
  <si>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</si>
  <si>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</si>
  <si>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</si>
  <si>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</si>
  <si>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</si>
  <si>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</si>
  <si>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</si>
  <si>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</si>
  <si>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</si>
  <si>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</si>
  <si>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</si>
  <si>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</si>
  <si>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</si>
  <si>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</si>
  <si>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</si>
  <si>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</si>
  <si>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</si>
  <si>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</si>
  <si>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</si>
  <si>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</si>
  <si>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</si>
  <si>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</si>
  <si>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</si>
  <si>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</si>
  <si>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</si>
  <si>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</si>
  <si>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</si>
  <si>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</si>
  <si>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</si>
  <si>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</si>
  <si>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</si>
  <si>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</si>
  <si>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</si>
  <si>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</si>
  <si>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</si>
  <si>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</si>
  <si>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</si>
  <si>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</si>
  <si>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</si>
  <si>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</si>
  <si>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</si>
  <si>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</si>
  <si>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</si>
  <si>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</si>
  <si>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</si>
  <si>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</si>
  <si>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</si>
  <si>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</si>
  <si>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</si>
  <si>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</si>
  <si>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</si>
  <si>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</si>
  <si>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</si>
  <si>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</si>
  <si>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</si>
  <si>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</si>
  <si>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</si>
  <si>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</si>
  <si>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</si>
  <si>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</si>
  <si>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</si>
  <si>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</si>
  <si>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</si>
  <si>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</si>
  <si>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</si>
  <si>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</si>
  <si>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</si>
  <si>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</si>
  <si>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</si>
  <si>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</si>
  <si>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</si>
  <si>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</si>
  <si>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</si>
  <si>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</si>
  <si>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</si>
  <si>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</si>
  <si>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</si>
  <si>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</si>
  <si>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</si>
  <si>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</si>
  <si>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</si>
  <si>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</si>
  <si>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</si>
  <si>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</si>
  <si>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</si>
  <si>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</si>
  <si>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</si>
  <si>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</si>
  <si>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</si>
  <si>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</si>
  <si>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</si>
  <si>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</si>
  <si>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</si>
  <si>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</si>
  <si>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</si>
  <si>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</si>
  <si>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</si>
  <si>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</si>
  <si>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</si>
  <si>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</si>
  <si>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</si>
  <si>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</si>
  <si>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</si>
  <si>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</si>
  <si>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</si>
  <si>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</si>
  <si>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</si>
  <si>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</si>
  <si>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</si>
  <si>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</si>
  <si>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</si>
  <si>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</si>
  <si>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</si>
  <si>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</si>
  <si>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</si>
  <si>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</si>
  <si>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</si>
  <si>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</si>
  <si>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</si>
  <si>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</si>
  <si>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</si>
  <si>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</si>
  <si>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</si>
  <si>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</si>
  <si>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</si>
  <si>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</si>
  <si>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</si>
  <si>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</si>
  <si>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</si>
  <si>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</si>
  <si>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</si>
  <si>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</si>
  <si>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</si>
  <si>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</si>
  <si>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</si>
  <si>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</si>
  <si>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</si>
  <si>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</si>
  <si>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</si>
  <si>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</si>
  <si>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</si>
  <si>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</si>
  <si>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</si>
  <si>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</si>
  <si>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Aer Lingus</t>
  </si>
  <si>
    <t>September 2018</t>
  </si>
  <si>
    <t>Encore Air Cargo</t>
  </si>
  <si>
    <t>Encore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</si>
</sst>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September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ugust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2356635</v>
          </cell>
          <cell r="G5">
            <v>22153430</v>
          </cell>
        </row>
        <row r="6">
          <cell r="D6">
            <v>590457</v>
          </cell>
          <cell r="G6">
            <v>5881477</v>
          </cell>
        </row>
        <row r="7">
          <cell r="D7">
            <v>350</v>
          </cell>
          <cell r="G7">
            <v>3755</v>
          </cell>
        </row>
        <row r="10">
          <cell r="D10">
            <v>102772</v>
          </cell>
          <cell r="G10">
            <v>959132</v>
          </cell>
        </row>
        <row r="16">
          <cell r="D16">
            <v>18582</v>
          </cell>
          <cell r="G16">
            <v>168385</v>
          </cell>
        </row>
        <row r="17">
          <cell r="D17">
            <v>11682</v>
          </cell>
          <cell r="G17">
            <v>113217</v>
          </cell>
        </row>
        <row r="18">
          <cell r="D18">
            <v>2</v>
          </cell>
          <cell r="G18">
            <v>30</v>
          </cell>
        </row>
        <row r="19">
          <cell r="D19">
            <v>1262</v>
          </cell>
          <cell r="G19">
            <v>11332</v>
          </cell>
        </row>
        <row r="20">
          <cell r="D20">
            <v>1765</v>
          </cell>
          <cell r="G20">
            <v>15446</v>
          </cell>
        </row>
        <row r="21">
          <cell r="D21">
            <v>59</v>
          </cell>
          <cell r="G21">
            <v>889</v>
          </cell>
        </row>
        <row r="27">
          <cell r="D27">
            <v>18815.251911556101</v>
          </cell>
          <cell r="G27">
            <v>158303.37380251166</v>
          </cell>
        </row>
        <row r="28">
          <cell r="D28">
            <v>1701.5415531090898</v>
          </cell>
          <cell r="G28">
            <v>18685.875574230478</v>
          </cell>
        </row>
        <row r="32">
          <cell r="B32">
            <v>895252</v>
          </cell>
          <cell r="D32">
            <v>8740665</v>
          </cell>
        </row>
        <row r="33">
          <cell r="B33">
            <v>586816</v>
          </cell>
          <cell r="D33">
            <v>5251917</v>
          </cell>
        </row>
      </sheetData>
      <sheetData sheetId="1"/>
      <sheetData sheetId="2"/>
      <sheetData sheetId="3"/>
      <sheetData sheetId="4"/>
      <sheetData sheetId="5">
        <row r="29">
          <cell r="D29">
            <v>225661</v>
          </cell>
          <cell r="I29">
            <v>2824553</v>
          </cell>
          <cell r="N29">
            <v>3050214</v>
          </cell>
        </row>
      </sheetData>
      <sheetData sheetId="6"/>
      <sheetData sheetId="7">
        <row r="5">
          <cell r="F5">
            <v>10651.024700231299</v>
          </cell>
          <cell r="I5">
            <v>88741.934815100482</v>
          </cell>
        </row>
        <row r="6">
          <cell r="F6">
            <v>764.33988443196995</v>
          </cell>
          <cell r="I6">
            <v>7628.976874915551</v>
          </cell>
        </row>
        <row r="10">
          <cell r="F10">
            <v>8164.2272113248</v>
          </cell>
          <cell r="I10">
            <v>69561.438987411137</v>
          </cell>
        </row>
        <row r="11">
          <cell r="F11">
            <v>937.20166867711998</v>
          </cell>
          <cell r="I11">
            <v>11056.89869931493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18815.251911556101</v>
          </cell>
        </row>
        <row r="21">
          <cell r="F21">
            <v>1701.54155310909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17726743</v>
          </cell>
        </row>
      </sheetData>
      <sheetData sheetId="1"/>
      <sheetData sheetId="2"/>
      <sheetData sheetId="3"/>
      <sheetData sheetId="4"/>
      <sheetData sheetId="5">
        <row r="27">
          <cell r="B27">
            <v>155961</v>
          </cell>
          <cell r="C27">
            <v>140807</v>
          </cell>
          <cell r="L27">
            <v>1926360</v>
          </cell>
          <cell r="M27">
            <v>1918669</v>
          </cell>
        </row>
      </sheetData>
      <sheetData sheetId="6"/>
      <sheetData sheetId="7">
        <row r="5">
          <cell r="I5">
            <v>62853.896456799142</v>
          </cell>
        </row>
      </sheetData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2901620</v>
          </cell>
        </row>
      </sheetData>
      <sheetData sheetId="1"/>
      <sheetData sheetId="2"/>
      <sheetData sheetId="3"/>
      <sheetData sheetId="4"/>
      <sheetData sheetId="5">
        <row r="28">
          <cell r="D28">
            <v>275867</v>
          </cell>
          <cell r="I28">
            <v>3463238</v>
          </cell>
          <cell r="N28">
            <v>3739105</v>
          </cell>
        </row>
      </sheetData>
      <sheetData sheetId="6"/>
      <sheetData sheetId="7">
        <row r="5">
          <cell r="F5">
            <v>11041.675232192989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20720425</v>
          </cell>
        </row>
        <row r="6">
          <cell r="G6">
            <v>5186396</v>
          </cell>
        </row>
        <row r="7">
          <cell r="G7">
            <v>4725</v>
          </cell>
        </row>
        <row r="10">
          <cell r="G10">
            <v>822523</v>
          </cell>
        </row>
        <row r="16">
          <cell r="G16">
            <v>153425</v>
          </cell>
        </row>
        <row r="17">
          <cell r="G17">
            <v>96858</v>
          </cell>
        </row>
        <row r="18">
          <cell r="G18">
            <v>56</v>
          </cell>
        </row>
        <row r="19">
          <cell r="G19">
            <v>9443</v>
          </cell>
        </row>
        <row r="20">
          <cell r="G20">
            <v>12582</v>
          </cell>
        </row>
        <row r="21">
          <cell r="G21">
            <v>755</v>
          </cell>
        </row>
        <row r="27">
          <cell r="G27">
            <v>133230.52394050398</v>
          </cell>
        </row>
        <row r="28">
          <cell r="G28">
            <v>16331.483512496459</v>
          </cell>
        </row>
        <row r="32">
          <cell r="D32">
            <v>8177207</v>
          </cell>
        </row>
        <row r="33">
          <cell r="D33">
            <v>4741770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8">
          <cell r="B28">
            <v>155262</v>
          </cell>
          <cell r="C28">
            <v>151595</v>
          </cell>
          <cell r="L28">
            <v>1929609</v>
          </cell>
          <cell r="M28">
            <v>1915988</v>
          </cell>
        </row>
      </sheetData>
      <sheetData sheetId="6" refreshError="1"/>
      <sheetData sheetId="7">
        <row r="5">
          <cell r="I5">
            <v>72709.837688944608</v>
          </cell>
        </row>
        <row r="6">
          <cell r="I6">
            <v>6730.8689718316209</v>
          </cell>
        </row>
        <row r="10">
          <cell r="I10">
            <v>60520.686251559368</v>
          </cell>
        </row>
        <row r="11">
          <cell r="I11">
            <v>9600.6145406648393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J4">
            <v>102</v>
          </cell>
        </row>
        <row r="5">
          <cell r="GJ5">
            <v>102</v>
          </cell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</row>
        <row r="22">
          <cell r="GJ22">
            <v>453</v>
          </cell>
        </row>
        <row r="23">
          <cell r="GJ23">
            <v>437</v>
          </cell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</row>
      </sheetData>
      <sheetData sheetId="3"/>
      <sheetData sheetId="4">
        <row r="15"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  <cell r="GJ15">
            <v>21</v>
          </cell>
        </row>
        <row r="16"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  <cell r="GJ16">
            <v>21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</row>
        <row r="32"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  <cell r="GJ32">
            <v>5536</v>
          </cell>
        </row>
        <row r="33"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  <cell r="GJ33">
            <v>5202</v>
          </cell>
        </row>
        <row r="37">
          <cell r="GG37">
            <v>4</v>
          </cell>
          <cell r="GH37">
            <v>7</v>
          </cell>
          <cell r="GI37">
            <v>8</v>
          </cell>
          <cell r="GJ37">
            <v>5</v>
          </cell>
        </row>
        <row r="38">
          <cell r="GG38">
            <v>6</v>
          </cell>
          <cell r="GH38">
            <v>2</v>
          </cell>
          <cell r="GI38">
            <v>5</v>
          </cell>
          <cell r="GJ38">
            <v>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</row>
        <row r="47">
          <cell r="GJ47">
            <v>161574</v>
          </cell>
        </row>
        <row r="52">
          <cell r="GJ52">
            <v>63445</v>
          </cell>
        </row>
      </sheetData>
      <sheetData sheetId="5">
        <row r="15">
          <cell r="GH15">
            <v>23</v>
          </cell>
          <cell r="GI15">
            <v>30</v>
          </cell>
          <cell r="GJ15">
            <v>30</v>
          </cell>
        </row>
        <row r="16">
          <cell r="GH16">
            <v>23</v>
          </cell>
          <cell r="GI16">
            <v>30</v>
          </cell>
          <cell r="GJ16">
            <v>30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</row>
        <row r="32">
          <cell r="GH32">
            <v>3556</v>
          </cell>
          <cell r="GI32">
            <v>4421</v>
          </cell>
          <cell r="GJ32">
            <v>4042</v>
          </cell>
        </row>
        <row r="33">
          <cell r="GH33">
            <v>3362</v>
          </cell>
          <cell r="GI33">
            <v>4246</v>
          </cell>
          <cell r="GJ33">
            <v>4572</v>
          </cell>
        </row>
        <row r="37">
          <cell r="GH37">
            <v>30</v>
          </cell>
          <cell r="GI37">
            <v>43</v>
          </cell>
          <cell r="GJ37">
            <v>35</v>
          </cell>
        </row>
        <row r="38">
          <cell r="GH38">
            <v>23</v>
          </cell>
          <cell r="GI38">
            <v>42</v>
          </cell>
          <cell r="GJ38">
            <v>12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</row>
        <row r="52">
          <cell r="GJ52">
            <v>313</v>
          </cell>
        </row>
      </sheetData>
      <sheetData sheetId="6">
        <row r="4">
          <cell r="GJ4">
            <v>116</v>
          </cell>
        </row>
        <row r="5">
          <cell r="GJ5">
            <v>116</v>
          </cell>
        </row>
        <row r="8">
          <cell r="GJ8">
            <v>1</v>
          </cell>
        </row>
        <row r="9">
          <cell r="GJ9">
            <v>1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</row>
        <row r="22">
          <cell r="GJ22">
            <v>14240</v>
          </cell>
        </row>
        <row r="23">
          <cell r="GJ23">
            <v>13300</v>
          </cell>
        </row>
        <row r="27">
          <cell r="GJ27">
            <v>438</v>
          </cell>
        </row>
        <row r="28">
          <cell r="GJ28">
            <v>457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</row>
        <row r="47">
          <cell r="GJ47">
            <v>34493</v>
          </cell>
        </row>
        <row r="48">
          <cell r="GJ48">
            <v>127</v>
          </cell>
        </row>
        <row r="52">
          <cell r="GJ52">
            <v>3508</v>
          </cell>
        </row>
        <row r="53">
          <cell r="GJ53">
            <v>106</v>
          </cell>
        </row>
      </sheetData>
      <sheetData sheetId="7"/>
      <sheetData sheetId="8">
        <row r="4">
          <cell r="GJ4">
            <v>580</v>
          </cell>
        </row>
        <row r="5">
          <cell r="GJ5">
            <v>580</v>
          </cell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</row>
        <row r="22">
          <cell r="GJ22">
            <v>69359</v>
          </cell>
        </row>
        <row r="23">
          <cell r="GJ23">
            <v>70459</v>
          </cell>
        </row>
        <row r="27">
          <cell r="GJ27">
            <v>3025</v>
          </cell>
        </row>
        <row r="28">
          <cell r="GJ28">
            <v>3367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</row>
        <row r="47">
          <cell r="GJ47">
            <v>42094</v>
          </cell>
        </row>
        <row r="48">
          <cell r="GJ48">
            <v>22597</v>
          </cell>
        </row>
        <row r="52">
          <cell r="GJ52">
            <v>6931</v>
          </cell>
        </row>
        <row r="53">
          <cell r="GJ53">
            <v>30559</v>
          </cell>
        </row>
      </sheetData>
      <sheetData sheetId="9"/>
      <sheetData sheetId="10">
        <row r="4">
          <cell r="GJ4">
            <v>658</v>
          </cell>
        </row>
        <row r="5">
          <cell r="GJ5">
            <v>651</v>
          </cell>
        </row>
        <row r="8">
          <cell r="GJ8">
            <v>101</v>
          </cell>
        </row>
        <row r="9">
          <cell r="GJ9">
            <v>101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  <cell r="GJ15">
            <v>4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  <cell r="GJ16">
            <v>4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</row>
        <row r="22">
          <cell r="GJ22">
            <v>92040</v>
          </cell>
        </row>
        <row r="23">
          <cell r="GJ23">
            <v>93211</v>
          </cell>
        </row>
        <row r="27">
          <cell r="GJ27">
            <v>1541</v>
          </cell>
        </row>
        <row r="28">
          <cell r="GJ28">
            <v>1443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  <cell r="GJ32">
            <v>345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  <cell r="GJ37">
            <v>0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</row>
        <row r="47">
          <cell r="GJ47">
            <v>77053</v>
          </cell>
        </row>
        <row r="48">
          <cell r="GJ48">
            <v>399238</v>
          </cell>
        </row>
        <row r="52">
          <cell r="GJ52">
            <v>2396</v>
          </cell>
        </row>
        <row r="53">
          <cell r="GJ53">
            <v>315999</v>
          </cell>
        </row>
        <row r="70">
          <cell r="GJ70">
            <v>93211</v>
          </cell>
        </row>
        <row r="73">
          <cell r="GJ73">
            <v>437</v>
          </cell>
        </row>
      </sheetData>
      <sheetData sheetId="11">
        <row r="4">
          <cell r="GJ4">
            <v>82</v>
          </cell>
        </row>
        <row r="5">
          <cell r="GJ5">
            <v>82</v>
          </cell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</row>
        <row r="22">
          <cell r="GJ22">
            <v>485</v>
          </cell>
        </row>
        <row r="23">
          <cell r="GJ23">
            <v>436</v>
          </cell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</row>
      </sheetData>
      <sheetData sheetId="12">
        <row r="15">
          <cell r="GF15">
            <v>1</v>
          </cell>
          <cell r="GG15">
            <v>10</v>
          </cell>
          <cell r="GH15">
            <v>17</v>
          </cell>
          <cell r="GI15">
            <v>18</v>
          </cell>
          <cell r="GJ15">
            <v>8</v>
          </cell>
        </row>
        <row r="16">
          <cell r="GF16">
            <v>1</v>
          </cell>
          <cell r="GG16">
            <v>10</v>
          </cell>
          <cell r="GH16">
            <v>17</v>
          </cell>
          <cell r="GI16">
            <v>18</v>
          </cell>
          <cell r="GJ16">
            <v>8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</row>
        <row r="32"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  <cell r="GJ32">
            <v>1912</v>
          </cell>
        </row>
        <row r="33"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</row>
        <row r="37">
          <cell r="GF37">
            <v>1</v>
          </cell>
          <cell r="GH37">
            <v>11</v>
          </cell>
          <cell r="GI37">
            <v>11</v>
          </cell>
        </row>
        <row r="38">
          <cell r="GH38">
            <v>9</v>
          </cell>
          <cell r="GI38">
            <v>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</row>
        <row r="47">
          <cell r="GJ47">
            <v>68096</v>
          </cell>
        </row>
        <row r="52">
          <cell r="GJ52">
            <v>5066</v>
          </cell>
        </row>
      </sheetData>
      <sheetData sheetId="13">
        <row r="4">
          <cell r="GJ4">
            <v>6022</v>
          </cell>
        </row>
        <row r="5">
          <cell r="GJ5">
            <v>6010</v>
          </cell>
        </row>
        <row r="9">
          <cell r="GJ9">
            <v>11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  <cell r="GJ15">
            <v>554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  <cell r="GJ16">
            <v>557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</row>
        <row r="22">
          <cell r="GJ22">
            <v>808406</v>
          </cell>
        </row>
        <row r="23">
          <cell r="GJ23">
            <v>821932</v>
          </cell>
        </row>
        <row r="27">
          <cell r="GJ27">
            <v>28722</v>
          </cell>
        </row>
        <row r="28">
          <cell r="GJ28">
            <v>28594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  <cell r="GJ32">
            <v>90229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  <cell r="GJ33">
            <v>91455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  <cell r="GJ37">
            <v>2182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  <cell r="GJ38">
            <v>2147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</row>
        <row r="47">
          <cell r="GJ47">
            <v>2296614</v>
          </cell>
        </row>
        <row r="48">
          <cell r="GJ48">
            <v>1587158</v>
          </cell>
        </row>
        <row r="52">
          <cell r="GJ52">
            <v>1001565</v>
          </cell>
        </row>
        <row r="53">
          <cell r="GJ53">
            <v>1627125</v>
          </cell>
        </row>
        <row r="70">
          <cell r="GJ70">
            <v>409997</v>
          </cell>
        </row>
        <row r="71">
          <cell r="GJ71">
            <v>411935</v>
          </cell>
        </row>
        <row r="73">
          <cell r="GJ73">
            <v>45620</v>
          </cell>
        </row>
        <row r="74">
          <cell r="GJ74">
            <v>45835</v>
          </cell>
        </row>
      </sheetData>
      <sheetData sheetId="14">
        <row r="4">
          <cell r="GJ4">
            <v>165</v>
          </cell>
        </row>
        <row r="5">
          <cell r="GJ5">
            <v>165</v>
          </cell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</row>
        <row r="22">
          <cell r="GJ22">
            <v>21921</v>
          </cell>
        </row>
        <row r="23">
          <cell r="GJ23">
            <v>22351</v>
          </cell>
        </row>
        <row r="27">
          <cell r="GJ27">
            <v>139</v>
          </cell>
        </row>
        <row r="28">
          <cell r="GJ28">
            <v>131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</row>
      </sheetData>
      <sheetData sheetId="15"/>
      <sheetData sheetId="16">
        <row r="15">
          <cell r="GB15">
            <v>4</v>
          </cell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  <cell r="GJ15">
            <v>30</v>
          </cell>
        </row>
        <row r="16">
          <cell r="GB16">
            <v>4</v>
          </cell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  <cell r="GJ16">
            <v>30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</row>
        <row r="32">
          <cell r="GB32">
            <v>585</v>
          </cell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  <cell r="GJ32">
            <v>5061</v>
          </cell>
        </row>
        <row r="33">
          <cell r="GB33">
            <v>515</v>
          </cell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</row>
        <row r="37">
          <cell r="GB37">
            <v>10</v>
          </cell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  <cell r="GJ37">
            <v>50</v>
          </cell>
        </row>
        <row r="38">
          <cell r="GB38">
            <v>5</v>
          </cell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</row>
        <row r="47">
          <cell r="GJ47">
            <v>4590</v>
          </cell>
        </row>
        <row r="52">
          <cell r="GJ52">
            <v>943</v>
          </cell>
        </row>
      </sheetData>
      <sheetData sheetId="17">
        <row r="4">
          <cell r="GJ4">
            <v>82</v>
          </cell>
        </row>
        <row r="5">
          <cell r="GJ5">
            <v>82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</row>
        <row r="22">
          <cell r="GJ22">
            <v>8432</v>
          </cell>
        </row>
        <row r="23">
          <cell r="GJ23">
            <v>9361</v>
          </cell>
        </row>
        <row r="27">
          <cell r="GJ27">
            <v>228</v>
          </cell>
        </row>
        <row r="28">
          <cell r="GJ28">
            <v>276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</row>
      </sheetData>
      <sheetData sheetId="18"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  <cell r="GJ15">
            <v>17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  <cell r="GJ16">
            <v>17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  <cell r="GJ32">
            <v>4448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  <cell r="GJ33">
            <v>4308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  <cell r="GJ37">
            <v>6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  <cell r="GJ38">
            <v>10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</row>
        <row r="47">
          <cell r="GJ47">
            <v>424446</v>
          </cell>
        </row>
        <row r="52">
          <cell r="GJ52">
            <v>112002</v>
          </cell>
        </row>
      </sheetData>
      <sheetData sheetId="19"/>
      <sheetData sheetId="20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21">
        <row r="4">
          <cell r="GJ4">
            <v>632</v>
          </cell>
        </row>
        <row r="5">
          <cell r="GJ5">
            <v>632</v>
          </cell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</row>
        <row r="22">
          <cell r="GJ22">
            <v>75003</v>
          </cell>
        </row>
        <row r="23">
          <cell r="GJ23">
            <v>75323</v>
          </cell>
        </row>
        <row r="27">
          <cell r="GJ27">
            <v>1625</v>
          </cell>
        </row>
        <row r="28">
          <cell r="GJ28">
            <v>1806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</row>
        <row r="47">
          <cell r="GJ47">
            <v>219647</v>
          </cell>
        </row>
        <row r="52">
          <cell r="GJ52">
            <v>66726</v>
          </cell>
        </row>
        <row r="70">
          <cell r="GJ70">
            <v>74966</v>
          </cell>
        </row>
        <row r="71">
          <cell r="GJ71">
            <v>357</v>
          </cell>
        </row>
      </sheetData>
      <sheetData sheetId="22">
        <row r="4">
          <cell r="GJ4">
            <v>296</v>
          </cell>
        </row>
        <row r="5">
          <cell r="GJ5">
            <v>295</v>
          </cell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</row>
        <row r="22">
          <cell r="GJ22">
            <v>43020</v>
          </cell>
        </row>
        <row r="23">
          <cell r="GJ23">
            <v>42473</v>
          </cell>
        </row>
        <row r="27">
          <cell r="GJ27">
            <v>239</v>
          </cell>
        </row>
        <row r="28">
          <cell r="GJ28">
            <v>232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</row>
      </sheetData>
      <sheetData sheetId="23">
        <row r="4">
          <cell r="GJ4">
            <v>338</v>
          </cell>
        </row>
        <row r="5">
          <cell r="GJ5">
            <v>338</v>
          </cell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</row>
        <row r="22">
          <cell r="GJ22">
            <v>42940</v>
          </cell>
        </row>
        <row r="23">
          <cell r="GJ23">
            <v>41920</v>
          </cell>
        </row>
        <row r="27">
          <cell r="GJ27">
            <v>1521</v>
          </cell>
        </row>
        <row r="28">
          <cell r="GJ28">
            <v>1593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</row>
        <row r="47">
          <cell r="GJ47">
            <v>59451</v>
          </cell>
        </row>
        <row r="48">
          <cell r="GJ48">
            <v>22092</v>
          </cell>
        </row>
        <row r="52">
          <cell r="GJ52">
            <v>38248</v>
          </cell>
        </row>
        <row r="53">
          <cell r="GJ53">
            <v>56316</v>
          </cell>
        </row>
      </sheetData>
      <sheetData sheetId="24"/>
      <sheetData sheetId="25"/>
      <sheetData sheetId="26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27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</row>
      </sheetData>
      <sheetData sheetId="28">
        <row r="4">
          <cell r="GJ4">
            <v>5</v>
          </cell>
        </row>
        <row r="5">
          <cell r="GJ5">
            <v>5</v>
          </cell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</row>
        <row r="22">
          <cell r="GJ22">
            <v>256</v>
          </cell>
        </row>
        <row r="23">
          <cell r="GJ23">
            <v>274</v>
          </cell>
        </row>
        <row r="27">
          <cell r="GJ27">
            <v>21</v>
          </cell>
        </row>
        <row r="28">
          <cell r="GJ28">
            <v>12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</row>
      </sheetData>
      <sheetData sheetId="29"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30"/>
      <sheetData sheetId="31"/>
      <sheetData sheetId="32"/>
      <sheetData sheetId="33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34"/>
      <sheetData sheetId="35">
        <row r="4">
          <cell r="GJ4">
            <v>63</v>
          </cell>
        </row>
        <row r="5">
          <cell r="GJ5">
            <v>63</v>
          </cell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</row>
        <row r="22">
          <cell r="GJ22">
            <v>3594</v>
          </cell>
        </row>
        <row r="23">
          <cell r="GJ23">
            <v>3160</v>
          </cell>
        </row>
        <row r="27">
          <cell r="GJ27">
            <v>89</v>
          </cell>
        </row>
        <row r="28">
          <cell r="GJ28">
            <v>212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</row>
      </sheetData>
      <sheetData sheetId="36"/>
      <sheetData sheetId="37">
        <row r="4">
          <cell r="GJ4">
            <v>72</v>
          </cell>
        </row>
        <row r="5">
          <cell r="GJ5">
            <v>71</v>
          </cell>
        </row>
        <row r="9">
          <cell r="GJ9">
            <v>1</v>
          </cell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</row>
        <row r="22">
          <cell r="GJ22">
            <v>4013</v>
          </cell>
        </row>
        <row r="23">
          <cell r="GJ23">
            <v>4107</v>
          </cell>
        </row>
        <row r="27">
          <cell r="GJ27">
            <v>109</v>
          </cell>
        </row>
        <row r="28">
          <cell r="GJ28">
            <v>97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</row>
        <row r="47">
          <cell r="GJ47">
            <v>50</v>
          </cell>
        </row>
        <row r="70">
          <cell r="GJ70">
            <v>1108</v>
          </cell>
        </row>
        <row r="71">
          <cell r="GJ71">
            <v>2999</v>
          </cell>
        </row>
      </sheetData>
      <sheetData sheetId="38">
        <row r="4">
          <cell r="GJ4">
            <v>10</v>
          </cell>
        </row>
        <row r="5">
          <cell r="GJ5">
            <v>10</v>
          </cell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</row>
        <row r="22">
          <cell r="GJ22">
            <v>630</v>
          </cell>
        </row>
        <row r="23">
          <cell r="GJ23">
            <v>682</v>
          </cell>
        </row>
        <row r="27">
          <cell r="GJ27">
            <v>28</v>
          </cell>
        </row>
        <row r="28">
          <cell r="GJ28">
            <v>11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</row>
      </sheetData>
      <sheetData sheetId="39"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40">
        <row r="4">
          <cell r="GJ4">
            <v>111</v>
          </cell>
        </row>
        <row r="5">
          <cell r="GJ5">
            <v>111</v>
          </cell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</row>
        <row r="22">
          <cell r="GJ22">
            <v>6397</v>
          </cell>
        </row>
        <row r="23">
          <cell r="GJ23">
            <v>6775</v>
          </cell>
        </row>
        <row r="27">
          <cell r="GJ27">
            <v>250</v>
          </cell>
        </row>
        <row r="28">
          <cell r="GJ28">
            <v>190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</row>
      </sheetData>
      <sheetData sheetId="41"/>
      <sheetData sheetId="42"/>
      <sheetData sheetId="43">
        <row r="4">
          <cell r="GJ4">
            <v>1050</v>
          </cell>
        </row>
        <row r="5">
          <cell r="GJ5">
            <v>1050</v>
          </cell>
        </row>
        <row r="9">
          <cell r="GJ9">
            <v>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  <cell r="GJ15">
            <v>85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  <cell r="GJ16">
            <v>85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</row>
        <row r="22">
          <cell r="GJ22">
            <v>61522</v>
          </cell>
        </row>
        <row r="23">
          <cell r="GJ23">
            <v>61269</v>
          </cell>
        </row>
        <row r="27">
          <cell r="GJ27">
            <v>1827</v>
          </cell>
        </row>
        <row r="28">
          <cell r="GJ28">
            <v>1748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  <cell r="GJ32">
            <v>5492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  <cell r="GJ33">
            <v>5610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  <cell r="GJ37">
            <v>118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  <cell r="GJ38">
            <v>100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</row>
        <row r="70">
          <cell r="GJ70">
            <v>20040</v>
          </cell>
        </row>
        <row r="71">
          <cell r="GJ71">
            <v>41229</v>
          </cell>
        </row>
        <row r="73">
          <cell r="GJ73">
            <v>1835</v>
          </cell>
        </row>
        <row r="74">
          <cell r="GJ74">
            <v>3775</v>
          </cell>
        </row>
      </sheetData>
      <sheetData sheetId="44"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45">
        <row r="4">
          <cell r="GJ4">
            <v>227</v>
          </cell>
        </row>
        <row r="5">
          <cell r="GJ5">
            <v>226</v>
          </cell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</row>
        <row r="22">
          <cell r="GJ22">
            <v>11351</v>
          </cell>
        </row>
        <row r="23">
          <cell r="GJ23">
            <v>11914</v>
          </cell>
        </row>
        <row r="27">
          <cell r="GJ27">
            <v>455</v>
          </cell>
        </row>
        <row r="28">
          <cell r="GJ28">
            <v>541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</row>
        <row r="52">
          <cell r="GJ52">
            <v>353</v>
          </cell>
        </row>
      </sheetData>
      <sheetData sheetId="46">
        <row r="4">
          <cell r="GJ4">
            <v>188</v>
          </cell>
        </row>
        <row r="5">
          <cell r="GJ5">
            <v>188</v>
          </cell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</row>
        <row r="22">
          <cell r="GJ22">
            <v>11702</v>
          </cell>
        </row>
        <row r="23">
          <cell r="GJ23">
            <v>11876</v>
          </cell>
        </row>
        <row r="27">
          <cell r="GJ27">
            <v>388</v>
          </cell>
        </row>
        <row r="28">
          <cell r="GJ28">
            <v>356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</row>
      </sheetData>
      <sheetData sheetId="47"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  <cell r="GJ15">
            <v>114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  <cell r="GJ16">
            <v>114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  <cell r="GJ32">
            <v>6082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  <cell r="GJ37">
            <v>72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</row>
        <row r="47">
          <cell r="GJ47">
            <v>1418</v>
          </cell>
        </row>
        <row r="52">
          <cell r="GJ52">
            <v>2688</v>
          </cell>
        </row>
      </sheetData>
      <sheetData sheetId="48">
        <row r="4">
          <cell r="GJ4">
            <v>3401</v>
          </cell>
        </row>
        <row r="5">
          <cell r="GJ5">
            <v>3398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  <cell r="GJ15">
            <v>136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  <cell r="GJ16">
            <v>136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</row>
        <row r="22">
          <cell r="GJ22">
            <v>157136</v>
          </cell>
        </row>
        <row r="23">
          <cell r="GJ23">
            <v>150496</v>
          </cell>
        </row>
        <row r="27">
          <cell r="GJ27">
            <v>4948</v>
          </cell>
        </row>
        <row r="28">
          <cell r="GJ28">
            <v>4873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  <cell r="GJ32">
            <v>8670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  <cell r="GJ33">
            <v>8821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  <cell r="GJ37">
            <v>105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  <cell r="GJ38">
            <v>82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</row>
        <row r="70">
          <cell r="GJ70">
            <v>45740</v>
          </cell>
        </row>
        <row r="71">
          <cell r="GJ71">
            <v>104756</v>
          </cell>
        </row>
        <row r="73">
          <cell r="GJ73">
            <v>2681</v>
          </cell>
        </row>
        <row r="74">
          <cell r="GJ74">
            <v>6140</v>
          </cell>
        </row>
      </sheetData>
      <sheetData sheetId="49">
        <row r="4">
          <cell r="GJ4">
            <v>57</v>
          </cell>
        </row>
        <row r="5">
          <cell r="GJ5">
            <v>57</v>
          </cell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</row>
        <row r="22">
          <cell r="GJ22">
            <v>3466</v>
          </cell>
        </row>
        <row r="23">
          <cell r="GJ23">
            <v>3599</v>
          </cell>
        </row>
        <row r="27">
          <cell r="GJ27">
            <v>146</v>
          </cell>
        </row>
        <row r="28">
          <cell r="GJ28">
            <v>135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</row>
      </sheetData>
      <sheetData sheetId="50"/>
      <sheetData sheetId="51"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52">
        <row r="4">
          <cell r="GJ4">
            <v>30</v>
          </cell>
        </row>
        <row r="5">
          <cell r="GJ5">
            <v>30</v>
          </cell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</row>
        <row r="22">
          <cell r="GJ22">
            <v>2103</v>
          </cell>
        </row>
        <row r="23">
          <cell r="GJ23">
            <v>2103</v>
          </cell>
        </row>
        <row r="27">
          <cell r="GJ27">
            <v>68</v>
          </cell>
        </row>
        <row r="28">
          <cell r="GJ28">
            <v>74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</row>
        <row r="47">
          <cell r="GJ47">
            <v>1079</v>
          </cell>
        </row>
        <row r="52">
          <cell r="GJ52">
            <v>252</v>
          </cell>
        </row>
        <row r="53">
          <cell r="GJ53">
            <v>780</v>
          </cell>
        </row>
      </sheetData>
      <sheetData sheetId="53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54"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16">
          <cell r="GG16">
            <v>1</v>
          </cell>
        </row>
        <row r="32">
          <cell r="GC32">
            <v>212</v>
          </cell>
        </row>
        <row r="33">
          <cell r="GF33">
            <v>106</v>
          </cell>
          <cell r="GG33">
            <v>137</v>
          </cell>
        </row>
      </sheetData>
      <sheetData sheetId="61">
        <row r="4">
          <cell r="GJ4">
            <v>1</v>
          </cell>
        </row>
        <row r="5">
          <cell r="GJ5">
            <v>2</v>
          </cell>
        </row>
        <row r="15">
          <cell r="GH15">
            <v>1</v>
          </cell>
        </row>
        <row r="16">
          <cell r="GH16">
            <v>1</v>
          </cell>
        </row>
        <row r="22">
          <cell r="GJ22">
            <v>162</v>
          </cell>
        </row>
        <row r="23">
          <cell r="GJ23">
            <v>308</v>
          </cell>
        </row>
        <row r="32">
          <cell r="GH32">
            <v>147</v>
          </cell>
        </row>
        <row r="33">
          <cell r="GH33">
            <v>138</v>
          </cell>
        </row>
      </sheetData>
      <sheetData sheetId="62">
        <row r="4">
          <cell r="GJ4">
            <v>31</v>
          </cell>
        </row>
        <row r="5">
          <cell r="GJ5">
            <v>31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FT12">
            <v>60</v>
          </cell>
          <cell r="FU12">
            <v>66</v>
          </cell>
          <cell r="FV12">
            <v>64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  <cell r="GH12">
            <v>64</v>
          </cell>
          <cell r="GI12">
            <v>64</v>
          </cell>
          <cell r="GJ12">
            <v>62</v>
          </cell>
        </row>
        <row r="19">
          <cell r="FV19">
            <v>64</v>
          </cell>
          <cell r="GJ19">
            <v>62</v>
          </cell>
        </row>
        <row r="47">
          <cell r="GJ47">
            <v>2187336</v>
          </cell>
        </row>
        <row r="52">
          <cell r="GJ52">
            <v>744739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</row>
      </sheetData>
      <sheetData sheetId="63"/>
      <sheetData sheetId="64">
        <row r="4">
          <cell r="GJ4">
            <v>21</v>
          </cell>
        </row>
        <row r="5">
          <cell r="GJ5">
            <v>21</v>
          </cell>
        </row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  <cell r="GB12">
            <v>40</v>
          </cell>
          <cell r="GC12">
            <v>41</v>
          </cell>
          <cell r="GD12">
            <v>42</v>
          </cell>
          <cell r="GE12">
            <v>44</v>
          </cell>
          <cell r="GF12">
            <v>46</v>
          </cell>
          <cell r="GG12">
            <v>38</v>
          </cell>
          <cell r="GH12">
            <v>44</v>
          </cell>
          <cell r="GI12">
            <v>42</v>
          </cell>
          <cell r="GJ12">
            <v>42</v>
          </cell>
        </row>
        <row r="19">
          <cell r="FV19">
            <v>40</v>
          </cell>
          <cell r="GJ19">
            <v>42</v>
          </cell>
        </row>
        <row r="47">
          <cell r="GJ47">
            <v>816508</v>
          </cell>
        </row>
        <row r="52">
          <cell r="GJ52">
            <v>472027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GB64">
            <v>1210246</v>
          </cell>
          <cell r="GC64">
            <v>1012439</v>
          </cell>
          <cell r="GD64">
            <v>1389060</v>
          </cell>
          <cell r="GE64">
            <v>1440461</v>
          </cell>
          <cell r="GF64">
            <v>1463134</v>
          </cell>
          <cell r="GG64">
            <v>1245418</v>
          </cell>
          <cell r="GH64">
            <v>1364245</v>
          </cell>
          <cell r="GI64">
            <v>1235802</v>
          </cell>
          <cell r="GJ64">
            <v>1288535</v>
          </cell>
        </row>
      </sheetData>
      <sheetData sheetId="65">
        <row r="4">
          <cell r="GJ4">
            <v>15</v>
          </cell>
        </row>
        <row r="5">
          <cell r="GJ5">
            <v>15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  <cell r="GH12">
            <v>36</v>
          </cell>
          <cell r="GI12">
            <v>30</v>
          </cell>
          <cell r="GJ12">
            <v>30</v>
          </cell>
        </row>
        <row r="19">
          <cell r="FV19">
            <v>36</v>
          </cell>
          <cell r="GJ19">
            <v>30</v>
          </cell>
        </row>
        <row r="47">
          <cell r="GJ47">
            <v>36884</v>
          </cell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</row>
      </sheetData>
      <sheetData sheetId="66">
        <row r="4">
          <cell r="GJ4">
            <v>40</v>
          </cell>
        </row>
        <row r="5">
          <cell r="GJ5">
            <v>40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  <cell r="GH12">
            <v>88</v>
          </cell>
          <cell r="GI12">
            <v>88</v>
          </cell>
          <cell r="GJ12">
            <v>80</v>
          </cell>
        </row>
        <row r="19">
          <cell r="FV19">
            <v>0</v>
          </cell>
          <cell r="GJ19">
            <v>80</v>
          </cell>
        </row>
        <row r="47">
          <cell r="GJ47">
            <v>64468</v>
          </cell>
        </row>
        <row r="52">
          <cell r="GJ52">
            <v>28522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</row>
      </sheetData>
      <sheetData sheetId="67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</row>
        <row r="19">
          <cell r="FV19">
            <v>0</v>
          </cell>
          <cell r="GJ19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</row>
      </sheetData>
      <sheetData sheetId="68">
        <row r="4">
          <cell r="GJ4">
            <v>122</v>
          </cell>
        </row>
        <row r="5">
          <cell r="GJ5">
            <v>122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  <cell r="GH12">
            <v>254</v>
          </cell>
          <cell r="GI12">
            <v>266</v>
          </cell>
          <cell r="GJ12">
            <v>244</v>
          </cell>
        </row>
        <row r="19">
          <cell r="FV19">
            <v>252</v>
          </cell>
          <cell r="GJ19">
            <v>244</v>
          </cell>
        </row>
        <row r="47">
          <cell r="GJ47">
            <v>8080873</v>
          </cell>
        </row>
        <row r="52">
          <cell r="GJ52">
            <v>7029295</v>
          </cell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</row>
      </sheetData>
      <sheetData sheetId="69">
        <row r="4">
          <cell r="GJ4">
            <v>108</v>
          </cell>
        </row>
        <row r="5">
          <cell r="GJ5">
            <v>108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  <cell r="GH12">
            <v>238</v>
          </cell>
          <cell r="GI12">
            <v>252</v>
          </cell>
          <cell r="GJ12">
            <v>216</v>
          </cell>
        </row>
        <row r="15">
          <cell r="GJ15">
            <v>14</v>
          </cell>
        </row>
        <row r="16">
          <cell r="GJ16">
            <v>14</v>
          </cell>
        </row>
        <row r="19">
          <cell r="FV19">
            <v>236</v>
          </cell>
          <cell r="GJ19">
            <v>244</v>
          </cell>
        </row>
        <row r="47">
          <cell r="GJ47">
            <v>6616335</v>
          </cell>
        </row>
        <row r="52">
          <cell r="GJ52">
            <v>5313453</v>
          </cell>
        </row>
        <row r="53">
          <cell r="GJ53">
            <v>487574</v>
          </cell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</row>
      </sheetData>
      <sheetData sheetId="70"/>
      <sheetData sheetId="71"/>
      <sheetData sheetId="72"/>
      <sheetData sheetId="73">
        <row r="4">
          <cell r="GJ4">
            <v>186</v>
          </cell>
        </row>
        <row r="5">
          <cell r="GJ5">
            <v>186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  <cell r="GH12">
            <v>410</v>
          </cell>
          <cell r="GI12">
            <v>414</v>
          </cell>
          <cell r="GJ12">
            <v>372</v>
          </cell>
        </row>
        <row r="19">
          <cell r="FV19">
            <v>516</v>
          </cell>
          <cell r="GJ19">
            <v>372</v>
          </cell>
        </row>
      </sheetData>
      <sheetData sheetId="74"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</row>
        <row r="19">
          <cell r="FV19">
            <v>0</v>
          </cell>
          <cell r="GJ19">
            <v>0</v>
          </cell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</row>
      </sheetData>
      <sheetData sheetId="75">
        <row r="4">
          <cell r="GJ4">
            <v>17</v>
          </cell>
        </row>
        <row r="5">
          <cell r="GJ5">
            <v>17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  <cell r="GH12">
            <v>42</v>
          </cell>
          <cell r="GI12">
            <v>46</v>
          </cell>
          <cell r="GJ12">
            <v>34</v>
          </cell>
        </row>
        <row r="19">
          <cell r="FV19">
            <v>42</v>
          </cell>
          <cell r="GJ19">
            <v>34</v>
          </cell>
        </row>
        <row r="47">
          <cell r="GJ47">
            <v>75837</v>
          </cell>
        </row>
        <row r="52">
          <cell r="GJ52">
            <v>38818</v>
          </cell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</row>
      </sheetData>
      <sheetData sheetId="76"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  <cell r="GH12">
            <v>0</v>
          </cell>
          <cell r="GI12">
            <v>0</v>
          </cell>
          <cell r="GJ12">
            <v>0</v>
          </cell>
        </row>
        <row r="19">
          <cell r="FV19">
            <v>76</v>
          </cell>
          <cell r="GJ19">
            <v>0</v>
          </cell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</row>
      </sheetData>
      <sheetData sheetId="77">
        <row r="4">
          <cell r="GJ4">
            <v>11</v>
          </cell>
        </row>
        <row r="5">
          <cell r="GJ5">
            <v>15</v>
          </cell>
        </row>
      </sheetData>
      <sheetData sheetId="78">
        <row r="4">
          <cell r="GJ4">
            <v>815</v>
          </cell>
        </row>
        <row r="5">
          <cell r="GJ5">
            <v>815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J39" sqref="J39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43709</v>
      </c>
      <c r="B2" s="10"/>
      <c r="C2" s="10"/>
      <c r="D2" s="459" t="s">
        <v>212</v>
      </c>
      <c r="E2" s="459" t="s">
        <v>198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0"/>
      <c r="E3" s="461"/>
      <c r="F3" s="5" t="s">
        <v>2</v>
      </c>
      <c r="G3" s="5" t="s">
        <v>213</v>
      </c>
      <c r="H3" s="5" t="s">
        <v>199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1287872</v>
      </c>
      <c r="C5" s="10">
        <f>'Major Airline Stats'!K5</f>
        <v>1303922</v>
      </c>
      <c r="D5" s="2">
        <f>'Major Airline Stats'!K6</f>
        <v>2591794</v>
      </c>
      <c r="E5" s="2">
        <f>'[1]Monthly Summary'!D5</f>
        <v>2356635</v>
      </c>
      <c r="F5" s="3">
        <f>(D5-E5)/E5</f>
        <v>9.9785923573230476E-2</v>
      </c>
      <c r="G5" s="2">
        <f>+D5+'[2]Monthly Summary'!G5</f>
        <v>23312219</v>
      </c>
      <c r="H5" s="2">
        <f>'[1]Monthly Summary'!G5</f>
        <v>22153430</v>
      </c>
      <c r="I5" s="67">
        <f>(G5-H5)/H5</f>
        <v>5.2307430497218713E-2</v>
      </c>
      <c r="J5" s="2"/>
    </row>
    <row r="6" spans="1:14" x14ac:dyDescent="0.2">
      <c r="A6" s="52" t="s">
        <v>5</v>
      </c>
      <c r="B6" s="254">
        <f>'Regional Major'!M5</f>
        <v>282414</v>
      </c>
      <c r="C6" s="254">
        <f>'Regional Major'!M6</f>
        <v>276861</v>
      </c>
      <c r="D6" s="2">
        <f>B6+C6</f>
        <v>559275</v>
      </c>
      <c r="E6" s="2">
        <f>'[1]Monthly Summary'!D6</f>
        <v>590457</v>
      </c>
      <c r="F6" s="3">
        <f>(D6-E6)/E6</f>
        <v>-5.2809942129570825E-2</v>
      </c>
      <c r="G6" s="2">
        <f>+D6+'[2]Monthly Summary'!G6</f>
        <v>5745671</v>
      </c>
      <c r="H6" s="2">
        <f>'[1]Monthly Summary'!G6</f>
        <v>5881477</v>
      </c>
      <c r="I6" s="67">
        <f>(G6-H6)/H6</f>
        <v>-2.3090458400160368E-2</v>
      </c>
      <c r="K6" s="2"/>
    </row>
    <row r="7" spans="1:14" x14ac:dyDescent="0.2">
      <c r="A7" s="52" t="s">
        <v>6</v>
      </c>
      <c r="B7" s="2">
        <f>Charter!G5</f>
        <v>162</v>
      </c>
      <c r="C7" s="254">
        <f>Charter!G6</f>
        <v>308</v>
      </c>
      <c r="D7" s="2">
        <f>B7+C7</f>
        <v>470</v>
      </c>
      <c r="E7" s="2">
        <f>'[1]Monthly Summary'!D7</f>
        <v>350</v>
      </c>
      <c r="F7" s="3">
        <f>(D7-E7)/E7</f>
        <v>0.34285714285714286</v>
      </c>
      <c r="G7" s="2">
        <f>+D7+'[2]Monthly Summary'!G7</f>
        <v>5195</v>
      </c>
      <c r="H7" s="2">
        <f>'[1]Monthly Summary'!G7</f>
        <v>3755</v>
      </c>
      <c r="I7" s="67">
        <f>(G7-H7)/H7</f>
        <v>0.38348868175765644</v>
      </c>
      <c r="K7" s="2"/>
    </row>
    <row r="8" spans="1:14" x14ac:dyDescent="0.2">
      <c r="A8" s="54" t="s">
        <v>7</v>
      </c>
      <c r="B8" s="121">
        <f>SUM(B5:B7)</f>
        <v>1570448</v>
      </c>
      <c r="C8" s="121">
        <f>SUM(C5:C7)</f>
        <v>1581091</v>
      </c>
      <c r="D8" s="121">
        <f>SUM(D5:D7)</f>
        <v>3151539</v>
      </c>
      <c r="E8" s="121">
        <f>SUM(E5:E7)</f>
        <v>2947442</v>
      </c>
      <c r="F8" s="73">
        <f>(D8-E8)/E8</f>
        <v>6.9245467764929722E-2</v>
      </c>
      <c r="G8" s="121">
        <f>SUM(G5:G7)</f>
        <v>29063085</v>
      </c>
      <c r="H8" s="121">
        <f>SUM(H5:H7)</f>
        <v>28038662</v>
      </c>
      <c r="I8" s="72">
        <f>(G8-H8)/H8</f>
        <v>3.6536087207014373E-2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48380</v>
      </c>
      <c r="C10" s="255">
        <f>'Major Airline Stats'!K10+'Regional Major'!M11</f>
        <v>48643</v>
      </c>
      <c r="D10" s="98">
        <f>SUM(B10:C10)</f>
        <v>97023</v>
      </c>
      <c r="E10" s="98">
        <f>'[1]Monthly Summary'!D10</f>
        <v>102772</v>
      </c>
      <c r="F10" s="74">
        <f>(D10-E10)/E10</f>
        <v>-5.5939360915424438E-2</v>
      </c>
      <c r="G10" s="2">
        <f>+D10+'[2]Monthly Summary'!G10</f>
        <v>919546</v>
      </c>
      <c r="H10" s="98">
        <f>'[1]Monthly Summary'!G10</f>
        <v>959132</v>
      </c>
      <c r="I10" s="77">
        <f>(G10-H10)/H10</f>
        <v>-4.127273409707944E-2</v>
      </c>
      <c r="J10" s="193"/>
    </row>
    <row r="11" spans="1:14" ht="15.75" thickBot="1" x14ac:dyDescent="0.3">
      <c r="A11" s="53" t="s">
        <v>13</v>
      </c>
      <c r="B11" s="234">
        <f>B10+B8</f>
        <v>1618828</v>
      </c>
      <c r="C11" s="234">
        <f>C10+C8</f>
        <v>1629734</v>
      </c>
      <c r="D11" s="234">
        <f>D10+D8</f>
        <v>3248562</v>
      </c>
      <c r="E11" s="234">
        <f>E10+E8</f>
        <v>3050214</v>
      </c>
      <c r="F11" s="75">
        <f>(D11-E11)/E11</f>
        <v>6.5027568557484816E-2</v>
      </c>
      <c r="G11" s="234">
        <f>G8+G10</f>
        <v>29982631</v>
      </c>
      <c r="H11" s="234">
        <f>H8+H10</f>
        <v>28997794</v>
      </c>
      <c r="I11" s="78">
        <f>(G11-H11)/H11</f>
        <v>3.3962480042447368E-2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9" t="s">
        <v>212</v>
      </c>
      <c r="E13" s="459" t="s">
        <v>198</v>
      </c>
      <c r="F13" s="5"/>
      <c r="G13" s="5"/>
      <c r="H13" s="5"/>
      <c r="I13" s="5"/>
    </row>
    <row r="14" spans="1:14" ht="13.5" thickBot="1" x14ac:dyDescent="0.25">
      <c r="A14" s="9"/>
      <c r="B14" s="5" t="s">
        <v>196</v>
      </c>
      <c r="C14" s="5" t="s">
        <v>197</v>
      </c>
      <c r="D14" s="460"/>
      <c r="E14" s="461"/>
      <c r="F14" s="5" t="s">
        <v>2</v>
      </c>
      <c r="G14" s="5" t="s">
        <v>213</v>
      </c>
      <c r="H14" s="5" t="s">
        <v>199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9839</v>
      </c>
      <c r="C16" s="263">
        <f>'Major Airline Stats'!K16+'Major Airline Stats'!K20</f>
        <v>9833</v>
      </c>
      <c r="D16" s="32">
        <f t="shared" ref="D16:D21" si="0">SUM(B16:C16)</f>
        <v>19672</v>
      </c>
      <c r="E16" s="2">
        <f>'[1]Monthly Summary'!D16</f>
        <v>18582</v>
      </c>
      <c r="F16" s="76">
        <f t="shared" ref="F16:F22" si="1">(D16-E16)/E16</f>
        <v>5.8658917231729633E-2</v>
      </c>
      <c r="G16" s="2">
        <f>+D16+'[2]Monthly Summary'!G16</f>
        <v>173097</v>
      </c>
      <c r="H16" s="2">
        <f>'[1]Monthly Summary'!G16</f>
        <v>168385</v>
      </c>
      <c r="I16" s="225">
        <f t="shared" ref="I16:I22" si="2">(G16-H16)/H16</f>
        <v>2.7983490215874336E-2</v>
      </c>
      <c r="N16" s="97"/>
    </row>
    <row r="17" spans="1:12" x14ac:dyDescent="0.2">
      <c r="A17" s="52" t="s">
        <v>5</v>
      </c>
      <c r="B17" s="32">
        <f>'Regional Major'!M15+'Regional Major'!M18</f>
        <v>5549</v>
      </c>
      <c r="C17" s="32">
        <f>'Regional Major'!M16+'Regional Major'!M19</f>
        <v>5546</v>
      </c>
      <c r="D17" s="32">
        <f>SUM(B17:C17)</f>
        <v>11095</v>
      </c>
      <c r="E17" s="2">
        <f>'[1]Monthly Summary'!D17</f>
        <v>11682</v>
      </c>
      <c r="F17" s="76">
        <f t="shared" si="1"/>
        <v>-5.0248245163499398E-2</v>
      </c>
      <c r="G17" s="2">
        <f>+D17+'[2]Monthly Summary'!G17</f>
        <v>107953</v>
      </c>
      <c r="H17" s="2">
        <f>'[1]Monthly Summary'!G17</f>
        <v>113217</v>
      </c>
      <c r="I17" s="225">
        <f t="shared" si="2"/>
        <v>-4.649478435217326E-2</v>
      </c>
    </row>
    <row r="18" spans="1:12" x14ac:dyDescent="0.2">
      <c r="A18" s="52" t="s">
        <v>10</v>
      </c>
      <c r="B18" s="32">
        <f>Charter!G10</f>
        <v>1</v>
      </c>
      <c r="C18" s="32">
        <f>Charter!G11</f>
        <v>2</v>
      </c>
      <c r="D18" s="32">
        <f t="shared" si="0"/>
        <v>3</v>
      </c>
      <c r="E18" s="2">
        <f>'[1]Monthly Summary'!D18</f>
        <v>2</v>
      </c>
      <c r="F18" s="76">
        <f t="shared" si="1"/>
        <v>0.5</v>
      </c>
      <c r="G18" s="2">
        <f>+D18+'[2]Monthly Summary'!G18</f>
        <v>59</v>
      </c>
      <c r="H18" s="2">
        <f>'[1]Monthly Summary'!G18</f>
        <v>30</v>
      </c>
      <c r="I18" s="225">
        <f t="shared" si="2"/>
        <v>0.96666666666666667</v>
      </c>
    </row>
    <row r="19" spans="1:12" x14ac:dyDescent="0.2">
      <c r="A19" s="52" t="s">
        <v>11</v>
      </c>
      <c r="B19" s="32">
        <f>Cargo!O4</f>
        <v>554</v>
      </c>
      <c r="C19" s="32">
        <f>Cargo!O5</f>
        <v>554</v>
      </c>
      <c r="D19" s="32">
        <f t="shared" si="0"/>
        <v>1108</v>
      </c>
      <c r="E19" s="2">
        <f>'[1]Monthly Summary'!D19</f>
        <v>1262</v>
      </c>
      <c r="F19" s="76">
        <f t="shared" si="1"/>
        <v>-0.12202852614896989</v>
      </c>
      <c r="G19" s="2">
        <f>+D19+'[2]Monthly Summary'!G19</f>
        <v>10551</v>
      </c>
      <c r="H19" s="2">
        <f>'[1]Monthly Summary'!G19</f>
        <v>11332</v>
      </c>
      <c r="I19" s="225">
        <f t="shared" si="2"/>
        <v>-6.8919872926226616E-2</v>
      </c>
    </row>
    <row r="20" spans="1:12" x14ac:dyDescent="0.2">
      <c r="A20" s="52" t="s">
        <v>153</v>
      </c>
      <c r="B20" s="32">
        <f>'[3]General Avation'!$GJ$4</f>
        <v>815</v>
      </c>
      <c r="C20" s="32">
        <f>'[3]General Avation'!$GJ$5</f>
        <v>815</v>
      </c>
      <c r="D20" s="32">
        <f t="shared" si="0"/>
        <v>1630</v>
      </c>
      <c r="E20" s="2">
        <f>'[1]Monthly Summary'!D20</f>
        <v>1765</v>
      </c>
      <c r="F20" s="76">
        <f t="shared" si="1"/>
        <v>-7.6487252124645896E-2</v>
      </c>
      <c r="G20" s="2">
        <f>+D20+'[2]Monthly Summary'!G20</f>
        <v>14212</v>
      </c>
      <c r="H20" s="2">
        <f>'[1]Monthly Summary'!G20</f>
        <v>15446</v>
      </c>
      <c r="I20" s="225">
        <f t="shared" si="2"/>
        <v>-7.9891233976434023E-2</v>
      </c>
      <c r="L20" s="97"/>
    </row>
    <row r="21" spans="1:12" ht="12.75" customHeight="1" x14ac:dyDescent="0.2">
      <c r="A21" s="52" t="s">
        <v>12</v>
      </c>
      <c r="B21" s="11">
        <f>'[3]Military '!$GJ$4</f>
        <v>11</v>
      </c>
      <c r="C21" s="11">
        <f>'[3]Military '!$GJ$5</f>
        <v>15</v>
      </c>
      <c r="D21" s="11">
        <f t="shared" si="0"/>
        <v>26</v>
      </c>
      <c r="E21" s="98">
        <f>'[1]Monthly Summary'!D21</f>
        <v>59</v>
      </c>
      <c r="F21" s="223">
        <f t="shared" si="1"/>
        <v>-0.55932203389830504</v>
      </c>
      <c r="G21" s="2">
        <f>+D21+'[2]Monthly Summary'!G21</f>
        <v>781</v>
      </c>
      <c r="H21" s="98">
        <f>'[1]Monthly Summary'!G21</f>
        <v>889</v>
      </c>
      <c r="I21" s="226">
        <f t="shared" si="2"/>
        <v>-0.12148481439820022</v>
      </c>
    </row>
    <row r="22" spans="1:12" ht="15.75" thickBot="1" x14ac:dyDescent="0.3">
      <c r="A22" s="53" t="s">
        <v>28</v>
      </c>
      <c r="B22" s="235">
        <f>SUM(B16:B21)</f>
        <v>16769</v>
      </c>
      <c r="C22" s="235">
        <f>SUM(C16:C21)</f>
        <v>16765</v>
      </c>
      <c r="D22" s="235">
        <f>SUM(D16:D21)</f>
        <v>33534</v>
      </c>
      <c r="E22" s="235">
        <f>SUM(E16:E21)</f>
        <v>33352</v>
      </c>
      <c r="F22" s="232">
        <f t="shared" si="1"/>
        <v>5.4569441112976734E-3</v>
      </c>
      <c r="G22" s="235">
        <f>SUM(G16:G21)</f>
        <v>306653</v>
      </c>
      <c r="H22" s="235">
        <f>SUM(H16:H21)</f>
        <v>309299</v>
      </c>
      <c r="I22" s="233">
        <f t="shared" si="2"/>
        <v>-8.5548288225956119E-3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9" t="s">
        <v>212</v>
      </c>
      <c r="E24" s="459" t="s">
        <v>198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213</v>
      </c>
      <c r="H25" s="5" t="s">
        <v>199</v>
      </c>
      <c r="I25" s="5" t="s">
        <v>2</v>
      </c>
    </row>
    <row r="26" spans="1:12" ht="15" x14ac:dyDescent="0.25">
      <c r="A26" s="50" t="s">
        <v>129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(Cargo!O16+'Major Airline Stats'!K28+'Regional Major'!M25)*0.00045359237</f>
        <v>9647.3862643050197</v>
      </c>
      <c r="C27" s="14">
        <f>(Cargo!O21+'Major Airline Stats'!K33+'Regional Major'!M30)*0.00045359237</f>
        <v>6772.7192182572999</v>
      </c>
      <c r="D27" s="14">
        <f>(SUM(B27:C27)+('Cargo Summary'!E17*0.00045359237))</f>
        <v>16420.105482562321</v>
      </c>
      <c r="E27" s="2">
        <f>'[1]Monthly Summary'!D27</f>
        <v>18815.251911556101</v>
      </c>
      <c r="F27" s="79">
        <f>(D27-E27)/E27</f>
        <v>-0.1272981324009119</v>
      </c>
      <c r="G27" s="2">
        <f>+D27+'[2]Monthly Summary'!G27</f>
        <v>149650.6294230663</v>
      </c>
      <c r="H27" s="2">
        <f>'[1]Monthly Summary'!G27</f>
        <v>158303.37380251166</v>
      </c>
      <c r="I27" s="81">
        <f>(G27-H27)/H27</f>
        <v>-5.4659254389864888E-2</v>
      </c>
    </row>
    <row r="28" spans="1:12" x14ac:dyDescent="0.2">
      <c r="A28" s="47" t="s">
        <v>16</v>
      </c>
      <c r="B28" s="14">
        <f>(Cargo!O17+'Major Airline Stats'!K29+'Regional Major'!M26)*0.00045359237</f>
        <v>921.34226505243998</v>
      </c>
      <c r="C28" s="14">
        <f>(Cargo!O22+'Major Airline Stats'!K34+'Regional Major'!M31)*0.00045359237</f>
        <v>1142.3537865578301</v>
      </c>
      <c r="D28" s="14">
        <f>SUM(B28:C28)</f>
        <v>2063.6960516102699</v>
      </c>
      <c r="E28" s="2">
        <f>'[1]Monthly Summary'!D28</f>
        <v>1701.5415531090898</v>
      </c>
      <c r="F28" s="79">
        <f>(D28-E28)/E28</f>
        <v>0.21283905634831213</v>
      </c>
      <c r="G28" s="2">
        <f>+D28+'[2]Monthly Summary'!G28</f>
        <v>18395.179564106729</v>
      </c>
      <c r="H28" s="2">
        <f>'[1]Monthly Summary'!G28</f>
        <v>18685.875574230478</v>
      </c>
      <c r="I28" s="81">
        <f>(G28-H28)/H28</f>
        <v>-1.5556991641571529E-2</v>
      </c>
    </row>
    <row r="29" spans="1:12" ht="15.75" thickBot="1" x14ac:dyDescent="0.3">
      <c r="A29" s="48" t="s">
        <v>62</v>
      </c>
      <c r="B29" s="39">
        <f>SUM(B27:B28)</f>
        <v>10568.728529357461</v>
      </c>
      <c r="C29" s="39">
        <f>SUM(C27:C28)</f>
        <v>7915.0730048151299</v>
      </c>
      <c r="D29" s="39">
        <f>SUM(D27:D28)</f>
        <v>18483.801534172591</v>
      </c>
      <c r="E29" s="39">
        <f>SUM(E27:E28)</f>
        <v>20516.793464665192</v>
      </c>
      <c r="F29" s="80">
        <f>(D29-E29)/E29</f>
        <v>-9.9089164883094299E-2</v>
      </c>
      <c r="G29" s="39">
        <f>SUM(G27:G28)</f>
        <v>168045.80898717302</v>
      </c>
      <c r="H29" s="39">
        <f>SUM(H27:H28)</f>
        <v>176989.24937674214</v>
      </c>
      <c r="I29" s="82">
        <f>(G29-H29)/H29</f>
        <v>-5.0530980955413689E-2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8" t="s">
        <v>149</v>
      </c>
      <c r="C31" s="457"/>
      <c r="D31" s="458" t="s">
        <v>156</v>
      </c>
      <c r="E31" s="457"/>
      <c r="F31" s="354"/>
      <c r="G31" s="355"/>
    </row>
    <row r="32" spans="1:12" x14ac:dyDescent="0.2">
      <c r="A32" s="336" t="s">
        <v>150</v>
      </c>
      <c r="B32" s="337">
        <f>C8-B33</f>
        <v>964065</v>
      </c>
      <c r="C32" s="338">
        <f>B32/C8</f>
        <v>0.60974668757206263</v>
      </c>
      <c r="D32" s="339">
        <f>+B32+'[2]Monthly Summary'!$D$32</f>
        <v>9141272</v>
      </c>
      <c r="E32" s="340">
        <f>+D32/D34</f>
        <v>0.63042959522672581</v>
      </c>
      <c r="G32" s="2"/>
      <c r="I32" s="353"/>
    </row>
    <row r="33" spans="1:14" ht="13.5" thickBot="1" x14ac:dyDescent="0.25">
      <c r="A33" s="341" t="s">
        <v>151</v>
      </c>
      <c r="B33" s="342">
        <f>'Major Airline Stats'!K51+'Regional Major'!M45</f>
        <v>617026</v>
      </c>
      <c r="C33" s="343">
        <f>+B33/C8</f>
        <v>0.39025331242793743</v>
      </c>
      <c r="D33" s="344">
        <f>+B33+'[2]Monthly Summary'!$D$33</f>
        <v>5358796</v>
      </c>
      <c r="E33" s="345">
        <f>+D33/D34</f>
        <v>0.36957040477327419</v>
      </c>
      <c r="I33" s="353"/>
    </row>
    <row r="34" spans="1:14" ht="13.5" thickBot="1" x14ac:dyDescent="0.25">
      <c r="B34" s="267"/>
      <c r="D34" s="346">
        <f>SUM(D32:D33)</f>
        <v>14500068</v>
      </c>
    </row>
    <row r="35" spans="1:14" ht="13.5" thickBot="1" x14ac:dyDescent="0.25">
      <c r="B35" s="456" t="s">
        <v>226</v>
      </c>
      <c r="C35" s="457"/>
      <c r="D35" s="458" t="s">
        <v>214</v>
      </c>
      <c r="E35" s="457"/>
    </row>
    <row r="36" spans="1:14" x14ac:dyDescent="0.2">
      <c r="A36" s="336" t="s">
        <v>150</v>
      </c>
      <c r="B36" s="337">
        <f>'[1]Monthly Summary'!$B$32</f>
        <v>895252</v>
      </c>
      <c r="C36" s="338">
        <f>+B36/B38</f>
        <v>0.6040559542477133</v>
      </c>
      <c r="D36" s="339">
        <f>'[1]Monthly Summary'!$D$32</f>
        <v>8740665</v>
      </c>
      <c r="E36" s="340">
        <f>+D36/D38</f>
        <v>0.62466419707242027</v>
      </c>
    </row>
    <row r="37" spans="1:14" ht="13.5" thickBot="1" x14ac:dyDescent="0.25">
      <c r="A37" s="341" t="s">
        <v>151</v>
      </c>
      <c r="B37" s="342">
        <f>'[1]Monthly Summary'!$B$33</f>
        <v>586816</v>
      </c>
      <c r="C37" s="345">
        <f>+B37/B38</f>
        <v>0.39594404575228664</v>
      </c>
      <c r="D37" s="344">
        <f>'[1]Monthly Summary'!$D$33</f>
        <v>5251917</v>
      </c>
      <c r="E37" s="345">
        <f>+D37/D38</f>
        <v>0.37533580292757979</v>
      </c>
      <c r="M37" s="1"/>
    </row>
    <row r="38" spans="1:14" x14ac:dyDescent="0.2">
      <c r="B38" s="358">
        <f>+SUM(B36:B37)</f>
        <v>1482068</v>
      </c>
      <c r="D38" s="346">
        <f>SUM(D36:D37)</f>
        <v>13992582</v>
      </c>
    </row>
    <row r="39" spans="1:14" x14ac:dyDescent="0.2">
      <c r="A39" s="350" t="s">
        <v>152</v>
      </c>
    </row>
    <row r="40" spans="1:14" x14ac:dyDescent="0.2">
      <c r="A40" s="194" t="s">
        <v>154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topLeftCell="A16" zoomScaleNormal="100" zoomScaleSheetLayoutView="100" workbookViewId="0">
      <selection activeCell="F43" sqref="F4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25">
        <v>43709</v>
      </c>
      <c r="B1" s="373" t="s">
        <v>18</v>
      </c>
      <c r="C1" s="455" t="s">
        <v>225</v>
      </c>
      <c r="D1" s="443" t="s">
        <v>162</v>
      </c>
      <c r="E1" s="372" t="s">
        <v>169</v>
      </c>
      <c r="F1" s="372" t="s">
        <v>168</v>
      </c>
      <c r="G1" s="372" t="s">
        <v>49</v>
      </c>
      <c r="H1" s="372" t="s">
        <v>116</v>
      </c>
      <c r="I1" s="372" t="s">
        <v>202</v>
      </c>
      <c r="J1" s="372" t="s">
        <v>207</v>
      </c>
      <c r="K1" s="372" t="s">
        <v>167</v>
      </c>
      <c r="L1" s="372" t="s">
        <v>161</v>
      </c>
      <c r="M1" s="372" t="s">
        <v>143</v>
      </c>
      <c r="N1" s="372" t="s">
        <v>21</v>
      </c>
    </row>
    <row r="2" spans="1:14" ht="15" x14ac:dyDescent="0.25">
      <c r="A2" s="493" t="s">
        <v>144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5"/>
    </row>
    <row r="3" spans="1:14" x14ac:dyDescent="0.2">
      <c r="A3" s="47" t="s">
        <v>29</v>
      </c>
      <c r="N3" s="40"/>
    </row>
    <row r="4" spans="1:14" x14ac:dyDescent="0.2">
      <c r="A4" s="47" t="s">
        <v>30</v>
      </c>
      <c r="B4" s="13">
        <f>[3]Delta!$GJ$32</f>
        <v>90229</v>
      </c>
      <c r="C4" s="13">
        <f>'[3]Aer Lingus'!$GJ$32</f>
        <v>4042</v>
      </c>
      <c r="D4" s="13">
        <f>[3]Pinnacle!$GJ$32</f>
        <v>5492</v>
      </c>
      <c r="E4" s="13">
        <f>'[3]Sky West'!$GJ$32</f>
        <v>8670</v>
      </c>
      <c r="F4" s="13">
        <f>'[3]Go Jet'!$GJ$32</f>
        <v>0</v>
      </c>
      <c r="G4" s="13">
        <f>'[3]Sun Country'!$GJ$32</f>
        <v>345</v>
      </c>
      <c r="H4" s="13">
        <f>[3]Icelandair!$GJ$32</f>
        <v>5061</v>
      </c>
      <c r="I4" s="13">
        <f>[3]KLM!$GJ$32</f>
        <v>4448</v>
      </c>
      <c r="J4" s="13">
        <f>'[3]Sky Regional'!$GJ$32</f>
        <v>6082</v>
      </c>
      <c r="K4" s="13">
        <f>[3]Condor!$GJ$32</f>
        <v>1912</v>
      </c>
      <c r="L4" s="13">
        <f>'[3]Air France'!$GJ$32</f>
        <v>5536</v>
      </c>
      <c r="M4" s="13">
        <f>'[3]Charter Misc'!$GJ$32+[3]Ryan!$GJ$32+[3]Omni!$GJ$32</f>
        <v>0</v>
      </c>
      <c r="N4" s="242">
        <f>SUM(B4:M4)</f>
        <v>131817</v>
      </c>
    </row>
    <row r="5" spans="1:14" x14ac:dyDescent="0.2">
      <c r="A5" s="47" t="s">
        <v>31</v>
      </c>
      <c r="B5" s="7">
        <f>[3]Delta!$GJ$33</f>
        <v>91455</v>
      </c>
      <c r="C5" s="7">
        <f>'[3]Aer Lingus'!$GJ$33</f>
        <v>4572</v>
      </c>
      <c r="D5" s="7">
        <f>[3]Pinnacle!$GJ$33</f>
        <v>5610</v>
      </c>
      <c r="E5" s="7">
        <f>'[3]Sky West'!$GJ$33</f>
        <v>8821</v>
      </c>
      <c r="F5" s="7">
        <f>'[3]Go Jet'!$GJ$33</f>
        <v>0</v>
      </c>
      <c r="G5" s="7">
        <f>'[3]Sun Country'!$GJ$33</f>
        <v>437</v>
      </c>
      <c r="H5" s="7">
        <f>[3]Icelandair!$GJ$33</f>
        <v>5041</v>
      </c>
      <c r="I5" s="7">
        <f>[3]KLM!$GJ$33</f>
        <v>4308</v>
      </c>
      <c r="J5" s="7">
        <f>'[3]Sky Regional'!$GJ$33</f>
        <v>6175</v>
      </c>
      <c r="K5" s="7">
        <f>[3]Condor!$GJ$33</f>
        <v>1704</v>
      </c>
      <c r="L5" s="7">
        <f>'[3]Air France'!$GJ$33</f>
        <v>5202</v>
      </c>
      <c r="M5" s="7">
        <f>'[3]Charter Misc'!$GJ$33++[3]Ryan!$GJ$33+[3]Omni!$GJ$33</f>
        <v>0</v>
      </c>
      <c r="N5" s="243">
        <f>SUM(B5:M5)</f>
        <v>133325</v>
      </c>
    </row>
    <row r="6" spans="1:14" ht="15" x14ac:dyDescent="0.25">
      <c r="A6" s="45" t="s">
        <v>7</v>
      </c>
      <c r="B6" s="25">
        <f t="shared" ref="B6:M6" si="0">SUM(B4:B5)</f>
        <v>181684</v>
      </c>
      <c r="C6" s="25">
        <f t="shared" si="0"/>
        <v>8614</v>
      </c>
      <c r="D6" s="25">
        <f t="shared" si="0"/>
        <v>11102</v>
      </c>
      <c r="E6" s="25">
        <f t="shared" si="0"/>
        <v>17491</v>
      </c>
      <c r="F6" s="25">
        <f t="shared" ref="F6" si="1">SUM(F4:F5)</f>
        <v>0</v>
      </c>
      <c r="G6" s="25">
        <f t="shared" si="0"/>
        <v>782</v>
      </c>
      <c r="H6" s="25">
        <f t="shared" si="0"/>
        <v>10102</v>
      </c>
      <c r="I6" s="25">
        <f t="shared" ref="I6" si="2">SUM(I4:I5)</f>
        <v>8756</v>
      </c>
      <c r="J6" s="25">
        <f t="shared" ref="J6" si="3">SUM(J4:J5)</f>
        <v>12257</v>
      </c>
      <c r="K6" s="25">
        <f t="shared" ref="K6" si="4">SUM(K4:K5)</f>
        <v>3616</v>
      </c>
      <c r="L6" s="25">
        <f t="shared" si="0"/>
        <v>10738</v>
      </c>
      <c r="M6" s="25">
        <f t="shared" si="0"/>
        <v>0</v>
      </c>
      <c r="N6" s="244">
        <f>SUM(B6:M6)</f>
        <v>265142</v>
      </c>
    </row>
    <row r="7" spans="1:14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2"/>
    </row>
    <row r="8" spans="1:14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2">
        <f>SUM(B8:M8)</f>
        <v>0</v>
      </c>
    </row>
    <row r="9" spans="1:14" x14ac:dyDescent="0.2">
      <c r="A9" s="47" t="s">
        <v>30</v>
      </c>
      <c r="B9" s="13">
        <f>[3]Delta!$GJ$37</f>
        <v>2182</v>
      </c>
      <c r="C9" s="13">
        <f>'[3]Aer Lingus'!$GJ$37</f>
        <v>35</v>
      </c>
      <c r="D9" s="13">
        <f>[3]Pinnacle!$GJ$37</f>
        <v>118</v>
      </c>
      <c r="E9" s="13">
        <f>'[3]Sky West'!$GJ$37</f>
        <v>105</v>
      </c>
      <c r="F9" s="13">
        <f>'[3]Go Jet'!$GJ$37</f>
        <v>0</v>
      </c>
      <c r="G9" s="13">
        <f>'[3]Sun Country'!$GJ$37</f>
        <v>0</v>
      </c>
      <c r="H9" s="13">
        <f>[3]Icelandair!$GJ$37</f>
        <v>50</v>
      </c>
      <c r="I9" s="13">
        <f>[3]KLM!$GJ$37</f>
        <v>6</v>
      </c>
      <c r="J9" s="13">
        <f>'[3]Sky Regional'!$GJ$37</f>
        <v>72</v>
      </c>
      <c r="K9" s="13">
        <f>[3]Condor!$GJ$37</f>
        <v>0</v>
      </c>
      <c r="L9" s="13">
        <f>'[3]Air France'!$GJ$37</f>
        <v>5</v>
      </c>
      <c r="M9" s="13">
        <f>'[3]Charter Misc'!$GJ$37+[3]Ryan!$GJ$37+[3]Omni!$GJ$37</f>
        <v>0</v>
      </c>
      <c r="N9" s="242">
        <f>SUM(B9:M9)</f>
        <v>2573</v>
      </c>
    </row>
    <row r="10" spans="1:14" x14ac:dyDescent="0.2">
      <c r="A10" s="47" t="s">
        <v>33</v>
      </c>
      <c r="B10" s="7">
        <f>[3]Delta!$GJ$38</f>
        <v>2147</v>
      </c>
      <c r="C10" s="7">
        <f>'[3]Aer Lingus'!$GJ$38</f>
        <v>12</v>
      </c>
      <c r="D10" s="7">
        <f>[3]Pinnacle!$GJ$38</f>
        <v>100</v>
      </c>
      <c r="E10" s="7">
        <f>'[3]Sky West'!$GJ$38</f>
        <v>82</v>
      </c>
      <c r="F10" s="7">
        <f>'[3]Go Jet'!$GJ$38</f>
        <v>0</v>
      </c>
      <c r="G10" s="7">
        <f>'[3]Sun Country'!$GJ$38</f>
        <v>2</v>
      </c>
      <c r="H10" s="7">
        <f>[3]Icelandair!$GJ$38</f>
        <v>57</v>
      </c>
      <c r="I10" s="7">
        <f>[3]KLM!$GJ$38</f>
        <v>10</v>
      </c>
      <c r="J10" s="7">
        <f>'[3]Sky Regional'!$GJ$38</f>
        <v>79</v>
      </c>
      <c r="K10" s="7">
        <f>[3]Condor!$GJ$38</f>
        <v>0</v>
      </c>
      <c r="L10" s="7">
        <f>'[3]Air France'!$GJ$38</f>
        <v>6</v>
      </c>
      <c r="M10" s="7">
        <f>'[3]Charter Misc'!$GJ$38+[3]Ryan!$GJ$38+[3]Omni!$GJ$38</f>
        <v>0</v>
      </c>
      <c r="N10" s="243">
        <f>SUM(B10:M10)</f>
        <v>2495</v>
      </c>
    </row>
    <row r="11" spans="1:14" ht="15.75" thickBot="1" x14ac:dyDescent="0.3">
      <c r="A11" s="48" t="s">
        <v>34</v>
      </c>
      <c r="B11" s="245">
        <f t="shared" ref="B11:G11" si="5">SUM(B9:B10)</f>
        <v>4329</v>
      </c>
      <c r="C11" s="245">
        <f t="shared" si="5"/>
        <v>47</v>
      </c>
      <c r="D11" s="245">
        <f t="shared" si="5"/>
        <v>218</v>
      </c>
      <c r="E11" s="245">
        <f t="shared" si="5"/>
        <v>187</v>
      </c>
      <c r="F11" s="245">
        <f t="shared" ref="F11" si="6">SUM(F9:F10)</f>
        <v>0</v>
      </c>
      <c r="G11" s="245">
        <f t="shared" si="5"/>
        <v>2</v>
      </c>
      <c r="H11" s="245">
        <f t="shared" ref="H11:M11" si="7">SUM(H9:H10)</f>
        <v>107</v>
      </c>
      <c r="I11" s="245">
        <f t="shared" ref="I11" si="8">SUM(I9:I10)</f>
        <v>16</v>
      </c>
      <c r="J11" s="245">
        <f t="shared" ref="J11" si="9">SUM(J9:J10)</f>
        <v>151</v>
      </c>
      <c r="K11" s="245">
        <f t="shared" si="7"/>
        <v>0</v>
      </c>
      <c r="L11" s="245">
        <f t="shared" si="7"/>
        <v>11</v>
      </c>
      <c r="M11" s="245">
        <f t="shared" si="7"/>
        <v>0</v>
      </c>
      <c r="N11" s="246">
        <f>SUM(B11:M11)</f>
        <v>5068</v>
      </c>
    </row>
    <row r="12" spans="1:14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</row>
    <row r="13" spans="1:14" ht="39" thickBot="1" x14ac:dyDescent="0.25">
      <c r="B13" s="373" t="s">
        <v>18</v>
      </c>
      <c r="C13" s="455" t="s">
        <v>225</v>
      </c>
      <c r="D13" s="443" t="s">
        <v>162</v>
      </c>
      <c r="E13" s="373" t="s">
        <v>100</v>
      </c>
      <c r="F13" s="372" t="s">
        <v>168</v>
      </c>
      <c r="G13" s="373" t="s">
        <v>142</v>
      </c>
      <c r="H13" s="373" t="s">
        <v>116</v>
      </c>
      <c r="I13" s="372" t="s">
        <v>202</v>
      </c>
      <c r="J13" s="372" t="s">
        <v>207</v>
      </c>
      <c r="K13" s="372" t="s">
        <v>167</v>
      </c>
      <c r="L13" s="373" t="s">
        <v>161</v>
      </c>
      <c r="M13" s="373" t="s">
        <v>143</v>
      </c>
      <c r="N13" s="372" t="s">
        <v>145</v>
      </c>
    </row>
    <row r="14" spans="1:14" ht="15" x14ac:dyDescent="0.25">
      <c r="A14" s="496" t="s">
        <v>146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8"/>
    </row>
    <row r="15" spans="1:14" x14ac:dyDescent="0.2">
      <c r="A15" s="47" t="s">
        <v>29</v>
      </c>
      <c r="N15" s="40"/>
    </row>
    <row r="16" spans="1:14" x14ac:dyDescent="0.2">
      <c r="A16" s="47" t="s">
        <v>30</v>
      </c>
      <c r="B16" s="13">
        <f>SUM([3]Delta!$GB$32:$GJ$32)</f>
        <v>807903</v>
      </c>
      <c r="C16" s="13">
        <f>SUM('[3]Aer Lingus'!$GB$32:$GJ$32)</f>
        <v>12019</v>
      </c>
      <c r="D16" s="13">
        <f>SUM([3]Pinnacle!$GB$32:$GJ$32)</f>
        <v>57539</v>
      </c>
      <c r="E16" s="13">
        <f>SUM('[3]Sky West'!$GB$32:$GJ$32)</f>
        <v>102249</v>
      </c>
      <c r="F16" s="13">
        <f>SUM('[3]Go Jet'!$GB$32:$GJ$32)</f>
        <v>5012</v>
      </c>
      <c r="G16" s="13">
        <f>SUM('[3]Sun Country'!$GB$32:$GJ$32)</f>
        <v>120153</v>
      </c>
      <c r="H16" s="13">
        <f>SUM([3]Icelandair!$GB$32:$GJ$32)</f>
        <v>33843</v>
      </c>
      <c r="I16" s="13">
        <f>SUM([3]KLM!$GB$32:$GJ$32)</f>
        <v>36392</v>
      </c>
      <c r="J16" s="13">
        <f>SUM('[3]Sky Regional'!$GB$32:$GJ$32)</f>
        <v>45451</v>
      </c>
      <c r="K16" s="13">
        <f>SUM([3]Condor!$GB$32:$GJ$32)</f>
        <v>13214</v>
      </c>
      <c r="L16" s="13">
        <f>SUM('[3]Air France'!$GB$32:$GJ$32)</f>
        <v>37221</v>
      </c>
      <c r="M16" s="13">
        <f>SUM('[3]Charter Misc'!$GB$32:$GJ$32)+SUM([3]Ryan!$GB$32:$GJ$32)+SUM([3]Omni!$GB$32:$GJ$32)</f>
        <v>359</v>
      </c>
      <c r="N16" s="242">
        <f>SUM(B16:M16)</f>
        <v>1271355</v>
      </c>
    </row>
    <row r="17" spans="1:17" x14ac:dyDescent="0.2">
      <c r="A17" s="47" t="s">
        <v>31</v>
      </c>
      <c r="B17" s="7">
        <f>SUM([3]Delta!$GB$33:$GJ$33)</f>
        <v>796840</v>
      </c>
      <c r="C17" s="7">
        <f>SUM('[3]Aer Lingus'!$GB$33:$GJ$33)</f>
        <v>12180</v>
      </c>
      <c r="D17" s="7">
        <f>SUM([3]Pinnacle!$GB$33:$GJ$33)</f>
        <v>58870</v>
      </c>
      <c r="E17" s="7">
        <f>SUM('[3]Sky West'!$GB$33:$GJ$33)</f>
        <v>103941</v>
      </c>
      <c r="F17" s="7">
        <f>SUM('[3]Go Jet'!$GB$33:$GJ$33)</f>
        <v>5685</v>
      </c>
      <c r="G17" s="7">
        <f>SUM('[3]Sun Country'!$GB$33:$GJ$33)</f>
        <v>113457</v>
      </c>
      <c r="H17" s="7">
        <f>SUM([3]Icelandair!$GB$33:$GJ$33)</f>
        <v>34100</v>
      </c>
      <c r="I17" s="7">
        <f>SUM([3]KLM!$GB$33:$GJ$33)</f>
        <v>34547</v>
      </c>
      <c r="J17" s="7">
        <f>SUM('[3]Sky Regional'!$GB$33:$GJ$33)</f>
        <v>44793</v>
      </c>
      <c r="K17" s="7">
        <f>SUM([3]Condor!$GB$33:$GJ$33)</f>
        <v>12888</v>
      </c>
      <c r="L17" s="7">
        <f>SUM('[3]Air France'!$GB$33:$GJ$33)</f>
        <v>34725</v>
      </c>
      <c r="M17" s="7">
        <f>SUM('[3]Charter Misc'!$GB$33:$GJ$33)++SUM([3]Ryan!$GB$33:$GJ$33)+SUM([3]Omni!$GB$33:$GJ$33)</f>
        <v>381</v>
      </c>
      <c r="N17" s="243">
        <f>SUM(B17:M17)</f>
        <v>1252407</v>
      </c>
    </row>
    <row r="18" spans="1:17" ht="15" x14ac:dyDescent="0.25">
      <c r="A18" s="45" t="s">
        <v>7</v>
      </c>
      <c r="B18" s="25">
        <f t="shared" ref="B18:M18" si="10">SUM(B16:B17)</f>
        <v>1604743</v>
      </c>
      <c r="C18" s="25">
        <f t="shared" si="10"/>
        <v>24199</v>
      </c>
      <c r="D18" s="25">
        <f t="shared" si="10"/>
        <v>116409</v>
      </c>
      <c r="E18" s="25">
        <f t="shared" si="10"/>
        <v>206190</v>
      </c>
      <c r="F18" s="25">
        <f t="shared" ref="F18" si="11">SUM(F16:F17)</f>
        <v>10697</v>
      </c>
      <c r="G18" s="25">
        <f t="shared" si="10"/>
        <v>233610</v>
      </c>
      <c r="H18" s="25">
        <f t="shared" si="10"/>
        <v>67943</v>
      </c>
      <c r="I18" s="25">
        <f t="shared" ref="I18" si="12">SUM(I16:I17)</f>
        <v>70939</v>
      </c>
      <c r="J18" s="25">
        <f t="shared" ref="J18" si="13">SUM(J16:J17)</f>
        <v>90244</v>
      </c>
      <c r="K18" s="25">
        <f t="shared" ref="K18" si="14">SUM(K16:K17)</f>
        <v>26102</v>
      </c>
      <c r="L18" s="25">
        <f t="shared" si="10"/>
        <v>71946</v>
      </c>
      <c r="M18" s="25">
        <f t="shared" si="10"/>
        <v>740</v>
      </c>
      <c r="N18" s="244">
        <f>SUM(B18:M18)</f>
        <v>2523762</v>
      </c>
      <c r="Q18" s="267"/>
    </row>
    <row r="19" spans="1:17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2"/>
      <c r="Q19" s="97"/>
    </row>
    <row r="20" spans="1:17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2">
        <f>SUM(B20:M20)</f>
        <v>0</v>
      </c>
    </row>
    <row r="21" spans="1:17" x14ac:dyDescent="0.2">
      <c r="A21" s="47" t="s">
        <v>30</v>
      </c>
      <c r="B21" s="13">
        <f>SUM([3]Delta!$GB$37:$GJ$37)</f>
        <v>20915</v>
      </c>
      <c r="C21" s="13">
        <f>SUM('[3]Aer Lingus'!$GB$37:$GJ$37)</f>
        <v>108</v>
      </c>
      <c r="D21" s="13">
        <f>SUM([3]Pinnacle!$GB$37:$GJ$37)</f>
        <v>932</v>
      </c>
      <c r="E21" s="13">
        <f>SUM('[3]Sky West'!$GB$37:$GJ$37)</f>
        <v>1190</v>
      </c>
      <c r="F21" s="13">
        <f>SUM('[3]Go Jet'!$GB$37:$GJ$37)</f>
        <v>110</v>
      </c>
      <c r="G21" s="13">
        <f>SUM('[3]Sun Country'!$GB$37:$GJ$37)</f>
        <v>830</v>
      </c>
      <c r="H21" s="13">
        <f>SUM([3]Icelandair!$GB$37:$GJ$37)</f>
        <v>318</v>
      </c>
      <c r="I21" s="13">
        <f>SUM([3]KLM!$GB$37:$GJ$37)</f>
        <v>96</v>
      </c>
      <c r="J21" s="13">
        <f>SUM('[3]Sky Regional'!$GB$37:$GJ$37)</f>
        <v>510</v>
      </c>
      <c r="K21" s="13">
        <f>SUM([3]Condor!$GB$37:$GJ$37)</f>
        <v>23</v>
      </c>
      <c r="L21" s="13">
        <f>SUM('[3]Air France'!$GB$37:$GJ$37)</f>
        <v>24</v>
      </c>
      <c r="M21" s="13">
        <f>SUM('[3]Charter Misc'!$GB$37:$GJ$37)++SUM([3]Ryan!$GB$37:$GJ$37)+SUM([3]Omni!$GB$37:$GJ$37)</f>
        <v>0</v>
      </c>
      <c r="N21" s="242">
        <f>SUM(B21:M21)</f>
        <v>25056</v>
      </c>
    </row>
    <row r="22" spans="1:17" x14ac:dyDescent="0.2">
      <c r="A22" s="47" t="s">
        <v>33</v>
      </c>
      <c r="B22" s="7">
        <f>SUM([3]Delta!$GB$38:$GJ$38)</f>
        <v>20714</v>
      </c>
      <c r="C22" s="7">
        <f>SUM('[3]Aer Lingus'!$GB$38:$GJ$38)</f>
        <v>77</v>
      </c>
      <c r="D22" s="7">
        <f>SUM([3]Pinnacle!$GB$38:$GJ$38)</f>
        <v>883</v>
      </c>
      <c r="E22" s="7">
        <f>SUM('[3]Sky West'!$GB$38:$GJ$38)</f>
        <v>1117</v>
      </c>
      <c r="F22" s="7">
        <f>SUM('[3]Go Jet'!$GB$38:$GJ$38)</f>
        <v>70</v>
      </c>
      <c r="G22" s="7">
        <f>SUM('[3]Sun Country'!$GB$38:$GJ$38)</f>
        <v>961</v>
      </c>
      <c r="H22" s="7">
        <f>SUM([3]Icelandair!$GB$38:$GJ$38)</f>
        <v>350</v>
      </c>
      <c r="I22" s="7">
        <f>SUM([3]KLM!$GB$38:$GJ$38)</f>
        <v>111</v>
      </c>
      <c r="J22" s="7">
        <f>SUM('[3]Sky Regional'!$GB$38:$GJ$38)</f>
        <v>559</v>
      </c>
      <c r="K22" s="7">
        <f>SUM([3]Condor!$GB$38:$GJ$38)</f>
        <v>12</v>
      </c>
      <c r="L22" s="7">
        <f>SUM('[3]Air France'!$GB$38:$GJ$38)</f>
        <v>19</v>
      </c>
      <c r="M22" s="7">
        <f>SUM('[3]Charter Misc'!$GB$38:$GJ$38)++SUM([3]Ryan!$GB$38:$GJ$38)+SUM([3]Omni!$GB$38:$GJ$38)</f>
        <v>0</v>
      </c>
      <c r="N22" s="243">
        <f>SUM(B22:M22)</f>
        <v>24873</v>
      </c>
    </row>
    <row r="23" spans="1:17" ht="15.75" thickBot="1" x14ac:dyDescent="0.3">
      <c r="A23" s="48" t="s">
        <v>34</v>
      </c>
      <c r="B23" s="245">
        <f t="shared" ref="B23:M23" si="15">SUM(B21:B22)</f>
        <v>41629</v>
      </c>
      <c r="C23" s="245">
        <f t="shared" si="15"/>
        <v>185</v>
      </c>
      <c r="D23" s="245">
        <f t="shared" si="15"/>
        <v>1815</v>
      </c>
      <c r="E23" s="245">
        <f t="shared" si="15"/>
        <v>2307</v>
      </c>
      <c r="F23" s="245">
        <f t="shared" ref="F23" si="16">SUM(F21:F22)</f>
        <v>180</v>
      </c>
      <c r="G23" s="245">
        <f t="shared" si="15"/>
        <v>1791</v>
      </c>
      <c r="H23" s="245">
        <f t="shared" si="15"/>
        <v>668</v>
      </c>
      <c r="I23" s="245">
        <f t="shared" ref="I23" si="17">SUM(I21:I22)</f>
        <v>207</v>
      </c>
      <c r="J23" s="245">
        <f t="shared" ref="J23" si="18">SUM(J21:J22)</f>
        <v>1069</v>
      </c>
      <c r="K23" s="245">
        <f t="shared" ref="K23" si="19">SUM(K21:K22)</f>
        <v>35</v>
      </c>
      <c r="L23" s="245">
        <f t="shared" si="15"/>
        <v>43</v>
      </c>
      <c r="M23" s="245">
        <f t="shared" si="15"/>
        <v>0</v>
      </c>
      <c r="N23" s="246">
        <f>SUM(B23:M23)</f>
        <v>49929</v>
      </c>
    </row>
    <row r="25" spans="1:17" ht="39" thickBot="1" x14ac:dyDescent="0.25">
      <c r="B25" s="373" t="s">
        <v>18</v>
      </c>
      <c r="C25" s="455" t="s">
        <v>225</v>
      </c>
      <c r="D25" s="443" t="s">
        <v>162</v>
      </c>
      <c r="E25" s="373" t="s">
        <v>100</v>
      </c>
      <c r="F25" s="372" t="s">
        <v>168</v>
      </c>
      <c r="G25" s="373" t="s">
        <v>142</v>
      </c>
      <c r="H25" s="373" t="s">
        <v>116</v>
      </c>
      <c r="I25" s="372" t="s">
        <v>202</v>
      </c>
      <c r="J25" s="372" t="s">
        <v>207</v>
      </c>
      <c r="K25" s="372" t="s">
        <v>167</v>
      </c>
      <c r="L25" s="373" t="s">
        <v>161</v>
      </c>
      <c r="M25" s="373" t="s">
        <v>143</v>
      </c>
      <c r="N25" s="372" t="s">
        <v>21</v>
      </c>
    </row>
    <row r="26" spans="1:17" ht="15" x14ac:dyDescent="0.25">
      <c r="A26" s="499" t="s">
        <v>147</v>
      </c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1"/>
    </row>
    <row r="27" spans="1:17" x14ac:dyDescent="0.2">
      <c r="A27" s="47" t="s">
        <v>22</v>
      </c>
      <c r="B27" s="13">
        <f>[3]Delta!$GJ$15</f>
        <v>554</v>
      </c>
      <c r="C27" s="13">
        <f>'[3]Aer Lingus'!$GJ$15</f>
        <v>30</v>
      </c>
      <c r="D27" s="13">
        <f>[3]Pinnacle!$GJ$15</f>
        <v>85</v>
      </c>
      <c r="E27" s="13">
        <f>'[3]Sky West'!$GJ$15</f>
        <v>136</v>
      </c>
      <c r="F27" s="13">
        <f>'[3]Go Jet'!$GJ$15</f>
        <v>0</v>
      </c>
      <c r="G27" s="13">
        <f>'[3]Sun Country'!$GJ$15</f>
        <v>4</v>
      </c>
      <c r="H27" s="13">
        <f>[3]Icelandair!$GJ$15</f>
        <v>30</v>
      </c>
      <c r="I27" s="13">
        <f>[3]KLM!$GJ$15</f>
        <v>17</v>
      </c>
      <c r="J27" s="13">
        <f>'[3]Sky Regional'!$GJ$15</f>
        <v>114</v>
      </c>
      <c r="K27" s="13">
        <f>[3]Condor!$GJ$15</f>
        <v>8</v>
      </c>
      <c r="L27" s="13">
        <f>'[3]Air France'!$GJ$15</f>
        <v>21</v>
      </c>
      <c r="M27" s="13">
        <f>'[3]Charter Misc'!$GJ$15+[3]Ryan!$GJ$15+[3]Omni!$GJ$15</f>
        <v>0</v>
      </c>
      <c r="N27" s="242">
        <f>SUM(B27:M27)</f>
        <v>999</v>
      </c>
    </row>
    <row r="28" spans="1:17" x14ac:dyDescent="0.2">
      <c r="A28" s="47" t="s">
        <v>23</v>
      </c>
      <c r="B28" s="13">
        <f>[3]Delta!$GJ$16</f>
        <v>557</v>
      </c>
      <c r="C28" s="13">
        <f>'[3]Aer Lingus'!$GJ$16</f>
        <v>30</v>
      </c>
      <c r="D28" s="13">
        <f>[3]Pinnacle!$GJ$16</f>
        <v>85</v>
      </c>
      <c r="E28" s="13">
        <f>'[3]Sky West'!$GJ$16</f>
        <v>136</v>
      </c>
      <c r="F28" s="13">
        <f>'[3]Go Jet'!$GJ$16</f>
        <v>0</v>
      </c>
      <c r="G28" s="13">
        <f>'[3]Sun Country'!$GJ$16</f>
        <v>4</v>
      </c>
      <c r="H28" s="13">
        <f>[3]Icelandair!$GJ$16</f>
        <v>30</v>
      </c>
      <c r="I28" s="13">
        <f>[3]KLM!$GJ$16</f>
        <v>17</v>
      </c>
      <c r="J28" s="13">
        <f>'[3]Sky Regional'!$GJ$16</f>
        <v>114</v>
      </c>
      <c r="K28" s="13">
        <f>[3]Condor!$GJ$16</f>
        <v>8</v>
      </c>
      <c r="L28" s="13">
        <f>'[3]Air France'!$GJ$16</f>
        <v>21</v>
      </c>
      <c r="M28" s="13">
        <f>'[3]Charter Misc'!$GJ$16+[3]Ryan!$GJ$16+[3]Omni!$GJ$16</f>
        <v>0</v>
      </c>
      <c r="N28" s="242">
        <f>SUM(B28:M28)</f>
        <v>1002</v>
      </c>
    </row>
    <row r="29" spans="1:17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2"/>
    </row>
    <row r="30" spans="1:17" ht="15.75" thickBot="1" x14ac:dyDescent="0.3">
      <c r="A30" s="48" t="s">
        <v>28</v>
      </c>
      <c r="B30" s="328">
        <f t="shared" ref="B30:H30" si="20">SUM(B27:B28)</f>
        <v>1111</v>
      </c>
      <c r="C30" s="328">
        <f t="shared" si="20"/>
        <v>60</v>
      </c>
      <c r="D30" s="328">
        <f t="shared" si="20"/>
        <v>170</v>
      </c>
      <c r="E30" s="328">
        <f>SUM(E27:E28)</f>
        <v>272</v>
      </c>
      <c r="F30" s="328">
        <f>SUM(F27:F28)</f>
        <v>0</v>
      </c>
      <c r="G30" s="328">
        <f t="shared" si="20"/>
        <v>8</v>
      </c>
      <c r="H30" s="328">
        <f t="shared" si="20"/>
        <v>60</v>
      </c>
      <c r="I30" s="328">
        <f t="shared" ref="I30" si="21">SUM(I27:I28)</f>
        <v>34</v>
      </c>
      <c r="J30" s="328">
        <f t="shared" ref="J30" si="22">SUM(J27:J28)</f>
        <v>228</v>
      </c>
      <c r="K30" s="328">
        <f>SUM(K27:K28)</f>
        <v>16</v>
      </c>
      <c r="L30" s="328">
        <f>SUM(L27:L28)</f>
        <v>42</v>
      </c>
      <c r="M30" s="328">
        <f>SUM(M27:M28)</f>
        <v>0</v>
      </c>
      <c r="N30" s="329">
        <f>SUM(B30:M30)</f>
        <v>2001</v>
      </c>
    </row>
    <row r="31" spans="1:17" ht="15" x14ac:dyDescent="0.25">
      <c r="A31" s="330"/>
    </row>
    <row r="32" spans="1:17" ht="39" thickBot="1" x14ac:dyDescent="0.25">
      <c r="B32" s="373" t="s">
        <v>18</v>
      </c>
      <c r="C32" s="455" t="s">
        <v>225</v>
      </c>
      <c r="D32" s="443" t="s">
        <v>162</v>
      </c>
      <c r="E32" s="373" t="s">
        <v>100</v>
      </c>
      <c r="F32" s="372" t="s">
        <v>168</v>
      </c>
      <c r="G32" s="373" t="s">
        <v>142</v>
      </c>
      <c r="H32" s="373" t="s">
        <v>116</v>
      </c>
      <c r="I32" s="372" t="s">
        <v>202</v>
      </c>
      <c r="J32" s="372" t="s">
        <v>207</v>
      </c>
      <c r="K32" s="372" t="s">
        <v>167</v>
      </c>
      <c r="L32" s="373" t="s">
        <v>161</v>
      </c>
      <c r="M32" s="373" t="s">
        <v>143</v>
      </c>
      <c r="N32" s="372" t="s">
        <v>145</v>
      </c>
    </row>
    <row r="33" spans="1:14" ht="15" x14ac:dyDescent="0.25">
      <c r="A33" s="502" t="s">
        <v>148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4"/>
    </row>
    <row r="34" spans="1:14" x14ac:dyDescent="0.2">
      <c r="A34" s="47" t="s">
        <v>22</v>
      </c>
      <c r="B34" s="13">
        <f>SUM([3]Delta!$GB$15:$GJ$15)</f>
        <v>4831</v>
      </c>
      <c r="C34" s="13">
        <f>SUM('[3]Aer Lingus'!$GB$15:$GJ$15)</f>
        <v>83</v>
      </c>
      <c r="D34" s="13">
        <f>SUM([3]Pinnacle!$GB$15:$GJ$15)</f>
        <v>867</v>
      </c>
      <c r="E34" s="13">
        <f>SUM('[3]Sky West'!$GB$15:$GJ$15)</f>
        <v>1617</v>
      </c>
      <c r="F34" s="13">
        <f>SUM('[3]Go Jet'!$GB$15:$GJ$15)</f>
        <v>95</v>
      </c>
      <c r="G34" s="13">
        <f>SUM('[3]Sun Country'!$GB$15:$GJ$15)</f>
        <v>860</v>
      </c>
      <c r="H34" s="13">
        <f>SUM([3]Icelandair!$GB$15:$GJ$15)</f>
        <v>196</v>
      </c>
      <c r="I34" s="13">
        <f>SUM([3]KLM!$GB$15:$GJ$15)</f>
        <v>150</v>
      </c>
      <c r="J34" s="13">
        <f>SUM('[3]Sky Regional'!$GB$15:$GJ$15)</f>
        <v>789</v>
      </c>
      <c r="K34" s="13">
        <f>SUM([3]Condor!$GB$15:$GJ$15)</f>
        <v>54</v>
      </c>
      <c r="L34" s="13">
        <f>SUM('[3]Air France'!$GB$15:$GJ$15)</f>
        <v>140</v>
      </c>
      <c r="M34" s="13">
        <f>SUM('[3]Charter Misc'!$GB$15:$GJ$15)+SUM([3]Ryan!$GB$15:$GJ$15)+SUM([3]Omni!$GB$15:$GJ$15)</f>
        <v>1</v>
      </c>
      <c r="N34" s="242">
        <f>SUM(B34:M34)</f>
        <v>9683</v>
      </c>
    </row>
    <row r="35" spans="1:14" x14ac:dyDescent="0.2">
      <c r="A35" s="47" t="s">
        <v>23</v>
      </c>
      <c r="B35" s="13">
        <f>SUM([3]Delta!$GB$16:$GJ$16)</f>
        <v>4851</v>
      </c>
      <c r="C35" s="13">
        <f>SUM('[3]Aer Lingus'!$GB$16:$GJ$16)</f>
        <v>83</v>
      </c>
      <c r="D35" s="13">
        <f>SUM([3]Pinnacle!$GB$16:$GJ$16)</f>
        <v>867</v>
      </c>
      <c r="E35" s="13">
        <f>SUM('[3]Sky West'!$GB$16:$GJ$16)</f>
        <v>1621</v>
      </c>
      <c r="F35" s="13">
        <f>SUM('[3]Go Jet'!$GB$16:$GJ$16)</f>
        <v>95</v>
      </c>
      <c r="G35" s="13">
        <f>SUM('[3]Sun Country'!$GB$16:$GJ$16)</f>
        <v>856</v>
      </c>
      <c r="H35" s="13">
        <f>SUM([3]Icelandair!$GB$16:$GJ$16)</f>
        <v>196</v>
      </c>
      <c r="I35" s="13">
        <f>SUM([3]KLM!$GB$16:$GJ$16)</f>
        <v>150</v>
      </c>
      <c r="J35" s="13">
        <f>SUM('[3]Sky Regional'!$GB$16:$GJ$16)</f>
        <v>789</v>
      </c>
      <c r="K35" s="13">
        <f>SUM([3]Condor!$GB$16:$GJ$16)</f>
        <v>54</v>
      </c>
      <c r="L35" s="13">
        <f>SUM('[3]Air France'!$GB$16:$GJ$16)</f>
        <v>140</v>
      </c>
      <c r="M35" s="13">
        <f>SUM('[3]Charter Misc'!$GB$16:$GJ$16)+SUM([3]Ryan!$GB$16:$GJ$16)+SUM([3]Omni!$GB$16:$GJ$16)</f>
        <v>2</v>
      </c>
      <c r="N35" s="242">
        <f>SUM(B35:M35)</f>
        <v>9704</v>
      </c>
    </row>
    <row r="36" spans="1:14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2"/>
    </row>
    <row r="37" spans="1:14" ht="15.75" thickBot="1" x14ac:dyDescent="0.3">
      <c r="A37" s="48" t="s">
        <v>28</v>
      </c>
      <c r="B37" s="328">
        <f t="shared" ref="B37:H37" si="23">+SUM(B34:B35)</f>
        <v>9682</v>
      </c>
      <c r="C37" s="328">
        <f t="shared" si="23"/>
        <v>166</v>
      </c>
      <c r="D37" s="328">
        <f t="shared" si="23"/>
        <v>1734</v>
      </c>
      <c r="E37" s="328">
        <f>+SUM(E34:E35)</f>
        <v>3238</v>
      </c>
      <c r="F37" s="328">
        <f>+SUM(F34:F35)</f>
        <v>190</v>
      </c>
      <c r="G37" s="328">
        <f t="shared" si="23"/>
        <v>1716</v>
      </c>
      <c r="H37" s="328">
        <f t="shared" si="23"/>
        <v>392</v>
      </c>
      <c r="I37" s="328">
        <f t="shared" ref="I37" si="24">+SUM(I34:I35)</f>
        <v>300</v>
      </c>
      <c r="J37" s="328">
        <f t="shared" ref="J37" si="25">+SUM(J34:J35)</f>
        <v>1578</v>
      </c>
      <c r="K37" s="328">
        <f>+SUM(K34:K35)</f>
        <v>108</v>
      </c>
      <c r="L37" s="328">
        <f>+SUM(L34:L35)</f>
        <v>280</v>
      </c>
      <c r="M37" s="328">
        <f>+SUM(M34:M35)</f>
        <v>3</v>
      </c>
      <c r="N37" s="329">
        <f>SUM(B37:M37)</f>
        <v>19387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2" orientation="landscape" r:id="rId1"/>
  <headerFooter alignWithMargins="0">
    <oddHeader>&amp;LSchedule 9&amp;CMinneapolis-St. Paul International Airport
&amp;"Arial,Bold"International Detail&amp;"Arial,Regular"
&amp;"Arial,Bold"September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zoomScaleNormal="100" zoomScaleSheetLayoutView="115" workbookViewId="0">
      <pane ySplit="1" topLeftCell="A47" activePane="bottomLeft" state="frozen"/>
      <selection pane="bottomLeft" activeCell="D61" sqref="D61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85546875" style="2" bestFit="1" customWidth="1"/>
    <col min="4" max="4" width="9.140625" style="2" bestFit="1" customWidth="1"/>
    <col min="5" max="5" width="9.28515625" style="3" bestFit="1" customWidth="1"/>
    <col min="6" max="6" width="8.7109375" style="192" bestFit="1" customWidth="1"/>
    <col min="7" max="7" width="8.7109375" style="2" bestFit="1" customWidth="1"/>
    <col min="8" max="8" width="9" style="3" bestFit="1" customWidth="1"/>
    <col min="9" max="9" width="8.85546875" style="3" bestFit="1" customWidth="1"/>
    <col min="10" max="10" width="4.140625" style="3" customWidth="1"/>
    <col min="11" max="11" width="14.42578125" style="196" bestFit="1" customWidth="1"/>
    <col min="12" max="13" width="14.140625" style="2" bestFit="1" customWidth="1"/>
    <col min="14" max="14" width="11.7109375" style="3" customWidth="1"/>
    <col min="15" max="16" width="10.855468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8" t="s">
        <v>135</v>
      </c>
      <c r="B1" s="509"/>
      <c r="C1" s="382" t="s">
        <v>220</v>
      </c>
      <c r="D1" s="383" t="s">
        <v>203</v>
      </c>
      <c r="E1" s="229" t="s">
        <v>98</v>
      </c>
      <c r="F1" s="228" t="s">
        <v>221</v>
      </c>
      <c r="G1" s="383" t="s">
        <v>204</v>
      </c>
      <c r="H1" s="227" t="s">
        <v>99</v>
      </c>
      <c r="I1" s="229" t="s">
        <v>140</v>
      </c>
      <c r="J1" s="514" t="s">
        <v>139</v>
      </c>
      <c r="K1" s="515"/>
      <c r="L1" s="380" t="s">
        <v>222</v>
      </c>
      <c r="M1" s="381" t="s">
        <v>205</v>
      </c>
      <c r="N1" s="298" t="s">
        <v>99</v>
      </c>
      <c r="O1" s="416" t="s">
        <v>223</v>
      </c>
      <c r="P1" s="230" t="s">
        <v>206</v>
      </c>
      <c r="Q1" s="414" t="s">
        <v>99</v>
      </c>
      <c r="R1" s="417" t="s">
        <v>140</v>
      </c>
    </row>
    <row r="2" spans="1:18" s="9" customFormat="1" ht="13.5" customHeight="1" thickBot="1" x14ac:dyDescent="0.25">
      <c r="A2" s="510">
        <v>43709</v>
      </c>
      <c r="B2" s="511"/>
      <c r="C2" s="512" t="s">
        <v>9</v>
      </c>
      <c r="D2" s="513"/>
      <c r="E2" s="513"/>
      <c r="F2" s="513"/>
      <c r="G2" s="513"/>
      <c r="H2" s="513"/>
      <c r="I2" s="384"/>
      <c r="J2" s="510">
        <f>+A2</f>
        <v>43709</v>
      </c>
      <c r="K2" s="511"/>
      <c r="L2" s="505" t="s">
        <v>141</v>
      </c>
      <c r="M2" s="506"/>
      <c r="N2" s="506"/>
      <c r="O2" s="506"/>
      <c r="P2" s="506"/>
      <c r="Q2" s="506"/>
      <c r="R2" s="507"/>
    </row>
    <row r="3" spans="1:18" x14ac:dyDescent="0.2">
      <c r="A3" s="299"/>
      <c r="B3" s="300"/>
      <c r="C3" s="301"/>
      <c r="D3" s="302"/>
      <c r="E3" s="303"/>
      <c r="F3" s="356"/>
      <c r="G3" s="302"/>
      <c r="H3" s="412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225</v>
      </c>
      <c r="B4" s="40"/>
      <c r="C4" s="307">
        <f>'[3]Aer Lingus'!$GJ$19</f>
        <v>60</v>
      </c>
      <c r="D4" s="150">
        <f>'[3]Aer Lingus'!$FV$19</f>
        <v>0</v>
      </c>
      <c r="E4" s="309" t="e">
        <f>(C4-D4)/D4</f>
        <v>#DIV/0!</v>
      </c>
      <c r="F4" s="150">
        <f>SUM('[3]Aer Lingus'!$GB$19:$GJ$19)</f>
        <v>166</v>
      </c>
      <c r="G4" s="150">
        <f>SUM('[3]Aer Lingus'!$FN$19:$FV$19)</f>
        <v>0</v>
      </c>
      <c r="H4" s="308" t="e">
        <f>(F4-G4)/G4</f>
        <v>#DIV/0!</v>
      </c>
      <c r="I4" s="309">
        <f>F4/$F$69</f>
        <v>5.9064223447785093E-4</v>
      </c>
      <c r="J4" s="306" t="s">
        <v>225</v>
      </c>
      <c r="K4" s="40"/>
      <c r="L4" s="307">
        <f>'[3]Aer Lingus'!$GJ$41</f>
        <v>8614</v>
      </c>
      <c r="M4" s="150">
        <f>'[3]Aer Lingus'!$FV$41</f>
        <v>0</v>
      </c>
      <c r="N4" s="309" t="e">
        <f>(L4-M4)/M4</f>
        <v>#DIV/0!</v>
      </c>
      <c r="O4" s="307">
        <f>SUM('[3]Aer Lingus'!$GB$41:$GJ$41)</f>
        <v>24199</v>
      </c>
      <c r="P4" s="150">
        <f>SUM('[3]Aer Lingus'!$FN$41:$FV$41)</f>
        <v>0</v>
      </c>
      <c r="Q4" s="308" t="e">
        <f>(O4-P4)/P4</f>
        <v>#DIV/0!</v>
      </c>
      <c r="R4" s="309">
        <f>O4/$O$69</f>
        <v>8.3278586297903941E-4</v>
      </c>
    </row>
    <row r="5" spans="1:18" x14ac:dyDescent="0.2">
      <c r="A5" s="38"/>
      <c r="B5" s="40"/>
      <c r="C5" s="310"/>
      <c r="D5" s="447"/>
      <c r="E5" s="67"/>
      <c r="F5" s="448"/>
      <c r="G5" s="447"/>
      <c r="H5" s="449"/>
      <c r="I5" s="67"/>
      <c r="J5" s="450"/>
      <c r="K5" s="40"/>
      <c r="L5" s="310"/>
      <c r="N5" s="67"/>
      <c r="O5" s="38"/>
      <c r="P5" s="451"/>
      <c r="Q5" s="451"/>
      <c r="R5" s="40"/>
    </row>
    <row r="6" spans="1:18" ht="14.1" customHeight="1" x14ac:dyDescent="0.2">
      <c r="A6" s="306" t="s">
        <v>101</v>
      </c>
      <c r="B6" s="40"/>
      <c r="C6" s="307">
        <f>SUM(C7:C9)</f>
        <v>228</v>
      </c>
      <c r="D6" s="150">
        <f>SUM(D7:D9)</f>
        <v>178</v>
      </c>
      <c r="E6" s="309">
        <f>(C6-D6)/D6</f>
        <v>0.2808988764044944</v>
      </c>
      <c r="F6" s="307">
        <f>SUM(F7:F9)</f>
        <v>1578</v>
      </c>
      <c r="G6" s="150">
        <f>SUM(G7:G9)</f>
        <v>1548</v>
      </c>
      <c r="H6" s="308">
        <f>(F6-G6)/G6</f>
        <v>1.937984496124031E-2</v>
      </c>
      <c r="I6" s="309">
        <f>F6/$F$69</f>
        <v>5.6146593132894501E-3</v>
      </c>
      <c r="J6" s="306" t="s">
        <v>101</v>
      </c>
      <c r="K6" s="40"/>
      <c r="L6" s="307">
        <f>SUM(L7:L9)</f>
        <v>12257</v>
      </c>
      <c r="M6" s="150">
        <f>SUM(M7:M9)</f>
        <v>11006</v>
      </c>
      <c r="N6" s="309">
        <f>(L6-M6)/M6</f>
        <v>0.1136652734871888</v>
      </c>
      <c r="O6" s="307">
        <f>SUM(O7:O9)</f>
        <v>90244</v>
      </c>
      <c r="P6" s="150">
        <f>SUM(P7:P9)</f>
        <v>89234</v>
      </c>
      <c r="Q6" s="308">
        <f>(O6-P6)/P6</f>
        <v>1.1318555707465764E-2</v>
      </c>
      <c r="R6" s="309">
        <f>O6/$O$69</f>
        <v>3.1056625240167128E-3</v>
      </c>
    </row>
    <row r="7" spans="1:18" ht="14.1" customHeight="1" x14ac:dyDescent="0.2">
      <c r="A7" s="306"/>
      <c r="B7" s="364" t="s">
        <v>101</v>
      </c>
      <c r="C7" s="310">
        <f>+[3]AirCanada!$GJ$19</f>
        <v>0</v>
      </c>
      <c r="D7" s="2">
        <f>+[3]AirCanada!$FV$19</f>
        <v>0</v>
      </c>
      <c r="E7" s="67" t="e">
        <f>(C7-D7)/D7</f>
        <v>#DIV/0!</v>
      </c>
      <c r="F7" s="254">
        <f>SUM([3]AirCanada!$GB$19:$GJ$19)</f>
        <v>0</v>
      </c>
      <c r="G7" s="254">
        <f>SUM([3]AirCanada!$FN$19:$FV$19)</f>
        <v>0</v>
      </c>
      <c r="H7" s="369" t="e">
        <f>(F7-G7)/G7</f>
        <v>#DIV/0!</v>
      </c>
      <c r="I7" s="67">
        <f>F7/$F$69</f>
        <v>0</v>
      </c>
      <c r="J7" s="306"/>
      <c r="K7" s="364" t="s">
        <v>101</v>
      </c>
      <c r="L7" s="368">
        <f>+[3]AirCanada!$GJ$41</f>
        <v>0</v>
      </c>
      <c r="M7" s="254">
        <f>+[3]AirCanada!$FV$41</f>
        <v>0</v>
      </c>
      <c r="N7" s="370" t="e">
        <f>(L7-M7)/M7</f>
        <v>#DIV/0!</v>
      </c>
      <c r="O7" s="368">
        <f>SUM([3]AirCanada!$GB$41:$GJ$41)</f>
        <v>0</v>
      </c>
      <c r="P7" s="254">
        <f>SUM([3]AirCanada!$FN$41:$FV$41)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170</v>
      </c>
      <c r="C8" s="310">
        <f>'[3]Air Georgian'!$GJ$19</f>
        <v>0</v>
      </c>
      <c r="D8" s="2">
        <f>'[3]Air Georgian'!$FV$19</f>
        <v>0</v>
      </c>
      <c r="E8" s="67" t="e">
        <f>(C8-D8)/D8</f>
        <v>#DIV/0!</v>
      </c>
      <c r="F8" s="254">
        <f>SUM('[3]Air Georgian'!$GB$19:$GJ$19)</f>
        <v>0</v>
      </c>
      <c r="G8" s="254">
        <f>SUM('[3]Air Georgian'!$FN$19:$FV$19)</f>
        <v>0</v>
      </c>
      <c r="H8" s="369" t="e">
        <f>(F8-G8)/G8</f>
        <v>#DIV/0!</v>
      </c>
      <c r="I8" s="67">
        <f>F8/$F$69</f>
        <v>0</v>
      </c>
      <c r="J8" s="306"/>
      <c r="K8" s="364" t="s">
        <v>170</v>
      </c>
      <c r="L8" s="310">
        <f>'[3]Air Georgian'!$GJ$41</f>
        <v>0</v>
      </c>
      <c r="M8" s="2">
        <f>'[3]Air Georgian'!$FV$41</f>
        <v>0</v>
      </c>
      <c r="N8" s="67" t="e">
        <f>(L8-M8)/M8</f>
        <v>#DIV/0!</v>
      </c>
      <c r="O8" s="310">
        <f>SUM('[3]Air Georgian'!$GB$41:$GJ$41)</f>
        <v>0</v>
      </c>
      <c r="P8" s="2">
        <f>SUM('[3]Air Georgian'!$FN$41:$FV$41)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200</v>
      </c>
      <c r="C9" s="310">
        <f>'[3]Sky Regional'!$GJ$19</f>
        <v>228</v>
      </c>
      <c r="D9" s="2">
        <f>'[3]Sky Regional'!$FV$19</f>
        <v>178</v>
      </c>
      <c r="E9" s="67">
        <f>(C9-D9)/D9</f>
        <v>0.2808988764044944</v>
      </c>
      <c r="F9" s="254">
        <f>SUM('[3]Sky Regional'!$GB$19:$GJ$19)</f>
        <v>1578</v>
      </c>
      <c r="G9" s="254">
        <f>SUM('[3]Sky Regional'!$FN$19:$FV$19)</f>
        <v>1548</v>
      </c>
      <c r="H9" s="369">
        <f>(F9-G9)/G9</f>
        <v>1.937984496124031E-2</v>
      </c>
      <c r="I9" s="67">
        <f>F9/$F$69</f>
        <v>5.6146593132894501E-3</v>
      </c>
      <c r="J9" s="306"/>
      <c r="K9" s="364" t="s">
        <v>200</v>
      </c>
      <c r="L9" s="310">
        <f>'[3]Sky Regional'!$GJ$41</f>
        <v>12257</v>
      </c>
      <c r="M9" s="2">
        <f>'[3]Sky Regional'!$FV$41</f>
        <v>11006</v>
      </c>
      <c r="N9" s="67">
        <f>(L9-M9)/M9</f>
        <v>0.1136652734871888</v>
      </c>
      <c r="O9" s="310">
        <f>SUM('[3]Sky Regional'!$GB$41:$GJ$41)</f>
        <v>90244</v>
      </c>
      <c r="P9" s="2">
        <f>SUM('[3]Sky Regional'!$FN$41:$FV$41)</f>
        <v>89234</v>
      </c>
      <c r="Q9" s="3">
        <f>(O9-P9)/P9</f>
        <v>1.1318555707465764E-2</v>
      </c>
      <c r="R9" s="67">
        <f>O9/$O$69</f>
        <v>3.1056625240167128E-3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184</v>
      </c>
      <c r="B11" s="40"/>
      <c r="C11" s="307">
        <f>'[3]Air Choice One'!$GJ$19</f>
        <v>204</v>
      </c>
      <c r="D11" s="150">
        <f>'[3]Air Choice One'!$FV$19</f>
        <v>180</v>
      </c>
      <c r="E11" s="309">
        <f>(C11-D11)/D11</f>
        <v>0.13333333333333333</v>
      </c>
      <c r="F11" s="150">
        <f>SUM('[3]Air Choice One'!$GB$19:$GJ$19)</f>
        <v>1808</v>
      </c>
      <c r="G11" s="150">
        <f>SUM('[3]Air Choice One'!$FN$19:$FV$19)</f>
        <v>1772</v>
      </c>
      <c r="H11" s="308">
        <f>(F11-G11)/G11</f>
        <v>2.0316027088036117E-2</v>
      </c>
      <c r="I11" s="309">
        <f>F11/$F$69</f>
        <v>6.4330190357587622E-3</v>
      </c>
      <c r="J11" s="306" t="s">
        <v>184</v>
      </c>
      <c r="K11" s="40"/>
      <c r="L11" s="307">
        <f>'[3]Air Choice One'!$GJ$41</f>
        <v>890</v>
      </c>
      <c r="M11" s="150">
        <f>'[3]Air Choice One'!$FV$41</f>
        <v>804</v>
      </c>
      <c r="N11" s="309">
        <f>(L11-M11)/M11</f>
        <v>0.10696517412935323</v>
      </c>
      <c r="O11" s="307">
        <f>SUM('[3]Air Choice One'!$GB$41:$GJ$41)</f>
        <v>7764</v>
      </c>
      <c r="P11" s="150">
        <f>SUM('[3]Air Choice One'!$FN$41:$FV$41)</f>
        <v>7474</v>
      </c>
      <c r="Q11" s="308">
        <f>(O11-P11)/P11</f>
        <v>3.8801177415038801E-2</v>
      </c>
      <c r="R11" s="309">
        <f>O11/$O$69</f>
        <v>2.6719076987351801E-4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161</v>
      </c>
      <c r="B13" s="40"/>
      <c r="C13" s="307">
        <f>'[3]Air France'!$GJ$19</f>
        <v>42</v>
      </c>
      <c r="D13" s="150">
        <f>'[3]Air France'!$FV$19</f>
        <v>42</v>
      </c>
      <c r="E13" s="309">
        <f>(C13-D13)/D13</f>
        <v>0</v>
      </c>
      <c r="F13" s="150">
        <f>SUM('[3]Air France'!$GB$19:$GJ$19)</f>
        <v>280</v>
      </c>
      <c r="G13" s="150">
        <f>SUM('[3]Air France'!$FN$19:$FV$19)</f>
        <v>252</v>
      </c>
      <c r="H13" s="308">
        <f>(F13-G13)/G13</f>
        <v>0.1111111111111111</v>
      </c>
      <c r="I13" s="309">
        <f>F13/$F$69</f>
        <v>9.9626400996264005E-4</v>
      </c>
      <c r="J13" s="306" t="s">
        <v>161</v>
      </c>
      <c r="K13" s="40"/>
      <c r="L13" s="307">
        <f>'[3]Air France'!$GJ$41</f>
        <v>10738</v>
      </c>
      <c r="M13" s="150">
        <f>'[3]Air France'!$FV$41</f>
        <v>9320</v>
      </c>
      <c r="N13" s="309">
        <f>(L13-M13)/M13</f>
        <v>0.15214592274678113</v>
      </c>
      <c r="O13" s="307">
        <f>SUM('[3]Air France'!$GB$41:$GJ$41)</f>
        <v>71946</v>
      </c>
      <c r="P13" s="150">
        <f>SUM('[3]Air France'!$FN$41:$FV$41)</f>
        <v>56040</v>
      </c>
      <c r="Q13" s="308">
        <f>(O13-P13)/P13</f>
        <v>0.28383297644539612</v>
      </c>
      <c r="R13" s="309">
        <f>O13/$O$69</f>
        <v>2.4759540352035196E-3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131</v>
      </c>
      <c r="B15" s="40"/>
      <c r="C15" s="307">
        <f>SUM(C16:C18)</f>
        <v>294</v>
      </c>
      <c r="D15" s="150">
        <f>SUM(D16:D18)</f>
        <v>240</v>
      </c>
      <c r="E15" s="309">
        <f>(C15-D15)/D15</f>
        <v>0.22500000000000001</v>
      </c>
      <c r="F15" s="150">
        <f>SUM(F16:F18)</f>
        <v>2421</v>
      </c>
      <c r="G15" s="150">
        <f>SUM(G16:G18)</f>
        <v>2754</v>
      </c>
      <c r="H15" s="308">
        <f>(F15-G15)/G15</f>
        <v>-0.12091503267973856</v>
      </c>
      <c r="I15" s="309">
        <f>F15/$F$69</f>
        <v>8.6141256004269705E-3</v>
      </c>
      <c r="J15" s="306" t="s">
        <v>131</v>
      </c>
      <c r="K15" s="40"/>
      <c r="L15" s="307">
        <f>SUM(L16:L18)</f>
        <v>31746</v>
      </c>
      <c r="M15" s="150">
        <f>SUM(M16:M18)</f>
        <v>27292</v>
      </c>
      <c r="N15" s="309">
        <f>(L15-M15)/M15</f>
        <v>0.16319800674190238</v>
      </c>
      <c r="O15" s="307">
        <f>SUM(O16:O18)</f>
        <v>262295</v>
      </c>
      <c r="P15" s="150">
        <f>SUM(P16:P18)</f>
        <v>273598</v>
      </c>
      <c r="Q15" s="308">
        <f>(O15-P15)/P15</f>
        <v>-4.1312436494418819E-2</v>
      </c>
      <c r="R15" s="309">
        <f>O15/$O$69</f>
        <v>9.0266361391002584E-3</v>
      </c>
    </row>
    <row r="16" spans="1:18" ht="14.1" customHeight="1" x14ac:dyDescent="0.2">
      <c r="A16" s="306"/>
      <c r="B16" s="364" t="s">
        <v>131</v>
      </c>
      <c r="C16" s="368">
        <f>[3]Alaska!$GJ$19</f>
        <v>234</v>
      </c>
      <c r="D16" s="254">
        <f>[3]Alaska!$FV$19</f>
        <v>120</v>
      </c>
      <c r="E16" s="370">
        <f>(C16-D16)/D16</f>
        <v>0.95</v>
      </c>
      <c r="F16" s="254">
        <f>SUM([3]Alaska!$GB$19:$GJ$19)</f>
        <v>1745</v>
      </c>
      <c r="G16" s="254">
        <f>SUM([3]Alaska!$FN$19:$FV$19)</f>
        <v>1068</v>
      </c>
      <c r="H16" s="369">
        <f>(F16-G16)/G16</f>
        <v>0.63389513108614237</v>
      </c>
      <c r="I16" s="370">
        <f>F16/$F$69</f>
        <v>6.2088596335171681E-3</v>
      </c>
      <c r="J16" s="306"/>
      <c r="K16" s="364" t="s">
        <v>131</v>
      </c>
      <c r="L16" s="368">
        <f>[3]Alaska!$GJ$41</f>
        <v>27540</v>
      </c>
      <c r="M16" s="254">
        <f>[3]Alaska!$FV$41</f>
        <v>19752</v>
      </c>
      <c r="N16" s="370">
        <f>(L16-M16)/M16</f>
        <v>0.39428918590522477</v>
      </c>
      <c r="O16" s="368">
        <f>SUM([3]Alaska!$GB$41:$GJ$41)</f>
        <v>216957</v>
      </c>
      <c r="P16" s="254">
        <f>SUM([3]Alaska!$FN$41:$FV$41)</f>
        <v>163773</v>
      </c>
      <c r="Q16" s="369">
        <f>(O16-P16)/P16</f>
        <v>0.324742173618362</v>
      </c>
      <c r="R16" s="370">
        <f>O16/$O$69</f>
        <v>7.4663714399084034E-3</v>
      </c>
    </row>
    <row r="17" spans="1:20" ht="14.1" customHeight="1" x14ac:dyDescent="0.2">
      <c r="A17" s="306"/>
      <c r="B17" s="364" t="s">
        <v>100</v>
      </c>
      <c r="C17" s="310">
        <f>'[3]Sky West_AS'!$GJ$19</f>
        <v>60</v>
      </c>
      <c r="D17" s="2">
        <f>'[3]Sky West_AS'!$FV$19</f>
        <v>0</v>
      </c>
      <c r="E17" s="67" t="e">
        <f>(C17-D17)/D17</f>
        <v>#DIV/0!</v>
      </c>
      <c r="F17" s="2">
        <f>SUM('[3]Sky West_AS'!$GB$19:$GJ$19)</f>
        <v>664</v>
      </c>
      <c r="G17" s="2">
        <f>SUM('[3]Sky West_AS'!$FN$19:$FV$19)</f>
        <v>694</v>
      </c>
      <c r="H17" s="3">
        <f>(F17-G17)/G17</f>
        <v>-4.3227665706051875E-2</v>
      </c>
      <c r="I17" s="67">
        <f>F17/$F$69</f>
        <v>2.3625689379114037E-3</v>
      </c>
      <c r="J17" s="306"/>
      <c r="K17" s="364" t="s">
        <v>100</v>
      </c>
      <c r="L17" s="310">
        <f>'[3]Sky West_AS'!$GJ$41</f>
        <v>4206</v>
      </c>
      <c r="M17" s="2">
        <f>'[3]Sky West_AS'!$FV$41</f>
        <v>0</v>
      </c>
      <c r="N17" s="67" t="e">
        <f>(L17-M17)/M17</f>
        <v>#DIV/0!</v>
      </c>
      <c r="O17" s="310">
        <f>SUM('[3]Sky West_AS'!$GB$41:$GJ$41)</f>
        <v>44519</v>
      </c>
      <c r="P17" s="2">
        <f>SUM('[3]Sky West_AS'!$FN$41:$FV$41)</f>
        <v>45980</v>
      </c>
      <c r="Q17" s="3">
        <f>(O17-P17)/P17</f>
        <v>-3.1774684645498041E-2</v>
      </c>
      <c r="R17" s="370">
        <f>O17/$O$69</f>
        <v>1.532079583204424E-3</v>
      </c>
    </row>
    <row r="18" spans="1:20" ht="14.1" customHeight="1" x14ac:dyDescent="0.2">
      <c r="A18" s="306"/>
      <c r="B18" s="364" t="s">
        <v>201</v>
      </c>
      <c r="C18" s="310">
        <f>[3]Horizon_AS!$GJ$19</f>
        <v>0</v>
      </c>
      <c r="D18" s="2">
        <f>[3]Horizon_AS!$FV$19</f>
        <v>120</v>
      </c>
      <c r="E18" s="67">
        <f>(C18-D18)/D18</f>
        <v>-1</v>
      </c>
      <c r="F18" s="2">
        <f>SUM([3]Horizon_AS!$GB$19:$GJ$19)</f>
        <v>12</v>
      </c>
      <c r="G18" s="2">
        <f>SUM([3]Horizon_AS!$FN$19:$FV$19)</f>
        <v>992</v>
      </c>
      <c r="H18" s="3">
        <f>(F18-G18)/G18</f>
        <v>-0.98790322580645162</v>
      </c>
      <c r="I18" s="67">
        <f>F18/$F$69</f>
        <v>4.2697028998398864E-5</v>
      </c>
      <c r="J18" s="306"/>
      <c r="K18" s="364" t="s">
        <v>201</v>
      </c>
      <c r="L18" s="310">
        <f>[3]Horizon_AS!$GJ$41</f>
        <v>0</v>
      </c>
      <c r="M18" s="2">
        <f>[3]Horizon_AS!$FV$41</f>
        <v>7540</v>
      </c>
      <c r="N18" s="67">
        <f>(L18-M18)/M18</f>
        <v>-1</v>
      </c>
      <c r="O18" s="310">
        <f>SUM([3]Horizon_AS!$GB$41:$GJ$41)</f>
        <v>819</v>
      </c>
      <c r="P18" s="2">
        <f>SUM([3]Horizon_AS!$FN$41:$FV$41)</f>
        <v>63845</v>
      </c>
      <c r="Q18" s="3">
        <f>(O18-P18)/P18</f>
        <v>-0.98717205732633717</v>
      </c>
      <c r="R18" s="370">
        <f>O18/$O$69</f>
        <v>2.818511598743061E-5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1623</v>
      </c>
      <c r="D20" s="150">
        <f>SUM(D21:D27)</f>
        <v>1682</v>
      </c>
      <c r="E20" s="309">
        <f t="shared" ref="E20:E27" si="0">(C20-D20)/D20</f>
        <v>-3.5077288941736028E-2</v>
      </c>
      <c r="F20" s="307">
        <f>SUM(F21:F27)</f>
        <v>14656</v>
      </c>
      <c r="G20" s="150">
        <f>SUM(G21:G27)</f>
        <v>15564</v>
      </c>
      <c r="H20" s="308">
        <f t="shared" ref="H20:H27" si="1">(F20-G20)/G20</f>
        <v>-5.833975841685942E-2</v>
      </c>
      <c r="I20" s="309">
        <f t="shared" ref="I20:I27" si="2">F20/$F$69</f>
        <v>5.2147304750044476E-2</v>
      </c>
      <c r="J20" s="306" t="s">
        <v>17</v>
      </c>
      <c r="K20" s="311"/>
      <c r="L20" s="307">
        <f>SUM(L21:L27)</f>
        <v>163613</v>
      </c>
      <c r="M20" s="150">
        <f>SUM(M21:M27)</f>
        <v>160287</v>
      </c>
      <c r="N20" s="309">
        <f t="shared" ref="N20:N27" si="3">(L20-M20)/M20</f>
        <v>2.0750279186708839E-2</v>
      </c>
      <c r="O20" s="307">
        <f>SUM(O21:O27)</f>
        <v>1550105</v>
      </c>
      <c r="P20" s="150">
        <f>SUM(P21:P27)</f>
        <v>1603690</v>
      </c>
      <c r="Q20" s="308">
        <f t="shared" ref="Q20:Q27" si="4">(O20-P20)/P20</f>
        <v>-3.3413564965797629E-2</v>
      </c>
      <c r="R20" s="309">
        <f t="shared" ref="R20:R27" si="5">O20/$O$69</f>
        <v>5.3345408080215047E-2</v>
      </c>
    </row>
    <row r="21" spans="1:20" ht="14.1" customHeight="1" x14ac:dyDescent="0.2">
      <c r="A21" s="38"/>
      <c r="B21" s="40" t="s">
        <v>17</v>
      </c>
      <c r="C21" s="310">
        <f>[3]American!$GJ$19</f>
        <v>1160</v>
      </c>
      <c r="D21" s="2">
        <f>[3]American!$FV$19</f>
        <v>1188</v>
      </c>
      <c r="E21" s="67">
        <f t="shared" si="0"/>
        <v>-2.3569023569023569E-2</v>
      </c>
      <c r="F21" s="2">
        <f>SUM([3]American!$GB$19:$GJ$19)</f>
        <v>10680</v>
      </c>
      <c r="G21" s="2">
        <f>SUM([3]American!$FN$19:$FV$19)</f>
        <v>10788</v>
      </c>
      <c r="H21" s="3">
        <f t="shared" si="1"/>
        <v>-1.0011123470522803E-2</v>
      </c>
      <c r="I21" s="67">
        <f t="shared" si="2"/>
        <v>3.8000355808574984E-2</v>
      </c>
      <c r="J21" s="38"/>
      <c r="K21" s="40" t="s">
        <v>17</v>
      </c>
      <c r="L21" s="310">
        <f>[3]American!$GJ$41</f>
        <v>139818</v>
      </c>
      <c r="M21" s="2">
        <f>[3]American!$FV$41</f>
        <v>133585</v>
      </c>
      <c r="N21" s="67">
        <f t="shared" si="3"/>
        <v>4.665943032526107E-2</v>
      </c>
      <c r="O21" s="310">
        <f>SUM([3]American!$GB$41:$GJ$41)</f>
        <v>1321227</v>
      </c>
      <c r="P21" s="2">
        <f>SUM([3]American!$FN$41:$FV$41)</f>
        <v>1332949</v>
      </c>
      <c r="Q21" s="3">
        <f t="shared" si="4"/>
        <v>-8.7940348805543196E-3</v>
      </c>
      <c r="R21" s="67">
        <f t="shared" si="5"/>
        <v>4.5468786618711822E-2</v>
      </c>
    </row>
    <row r="22" spans="1:20" ht="14.1" customHeight="1" x14ac:dyDescent="0.2">
      <c r="A22" s="38"/>
      <c r="B22" s="364" t="s">
        <v>171</v>
      </c>
      <c r="C22" s="310">
        <f>'[3]American Eagle'!$GJ$19</f>
        <v>10</v>
      </c>
      <c r="D22" s="2">
        <f>'[3]American Eagle'!$FV$19</f>
        <v>10</v>
      </c>
      <c r="E22" s="67">
        <f t="shared" si="0"/>
        <v>0</v>
      </c>
      <c r="F22" s="2">
        <f>SUM('[3]American Eagle'!$GB$19:$GJ$19)</f>
        <v>832</v>
      </c>
      <c r="G22" s="2">
        <f>SUM('[3]American Eagle'!$FN$19:$FV$19)</f>
        <v>378</v>
      </c>
      <c r="H22" s="3">
        <f t="shared" si="1"/>
        <v>1.2010582010582012</v>
      </c>
      <c r="I22" s="67">
        <f t="shared" si="2"/>
        <v>2.9603273438889876E-3</v>
      </c>
      <c r="J22" s="38"/>
      <c r="K22" s="364" t="s">
        <v>171</v>
      </c>
      <c r="L22" s="310">
        <f>'[3]American Eagle'!$GJ$41</f>
        <v>530</v>
      </c>
      <c r="M22" s="2">
        <f>'[3]American Eagle'!$FV$41</f>
        <v>440</v>
      </c>
      <c r="N22" s="67">
        <f t="shared" si="3"/>
        <v>0.20454545454545456</v>
      </c>
      <c r="O22" s="310">
        <f>SUM('[3]American Eagle'!$GB$41:$GJ$41)</f>
        <v>54712</v>
      </c>
      <c r="P22" s="2">
        <f>SUM('[3]American Eagle'!$FN$41:$FV$41)</f>
        <v>23025</v>
      </c>
      <c r="Q22" s="3">
        <f t="shared" si="4"/>
        <v>1.3761997828447339</v>
      </c>
      <c r="R22" s="67">
        <f t="shared" si="5"/>
        <v>1.8828621073312618E-3</v>
      </c>
    </row>
    <row r="23" spans="1:20" ht="14.1" customHeight="1" x14ac:dyDescent="0.2">
      <c r="A23" s="38"/>
      <c r="B23" s="364" t="s">
        <v>52</v>
      </c>
      <c r="C23" s="310">
        <f>[3]Republic!$GJ$19</f>
        <v>453</v>
      </c>
      <c r="D23" s="2">
        <f>[3]Republic!$FV$19</f>
        <v>428</v>
      </c>
      <c r="E23" s="67">
        <f t="shared" si="0"/>
        <v>5.8411214953271028E-2</v>
      </c>
      <c r="F23" s="2">
        <f>SUM([3]Republic!$GB$19:$GJ$19)</f>
        <v>3142</v>
      </c>
      <c r="G23" s="2">
        <f>SUM([3]Republic!$FN$19:$FV$19)</f>
        <v>3763</v>
      </c>
      <c r="H23" s="3">
        <f t="shared" si="1"/>
        <v>-0.16502790326866862</v>
      </c>
      <c r="I23" s="67">
        <f t="shared" si="2"/>
        <v>1.1179505426080769E-2</v>
      </c>
      <c r="J23" s="38"/>
      <c r="K23" s="312" t="s">
        <v>52</v>
      </c>
      <c r="L23" s="310">
        <f>[3]Republic!$GJ$41</f>
        <v>23265</v>
      </c>
      <c r="M23" s="2">
        <f>[3]Republic!$FV$41</f>
        <v>23208</v>
      </c>
      <c r="N23" s="67">
        <f t="shared" si="3"/>
        <v>2.4560496380558426E-3</v>
      </c>
      <c r="O23" s="310">
        <f>SUM([3]Republic!$GB$41:$GJ$41)</f>
        <v>174124</v>
      </c>
      <c r="P23" s="2">
        <f>SUM([3]Republic!$FN$41:$FV$41)</f>
        <v>212442</v>
      </c>
      <c r="Q23" s="3">
        <f t="shared" si="4"/>
        <v>-0.18036923018988713</v>
      </c>
      <c r="R23" s="67">
        <f t="shared" si="5"/>
        <v>5.9923139636085072E-3</v>
      </c>
    </row>
    <row r="24" spans="1:20" ht="14.1" customHeight="1" x14ac:dyDescent="0.2">
      <c r="A24" s="38"/>
      <c r="B24" s="364" t="s">
        <v>188</v>
      </c>
      <c r="C24" s="310">
        <f>[3]PSA!$GJ$19</f>
        <v>0</v>
      </c>
      <c r="D24" s="2">
        <f>[3]PSA!$FV$19</f>
        <v>0</v>
      </c>
      <c r="E24" s="67" t="e">
        <f t="shared" si="0"/>
        <v>#DIV/0!</v>
      </c>
      <c r="F24" s="2">
        <f>SUM([3]PSA!$GB$19:$GJ$19)</f>
        <v>0</v>
      </c>
      <c r="G24" s="2">
        <f>SUM([3]PSA!$FN$19:$FV$19)</f>
        <v>178</v>
      </c>
      <c r="H24" s="3">
        <f t="shared" si="1"/>
        <v>-1</v>
      </c>
      <c r="I24" s="67">
        <f t="shared" si="2"/>
        <v>0</v>
      </c>
      <c r="J24" s="38"/>
      <c r="K24" s="364" t="s">
        <v>188</v>
      </c>
      <c r="L24" s="310">
        <f>[3]PSA!$GJ$41</f>
        <v>0</v>
      </c>
      <c r="M24" s="2">
        <f>[3]PSA!$FV$41</f>
        <v>0</v>
      </c>
      <c r="N24" s="67" t="e">
        <f t="shared" si="3"/>
        <v>#DIV/0!</v>
      </c>
      <c r="O24" s="310">
        <f>SUM([3]PSA!$GB$41:$GJ$41)</f>
        <v>0</v>
      </c>
      <c r="P24" s="2">
        <f>SUM([3]PSA!$FN$41:$FV$41)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100</v>
      </c>
      <c r="C25" s="310">
        <f>'[3]Sky West_AA'!$GJ$19</f>
        <v>0</v>
      </c>
      <c r="D25" s="2">
        <f>'[3]Sky West_AA'!$FV$19</f>
        <v>56</v>
      </c>
      <c r="E25" s="67">
        <f>(C25-D25)/D25</f>
        <v>-1</v>
      </c>
      <c r="F25" s="2">
        <f>SUM('[3]Sky West_AA'!$GB$19:$GJ$19)</f>
        <v>0</v>
      </c>
      <c r="G25" s="2">
        <f>SUM('[3]Sky West_AA'!$FN$19:$FV$19)</f>
        <v>457</v>
      </c>
      <c r="H25" s="3">
        <f>(F25-G25)/G25</f>
        <v>-1</v>
      </c>
      <c r="I25" s="67">
        <f t="shared" si="2"/>
        <v>0</v>
      </c>
      <c r="J25" s="38"/>
      <c r="K25" s="364" t="s">
        <v>100</v>
      </c>
      <c r="L25" s="310">
        <f>'[3]Sky West_AA'!$GJ$41</f>
        <v>0</v>
      </c>
      <c r="M25" s="2">
        <f>'[3]Sky West_AA'!$FV$41</f>
        <v>3054</v>
      </c>
      <c r="N25" s="67">
        <f>(L25-M25)/M25</f>
        <v>-1</v>
      </c>
      <c r="O25" s="310">
        <f>SUM('[3]Sky West_AA'!$GB$41:$GJ$41)</f>
        <v>0</v>
      </c>
      <c r="P25" s="2">
        <f>SUM('[3]Sky West_AA'!$FN$41:$FV$41)</f>
        <v>27709</v>
      </c>
      <c r="Q25" s="3">
        <f>(O25-P25)/P25</f>
        <v>-1</v>
      </c>
      <c r="R25" s="370">
        <f t="shared" si="5"/>
        <v>0</v>
      </c>
    </row>
    <row r="26" spans="1:20" ht="14.1" customHeight="1" x14ac:dyDescent="0.2">
      <c r="A26" s="38"/>
      <c r="B26" s="364" t="s">
        <v>51</v>
      </c>
      <c r="C26" s="310">
        <f>[3]MESA!$GJ$19</f>
        <v>0</v>
      </c>
      <c r="D26" s="2">
        <f>[3]MESA!$FV$19</f>
        <v>0</v>
      </c>
      <c r="E26" s="67" t="e">
        <f t="shared" si="0"/>
        <v>#DIV/0!</v>
      </c>
      <c r="F26" s="2">
        <f>SUM([3]MESA!$GB$19:$GJ$19)</f>
        <v>0</v>
      </c>
      <c r="G26" s="2">
        <f>SUM([3]MESA!$FN$19:$FV$19)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[3]MESA!$GJ$41</f>
        <v>0</v>
      </c>
      <c r="M26" s="2">
        <f>[3]MESA!$FV$41</f>
        <v>0</v>
      </c>
      <c r="N26" s="67" t="e">
        <f t="shared" si="3"/>
        <v>#DIV/0!</v>
      </c>
      <c r="O26" s="310">
        <f>SUM([3]MESA!$GB$41:$GJ$41)</f>
        <v>0</v>
      </c>
      <c r="P26" s="2">
        <f>SUM([3]MESA!$FN$41:$FV$41)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Wisconsin'!$GJ$19</f>
        <v>0</v>
      </c>
      <c r="D27" s="2">
        <f>'[3]Air Wisconsin'!$FV$19</f>
        <v>0</v>
      </c>
      <c r="E27" s="67" t="e">
        <f t="shared" si="0"/>
        <v>#DIV/0!</v>
      </c>
      <c r="F27" s="2">
        <f>SUM('[3]Air Wisconsin'!$GB$19:$GJ$19)</f>
        <v>2</v>
      </c>
      <c r="G27" s="2">
        <f>SUM('[3]Air Wisconsin'!$FN$19:$FV$19)</f>
        <v>0</v>
      </c>
      <c r="H27" s="352" t="e">
        <f t="shared" si="1"/>
        <v>#DIV/0!</v>
      </c>
      <c r="I27" s="67">
        <f t="shared" si="2"/>
        <v>7.1161714997331432E-6</v>
      </c>
      <c r="J27" s="38"/>
      <c r="K27" s="312" t="s">
        <v>50</v>
      </c>
      <c r="L27" s="310">
        <f>'[3]Air Wisconsin'!$GJ$41</f>
        <v>0</v>
      </c>
      <c r="M27" s="2">
        <f>'[3]Air Wisconsin'!$FV$41</f>
        <v>0</v>
      </c>
      <c r="N27" s="67" t="e">
        <f t="shared" si="3"/>
        <v>#DIV/0!</v>
      </c>
      <c r="O27" s="310">
        <f>SUM('[3]Air Wisconsin'!$GB$41:$GJ$41)</f>
        <v>42</v>
      </c>
      <c r="P27" s="2">
        <f>SUM('[3]Air Wisconsin'!$FN$41:$FV$41)</f>
        <v>0</v>
      </c>
      <c r="Q27" s="3" t="e">
        <f t="shared" si="4"/>
        <v>#DIV/0!</v>
      </c>
      <c r="R27" s="67">
        <f t="shared" si="5"/>
        <v>1.4453905634579798E-6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185</v>
      </c>
      <c r="B29" s="40"/>
      <c r="C29" s="307">
        <f>'[3]Boutique Air'!$GJ$19</f>
        <v>164</v>
      </c>
      <c r="D29" s="150">
        <f>'[3]Boutique Air'!$FV$19</f>
        <v>144</v>
      </c>
      <c r="E29" s="309">
        <f>(C29-D29)/D29</f>
        <v>0.1388888888888889</v>
      </c>
      <c r="F29" s="150">
        <f>SUM('[3]Boutique Air'!$GB$19:$GJ$19)</f>
        <v>1333</v>
      </c>
      <c r="G29" s="150">
        <f>SUM('[3]Boutique Air'!$FN$19:$FV$19)</f>
        <v>1360</v>
      </c>
      <c r="H29" s="308">
        <f>(F29-G29)/G29</f>
        <v>-1.9852941176470587E-2</v>
      </c>
      <c r="I29" s="309">
        <f>F29/$F$69</f>
        <v>4.7429283045721405E-3</v>
      </c>
      <c r="J29" s="306" t="s">
        <v>185</v>
      </c>
      <c r="K29" s="40"/>
      <c r="L29" s="307">
        <f>'[3]Boutique Air'!$GJ$41</f>
        <v>921</v>
      </c>
      <c r="M29" s="150">
        <f>'[3]Boutique Air'!$FV$41</f>
        <v>790</v>
      </c>
      <c r="N29" s="309">
        <f>(L29-M29)/M29</f>
        <v>0.16582278481012658</v>
      </c>
      <c r="O29" s="307">
        <f>SUM('[3]Boutique Air'!$GB$41:$GJ$41)</f>
        <v>6922</v>
      </c>
      <c r="P29" s="150">
        <f>SUM('[3]Boutique Air'!$FN$41:$FV$41)</f>
        <v>7361</v>
      </c>
      <c r="Q29" s="308">
        <f>(O29-P29)/P29</f>
        <v>-5.9638636054883849E-2</v>
      </c>
      <c r="R29" s="309">
        <f>O29/$O$69</f>
        <v>2.3821413048228897E-4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167</v>
      </c>
      <c r="B31" s="40"/>
      <c r="C31" s="307">
        <f>[3]Condor!$GJ$19</f>
        <v>16</v>
      </c>
      <c r="D31" s="150">
        <f>[3]Condor!$FV$19</f>
        <v>17</v>
      </c>
      <c r="E31" s="309">
        <f>(C31-D31)/D31</f>
        <v>-5.8823529411764705E-2</v>
      </c>
      <c r="F31" s="150">
        <f>SUM([3]Condor!$GB$19:$GJ$19)</f>
        <v>108</v>
      </c>
      <c r="G31" s="150">
        <f>SUM([3]Condor!$FN$19:$FV$19)</f>
        <v>121</v>
      </c>
      <c r="H31" s="308">
        <f>(F31-G31)/G31</f>
        <v>-0.10743801652892562</v>
      </c>
      <c r="I31" s="309">
        <f>F31/$F$69</f>
        <v>3.8427326098558977E-4</v>
      </c>
      <c r="J31" s="306" t="s">
        <v>167</v>
      </c>
      <c r="K31" s="40"/>
      <c r="L31" s="307">
        <f>[3]Condor!$GJ$41</f>
        <v>3616</v>
      </c>
      <c r="M31" s="150">
        <f>[3]Condor!$FV$41</f>
        <v>3930</v>
      </c>
      <c r="N31" s="309">
        <f>(L31-M31)/M31</f>
        <v>-7.9898218829516546E-2</v>
      </c>
      <c r="O31" s="307">
        <f>SUM([3]Condor!$GB$41:$GJ$41)</f>
        <v>26102</v>
      </c>
      <c r="P31" s="150">
        <f>SUM([3]Condor!$FN$41:$FV$41)</f>
        <v>28840</v>
      </c>
      <c r="Q31" s="308">
        <f>(O31-P31)/P31</f>
        <v>-9.4937586685159503E-2</v>
      </c>
      <c r="R31" s="309">
        <f>O31/$O$69</f>
        <v>8.9827582112809979E-4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22640</v>
      </c>
      <c r="D33" s="150">
        <f>SUM(D34:D40)</f>
        <v>22501</v>
      </c>
      <c r="E33" s="309">
        <f t="shared" ref="E33:E40" si="6">(C33-D33)/D33</f>
        <v>6.1775032220790184E-3</v>
      </c>
      <c r="F33" s="165">
        <f>SUM(F34:F40)</f>
        <v>206890</v>
      </c>
      <c r="G33" s="165">
        <f>SUM(G34:G40)</f>
        <v>206952</v>
      </c>
      <c r="H33" s="308">
        <f>(F33-G33)/G33</f>
        <v>-2.99586377517492E-4</v>
      </c>
      <c r="I33" s="309">
        <f t="shared" ref="I33:I40" si="7">F33/$F$69</f>
        <v>0.73613236078989508</v>
      </c>
      <c r="J33" s="306" t="s">
        <v>18</v>
      </c>
      <c r="K33" s="311"/>
      <c r="L33" s="307">
        <f>SUM(L34:L40)</f>
        <v>2279158</v>
      </c>
      <c r="M33" s="150">
        <f>SUM(M34:M40)</f>
        <v>2144261</v>
      </c>
      <c r="N33" s="309">
        <f t="shared" ref="N33:N40" si="8">(L33-M33)/M33</f>
        <v>6.2910718424669387E-2</v>
      </c>
      <c r="O33" s="307">
        <f>SUM(O34:O40)</f>
        <v>20677317</v>
      </c>
      <c r="P33" s="150">
        <f>SUM(P34:P40)</f>
        <v>19988820</v>
      </c>
      <c r="Q33" s="308">
        <f t="shared" ref="Q33:Q40" si="9">(O33-P33)/P33</f>
        <v>3.4444104254278143E-2</v>
      </c>
      <c r="R33" s="309">
        <f t="shared" ref="R33:R40" si="10">O33/$O$69</f>
        <v>0.71159044927212545</v>
      </c>
      <c r="S33" s="353"/>
    </row>
    <row r="34" spans="1:21" ht="14.1" customHeight="1" x14ac:dyDescent="0.2">
      <c r="A34" s="38"/>
      <c r="B34" s="40" t="s">
        <v>18</v>
      </c>
      <c r="C34" s="310">
        <f>[3]Delta!$GJ$19</f>
        <v>13154</v>
      </c>
      <c r="D34" s="2">
        <f>[3]Delta!$FV$19</f>
        <v>12487</v>
      </c>
      <c r="E34" s="67">
        <f t="shared" si="6"/>
        <v>5.3415552174261229E-2</v>
      </c>
      <c r="F34" s="2">
        <f>SUM([3]Delta!$GB$19:$GJ$19)</f>
        <v>113157</v>
      </c>
      <c r="G34" s="2">
        <f>SUM([3]Delta!$FN$19:$FV$19)</f>
        <v>109506</v>
      </c>
      <c r="H34" s="3">
        <f t="shared" ref="H34:H40" si="11">(F34-G34)/G34</f>
        <v>3.3340638869103066E-2</v>
      </c>
      <c r="I34" s="67">
        <f t="shared" si="7"/>
        <v>0.40262230919765168</v>
      </c>
      <c r="J34" s="38"/>
      <c r="K34" s="40" t="s">
        <v>18</v>
      </c>
      <c r="L34" s="310">
        <f>[3]Delta!$GJ$41</f>
        <v>1812022</v>
      </c>
      <c r="M34" s="2">
        <f>[3]Delta!$FV$41</f>
        <v>1653558</v>
      </c>
      <c r="N34" s="67">
        <f t="shared" si="8"/>
        <v>9.5832138939184477E-2</v>
      </c>
      <c r="O34" s="310">
        <f>SUM([3]Delta!$GB$41:$GJ$41)</f>
        <v>15795924</v>
      </c>
      <c r="P34" s="2">
        <f>SUM([3]Delta!$FN$41:$FV$41)</f>
        <v>15074388</v>
      </c>
      <c r="Q34" s="3">
        <f t="shared" si="9"/>
        <v>4.7865027754360578E-2</v>
      </c>
      <c r="R34" s="67">
        <f t="shared" si="10"/>
        <v>0.54360189263570069</v>
      </c>
      <c r="T34" s="2"/>
    </row>
    <row r="35" spans="1:21" ht="14.1" customHeight="1" x14ac:dyDescent="0.2">
      <c r="A35" s="38"/>
      <c r="B35" s="312" t="s">
        <v>120</v>
      </c>
      <c r="C35" s="310">
        <f>[3]Compass!$GJ$19</f>
        <v>0</v>
      </c>
      <c r="D35" s="2">
        <f>[3]Compass!$FV$19</f>
        <v>0</v>
      </c>
      <c r="E35" s="67" t="e">
        <f t="shared" si="6"/>
        <v>#DIV/0!</v>
      </c>
      <c r="F35" s="2">
        <f>SUM([3]Compass!$GB$19:$GJ$19)</f>
        <v>0</v>
      </c>
      <c r="G35" s="2">
        <f>SUM([3]Compass!$FN$19:$FV$19)</f>
        <v>2</v>
      </c>
      <c r="H35" s="3">
        <f t="shared" si="11"/>
        <v>-1</v>
      </c>
      <c r="I35" s="67">
        <f t="shared" si="7"/>
        <v>0</v>
      </c>
      <c r="J35" s="38"/>
      <c r="K35" s="312" t="s">
        <v>120</v>
      </c>
      <c r="L35" s="310">
        <f>[3]Compass!$GJ$41</f>
        <v>0</v>
      </c>
      <c r="M35" s="2">
        <f>[3]Compass!$FV$41</f>
        <v>0</v>
      </c>
      <c r="N35" s="67" t="e">
        <f t="shared" si="8"/>
        <v>#DIV/0!</v>
      </c>
      <c r="O35" s="310">
        <f>SUM([3]Compass!$GB$41:$GJ$41)</f>
        <v>0</v>
      </c>
      <c r="P35" s="2">
        <f>SUM([3]Compass!$FN$41:$FV$41)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163</v>
      </c>
      <c r="C36" s="310">
        <f>[3]Pinnacle!$GJ$19</f>
        <v>2271</v>
      </c>
      <c r="D36" s="2">
        <f>[3]Pinnacle!$FV$19</f>
        <v>1989</v>
      </c>
      <c r="E36" s="67">
        <f t="shared" si="6"/>
        <v>0.14177978883861236</v>
      </c>
      <c r="F36" s="2">
        <f>SUM([3]Pinnacle!$GB$19:$GJ$19)</f>
        <v>19811</v>
      </c>
      <c r="G36" s="2">
        <f>SUM([3]Pinnacle!$FN$19:$FV$19)</f>
        <v>18440</v>
      </c>
      <c r="H36" s="3">
        <f t="shared" si="11"/>
        <v>7.4349240780911069E-2</v>
      </c>
      <c r="I36" s="67">
        <f t="shared" si="7"/>
        <v>7.048923679060666E-2</v>
      </c>
      <c r="J36" s="38"/>
      <c r="K36" s="40" t="s">
        <v>163</v>
      </c>
      <c r="L36" s="310">
        <f>[3]Pinnacle!$GJ$41</f>
        <v>133893</v>
      </c>
      <c r="M36" s="2">
        <f>[3]Pinnacle!$FV$41</f>
        <v>116082</v>
      </c>
      <c r="N36" s="67">
        <f t="shared" si="8"/>
        <v>0.15343464102961699</v>
      </c>
      <c r="O36" s="310">
        <f>SUM([3]Pinnacle!$GB$41:$GJ$41)</f>
        <v>1214440</v>
      </c>
      <c r="P36" s="2">
        <f>SUM([3]Pinnacle!$FN$41:$FV$41)</f>
        <v>1085763</v>
      </c>
      <c r="Q36" s="3">
        <f t="shared" si="9"/>
        <v>0.11851297198375704</v>
      </c>
      <c r="R36" s="67">
        <f t="shared" si="10"/>
        <v>4.1793812282997833E-2</v>
      </c>
    </row>
    <row r="37" spans="1:21" ht="14.1" customHeight="1" x14ac:dyDescent="0.2">
      <c r="A37" s="38"/>
      <c r="B37" s="40" t="s">
        <v>159</v>
      </c>
      <c r="C37" s="310">
        <f>'[3]Go Jet'!$GJ$19</f>
        <v>144</v>
      </c>
      <c r="D37" s="2">
        <f>'[3]Go Jet'!$FV$19</f>
        <v>166</v>
      </c>
      <c r="E37" s="67">
        <f t="shared" si="6"/>
        <v>-0.13253012048192772</v>
      </c>
      <c r="F37" s="2">
        <f>SUM('[3]Go Jet'!$GB$19:$GJ$19)</f>
        <v>1600</v>
      </c>
      <c r="G37" s="2">
        <f>SUM('[3]Go Jet'!$FN$19:$FV$19)</f>
        <v>5052</v>
      </c>
      <c r="H37" s="3">
        <f>(F37-G37)/G37</f>
        <v>-0.68329374505146478</v>
      </c>
      <c r="I37" s="67">
        <f t="shared" si="7"/>
        <v>5.6929371997865149E-3</v>
      </c>
      <c r="J37" s="38"/>
      <c r="K37" s="40" t="s">
        <v>159</v>
      </c>
      <c r="L37" s="310">
        <f>'[3]Go Jet'!$GJ$41</f>
        <v>8120</v>
      </c>
      <c r="M37" s="2">
        <f>'[3]Go Jet'!$FV$41</f>
        <v>10075</v>
      </c>
      <c r="N37" s="67">
        <f t="shared" si="8"/>
        <v>-0.19404466501240694</v>
      </c>
      <c r="O37" s="310">
        <f>SUM('[3]Go Jet'!$GB$41:$GJ$41)</f>
        <v>92899</v>
      </c>
      <c r="P37" s="2">
        <f>SUM('[3]Go Jet'!$FN$41:$FV$41)</f>
        <v>298885</v>
      </c>
      <c r="Q37" s="3">
        <f>(O37-P37)/P37</f>
        <v>-0.68918145775130901</v>
      </c>
      <c r="R37" s="67">
        <f t="shared" si="10"/>
        <v>3.1970318560638781E-3</v>
      </c>
      <c r="S37" s="285"/>
      <c r="T37" s="193"/>
    </row>
    <row r="38" spans="1:21" ht="14.1" customHeight="1" x14ac:dyDescent="0.2">
      <c r="A38" s="38"/>
      <c r="B38" s="40" t="s">
        <v>100</v>
      </c>
      <c r="C38" s="310">
        <f>'[3]Sky West'!$GJ$19</f>
        <v>7071</v>
      </c>
      <c r="D38" s="2">
        <f>'[3]Sky West'!$FV$19</f>
        <v>7859</v>
      </c>
      <c r="E38" s="67">
        <f t="shared" si="6"/>
        <v>-0.10026720956864742</v>
      </c>
      <c r="F38" s="2">
        <f>SUM('[3]Sky West'!$GB$19:$GJ$19)</f>
        <v>72000</v>
      </c>
      <c r="G38" s="2">
        <f>SUM('[3]Sky West'!$FN$19:$FV$19)</f>
        <v>72522</v>
      </c>
      <c r="H38" s="3">
        <f t="shared" si="11"/>
        <v>-7.1978158351948375E-3</v>
      </c>
      <c r="I38" s="67">
        <f t="shared" si="7"/>
        <v>0.25618217399039317</v>
      </c>
      <c r="J38" s="38"/>
      <c r="K38" s="40" t="s">
        <v>100</v>
      </c>
      <c r="L38" s="310">
        <f>'[3]Sky West'!$GJ$41</f>
        <v>325123</v>
      </c>
      <c r="M38" s="2">
        <f>'[3]Sky West'!$FV$41</f>
        <v>364546</v>
      </c>
      <c r="N38" s="67">
        <f t="shared" si="8"/>
        <v>-0.10814273095850729</v>
      </c>
      <c r="O38" s="310">
        <f>SUM('[3]Sky West'!$GB$41:$GJ$41)</f>
        <v>3557420</v>
      </c>
      <c r="P38" s="2">
        <f>SUM('[3]Sky West'!$FN$41:$FV$41)</f>
        <v>3456373</v>
      </c>
      <c r="Q38" s="3">
        <f t="shared" si="9"/>
        <v>2.9234981293974928E-2</v>
      </c>
      <c r="R38" s="67">
        <f t="shared" si="10"/>
        <v>0.12242526900611159</v>
      </c>
    </row>
    <row r="39" spans="1:21" ht="14.1" customHeight="1" x14ac:dyDescent="0.2">
      <c r="A39" s="38"/>
      <c r="B39" s="40" t="s">
        <v>134</v>
      </c>
      <c r="C39" s="310">
        <f>'[3]Shuttle America_Delta'!$GJ$19</f>
        <v>0</v>
      </c>
      <c r="D39" s="2">
        <f>'[3]Shuttle America_Delta'!$FV$19</f>
        <v>0</v>
      </c>
      <c r="E39" s="67" t="e">
        <f t="shared" si="6"/>
        <v>#DIV/0!</v>
      </c>
      <c r="F39" s="2">
        <f>SUM('[3]Shuttle America_Delta'!$GB$19:$GJ$19)</f>
        <v>322</v>
      </c>
      <c r="G39" s="2">
        <f>SUM('[3]Shuttle America_Delta'!$FN$19:$FV$19)</f>
        <v>78</v>
      </c>
      <c r="H39" s="3">
        <f t="shared" si="11"/>
        <v>3.1282051282051282</v>
      </c>
      <c r="I39" s="67">
        <f t="shared" si="7"/>
        <v>1.1457036114570361E-3</v>
      </c>
      <c r="J39" s="38"/>
      <c r="K39" s="40" t="s">
        <v>134</v>
      </c>
      <c r="L39" s="310">
        <f>'[3]Shuttle America_Delta'!$GJ$41</f>
        <v>0</v>
      </c>
      <c r="M39" s="2">
        <f>'[3]Shuttle America_Delta'!$FV$41</f>
        <v>0</v>
      </c>
      <c r="N39" s="67" t="e">
        <f t="shared" si="8"/>
        <v>#DIV/0!</v>
      </c>
      <c r="O39" s="310">
        <f>SUM('[3]Shuttle America_Delta'!$GB$41:$GJ$41)</f>
        <v>16634</v>
      </c>
      <c r="P39" s="2">
        <f>SUM('[3]Shuttle America_Delta'!$FN$41:$FV$41)</f>
        <v>4612</v>
      </c>
      <c r="Q39" s="3">
        <f t="shared" si="9"/>
        <v>2.6066782307025154</v>
      </c>
      <c r="R39" s="67">
        <f t="shared" si="10"/>
        <v>5.7244349125142946E-4</v>
      </c>
    </row>
    <row r="40" spans="1:21" ht="14.1" customHeight="1" x14ac:dyDescent="0.2">
      <c r="A40" s="38"/>
      <c r="B40" s="364" t="s">
        <v>172</v>
      </c>
      <c r="C40" s="310">
        <f>'[3]Atlantic Southeast'!$GJ$19</f>
        <v>0</v>
      </c>
      <c r="D40" s="2">
        <f>'[3]Atlantic Southeast'!$FV$19</f>
        <v>0</v>
      </c>
      <c r="E40" s="67" t="e">
        <f t="shared" si="6"/>
        <v>#DIV/0!</v>
      </c>
      <c r="F40" s="2">
        <f>SUM('[3]Atlantic Southeast'!$GB$19:$GJ$19)</f>
        <v>0</v>
      </c>
      <c r="G40" s="2">
        <f>SUM('[3]Atlantic Southeast'!$FN$19:$FV$19)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172</v>
      </c>
      <c r="L40" s="310">
        <f>'[3]Atlantic Southeast'!$GJ$41</f>
        <v>0</v>
      </c>
      <c r="M40" s="2">
        <f>'[3]Atlantic Southeast'!$FV$41</f>
        <v>0</v>
      </c>
      <c r="N40" s="67" t="e">
        <f t="shared" si="8"/>
        <v>#DIV/0!</v>
      </c>
      <c r="O40" s="310">
        <f>SUM('[3]Atlantic Southeast'!$GB$41:$GJ$41)</f>
        <v>0</v>
      </c>
      <c r="P40" s="2">
        <f>SUM('[3]Atlantic Southeast'!$FN$41:$FV$41)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[3]Frontier!$GJ$19</f>
        <v>330</v>
      </c>
      <c r="D42" s="150">
        <f>[3]Frontier!$FV$19</f>
        <v>300</v>
      </c>
      <c r="E42" s="309">
        <f>(C42-D42)/D42</f>
        <v>0.1</v>
      </c>
      <c r="F42" s="150">
        <f>SUM([3]Frontier!$GB$19:$GJ$19)</f>
        <v>2467</v>
      </c>
      <c r="G42" s="150">
        <f>SUM([3]Frontier!$FN$19:$FV$19)</f>
        <v>2548</v>
      </c>
      <c r="H42" s="308">
        <f>(F42-G42)/G42</f>
        <v>-3.1789638932496075E-2</v>
      </c>
      <c r="I42" s="309">
        <f>F42/$F$69</f>
        <v>8.7777975449208328E-3</v>
      </c>
      <c r="J42" s="306" t="s">
        <v>47</v>
      </c>
      <c r="K42" s="40"/>
      <c r="L42" s="307">
        <f>[3]Frontier!$GJ$41</f>
        <v>44272</v>
      </c>
      <c r="M42" s="150">
        <f>[3]Frontier!$FV$41</f>
        <v>40905</v>
      </c>
      <c r="N42" s="309">
        <f>(L42-M42)/M42</f>
        <v>8.2312675712015643E-2</v>
      </c>
      <c r="O42" s="307">
        <f>SUM([3]Frontier!$GB$41:$GJ$41)</f>
        <v>392405</v>
      </c>
      <c r="P42" s="150">
        <f>SUM([3]Frontier!$FN$41:$FV$41)</f>
        <v>374285</v>
      </c>
      <c r="Q42" s="308">
        <f>(O42-P42)/P42</f>
        <v>4.8412306130355208E-2</v>
      </c>
      <c r="R42" s="309">
        <f>O42/$O$69</f>
        <v>1.3504249620326871E-2</v>
      </c>
      <c r="S42" s="398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8"/>
    </row>
    <row r="44" spans="1:21" ht="14.1" customHeight="1" x14ac:dyDescent="0.2">
      <c r="A44" s="306" t="s">
        <v>48</v>
      </c>
      <c r="B44" s="40"/>
      <c r="C44" s="307">
        <f>[3]Icelandair!$GJ$19</f>
        <v>60</v>
      </c>
      <c r="D44" s="150">
        <f>[3]Icelandair!$FV$19</f>
        <v>74</v>
      </c>
      <c r="E44" s="309">
        <f>(C44-D44)/D44</f>
        <v>-0.1891891891891892</v>
      </c>
      <c r="F44" s="150">
        <f>SUM([3]Icelandair!$GB$19:$GJ$19)</f>
        <v>392</v>
      </c>
      <c r="G44" s="150">
        <f>SUM([3]Icelandair!$FN$19:$FV$19)</f>
        <v>516</v>
      </c>
      <c r="H44" s="308">
        <f>(F44-G44)/G44</f>
        <v>-0.24031007751937986</v>
      </c>
      <c r="I44" s="309">
        <f>F44/$F$69</f>
        <v>1.3947696139476962E-3</v>
      </c>
      <c r="J44" s="306" t="s">
        <v>48</v>
      </c>
      <c r="K44" s="40"/>
      <c r="L44" s="307">
        <f>[3]Icelandair!$GJ$41</f>
        <v>10102</v>
      </c>
      <c r="M44" s="150">
        <f>[3]Icelandair!$FV$41</f>
        <v>11139</v>
      </c>
      <c r="N44" s="309">
        <f>(L44-M44)/M44</f>
        <v>-9.3096328216177401E-2</v>
      </c>
      <c r="O44" s="307">
        <f>SUM([3]Icelandair!$GB$41:$GJ$41)</f>
        <v>67943</v>
      </c>
      <c r="P44" s="150">
        <f>SUM([3]Icelandair!$FN$41:$FV$41)</f>
        <v>74913</v>
      </c>
      <c r="Q44" s="308">
        <f>(O44-P44)/P44</f>
        <v>-9.3041261196321071E-2</v>
      </c>
      <c r="R44" s="309">
        <f>O44/$O$69</f>
        <v>2.33819454888156E-3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215</v>
      </c>
      <c r="B46" s="40"/>
      <c r="C46" s="307">
        <f>'[3]Jet Blue'!$GJ$19</f>
        <v>164</v>
      </c>
      <c r="D46" s="150">
        <f>'[3]Jet Blue'!$FV$19</f>
        <v>172</v>
      </c>
      <c r="E46" s="309">
        <f>(C46-D46)/D46</f>
        <v>-4.6511627906976744E-2</v>
      </c>
      <c r="F46" s="150">
        <f>SUM('[3]Jet Blue'!$GB$19:$GJ$19)</f>
        <v>1546</v>
      </c>
      <c r="G46" s="150">
        <f>SUM('[3]Jet Blue'!$FN$19:$FV$19)</f>
        <v>889</v>
      </c>
      <c r="H46" s="308">
        <f>(F46-G46)/G46</f>
        <v>0.73903262092238475</v>
      </c>
      <c r="I46" s="309">
        <f>F46/$F$69</f>
        <v>5.5008005692937199E-3</v>
      </c>
      <c r="J46" s="306" t="s">
        <v>215</v>
      </c>
      <c r="K46" s="40"/>
      <c r="L46" s="307">
        <f>'[3]Jet Blue'!$GJ$41</f>
        <v>17793</v>
      </c>
      <c r="M46" s="150">
        <f>'[3]Jet Blue'!$FV$41</f>
        <v>19609</v>
      </c>
      <c r="N46" s="309">
        <f>(L46-M46)/M46</f>
        <v>-9.2610535978377276E-2</v>
      </c>
      <c r="O46" s="307">
        <f>SUM('[3]Jet Blue'!$GB$41:$GJ$41)</f>
        <v>176345</v>
      </c>
      <c r="P46" s="150">
        <f>SUM('[3]Jet Blue'!$FN$41:$FV$41)</f>
        <v>104741</v>
      </c>
      <c r="Q46" s="308">
        <f>(O46-P46)/P46</f>
        <v>0.68362914236068018</v>
      </c>
      <c r="R46" s="309">
        <f>O46/$O$69</f>
        <v>6.0687475931666063E-3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202</v>
      </c>
      <c r="B48" s="40"/>
      <c r="C48" s="307">
        <f>[3]KLM!$GJ$19</f>
        <v>34</v>
      </c>
      <c r="D48" s="150">
        <f>[3]KLM!$FV$19</f>
        <v>32</v>
      </c>
      <c r="E48" s="309">
        <f>(C48-D48)/D48</f>
        <v>6.25E-2</v>
      </c>
      <c r="F48" s="150">
        <f>SUM([3]KLM!$GB$19:$GJ$19)</f>
        <v>300</v>
      </c>
      <c r="G48" s="150">
        <f>SUM([3]KLM!$FN$19:$FV$19)</f>
        <v>270</v>
      </c>
      <c r="H48" s="308">
        <f>(F48-G48)/G48</f>
        <v>0.1111111111111111</v>
      </c>
      <c r="I48" s="309">
        <f>F48/$F$69</f>
        <v>1.0674257249599715E-3</v>
      </c>
      <c r="J48" s="306" t="s">
        <v>202</v>
      </c>
      <c r="K48" s="40"/>
      <c r="L48" s="307">
        <f>[3]KLM!$GJ$41</f>
        <v>8756</v>
      </c>
      <c r="M48" s="150">
        <f>[3]KLM!$FV$41</f>
        <v>7861</v>
      </c>
      <c r="N48" s="309">
        <f>(L48-M48)/M48</f>
        <v>0.11385319933850654</v>
      </c>
      <c r="O48" s="307">
        <f>SUM([3]KLM!$GB$41:$GJ$41)</f>
        <v>70939</v>
      </c>
      <c r="P48" s="150">
        <f>SUM([3]KLM!$FN$41:$FV$41)</f>
        <v>63647</v>
      </c>
      <c r="Q48" s="308">
        <f>(O48-P48)/P48</f>
        <v>0.11456942196804248</v>
      </c>
      <c r="R48" s="309">
        <f>O48/$O$69</f>
        <v>2.4412990757415628E-3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132</v>
      </c>
      <c r="B50" s="40"/>
      <c r="C50" s="307">
        <f>SUM(C51:C51)</f>
        <v>1264</v>
      </c>
      <c r="D50" s="150">
        <f>SUM(D51:D51)</f>
        <v>1368</v>
      </c>
      <c r="E50" s="309">
        <f>(C50-D50)/D50</f>
        <v>-7.6023391812865493E-2</v>
      </c>
      <c r="F50" s="307">
        <f>SUM(F51:F51)</f>
        <v>12187</v>
      </c>
      <c r="G50" s="150">
        <f>SUM(G51:G51)</f>
        <v>12198</v>
      </c>
      <c r="H50" s="308">
        <f>(F50-G50)/G50</f>
        <v>-9.017871782259387E-4</v>
      </c>
      <c r="I50" s="309">
        <f>F50/$F$69</f>
        <v>4.3362391033623909E-2</v>
      </c>
      <c r="J50" s="306" t="s">
        <v>132</v>
      </c>
      <c r="K50" s="40"/>
      <c r="L50" s="307">
        <f>SUM(L51:L51)</f>
        <v>150326</v>
      </c>
      <c r="M50" s="150">
        <f>SUM(M51:M51)</f>
        <v>160682</v>
      </c>
      <c r="N50" s="309">
        <f>(L50-M50)/M50</f>
        <v>-6.4450280678607433E-2</v>
      </c>
      <c r="O50" s="307">
        <f>SUM(O51:O51)</f>
        <v>1414012</v>
      </c>
      <c r="P50" s="150">
        <f>SUM(P51:P51)</f>
        <v>1472136</v>
      </c>
      <c r="Q50" s="308">
        <f>(O50-P50)/P50</f>
        <v>-3.9482765179304088E-2</v>
      </c>
      <c r="R50" s="309">
        <f>O50/$O$69</f>
        <v>4.8661895271817739E-2</v>
      </c>
    </row>
    <row r="51" spans="1:18" ht="14.1" customHeight="1" x14ac:dyDescent="0.2">
      <c r="A51" s="306"/>
      <c r="B51" s="40" t="s">
        <v>132</v>
      </c>
      <c r="C51" s="368">
        <f>[3]Southwest!$GJ$19</f>
        <v>1264</v>
      </c>
      <c r="D51" s="254">
        <f>[3]Southwest!$FV$19</f>
        <v>1368</v>
      </c>
      <c r="E51" s="370">
        <f>(C51-D51)/D51</f>
        <v>-7.6023391812865493E-2</v>
      </c>
      <c r="F51" s="254">
        <f>SUM([3]Southwest!$GB$19:$GJ$19)</f>
        <v>12187</v>
      </c>
      <c r="G51" s="254">
        <f>SUM([3]Southwest!$FN$19:$FV$19)</f>
        <v>12198</v>
      </c>
      <c r="H51" s="369">
        <f>(F51-G51)/G51</f>
        <v>-9.017871782259387E-4</v>
      </c>
      <c r="I51" s="370">
        <f>F51/$F$69</f>
        <v>4.3362391033623909E-2</v>
      </c>
      <c r="J51" s="306"/>
      <c r="K51" s="40" t="s">
        <v>132</v>
      </c>
      <c r="L51" s="368">
        <f>[3]Southwest!$GJ$41</f>
        <v>150326</v>
      </c>
      <c r="M51" s="254">
        <f>[3]Southwest!$FV$41</f>
        <v>160682</v>
      </c>
      <c r="N51" s="370">
        <f>(L51-M51)/M51</f>
        <v>-6.4450280678607433E-2</v>
      </c>
      <c r="O51" s="368">
        <f>SUM([3]Southwest!$GB$41:$GJ$41)</f>
        <v>1414012</v>
      </c>
      <c r="P51" s="254">
        <f>SUM([3]Southwest!$FN$41:$FV$41)</f>
        <v>1472136</v>
      </c>
      <c r="Q51" s="369">
        <f>(O51-P51)/P51</f>
        <v>-3.9482765179304088E-2</v>
      </c>
      <c r="R51" s="370">
        <f>O51/$O$69</f>
        <v>4.8661895271817739E-2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160</v>
      </c>
      <c r="B53" s="40"/>
      <c r="C53" s="307">
        <f>[3]Spirit!$GJ$19</f>
        <v>591</v>
      </c>
      <c r="D53" s="150">
        <f>[3]Spirit!$FV$19</f>
        <v>618</v>
      </c>
      <c r="E53" s="309">
        <f>(C53-D53)/D53</f>
        <v>-4.3689320388349516E-2</v>
      </c>
      <c r="F53" s="150">
        <f>SUM([3]Spirit!$GB$19:$GJ$19)</f>
        <v>5792</v>
      </c>
      <c r="G53" s="150">
        <f>SUM([3]Spirit!$FN$19:$FV$19)</f>
        <v>6393</v>
      </c>
      <c r="H53" s="308">
        <f>(F53-G53)/G53</f>
        <v>-9.4009072422962608E-2</v>
      </c>
      <c r="I53" s="309">
        <f>F53/$F$69</f>
        <v>2.0608432663227184E-2</v>
      </c>
      <c r="J53" s="306" t="s">
        <v>160</v>
      </c>
      <c r="K53" s="40"/>
      <c r="L53" s="307">
        <f>[3]Spirit!$GJ$41</f>
        <v>85493</v>
      </c>
      <c r="M53" s="150">
        <f>[3]Spirit!$FV$41</f>
        <v>83947</v>
      </c>
      <c r="N53" s="309">
        <f>(L53-M53)/M53</f>
        <v>1.841638176468486E-2</v>
      </c>
      <c r="O53" s="307">
        <f>SUM([3]Spirit!$GB$41:$GJ$41)</f>
        <v>877558</v>
      </c>
      <c r="P53" s="150">
        <f>SUM([3]Spirit!$FN$41:$FV$41)</f>
        <v>878064</v>
      </c>
      <c r="Q53" s="308">
        <f>(O53-P53)/P53</f>
        <v>-5.7626778913609945E-4</v>
      </c>
      <c r="R53" s="309">
        <f>O53/$O$69</f>
        <v>3.0200334573501381E-2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>
        <f>O54/$O$69</f>
        <v>0</v>
      </c>
    </row>
    <row r="55" spans="1:18" ht="14.1" customHeight="1" x14ac:dyDescent="0.2">
      <c r="A55" s="306" t="s">
        <v>49</v>
      </c>
      <c r="B55" s="40"/>
      <c r="C55" s="307">
        <f>'[3]Sun Country'!$GJ$19</f>
        <v>1519</v>
      </c>
      <c r="D55" s="150">
        <f>'[3]Sun Country'!$FV$19</f>
        <v>1188</v>
      </c>
      <c r="E55" s="309">
        <f>(C55-D55)/D55</f>
        <v>0.2786195286195286</v>
      </c>
      <c r="F55" s="150">
        <f>SUM('[3]Sun Country'!$GB$19:$GJ$19)</f>
        <v>15882</v>
      </c>
      <c r="G55" s="150">
        <f>SUM('[3]Sun Country'!$FN$19:$FV$19)</f>
        <v>14996</v>
      </c>
      <c r="H55" s="308">
        <f>(F55-G55)/G55</f>
        <v>5.9082421979194451E-2</v>
      </c>
      <c r="I55" s="309">
        <f>F55/$F$69</f>
        <v>5.650951787938089E-2</v>
      </c>
      <c r="J55" s="306" t="s">
        <v>49</v>
      </c>
      <c r="K55" s="40"/>
      <c r="L55" s="307">
        <f>'[3]Sun Country'!$GJ$41</f>
        <v>186033</v>
      </c>
      <c r="M55" s="150">
        <f>'[3]Sun Country'!$FV$41</f>
        <v>132514</v>
      </c>
      <c r="N55" s="309">
        <f>(L55-M55)/M55</f>
        <v>0.40387430762032689</v>
      </c>
      <c r="O55" s="307">
        <f>SUM('[3]Sun Country'!$GB$41:$GJ$41)</f>
        <v>2142905</v>
      </c>
      <c r="P55" s="150">
        <f>SUM('[3]Sun Country'!$FN$41:$FV$41)</f>
        <v>1806758</v>
      </c>
      <c r="Q55" s="308">
        <f>(O55-P55)/P55</f>
        <v>0.18604981962166489</v>
      </c>
      <c r="R55" s="309">
        <f>O55/$O$69</f>
        <v>7.3746063461593389E-2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1534</v>
      </c>
      <c r="D57" s="150">
        <f>SUM(D58:D64)</f>
        <v>1528</v>
      </c>
      <c r="E57" s="309">
        <f t="shared" ref="E57:E64" si="12">(C57-D57)/D57</f>
        <v>3.9267015706806281E-3</v>
      </c>
      <c r="F57" s="150">
        <f>SUM(F58:F64)</f>
        <v>13244</v>
      </c>
      <c r="G57" s="150">
        <f>SUM(G58:G64)</f>
        <v>13469</v>
      </c>
      <c r="H57" s="308">
        <f t="shared" ref="H57:H64" si="13">(F57-G57)/G57</f>
        <v>-1.6705026356819364E-2</v>
      </c>
      <c r="I57" s="309">
        <f t="shared" ref="I57:I64" si="14">F57/$F$69</f>
        <v>4.7123287671232875E-2</v>
      </c>
      <c r="J57" s="306" t="s">
        <v>19</v>
      </c>
      <c r="K57" s="311"/>
      <c r="L57" s="307">
        <f>SUM(L58:L64)</f>
        <v>136741</v>
      </c>
      <c r="M57" s="150">
        <f>SUM(M58:M64)</f>
        <v>132745</v>
      </c>
      <c r="N57" s="309">
        <f t="shared" ref="N57:N64" si="15">(L57-M57)/M57</f>
        <v>3.0102828731778976E-2</v>
      </c>
      <c r="O57" s="307">
        <f>SUM(O58:O64)</f>
        <v>1198889</v>
      </c>
      <c r="P57" s="150">
        <f>SUM(P58:P64)</f>
        <v>1205306</v>
      </c>
      <c r="Q57" s="308">
        <f t="shared" ref="Q57:Q64" si="16">(O57-P57)/P57</f>
        <v>-5.3239592269514963E-3</v>
      </c>
      <c r="R57" s="309">
        <f t="shared" ref="R57:R64" si="17">O57/$O$69</f>
        <v>4.1258639219847001E-2</v>
      </c>
    </row>
    <row r="58" spans="1:18" ht="14.1" customHeight="1" x14ac:dyDescent="0.2">
      <c r="A58" s="38"/>
      <c r="B58" s="364" t="s">
        <v>19</v>
      </c>
      <c r="C58" s="310">
        <f>[3]United!$GJ$19</f>
        <v>676</v>
      </c>
      <c r="D58" s="2">
        <f>[3]United!$FV$19+[3]Continental!$FV$19</f>
        <v>652</v>
      </c>
      <c r="E58" s="67">
        <f t="shared" si="12"/>
        <v>3.6809815950920248E-2</v>
      </c>
      <c r="F58" s="2">
        <f>SUM([3]United!$GB$19:$GJ$19)</f>
        <v>5254</v>
      </c>
      <c r="G58" s="2">
        <f>SUM([3]United!$FN$19:$FV$19)+SUM([3]Continental!$FN$19:$FV$19)</f>
        <v>5708</v>
      </c>
      <c r="H58" s="3">
        <f t="shared" si="13"/>
        <v>-7.9537491240364397E-2</v>
      </c>
      <c r="I58" s="67">
        <f t="shared" si="14"/>
        <v>1.8694182529798969E-2</v>
      </c>
      <c r="J58" s="38"/>
      <c r="K58" s="364" t="s">
        <v>19</v>
      </c>
      <c r="L58" s="310">
        <f>[3]United!$GJ$41</f>
        <v>84860</v>
      </c>
      <c r="M58" s="2">
        <f>[3]United!$FV$41+[3]Continental!$FV$41</f>
        <v>78239</v>
      </c>
      <c r="N58" s="67">
        <f t="shared" si="15"/>
        <v>8.4625314740730331E-2</v>
      </c>
      <c r="O58" s="310">
        <f>SUM([3]United!$GB$41:$GJ$41)</f>
        <v>699071</v>
      </c>
      <c r="P58" s="2">
        <f>SUM([3]United!$FN$41:$FV$41)+SUM([3]Continental!$FN$41:$FV$41)</f>
        <v>708061</v>
      </c>
      <c r="Q58" s="3">
        <f t="shared" si="16"/>
        <v>-1.2696646192912758E-2</v>
      </c>
      <c r="R58" s="67">
        <f t="shared" si="17"/>
        <v>2.4057872061598415E-2</v>
      </c>
    </row>
    <row r="59" spans="1:18" ht="14.1" customHeight="1" x14ac:dyDescent="0.2">
      <c r="A59" s="38"/>
      <c r="B59" s="364" t="s">
        <v>172</v>
      </c>
      <c r="C59" s="310">
        <f>'[3]Continental Express'!$GJ$19</f>
        <v>126</v>
      </c>
      <c r="D59" s="2">
        <f>'[3]Continental Express'!$FV$19</f>
        <v>10</v>
      </c>
      <c r="E59" s="67">
        <f t="shared" si="12"/>
        <v>11.6</v>
      </c>
      <c r="F59" s="2">
        <f>SUM('[3]Continental Express'!$GB$19:$GJ$19)</f>
        <v>408</v>
      </c>
      <c r="G59" s="2">
        <f>SUM('[3]Continental Express'!$FN$19:$FV$19)</f>
        <v>64</v>
      </c>
      <c r="H59" s="3">
        <f t="shared" si="13"/>
        <v>5.375</v>
      </c>
      <c r="I59" s="67">
        <f t="shared" si="14"/>
        <v>1.4516989859455613E-3</v>
      </c>
      <c r="J59" s="38"/>
      <c r="K59" s="364" t="s">
        <v>172</v>
      </c>
      <c r="L59" s="310">
        <f>'[3]Continental Express'!$GJ$41</f>
        <v>6754</v>
      </c>
      <c r="M59" s="2">
        <f>'[3]Continental Express'!$FV$41</f>
        <v>379</v>
      </c>
      <c r="N59" s="67">
        <f t="shared" si="15"/>
        <v>16.820580474934037</v>
      </c>
      <c r="O59" s="310">
        <f>SUM('[3]Continental Express'!$GB$41:$GJ$41)</f>
        <v>22028</v>
      </c>
      <c r="P59" s="2">
        <f>SUM('[3]Continental Express'!$FN$41:$FV$41)</f>
        <v>2069</v>
      </c>
      <c r="Q59" s="3">
        <f t="shared" si="16"/>
        <v>9.6466892218463034</v>
      </c>
      <c r="R59" s="67">
        <f t="shared" si="17"/>
        <v>7.5807293647267571E-4</v>
      </c>
    </row>
    <row r="60" spans="1:18" ht="14.1" customHeight="1" x14ac:dyDescent="0.2">
      <c r="A60" s="38"/>
      <c r="B60" s="40" t="s">
        <v>159</v>
      </c>
      <c r="C60" s="310">
        <f>'[3]Go Jet_UA'!$GJ$19</f>
        <v>20</v>
      </c>
      <c r="D60" s="2">
        <f>'[3]Go Jet_UA'!$FV$19</f>
        <v>0</v>
      </c>
      <c r="E60" s="67" t="e">
        <f t="shared" si="12"/>
        <v>#DIV/0!</v>
      </c>
      <c r="F60" s="2">
        <f>SUM('[3]Go Jet_UA'!$GB$19:$GJ$19)</f>
        <v>70</v>
      </c>
      <c r="G60" s="2">
        <f>SUM('[3]Go Jet_UA'!$FN$19:$FV$19)</f>
        <v>157</v>
      </c>
      <c r="H60" s="3">
        <f t="shared" si="13"/>
        <v>-0.55414012738853502</v>
      </c>
      <c r="I60" s="67">
        <f t="shared" si="14"/>
        <v>2.4906600249066001E-4</v>
      </c>
      <c r="J60" s="38"/>
      <c r="K60" s="40" t="s">
        <v>159</v>
      </c>
      <c r="L60" s="310">
        <f>'[3]Go Jet_UA'!$GJ$41</f>
        <v>1312</v>
      </c>
      <c r="M60" s="2">
        <f>'[3]Go Jet_UA'!$FV$41</f>
        <v>0</v>
      </c>
      <c r="N60" s="67" t="e">
        <f t="shared" si="15"/>
        <v>#DIV/0!</v>
      </c>
      <c r="O60" s="310">
        <f>SUM('[3]Go Jet_UA'!$GB$41:$GJ$41)</f>
        <v>4313</v>
      </c>
      <c r="P60" s="2">
        <f>SUM('[3]Go Jet_UA'!$FN$41:$FV$41)</f>
        <v>10365</v>
      </c>
      <c r="Q60" s="3">
        <f t="shared" si="16"/>
        <v>-0.58388808490110955</v>
      </c>
      <c r="R60" s="67">
        <f t="shared" si="17"/>
        <v>1.4842784524272064E-4</v>
      </c>
    </row>
    <row r="61" spans="1:18" ht="14.1" customHeight="1" x14ac:dyDescent="0.2">
      <c r="A61" s="38"/>
      <c r="B61" s="40" t="s">
        <v>51</v>
      </c>
      <c r="C61" s="310">
        <f>[3]MESA_UA!$GJ$19</f>
        <v>222</v>
      </c>
      <c r="D61" s="2">
        <f>[3]MESA_UA!$FV$19</f>
        <v>246</v>
      </c>
      <c r="E61" s="67">
        <f t="shared" si="12"/>
        <v>-9.7560975609756101E-2</v>
      </c>
      <c r="F61" s="2">
        <f>SUM([3]MESA_UA!$GB$19:$GJ$19)</f>
        <v>2080</v>
      </c>
      <c r="G61" s="2">
        <f>SUM([3]MESA_UA!$FN$19:$FV$19)</f>
        <v>2474</v>
      </c>
      <c r="H61" s="3">
        <f>(F61-G61)/G61</f>
        <v>-0.15925626515763944</v>
      </c>
      <c r="I61" s="67">
        <f t="shared" si="14"/>
        <v>7.4008183597224697E-3</v>
      </c>
      <c r="J61" s="38"/>
      <c r="K61" s="40" t="s">
        <v>51</v>
      </c>
      <c r="L61" s="310">
        <f>[3]MESA_UA!$GJ$41</f>
        <v>13172</v>
      </c>
      <c r="M61" s="2">
        <f>[3]MESA_UA!$FV$41</f>
        <v>15314</v>
      </c>
      <c r="N61" s="67">
        <f t="shared" si="15"/>
        <v>-0.13987201253754733</v>
      </c>
      <c r="O61" s="310">
        <f>SUM([3]MESA_UA!$GB$41:$GJ$41)</f>
        <v>133407</v>
      </c>
      <c r="P61" s="2">
        <f>SUM([3]MESA_UA!$FN$41:$FV$41)</f>
        <v>160188</v>
      </c>
      <c r="Q61" s="3">
        <f t="shared" si="16"/>
        <v>-0.16718480785077533</v>
      </c>
      <c r="R61" s="67">
        <f t="shared" si="17"/>
        <v>4.5910766404580645E-3</v>
      </c>
    </row>
    <row r="62" spans="1:18" ht="14.1" customHeight="1" x14ac:dyDescent="0.2">
      <c r="A62" s="38"/>
      <c r="B62" s="364" t="s">
        <v>52</v>
      </c>
      <c r="C62" s="310">
        <f>[3]Republic_UA!$GJ$19</f>
        <v>376</v>
      </c>
      <c r="D62" s="2">
        <f>[3]Republic_UA!$FV$19</f>
        <v>410</v>
      </c>
      <c r="E62" s="67">
        <f t="shared" si="12"/>
        <v>-8.2926829268292687E-2</v>
      </c>
      <c r="F62" s="2">
        <f>SUM([3]Republic_UA!$GB$19:$GJ$19)</f>
        <v>4326</v>
      </c>
      <c r="G62" s="2">
        <f>SUM([3]Republic_UA!$FN$19:$FV$19)</f>
        <v>3632</v>
      </c>
      <c r="H62" s="3">
        <f t="shared" ref="H62" si="18">(F62-G62)/G62</f>
        <v>0.19107929515418501</v>
      </c>
      <c r="I62" s="67">
        <f t="shared" si="14"/>
        <v>1.539227895392279E-2</v>
      </c>
      <c r="J62" s="38"/>
      <c r="K62" s="364" t="s">
        <v>52</v>
      </c>
      <c r="L62" s="310">
        <f>[3]Republic_UA!$GJ$41</f>
        <v>23578</v>
      </c>
      <c r="M62" s="2">
        <f>[3]Republic_UA!$FV$41</f>
        <v>25283</v>
      </c>
      <c r="N62" s="67">
        <f t="shared" si="15"/>
        <v>-6.7436617490013048E-2</v>
      </c>
      <c r="O62" s="310">
        <f>SUM([3]Republic_UA!$GB$41:$GJ$41)</f>
        <v>268001</v>
      </c>
      <c r="P62" s="2">
        <f>SUM([3]Republic_UA!$FN$41:$FV$41)</f>
        <v>230820</v>
      </c>
      <c r="Q62" s="3">
        <f t="shared" si="16"/>
        <v>0.16108222857637985</v>
      </c>
      <c r="R62" s="67">
        <f t="shared" si="17"/>
        <v>9.2230027713643345E-3</v>
      </c>
    </row>
    <row r="63" spans="1:18" ht="14.1" customHeight="1" x14ac:dyDescent="0.2">
      <c r="A63" s="38"/>
      <c r="B63" s="40" t="s">
        <v>100</v>
      </c>
      <c r="C63" s="310">
        <f>'[3]Sky West_UA'!$GJ$19</f>
        <v>114</v>
      </c>
      <c r="D63" s="2">
        <f>'[3]Sky West_UA'!$FV$19+'[3]Sky West_CO'!$FV$19</f>
        <v>210</v>
      </c>
      <c r="E63" s="67">
        <f t="shared" si="12"/>
        <v>-0.45714285714285713</v>
      </c>
      <c r="F63" s="2">
        <f>SUM('[3]Sky West_UA'!$GB$19:$GJ$19)</f>
        <v>1106</v>
      </c>
      <c r="G63" s="2">
        <f>SUM('[3]Sky West_UA'!$FN$19:$FV$19)+SUM('[3]Sky West_CO'!$FN$19:$FV$19)</f>
        <v>1434</v>
      </c>
      <c r="H63" s="3">
        <f t="shared" si="13"/>
        <v>-0.22873082287308227</v>
      </c>
      <c r="I63" s="67">
        <f t="shared" si="14"/>
        <v>3.9352428393524281E-3</v>
      </c>
      <c r="J63" s="38"/>
      <c r="K63" s="40" t="s">
        <v>100</v>
      </c>
      <c r="L63" s="310">
        <f>'[3]Sky West_UA'!$GJ$41</f>
        <v>7065</v>
      </c>
      <c r="M63" s="2">
        <f>'[3]Sky West_UA'!$FV$41+'[3]Sky West_CO'!$FV$41</f>
        <v>13530</v>
      </c>
      <c r="N63" s="67">
        <f t="shared" si="15"/>
        <v>-0.47782705099778272</v>
      </c>
      <c r="O63" s="310">
        <f>SUM('[3]Sky West_UA'!$GB$41:$GJ$41)</f>
        <v>72069</v>
      </c>
      <c r="P63" s="2">
        <f>SUM('[3]Sky West_UA'!$FN$41:$FV$41)+SUM('[3]Sky West_CO'!$FN$41:$FV$41)</f>
        <v>93803</v>
      </c>
      <c r="Q63" s="3">
        <f t="shared" si="16"/>
        <v>-0.23169834653475901</v>
      </c>
      <c r="R63" s="67">
        <f t="shared" si="17"/>
        <v>2.4801869647107892E-3</v>
      </c>
    </row>
    <row r="64" spans="1:18" ht="14.1" customHeight="1" x14ac:dyDescent="0.2">
      <c r="A64" s="38"/>
      <c r="B64" s="312" t="s">
        <v>134</v>
      </c>
      <c r="C64" s="310">
        <f>'[3]Shuttle America'!$GJ$19</f>
        <v>0</v>
      </c>
      <c r="D64" s="2">
        <f>'[3]Shuttle America'!$FV$19</f>
        <v>0</v>
      </c>
      <c r="E64" s="67" t="e">
        <f t="shared" si="12"/>
        <v>#DIV/0!</v>
      </c>
      <c r="F64" s="2">
        <f>SUM('[3]Shuttle America'!$GB$19:$GJ$19)</f>
        <v>0</v>
      </c>
      <c r="G64" s="2">
        <f>SUM('[3]Shuttle America'!$FN$19:$FV$19)</f>
        <v>0</v>
      </c>
      <c r="H64" s="3" t="e">
        <f t="shared" si="13"/>
        <v>#DIV/0!</v>
      </c>
      <c r="I64" s="67">
        <f t="shared" si="14"/>
        <v>0</v>
      </c>
      <c r="J64" s="38"/>
      <c r="K64" s="312" t="s">
        <v>134</v>
      </c>
      <c r="L64" s="310">
        <f>'[3]Shuttle America'!$GJ$41</f>
        <v>0</v>
      </c>
      <c r="M64" s="2">
        <f>'[3]Shuttle America'!$FV$41</f>
        <v>0</v>
      </c>
      <c r="N64" s="67" t="e">
        <f t="shared" si="15"/>
        <v>#DIV/0!</v>
      </c>
      <c r="O64" s="310">
        <f>SUM('[3]Shuttle America'!$GB$41:$GJ$41)</f>
        <v>0</v>
      </c>
      <c r="P64" s="2">
        <f>SUM('[3]Shuttle America'!$FN$41:$FV$41)</f>
        <v>0</v>
      </c>
      <c r="Q64" s="3" t="e">
        <f t="shared" si="16"/>
        <v>#DIV/0!</v>
      </c>
      <c r="R64" s="67">
        <f t="shared" si="17"/>
        <v>0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400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136</v>
      </c>
      <c r="C67" s="374">
        <f>+C69-C68</f>
        <v>19672</v>
      </c>
      <c r="D67" s="374">
        <f>+D69-D68</f>
        <v>18582</v>
      </c>
      <c r="E67" s="375">
        <f>(C67-D67)/D67</f>
        <v>5.8658917231729633E-2</v>
      </c>
      <c r="F67" s="374">
        <f>+F69-F68</f>
        <v>173097</v>
      </c>
      <c r="G67" s="374">
        <f>+G69-G68</f>
        <v>168385</v>
      </c>
      <c r="H67" s="375">
        <f>(F67-G67)/G67</f>
        <v>2.7983490215874336E-2</v>
      </c>
      <c r="I67" s="422">
        <f>F67/$F$69</f>
        <v>0.61589396904465399</v>
      </c>
      <c r="K67" s="320" t="s">
        <v>136</v>
      </c>
      <c r="L67" s="374">
        <f>+L69-L68</f>
        <v>2591794</v>
      </c>
      <c r="M67" s="374">
        <f>+M69-M68</f>
        <v>2356635</v>
      </c>
      <c r="N67" s="375">
        <f>(L67-M67)/M67</f>
        <v>9.9785923573230476E-2</v>
      </c>
      <c r="O67" s="374">
        <f>+O69-O68</f>
        <v>23312219</v>
      </c>
      <c r="P67" s="374">
        <f>+P69-P68</f>
        <v>22153430</v>
      </c>
      <c r="Q67" s="415">
        <f>(O67-P67)/P67</f>
        <v>5.2307430497218713E-2</v>
      </c>
      <c r="R67" s="418">
        <f>+O67/O69</f>
        <v>0.80226812752061494</v>
      </c>
    </row>
    <row r="68" spans="1:20" ht="14.1" customHeight="1" x14ac:dyDescent="0.2">
      <c r="B68" s="193" t="s">
        <v>137</v>
      </c>
      <c r="C68" s="376">
        <f>C64+C40+C38+C36+C35+C39+C22+C63+C60+C37+C59+C61+C27+C26+C23+C17+C8+C62+C24+C25+C9+C18</f>
        <v>11095</v>
      </c>
      <c r="D68" s="376">
        <f>D64+D40+D38+D36+D35+D39+D22+D63+D60+D37+D59+D61+D27+D26+D23+D17+D8+D62+D24+D25+D9+D18</f>
        <v>11682</v>
      </c>
      <c r="E68" s="321">
        <f>(C68-D68)/D68</f>
        <v>-5.0248245163499398E-2</v>
      </c>
      <c r="F68" s="376">
        <f>F64+F40+F38+F36+F35+F39+F22+F63+F60+F37+F59+F61+F27+F26+F23+F17+F8+F62+F24+F25+F9+F18</f>
        <v>107953</v>
      </c>
      <c r="G68" s="376">
        <f>G64+G40+G38+G36+G35+G39+G22+G63+G60+G37+G59+G61+G27+G26+G23+G17+G8+G62+G24+G25+G9+G18</f>
        <v>113217</v>
      </c>
      <c r="H68" s="321">
        <f>(F68-G68)/G68</f>
        <v>-4.649478435217326E-2</v>
      </c>
      <c r="I68" s="423">
        <f>F68/$F$69</f>
        <v>0.38410603095534601</v>
      </c>
      <c r="K68" s="193" t="s">
        <v>137</v>
      </c>
      <c r="L68" s="376">
        <f>L64+L40+L38+L36+L35+L39+L22+L63+L60+L37+L59+L61+L27+L26+L23+L17+L8+L62+L24+L25+L9+L18</f>
        <v>559275</v>
      </c>
      <c r="M68" s="376">
        <f>M64+M40+M38+M36+M35+M39+M22+M63+M60+M37+M59+M61+M27+M26+M23+M17+M8+M62+M24+M25+M9+M18</f>
        <v>590457</v>
      </c>
      <c r="N68" s="321">
        <f>(L68-M68)/M68</f>
        <v>-5.2809942129570825E-2</v>
      </c>
      <c r="O68" s="376">
        <f>O64+O40+O38+O36+O35+O39+O22+O63+O60+O37+O59+O61+O27+O26+O23+O17+O8+O62+O24+O25+O9+O18</f>
        <v>5745671</v>
      </c>
      <c r="P68" s="376">
        <f>P64+P40+P38+P36+P35+P39+P22+P63+P60+P37+P59+P61+P27+P26+P23+P17+P8+P62+P24+P25+P9+P18</f>
        <v>5881477</v>
      </c>
      <c r="Q68" s="413">
        <f>(O68-P68)/P68</f>
        <v>-2.3090458400160368E-2</v>
      </c>
      <c r="R68" s="419">
        <f>+O68/O69</f>
        <v>0.19773187247938512</v>
      </c>
    </row>
    <row r="69" spans="1:20" ht="14.1" customHeight="1" thickBot="1" x14ac:dyDescent="0.25">
      <c r="B69" s="193" t="s">
        <v>138</v>
      </c>
      <c r="C69" s="377">
        <f>C57+C55+C50+C44+C42+C33+C20+C15+C6+C53+C31+C29+C11+C48+C13+C46+C4</f>
        <v>30767</v>
      </c>
      <c r="D69" s="377">
        <f>D57+D55+D50+D44+D42+D33+D20+D15+D6+D53+D31+D29+D11+D48+D13+D46+D4</f>
        <v>30264</v>
      </c>
      <c r="E69" s="378">
        <f>(C69-D69)/D69</f>
        <v>1.662040708432461E-2</v>
      </c>
      <c r="F69" s="377">
        <f>F57+F55+F50+F44+F42+F33+F20+F15+F6+F53+F31+F29+F11+F48+F13+F46+F4</f>
        <v>281050</v>
      </c>
      <c r="G69" s="377">
        <f>G57+G55+G50+G44+G42+G33+G20+G15+G6+G53+G31+G29+G11+G48+G13+G46+G4</f>
        <v>281602</v>
      </c>
      <c r="H69" s="378">
        <f>(F69-G69)/G69</f>
        <v>-1.9602133507574519E-3</v>
      </c>
      <c r="I69" s="424">
        <f>+H69/H69</f>
        <v>1</v>
      </c>
      <c r="K69" s="193" t="s">
        <v>138</v>
      </c>
      <c r="L69" s="377">
        <f>L57+L55+L50+L44+L42+L33+L20+L15+L6+L53+L31+L29+L11+L48+L13+L46+L4</f>
        <v>3151069</v>
      </c>
      <c r="M69" s="377">
        <f>M57+M55+M50+M44+M42+M33+M20+M15+M6+M53+M31+M29+M11+M48+M13+M46+M4</f>
        <v>2947092</v>
      </c>
      <c r="N69" s="378">
        <f>(L69-M69)/M69</f>
        <v>6.9212973330998823E-2</v>
      </c>
      <c r="O69" s="377">
        <f>O57+O55+O50+O44+O42+O33+O20+O15+O6+O53+O31+O29+O11+O48+O13+O46+O4</f>
        <v>29057890</v>
      </c>
      <c r="P69" s="377">
        <f>P57+P55+P50+P44+P42+P33+P20+P15+P6+P53+P31+P29+P11+P48+P13+P46+P4</f>
        <v>28034907</v>
      </c>
      <c r="Q69" s="378">
        <f>(O69-P69)/P69</f>
        <v>3.6489616320111211E-2</v>
      </c>
      <c r="R69" s="424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September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zoomScalePageLayoutView="70" workbookViewId="0">
      <selection activeCell="A46" sqref="A4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43709</v>
      </c>
      <c r="B1" s="446" t="s">
        <v>17</v>
      </c>
      <c r="C1" s="446" t="s">
        <v>18</v>
      </c>
      <c r="D1" s="446" t="s">
        <v>19</v>
      </c>
      <c r="E1" s="446" t="s">
        <v>160</v>
      </c>
      <c r="F1" s="446" t="s">
        <v>167</v>
      </c>
      <c r="G1" s="446" t="s">
        <v>161</v>
      </c>
      <c r="H1" s="426" t="s">
        <v>215</v>
      </c>
      <c r="I1" s="426" t="s">
        <v>202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5"/>
      <c r="I2" s="425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[3]American!$GJ$22</f>
        <v>69359</v>
      </c>
      <c r="C4" s="13">
        <f>[3]Delta!$GJ$22+[3]Delta!$GJ$32</f>
        <v>898635</v>
      </c>
      <c r="D4" s="13">
        <f>[3]United!$GJ$22</f>
        <v>42940</v>
      </c>
      <c r="E4" s="13">
        <f>[3]Spirit!$GJ$22</f>
        <v>43020</v>
      </c>
      <c r="F4" s="13">
        <f>[3]Condor!$GJ$22+[3]Condor!$GJ$32</f>
        <v>1912</v>
      </c>
      <c r="G4" s="13">
        <f>'[3]Air France'!$GJ$22+'[3]Air France'!$GJ$32</f>
        <v>5536</v>
      </c>
      <c r="H4" s="13">
        <f>'[3]Jet Blue'!$GJ$22</f>
        <v>8432</v>
      </c>
      <c r="I4" s="13">
        <f>[3]KLM!$GJ$22+[3]KLM!$GJ$32</f>
        <v>4448</v>
      </c>
      <c r="J4" s="13">
        <f>'Other Major Airline Stats'!J5</f>
        <v>213590</v>
      </c>
      <c r="K4" s="242">
        <f>SUM(B4:J4)</f>
        <v>1287872</v>
      </c>
      <c r="M4" s="444"/>
      <c r="N4" s="444"/>
      <c r="O4" s="444"/>
      <c r="P4" s="444"/>
      <c r="Q4" s="444"/>
      <c r="R4" s="444"/>
      <c r="S4" s="444"/>
      <c r="T4" s="444"/>
    </row>
    <row r="5" spans="1:20" x14ac:dyDescent="0.2">
      <c r="A5" s="47" t="s">
        <v>31</v>
      </c>
      <c r="B5" s="7">
        <f>[3]American!$GJ$23</f>
        <v>70459</v>
      </c>
      <c r="C5" s="7">
        <f>[3]Delta!$GJ$23+[3]Delta!$GJ$33</f>
        <v>913387</v>
      </c>
      <c r="D5" s="7">
        <f>[3]United!$GJ$23</f>
        <v>41920</v>
      </c>
      <c r="E5" s="7">
        <f>[3]Spirit!$GJ$23</f>
        <v>42473</v>
      </c>
      <c r="F5" s="7">
        <f>[3]Condor!$GJ$23+[3]Condor!$GJ$33</f>
        <v>1704</v>
      </c>
      <c r="G5" s="7">
        <f>'[3]Air France'!$GJ$23+'[3]Air France'!$GJ$33</f>
        <v>5202</v>
      </c>
      <c r="H5" s="7">
        <f>'[3]Jet Blue'!$GJ$23</f>
        <v>9361</v>
      </c>
      <c r="I5" s="7">
        <f>[3]KLM!$GJ$23+[3]KLM!$GJ$33</f>
        <v>4308</v>
      </c>
      <c r="J5" s="7">
        <f>'Other Major Airline Stats'!J6</f>
        <v>215108</v>
      </c>
      <c r="K5" s="243">
        <f>SUM(B5:J5)</f>
        <v>1303922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139818</v>
      </c>
      <c r="C6" s="25">
        <f t="shared" si="0"/>
        <v>1812022</v>
      </c>
      <c r="D6" s="25">
        <f t="shared" si="0"/>
        <v>84860</v>
      </c>
      <c r="E6" s="25">
        <f t="shared" si="0"/>
        <v>85493</v>
      </c>
      <c r="F6" s="25">
        <f t="shared" ref="F6" si="1">SUM(F4:F5)</f>
        <v>3616</v>
      </c>
      <c r="G6" s="25">
        <f t="shared" ref="G6:I6" si="2">SUM(G4:G5)</f>
        <v>10738</v>
      </c>
      <c r="H6" s="25">
        <f t="shared" ref="H6" si="3">SUM(H4:H5)</f>
        <v>17793</v>
      </c>
      <c r="I6" s="25">
        <f t="shared" si="2"/>
        <v>8756</v>
      </c>
      <c r="J6" s="25">
        <f t="shared" si="0"/>
        <v>428698</v>
      </c>
      <c r="K6" s="244">
        <f>SUM(B6:J6)</f>
        <v>2591794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[3]American!$GJ$27</f>
        <v>3025</v>
      </c>
      <c r="C9" s="13">
        <f>[3]Delta!$GJ$27+[3]Delta!$GJ$37</f>
        <v>30904</v>
      </c>
      <c r="D9" s="13">
        <f>[3]United!$GJ$27</f>
        <v>1521</v>
      </c>
      <c r="E9" s="13">
        <f>[3]Spirit!$GJ$27</f>
        <v>239</v>
      </c>
      <c r="F9" s="13">
        <f>[3]Condor!$GJ$27+[3]Condor!$GJ$37</f>
        <v>0</v>
      </c>
      <c r="G9" s="13">
        <f>'[3]Air France'!$GJ$27+'[3]Air France'!$GJ$37</f>
        <v>5</v>
      </c>
      <c r="H9" s="13">
        <f>'[3]Jet Blue'!$GJ$27</f>
        <v>228</v>
      </c>
      <c r="I9" s="13">
        <f>[3]KLM!$GJ$27+[3]KLM!$GJ$37</f>
        <v>6</v>
      </c>
      <c r="J9" s="13">
        <f>'Other Major Airline Stats'!J10</f>
        <v>3828</v>
      </c>
      <c r="K9" s="242">
        <f>SUM(B9:J9)</f>
        <v>39756</v>
      </c>
    </row>
    <row r="10" spans="1:20" x14ac:dyDescent="0.2">
      <c r="A10" s="47" t="s">
        <v>33</v>
      </c>
      <c r="B10" s="7">
        <f>[3]American!$GJ$28</f>
        <v>3367</v>
      </c>
      <c r="C10" s="7">
        <f>[3]Delta!$GJ$28+[3]Delta!$GJ$38</f>
        <v>30741</v>
      </c>
      <c r="D10" s="7">
        <f>[3]United!$GJ$28</f>
        <v>1593</v>
      </c>
      <c r="E10" s="7">
        <f>[3]Spirit!$GJ$28</f>
        <v>232</v>
      </c>
      <c r="F10" s="7">
        <f>[3]Condor!$GJ$28+[3]Condor!$GJ$38</f>
        <v>0</v>
      </c>
      <c r="G10" s="7">
        <f>'[3]Air France'!$GJ$28+'[3]Air France'!$GJ$38</f>
        <v>6</v>
      </c>
      <c r="H10" s="7">
        <f>'[3]Jet Blue'!$GJ$28</f>
        <v>276</v>
      </c>
      <c r="I10" s="7">
        <f>[3]KLM!$GJ$28+[3]KLM!$GJ$38</f>
        <v>10</v>
      </c>
      <c r="J10" s="7">
        <f>'Other Major Airline Stats'!J11</f>
        <v>3908</v>
      </c>
      <c r="K10" s="243">
        <f>SUM(B10:J10)</f>
        <v>40133</v>
      </c>
    </row>
    <row r="11" spans="1:20" ht="15.75" thickBot="1" x14ac:dyDescent="0.3">
      <c r="A11" s="48" t="s">
        <v>34</v>
      </c>
      <c r="B11" s="245">
        <f t="shared" ref="B11:J11" si="4">SUM(B9:B10)</f>
        <v>6392</v>
      </c>
      <c r="C11" s="245">
        <f t="shared" si="4"/>
        <v>61645</v>
      </c>
      <c r="D11" s="245">
        <f t="shared" si="4"/>
        <v>3114</v>
      </c>
      <c r="E11" s="245">
        <f t="shared" si="4"/>
        <v>471</v>
      </c>
      <c r="F11" s="245">
        <f t="shared" ref="F11" si="5">SUM(F9:F10)</f>
        <v>0</v>
      </c>
      <c r="G11" s="245">
        <f t="shared" ref="G11:I11" si="6">SUM(G9:G10)</f>
        <v>11</v>
      </c>
      <c r="H11" s="245">
        <f t="shared" ref="H11" si="7">SUM(H9:H10)</f>
        <v>504</v>
      </c>
      <c r="I11" s="245">
        <f t="shared" si="6"/>
        <v>16</v>
      </c>
      <c r="J11" s="245">
        <f t="shared" si="4"/>
        <v>7736</v>
      </c>
      <c r="K11" s="246">
        <f>SUM(B11:J11)</f>
        <v>79889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[3]American!$GJ$4</f>
        <v>580</v>
      </c>
      <c r="C15" s="13">
        <f>[3]Delta!$GJ$4+[3]Delta!$GJ$15</f>
        <v>6576</v>
      </c>
      <c r="D15" s="13">
        <f>[3]United!$GJ$4</f>
        <v>338</v>
      </c>
      <c r="E15" s="13">
        <f>[3]Spirit!$GJ$4</f>
        <v>296</v>
      </c>
      <c r="F15" s="13">
        <f>[3]Condor!$GJ$4+[3]Condor!$GJ$15</f>
        <v>8</v>
      </c>
      <c r="G15" s="13">
        <f>'[3]Air France'!$GJ$4+'[3]Air France'!$GJ$15</f>
        <v>21</v>
      </c>
      <c r="H15" s="13">
        <f>'[3]Jet Blue'!$GJ$4</f>
        <v>82</v>
      </c>
      <c r="I15" s="13">
        <f>[3]KLM!$GJ$4+[3]KLM!$GJ$15</f>
        <v>17</v>
      </c>
      <c r="J15" s="13">
        <f>'Other Major Airline Stats'!J16</f>
        <v>1819</v>
      </c>
      <c r="K15" s="18">
        <f>SUM(B15:J15)</f>
        <v>9737</v>
      </c>
      <c r="M15" s="267"/>
    </row>
    <row r="16" spans="1:20" x14ac:dyDescent="0.2">
      <c r="A16" s="47" t="s">
        <v>23</v>
      </c>
      <c r="B16" s="7">
        <f>[3]American!$GJ$5</f>
        <v>580</v>
      </c>
      <c r="C16" s="7">
        <f>[3]Delta!$GJ$5+[3]Delta!$GJ$16</f>
        <v>6567</v>
      </c>
      <c r="D16" s="7">
        <f>[3]United!$GJ$5</f>
        <v>338</v>
      </c>
      <c r="E16" s="7">
        <f>[3]Spirit!$GJ$5</f>
        <v>295</v>
      </c>
      <c r="F16" s="7">
        <f>[3]Condor!$GJ$5+[3]Condor!$GJ$16</f>
        <v>8</v>
      </c>
      <c r="G16" s="7">
        <f>'[3]Air France'!$GJ$5+'[3]Air France'!$GJ$16</f>
        <v>21</v>
      </c>
      <c r="H16" s="7">
        <f>'[3]Jet Blue'!$GJ$5</f>
        <v>82</v>
      </c>
      <c r="I16" s="7">
        <f>[3]KLM!$GJ$5+[3]KLM!$GJ$16</f>
        <v>17</v>
      </c>
      <c r="J16" s="7">
        <f>'Other Major Airline Stats'!J17</f>
        <v>1812</v>
      </c>
      <c r="K16" s="24">
        <f>SUM(B16:J16)</f>
        <v>9720</v>
      </c>
    </row>
    <row r="17" spans="1:11" x14ac:dyDescent="0.2">
      <c r="A17" s="47" t="s">
        <v>24</v>
      </c>
      <c r="B17" s="249">
        <f t="shared" ref="B17:J17" si="8">SUM(B15:B16)</f>
        <v>1160</v>
      </c>
      <c r="C17" s="247">
        <f t="shared" si="8"/>
        <v>13143</v>
      </c>
      <c r="D17" s="247">
        <f t="shared" si="8"/>
        <v>676</v>
      </c>
      <c r="E17" s="247">
        <f t="shared" si="8"/>
        <v>591</v>
      </c>
      <c r="F17" s="247">
        <f t="shared" ref="F17" si="9">SUM(F15:F16)</f>
        <v>16</v>
      </c>
      <c r="G17" s="247">
        <f t="shared" ref="G17:I17" si="10">SUM(G15:G16)</f>
        <v>42</v>
      </c>
      <c r="H17" s="247">
        <f t="shared" ref="H17" si="11">SUM(H15:H16)</f>
        <v>164</v>
      </c>
      <c r="I17" s="247">
        <f t="shared" si="10"/>
        <v>34</v>
      </c>
      <c r="J17" s="247">
        <f t="shared" si="8"/>
        <v>3631</v>
      </c>
      <c r="K17" s="248">
        <f>SUM(B17:J17)</f>
        <v>19457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[3]American!$GJ$8</f>
        <v>0</v>
      </c>
      <c r="C19" s="13">
        <f>[3]Delta!$GJ$8</f>
        <v>0</v>
      </c>
      <c r="D19" s="13">
        <f>[3]United!$GJ$8</f>
        <v>0</v>
      </c>
      <c r="E19" s="13">
        <f>[3]Spirit!$GJ$8</f>
        <v>0</v>
      </c>
      <c r="F19" s="13">
        <f>[3]Condor!$GJ$8</f>
        <v>0</v>
      </c>
      <c r="G19" s="13">
        <f>'[3]Air France'!$GJ$8</f>
        <v>0</v>
      </c>
      <c r="H19" s="13">
        <f>'[3]Jet Blue'!$GJ$8</f>
        <v>0</v>
      </c>
      <c r="I19" s="13">
        <f>[3]KLM!$GJ$8</f>
        <v>0</v>
      </c>
      <c r="J19" s="13">
        <f>'Other Major Airline Stats'!J20</f>
        <v>102</v>
      </c>
      <c r="K19" s="18">
        <f>SUM(B19:J19)</f>
        <v>102</v>
      </c>
    </row>
    <row r="20" spans="1:11" x14ac:dyDescent="0.2">
      <c r="A20" s="47" t="s">
        <v>26</v>
      </c>
      <c r="B20" s="7">
        <f>[3]American!$GJ$9</f>
        <v>0</v>
      </c>
      <c r="C20" s="7">
        <f>[3]Delta!$GJ$9</f>
        <v>11</v>
      </c>
      <c r="D20" s="7">
        <f>[3]United!$GJ$9</f>
        <v>0</v>
      </c>
      <c r="E20" s="7">
        <f>[3]Spirit!$GJ$9</f>
        <v>0</v>
      </c>
      <c r="F20" s="7">
        <f>[3]Condor!$GJ$9</f>
        <v>0</v>
      </c>
      <c r="G20" s="7">
        <f>'[3]Air France'!$GJ$9</f>
        <v>0</v>
      </c>
      <c r="H20" s="7">
        <f>'[3]Jet Blue'!$GJ$9</f>
        <v>0</v>
      </c>
      <c r="I20" s="7">
        <f>[3]KLM!$GJ$9</f>
        <v>0</v>
      </c>
      <c r="J20" s="7">
        <f>'Other Major Airline Stats'!J21</f>
        <v>102</v>
      </c>
      <c r="K20" s="24">
        <f>SUM(B20:J20)</f>
        <v>113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11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204</v>
      </c>
      <c r="K21" s="148">
        <f>SUM(B21:J21)</f>
        <v>215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1160</v>
      </c>
      <c r="C23" s="19">
        <f t="shared" si="16"/>
        <v>13154</v>
      </c>
      <c r="D23" s="19">
        <f t="shared" si="16"/>
        <v>676</v>
      </c>
      <c r="E23" s="19">
        <f>E17+E21</f>
        <v>591</v>
      </c>
      <c r="F23" s="19">
        <f t="shared" ref="F23" si="17">F17+F21</f>
        <v>16</v>
      </c>
      <c r="G23" s="19">
        <f t="shared" ref="G23:I23" si="18">G17+G21</f>
        <v>42</v>
      </c>
      <c r="H23" s="19">
        <f t="shared" ref="H23" si="19">H17+H21</f>
        <v>164</v>
      </c>
      <c r="I23" s="19">
        <f t="shared" si="18"/>
        <v>34</v>
      </c>
      <c r="J23" s="19">
        <f t="shared" si="16"/>
        <v>3835</v>
      </c>
      <c r="K23" s="20">
        <f>SUM(B23:J23)</f>
        <v>19672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[3]American!$GJ$47</f>
        <v>42094</v>
      </c>
      <c r="C28" s="13">
        <f>[3]Delta!$GJ$47</f>
        <v>2296614</v>
      </c>
      <c r="D28" s="13">
        <f>[3]United!$GJ$47</f>
        <v>59451</v>
      </c>
      <c r="E28" s="13">
        <f>[3]Spirit!$GJ$47</f>
        <v>0</v>
      </c>
      <c r="F28" s="13">
        <f>[3]Condor!$GJ$47</f>
        <v>68096</v>
      </c>
      <c r="G28" s="13">
        <f>'[3]Air France'!$GJ$47</f>
        <v>161574</v>
      </c>
      <c r="H28" s="13">
        <f>'[3]Jet Blue'!$GJ$47</f>
        <v>0</v>
      </c>
      <c r="I28" s="13">
        <f>[3]KLM!$GJ$47</f>
        <v>424446</v>
      </c>
      <c r="J28" s="13">
        <f>'Other Major Airline Stats'!J28</f>
        <v>335783</v>
      </c>
      <c r="K28" s="18">
        <f>SUM(B28:J28)</f>
        <v>3388058</v>
      </c>
    </row>
    <row r="29" spans="1:11" x14ac:dyDescent="0.2">
      <c r="A29" s="47" t="s">
        <v>38</v>
      </c>
      <c r="B29" s="7">
        <f>[3]American!$GJ$48</f>
        <v>22597</v>
      </c>
      <c r="C29" s="7">
        <f>[3]Delta!$GJ$48</f>
        <v>1587158</v>
      </c>
      <c r="D29" s="7">
        <f>[3]United!$GJ$48</f>
        <v>22092</v>
      </c>
      <c r="E29" s="7">
        <f>[3]Spirit!$GJ$48</f>
        <v>0</v>
      </c>
      <c r="F29" s="7">
        <f>[3]Condor!$GJ$48</f>
        <v>0</v>
      </c>
      <c r="G29" s="7">
        <f>'[3]Air France'!$GJ$48</f>
        <v>0</v>
      </c>
      <c r="H29" s="7">
        <f>'[3]Jet Blue'!$GJ$48</f>
        <v>0</v>
      </c>
      <c r="I29" s="7">
        <f>[3]KLM!$GJ$48</f>
        <v>0</v>
      </c>
      <c r="J29" s="7">
        <f>'Other Major Airline Stats'!J29</f>
        <v>399365</v>
      </c>
      <c r="K29" s="24">
        <f>SUM(B29:J29)</f>
        <v>2031212</v>
      </c>
    </row>
    <row r="30" spans="1:11" x14ac:dyDescent="0.2">
      <c r="A30" s="51" t="s">
        <v>39</v>
      </c>
      <c r="B30" s="249">
        <f t="shared" ref="B30:J30" si="20">SUM(B28:B29)</f>
        <v>64691</v>
      </c>
      <c r="C30" s="249">
        <f t="shared" si="20"/>
        <v>3883772</v>
      </c>
      <c r="D30" s="249">
        <f t="shared" si="20"/>
        <v>81543</v>
      </c>
      <c r="E30" s="249">
        <f t="shared" si="20"/>
        <v>0</v>
      </c>
      <c r="F30" s="249">
        <f t="shared" ref="F30" si="21">SUM(F28:F29)</f>
        <v>68096</v>
      </c>
      <c r="G30" s="249">
        <f t="shared" ref="G30:I30" si="22">SUM(G28:G29)</f>
        <v>161574</v>
      </c>
      <c r="H30" s="249">
        <f t="shared" ref="H30" si="23">SUM(H28:H29)</f>
        <v>0</v>
      </c>
      <c r="I30" s="249">
        <f t="shared" si="22"/>
        <v>424446</v>
      </c>
      <c r="J30" s="249">
        <f t="shared" si="20"/>
        <v>735148</v>
      </c>
      <c r="K30" s="18">
        <f>SUM(B30:J30)</f>
        <v>5419270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[3]American!$GJ$52</f>
        <v>6931</v>
      </c>
      <c r="C33" s="13">
        <f>[3]Delta!$GJ$52</f>
        <v>1001565</v>
      </c>
      <c r="D33" s="13">
        <f>[3]United!$GJ$52</f>
        <v>38248</v>
      </c>
      <c r="E33" s="13">
        <f>[3]Spirit!$GJ$52</f>
        <v>0</v>
      </c>
      <c r="F33" s="13">
        <f>[3]Condor!$GJ$52</f>
        <v>5066</v>
      </c>
      <c r="G33" s="13">
        <f>'[3]Air France'!$GJ$52</f>
        <v>63445</v>
      </c>
      <c r="H33" s="13">
        <f>'[3]Jet Blue'!$GJ$52</f>
        <v>0</v>
      </c>
      <c r="I33" s="13">
        <f>[3]KLM!$GJ$52</f>
        <v>112002</v>
      </c>
      <c r="J33" s="13">
        <f>'Other Major Airline Stats'!J33</f>
        <v>73886</v>
      </c>
      <c r="K33" s="18">
        <f t="shared" si="24"/>
        <v>1301143</v>
      </c>
    </row>
    <row r="34" spans="1:11" x14ac:dyDescent="0.2">
      <c r="A34" s="47" t="s">
        <v>38</v>
      </c>
      <c r="B34" s="7">
        <f>[3]American!$GJ$53</f>
        <v>30559</v>
      </c>
      <c r="C34" s="7">
        <f>[3]Delta!$GJ$53</f>
        <v>1627125</v>
      </c>
      <c r="D34" s="7">
        <f>[3]United!$GJ$53</f>
        <v>56316</v>
      </c>
      <c r="E34" s="7">
        <f>[3]Spirit!$GJ$53</f>
        <v>0</v>
      </c>
      <c r="F34" s="7">
        <f>[3]Condor!$GJ$53</f>
        <v>0</v>
      </c>
      <c r="G34" s="7">
        <f>'[3]Air France'!$GJ$53</f>
        <v>0</v>
      </c>
      <c r="H34" s="7">
        <f>'[3]Jet Blue'!$GJ$53</f>
        <v>0</v>
      </c>
      <c r="I34" s="7">
        <f>[3]KLM!$GJ$53</f>
        <v>0</v>
      </c>
      <c r="J34" s="7">
        <f>'Other Major Airline Stats'!J34</f>
        <v>316105</v>
      </c>
      <c r="K34" s="24">
        <f t="shared" si="24"/>
        <v>2030105</v>
      </c>
    </row>
    <row r="35" spans="1:11" x14ac:dyDescent="0.2">
      <c r="A35" s="51" t="s">
        <v>41</v>
      </c>
      <c r="B35" s="249">
        <f t="shared" ref="B35:J35" si="25">SUM(B33:B34)</f>
        <v>37490</v>
      </c>
      <c r="C35" s="249">
        <f t="shared" si="25"/>
        <v>2628690</v>
      </c>
      <c r="D35" s="249">
        <f t="shared" si="25"/>
        <v>94564</v>
      </c>
      <c r="E35" s="249">
        <f t="shared" si="25"/>
        <v>0</v>
      </c>
      <c r="F35" s="249">
        <f t="shared" ref="F35" si="26">SUM(F33:F34)</f>
        <v>5066</v>
      </c>
      <c r="G35" s="249">
        <f t="shared" ref="G35:I35" si="27">SUM(G33:G34)</f>
        <v>63445</v>
      </c>
      <c r="H35" s="249">
        <f t="shared" ref="H35" si="28">SUM(H33:H34)</f>
        <v>0</v>
      </c>
      <c r="I35" s="249">
        <f t="shared" si="27"/>
        <v>112002</v>
      </c>
      <c r="J35" s="249">
        <f t="shared" si="25"/>
        <v>389991</v>
      </c>
      <c r="K35" s="18">
        <f t="shared" si="24"/>
        <v>3331248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[3]American!$GJ$57</f>
        <v>0</v>
      </c>
      <c r="C38" s="13">
        <f>[3]Delta!$GJ$57</f>
        <v>0</v>
      </c>
      <c r="D38" s="13">
        <f>[3]United!$GJ$57</f>
        <v>0</v>
      </c>
      <c r="E38" s="13">
        <f>[3]Spirit!$GJ$57</f>
        <v>0</v>
      </c>
      <c r="F38" s="13">
        <f>[3]Condor!$GJ$57</f>
        <v>0</v>
      </c>
      <c r="G38" s="13">
        <f>'[3]Air France'!$GJ$57</f>
        <v>0</v>
      </c>
      <c r="H38" s="13">
        <f>'[3]Jet Blue'!$GJ$57</f>
        <v>0</v>
      </c>
      <c r="I38" s="13">
        <f>[3]KLM!$GJ$57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[3]American!$GJ$58</f>
        <v>0</v>
      </c>
      <c r="C39" s="7">
        <f>[3]Delta!$GJ$58</f>
        <v>0</v>
      </c>
      <c r="D39" s="7">
        <f>[3]United!$GJ$58</f>
        <v>0</v>
      </c>
      <c r="E39" s="7">
        <f>[3]Spirit!$GJ$58</f>
        <v>0</v>
      </c>
      <c r="F39" s="7">
        <f>[3]Condor!$GJ$58</f>
        <v>0</v>
      </c>
      <c r="G39" s="7">
        <f>'[3]Air France'!$GJ$58</f>
        <v>0</v>
      </c>
      <c r="H39" s="7">
        <f>'[3]Jet Blue'!$GJ$58</f>
        <v>0</v>
      </c>
      <c r="I39" s="7">
        <f>[3]KLM!$GJ$58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49025</v>
      </c>
      <c r="C43" s="13">
        <f t="shared" si="33"/>
        <v>3298179</v>
      </c>
      <c r="D43" s="13">
        <f t="shared" si="33"/>
        <v>97699</v>
      </c>
      <c r="E43" s="13">
        <f>E28+E33+E38</f>
        <v>0</v>
      </c>
      <c r="F43" s="13">
        <f t="shared" ref="F43" si="34">F28+F33+F38</f>
        <v>73162</v>
      </c>
      <c r="G43" s="13">
        <f t="shared" ref="G43:I43" si="35">G28+G33+G38</f>
        <v>225019</v>
      </c>
      <c r="H43" s="13">
        <f t="shared" ref="H43" si="36">H28+H33+H38</f>
        <v>0</v>
      </c>
      <c r="I43" s="13">
        <f t="shared" si="35"/>
        <v>536448</v>
      </c>
      <c r="J43" s="13">
        <f t="shared" si="33"/>
        <v>409669</v>
      </c>
      <c r="K43" s="18">
        <f>SUM(B43:J43)</f>
        <v>4689201</v>
      </c>
    </row>
    <row r="44" spans="1:11" x14ac:dyDescent="0.2">
      <c r="A44" s="47" t="s">
        <v>38</v>
      </c>
      <c r="B44" s="7">
        <f t="shared" si="33"/>
        <v>53156</v>
      </c>
      <c r="C44" s="7">
        <f t="shared" si="33"/>
        <v>3214283</v>
      </c>
      <c r="D44" s="7">
        <f t="shared" si="33"/>
        <v>78408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715470</v>
      </c>
      <c r="K44" s="18">
        <f>SUM(B44:J44)</f>
        <v>4061317</v>
      </c>
    </row>
    <row r="45" spans="1:11" ht="15.75" thickBot="1" x14ac:dyDescent="0.3">
      <c r="A45" s="48" t="s">
        <v>46</v>
      </c>
      <c r="B45" s="250">
        <f t="shared" ref="B45:J45" si="40">SUM(B43:B44)</f>
        <v>102181</v>
      </c>
      <c r="C45" s="250">
        <f t="shared" si="40"/>
        <v>6512462</v>
      </c>
      <c r="D45" s="250">
        <f t="shared" si="40"/>
        <v>176107</v>
      </c>
      <c r="E45" s="250">
        <f t="shared" si="40"/>
        <v>0</v>
      </c>
      <c r="F45" s="250">
        <f t="shared" ref="F45" si="41">SUM(F43:F44)</f>
        <v>73162</v>
      </c>
      <c r="G45" s="250">
        <f t="shared" ref="G45:I45" si="42">SUM(G43:G44)</f>
        <v>225019</v>
      </c>
      <c r="H45" s="250">
        <f t="shared" ref="H45" si="43">SUM(H43:H44)</f>
        <v>0</v>
      </c>
      <c r="I45" s="250">
        <f t="shared" si="42"/>
        <v>536448</v>
      </c>
      <c r="J45" s="250">
        <f t="shared" si="40"/>
        <v>1125139</v>
      </c>
      <c r="K45" s="251">
        <f>SUM(B45:J45)</f>
        <v>8750518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124</v>
      </c>
      <c r="C47" s="276">
        <f>[3]Delta!$GJ$70+[3]Delta!$GJ$73</f>
        <v>455617</v>
      </c>
      <c r="D47" s="264"/>
      <c r="E47" s="264"/>
      <c r="F47" s="264"/>
      <c r="G47" s="264"/>
      <c r="H47" s="264"/>
      <c r="I47" s="264"/>
      <c r="J47" s="264"/>
      <c r="K47" s="265">
        <f>SUM(B47:J47)</f>
        <v>455617</v>
      </c>
    </row>
    <row r="48" spans="1:11" hidden="1" x14ac:dyDescent="0.2">
      <c r="A48" s="323" t="s">
        <v>125</v>
      </c>
      <c r="C48" s="276">
        <f>[3]Delta!$GJ$71+[3]Delta!$GJ$74</f>
        <v>457770</v>
      </c>
      <c r="D48" s="264"/>
      <c r="E48" s="264"/>
      <c r="F48" s="264"/>
      <c r="G48" s="264"/>
      <c r="H48" s="264"/>
      <c r="I48" s="264"/>
      <c r="J48" s="264"/>
      <c r="K48" s="265">
        <f>SUM(B48:J48)</f>
        <v>457770</v>
      </c>
    </row>
    <row r="49" spans="1:11" hidden="1" x14ac:dyDescent="0.2">
      <c r="A49" s="324" t="s">
        <v>126</v>
      </c>
      <c r="C49" s="277">
        <f>SUM(C47:C48)</f>
        <v>913387</v>
      </c>
      <c r="K49" s="265">
        <f>SUM(B49:J49)</f>
        <v>913387</v>
      </c>
    </row>
    <row r="50" spans="1:11" x14ac:dyDescent="0.2">
      <c r="A50" s="322" t="s">
        <v>124</v>
      </c>
      <c r="B50" s="333"/>
      <c r="C50" s="279">
        <f>[3]Delta!$GJ$70+[3]Delta!$GJ$73</f>
        <v>455617</v>
      </c>
      <c r="D50" s="333"/>
      <c r="E50" s="279">
        <f>[3]Spirit!$GJ$70+[3]Spirit!$GJ$73</f>
        <v>0</v>
      </c>
      <c r="F50" s="333"/>
      <c r="G50" s="333"/>
      <c r="H50" s="333"/>
      <c r="I50" s="333"/>
      <c r="J50" s="278">
        <f>'Other Major Airline Stats'!J48</f>
        <v>168614</v>
      </c>
      <c r="K50" s="268">
        <f>SUM(B50:J50)</f>
        <v>624231</v>
      </c>
    </row>
    <row r="51" spans="1:11" x14ac:dyDescent="0.2">
      <c r="A51" s="335" t="s">
        <v>125</v>
      </c>
      <c r="B51" s="333"/>
      <c r="C51" s="279">
        <f>[3]Delta!$GJ$71+[3]Delta!$GJ$74</f>
        <v>457770</v>
      </c>
      <c r="D51" s="333"/>
      <c r="E51" s="279">
        <f>[3]Spirit!$GJ$71+[3]Spirit!$GJ$74</f>
        <v>0</v>
      </c>
      <c r="F51" s="333"/>
      <c r="G51" s="333"/>
      <c r="H51" s="333"/>
      <c r="I51" s="333"/>
      <c r="J51" s="278">
        <f>+'Other Major Airline Stats'!J49</f>
        <v>357</v>
      </c>
      <c r="K51" s="268">
        <f>SUM(B51:J51)</f>
        <v>458127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H17" sqref="H17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43709</v>
      </c>
      <c r="B2" s="373" t="s">
        <v>47</v>
      </c>
      <c r="C2" s="445" t="s">
        <v>184</v>
      </c>
      <c r="D2" s="445" t="s">
        <v>225</v>
      </c>
      <c r="E2" s="445" t="s">
        <v>185</v>
      </c>
      <c r="F2" s="446" t="s">
        <v>48</v>
      </c>
      <c r="G2" s="445" t="s">
        <v>132</v>
      </c>
      <c r="H2" s="445" t="s">
        <v>49</v>
      </c>
      <c r="I2" s="445" t="s">
        <v>131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[3]Frontier!$GJ$22</f>
        <v>21921</v>
      </c>
      <c r="C5" s="97">
        <f>'[3]Air Choice One'!$GJ$22</f>
        <v>453</v>
      </c>
      <c r="D5" s="97">
        <f>'[3]Aer Lingus'!$GJ$22+'[3]Aer Lingus'!$GJ$32</f>
        <v>4042</v>
      </c>
      <c r="E5" s="97">
        <f>'[3]Boutique Air'!$GJ$22</f>
        <v>485</v>
      </c>
      <c r="F5" s="97">
        <f>[3]Icelandair!$GJ$32</f>
        <v>5061</v>
      </c>
      <c r="G5" s="97">
        <f>[3]Southwest!$GJ$22</f>
        <v>75003</v>
      </c>
      <c r="H5" s="97">
        <f>'[3]Sun Country'!$GJ$22+'[3]Sun Country'!$GJ$32</f>
        <v>92385</v>
      </c>
      <c r="I5" s="97">
        <f>[3]Alaska!$GJ$22</f>
        <v>14240</v>
      </c>
      <c r="J5" s="120">
        <f>SUM(B5:I5)</f>
        <v>213590</v>
      </c>
      <c r="L5" s="444"/>
      <c r="M5" s="444"/>
      <c r="N5" s="444"/>
      <c r="O5" s="444"/>
      <c r="P5" s="444"/>
      <c r="Q5" s="444"/>
      <c r="R5" s="444"/>
      <c r="S5" s="444"/>
      <c r="T5" s="444"/>
    </row>
    <row r="6" spans="1:20" x14ac:dyDescent="0.2">
      <c r="A6" s="47" t="s">
        <v>31</v>
      </c>
      <c r="B6" s="97">
        <f>[3]Frontier!$GJ$23</f>
        <v>22351</v>
      </c>
      <c r="C6" s="97">
        <f>'[3]Air Choice One'!$GJ$23</f>
        <v>437</v>
      </c>
      <c r="D6" s="97">
        <f>'[3]Aer Lingus'!$GJ$23+'[3]Aer Lingus'!$GJ$33</f>
        <v>4572</v>
      </c>
      <c r="E6" s="97">
        <f>'[3]Boutique Air'!$GJ$23</f>
        <v>436</v>
      </c>
      <c r="F6" s="97">
        <f>[3]Icelandair!$GJ$33</f>
        <v>5041</v>
      </c>
      <c r="G6" s="97">
        <f>[3]Southwest!$GJ$23</f>
        <v>75323</v>
      </c>
      <c r="H6" s="97">
        <f>'[3]Sun Country'!$GJ$23+'[3]Sun Country'!$GJ$33</f>
        <v>93648</v>
      </c>
      <c r="I6" s="97">
        <f>[3]Alaska!$GJ$23</f>
        <v>13300</v>
      </c>
      <c r="J6" s="120">
        <f>SUM(B6:I6)</f>
        <v>215108</v>
      </c>
    </row>
    <row r="7" spans="1:20" ht="15" x14ac:dyDescent="0.25">
      <c r="A7" s="45" t="s">
        <v>7</v>
      </c>
      <c r="B7" s="128">
        <f t="shared" ref="B7:I7" si="0">SUM(B5:B6)</f>
        <v>44272</v>
      </c>
      <c r="C7" s="128">
        <f t="shared" ref="C7:E7" si="1">SUM(C5:C6)</f>
        <v>890</v>
      </c>
      <c r="D7" s="128">
        <f>SUM(D5:D6)</f>
        <v>8614</v>
      </c>
      <c r="E7" s="128">
        <f t="shared" si="1"/>
        <v>921</v>
      </c>
      <c r="F7" s="128">
        <f t="shared" si="0"/>
        <v>10102</v>
      </c>
      <c r="G7" s="128">
        <f t="shared" si="0"/>
        <v>150326</v>
      </c>
      <c r="H7" s="128">
        <f>SUM(H5:H6)</f>
        <v>186033</v>
      </c>
      <c r="I7" s="128">
        <f t="shared" si="0"/>
        <v>27540</v>
      </c>
      <c r="J7" s="129">
        <f>SUM(B7:I7)</f>
        <v>428698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[3]Frontier!$GJ$27</f>
        <v>139</v>
      </c>
      <c r="C10" s="127">
        <f>'[3]Air Choice One'!$GJ$27</f>
        <v>0</v>
      </c>
      <c r="D10" s="127">
        <f>'[3]Aer Lingus'!$GJ$27+'[3]Aer Lingus'!$GJ$37</f>
        <v>35</v>
      </c>
      <c r="E10" s="127">
        <f>'[3]Boutique Air'!$GJ$27</f>
        <v>0</v>
      </c>
      <c r="F10" s="127">
        <f>[3]Icelandair!$GJ$37</f>
        <v>50</v>
      </c>
      <c r="G10" s="127">
        <f>[3]Southwest!$GJ$27</f>
        <v>1625</v>
      </c>
      <c r="H10" s="127">
        <f>'[3]Sun Country'!$GJ$27+'[3]Sun Country'!$GJ$37</f>
        <v>1541</v>
      </c>
      <c r="I10" s="127">
        <f>[3]Alaska!$GJ$27</f>
        <v>438</v>
      </c>
      <c r="J10" s="120">
        <f>SUM(B10:I10)</f>
        <v>3828</v>
      </c>
    </row>
    <row r="11" spans="1:20" x14ac:dyDescent="0.2">
      <c r="A11" s="47" t="s">
        <v>33</v>
      </c>
      <c r="B11" s="130">
        <f>[3]Frontier!$GJ$28</f>
        <v>131</v>
      </c>
      <c r="C11" s="130">
        <f>'[3]Air Choice One'!$GJ$28</f>
        <v>0</v>
      </c>
      <c r="D11" s="130">
        <f>'[3]Aer Lingus'!$GJ$28+'[3]Aer Lingus'!$GJ$38</f>
        <v>12</v>
      </c>
      <c r="E11" s="130">
        <f>'[3]Boutique Air'!$GJ$28</f>
        <v>0</v>
      </c>
      <c r="F11" s="130">
        <f>[3]Icelandair!$GJ$38</f>
        <v>57</v>
      </c>
      <c r="G11" s="130">
        <f>[3]Southwest!$GJ$28</f>
        <v>1806</v>
      </c>
      <c r="H11" s="130">
        <f>'[3]Sun Country'!$GJ$28+'[3]Sun Country'!$GJ$38</f>
        <v>1445</v>
      </c>
      <c r="I11" s="130">
        <f>[3]Alaska!$GJ$28</f>
        <v>457</v>
      </c>
      <c r="J11" s="120">
        <f>SUM(B11:I11)</f>
        <v>3908</v>
      </c>
    </row>
    <row r="12" spans="1:20" ht="15.75" thickBot="1" x14ac:dyDescent="0.3">
      <c r="A12" s="48" t="s">
        <v>34</v>
      </c>
      <c r="B12" s="123">
        <f t="shared" ref="B12:I12" si="2">SUM(B10:B11)</f>
        <v>270</v>
      </c>
      <c r="C12" s="123">
        <f t="shared" ref="C12:E12" si="3">SUM(C10:C11)</f>
        <v>0</v>
      </c>
      <c r="D12" s="123">
        <f>SUM(D10:D11)</f>
        <v>47</v>
      </c>
      <c r="E12" s="123">
        <f t="shared" si="3"/>
        <v>0</v>
      </c>
      <c r="F12" s="123">
        <f t="shared" si="2"/>
        <v>107</v>
      </c>
      <c r="G12" s="123">
        <f t="shared" si="2"/>
        <v>3431</v>
      </c>
      <c r="H12" s="123">
        <f>SUM(H10:H11)</f>
        <v>2986</v>
      </c>
      <c r="I12" s="123">
        <f t="shared" si="2"/>
        <v>895</v>
      </c>
      <c r="J12" s="131">
        <f>SUM(B12:I12)</f>
        <v>7736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[3]Frontier!$GJ$4</f>
        <v>165</v>
      </c>
      <c r="C16" s="87">
        <f>'[3]Air Choice One'!$GJ$4</f>
        <v>102</v>
      </c>
      <c r="D16" s="97">
        <f>'[3]Aer Lingus'!$GJ$4+'[3]Aer Lingus'!$GJ$15</f>
        <v>30</v>
      </c>
      <c r="E16" s="87">
        <f>'[3]Boutique Air'!$GJ$4</f>
        <v>82</v>
      </c>
      <c r="F16" s="97">
        <f>[3]Icelandair!$GJ$15</f>
        <v>30</v>
      </c>
      <c r="G16" s="87">
        <f>[3]Southwest!$GJ$4</f>
        <v>632</v>
      </c>
      <c r="H16" s="97">
        <f>'[3]Sun Country'!$GJ$4+'[3]Sun Country'!$GJ$15</f>
        <v>662</v>
      </c>
      <c r="I16" s="97">
        <f>[3]Alaska!$GJ$4</f>
        <v>116</v>
      </c>
      <c r="J16" s="120">
        <f>SUM(B16:I16)</f>
        <v>1819</v>
      </c>
    </row>
    <row r="17" spans="1:257" x14ac:dyDescent="0.2">
      <c r="A17" s="47" t="s">
        <v>23</v>
      </c>
      <c r="B17" s="97">
        <f>[3]Frontier!$GJ$5</f>
        <v>165</v>
      </c>
      <c r="C17" s="87">
        <f>'[3]Air Choice One'!$GJ$5</f>
        <v>102</v>
      </c>
      <c r="D17" s="97">
        <f>'[3]Aer Lingus'!$GJ$5+'[3]Aer Lingus'!$GJ$16</f>
        <v>30</v>
      </c>
      <c r="E17" s="87">
        <f>'[3]Boutique Air'!$GJ$5</f>
        <v>82</v>
      </c>
      <c r="F17" s="97">
        <f>[3]Icelandair!$GJ$16</f>
        <v>30</v>
      </c>
      <c r="G17" s="87">
        <f>[3]Southwest!$GJ$5</f>
        <v>632</v>
      </c>
      <c r="H17" s="97">
        <f>'[3]Sun Country'!$GJ$5+'[3]Sun Country'!$GJ$16</f>
        <v>655</v>
      </c>
      <c r="I17" s="97">
        <f>[3]Alaska!$GJ$5</f>
        <v>116</v>
      </c>
      <c r="J17" s="120">
        <f>SUM(B17:I17)</f>
        <v>1812</v>
      </c>
    </row>
    <row r="18" spans="1:257" x14ac:dyDescent="0.2">
      <c r="A18" s="51" t="s">
        <v>24</v>
      </c>
      <c r="B18" s="121">
        <f t="shared" ref="B18:I18" si="4">SUM(B16:B17)</f>
        <v>330</v>
      </c>
      <c r="C18" s="121">
        <f t="shared" ref="C18:E18" si="5">SUM(C16:C17)</f>
        <v>204</v>
      </c>
      <c r="D18" s="121">
        <f t="shared" si="5"/>
        <v>60</v>
      </c>
      <c r="E18" s="121">
        <f t="shared" si="5"/>
        <v>164</v>
      </c>
      <c r="F18" s="121">
        <f t="shared" si="4"/>
        <v>60</v>
      </c>
      <c r="G18" s="121">
        <f t="shared" si="4"/>
        <v>1264</v>
      </c>
      <c r="H18" s="121">
        <f t="shared" si="4"/>
        <v>1317</v>
      </c>
      <c r="I18" s="121">
        <f t="shared" si="4"/>
        <v>232</v>
      </c>
      <c r="J18" s="122">
        <f>SUM(B18:I18)</f>
        <v>3631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[3]Frontier!$GJ$8</f>
        <v>0</v>
      </c>
      <c r="C20" s="97">
        <f>'[3]Air Choice One'!$GJ$8</f>
        <v>0</v>
      </c>
      <c r="D20" s="97">
        <f>'[3]Aer Lingus'!$GJ$8</f>
        <v>0</v>
      </c>
      <c r="E20" s="97">
        <f>'[3]Boutique Air'!$GJ$8</f>
        <v>0</v>
      </c>
      <c r="F20" s="97">
        <f>[3]Icelandair!$GJ$8</f>
        <v>0</v>
      </c>
      <c r="G20" s="97">
        <f>[3]Southwest!$GJ$8</f>
        <v>0</v>
      </c>
      <c r="H20" s="97">
        <f>'[3]Sun Country'!$GJ$8</f>
        <v>101</v>
      </c>
      <c r="I20" s="97">
        <f>[3]Alaska!$GJ$8</f>
        <v>1</v>
      </c>
      <c r="J20" s="120">
        <f>SUM(B20:I20)</f>
        <v>102</v>
      </c>
    </row>
    <row r="21" spans="1:257" x14ac:dyDescent="0.2">
      <c r="A21" s="47" t="s">
        <v>26</v>
      </c>
      <c r="B21" s="97">
        <f>[3]Frontier!$GJ$9</f>
        <v>0</v>
      </c>
      <c r="C21" s="97">
        <f>'[3]Air Choice One'!$GJ$9</f>
        <v>0</v>
      </c>
      <c r="D21" s="97">
        <f>'[3]Aer Lingus'!$GJ$9</f>
        <v>0</v>
      </c>
      <c r="E21" s="97">
        <f>'[3]Boutique Air'!$GJ$9</f>
        <v>0</v>
      </c>
      <c r="F21" s="97">
        <f>[3]Icelandair!$GJ$9</f>
        <v>0</v>
      </c>
      <c r="G21" s="97">
        <f>[3]Southwest!$GJ$9</f>
        <v>0</v>
      </c>
      <c r="H21" s="97">
        <f>'[3]Sun Country'!$GJ$9</f>
        <v>101</v>
      </c>
      <c r="I21" s="97">
        <f>[3]Alaska!$GJ$9</f>
        <v>1</v>
      </c>
      <c r="J21" s="120">
        <f>SUM(B21:I21)</f>
        <v>102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202</v>
      </c>
      <c r="I22" s="121">
        <f t="shared" si="6"/>
        <v>2</v>
      </c>
      <c r="J22" s="122">
        <f>SUM(B22:I22)</f>
        <v>204</v>
      </c>
    </row>
    <row r="23" spans="1:257" ht="15.75" thickBot="1" x14ac:dyDescent="0.3">
      <c r="A23" s="48" t="s">
        <v>28</v>
      </c>
      <c r="B23" s="123">
        <f t="shared" ref="B23:I23" si="8">B22+B18</f>
        <v>330</v>
      </c>
      <c r="C23" s="123">
        <f t="shared" ref="C23:E23" si="9">C22+C18</f>
        <v>204</v>
      </c>
      <c r="D23" s="123">
        <f t="shared" si="9"/>
        <v>60</v>
      </c>
      <c r="E23" s="123">
        <f t="shared" si="9"/>
        <v>164</v>
      </c>
      <c r="F23" s="123">
        <f t="shared" si="8"/>
        <v>60</v>
      </c>
      <c r="G23" s="123">
        <f t="shared" si="8"/>
        <v>1264</v>
      </c>
      <c r="H23" s="123">
        <f t="shared" si="8"/>
        <v>1519</v>
      </c>
      <c r="I23" s="123">
        <f t="shared" si="8"/>
        <v>234</v>
      </c>
      <c r="J23" s="124">
        <f>SUM(B23:I23)</f>
        <v>3835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[3]Frontier!$GJ$47</f>
        <v>0</v>
      </c>
      <c r="C28" s="97">
        <f>'[3]Air Choice One'!$GJ$47</f>
        <v>0</v>
      </c>
      <c r="D28" s="97">
        <f>'[3]Aer Lingus'!$GJ$47</f>
        <v>0</v>
      </c>
      <c r="E28" s="97">
        <f>'[3]Boutique Air'!$GJ$47</f>
        <v>0</v>
      </c>
      <c r="F28" s="97">
        <f>[3]Icelandair!$GJ$47</f>
        <v>4590</v>
      </c>
      <c r="G28" s="97">
        <f>[3]Southwest!$GJ$47</f>
        <v>219647</v>
      </c>
      <c r="H28" s="97">
        <f>'[3]Sun Country'!$GJ$47</f>
        <v>77053</v>
      </c>
      <c r="I28" s="97">
        <f>[3]Alaska!$GJ$47</f>
        <v>34493</v>
      </c>
      <c r="J28" s="120">
        <f>SUM(B28:I28)</f>
        <v>335783</v>
      </c>
    </row>
    <row r="29" spans="1:257" x14ac:dyDescent="0.2">
      <c r="A29" s="47" t="s">
        <v>38</v>
      </c>
      <c r="B29" s="97">
        <f>[3]Frontier!$GJ$48</f>
        <v>0</v>
      </c>
      <c r="C29" s="97">
        <f>'[3]Air Choice One'!$GJ$48</f>
        <v>0</v>
      </c>
      <c r="D29" s="97">
        <f>'[3]Aer Lingus'!$GJ$48</f>
        <v>0</v>
      </c>
      <c r="E29" s="97">
        <f>'[3]Boutique Air'!$GJ$48</f>
        <v>0</v>
      </c>
      <c r="F29" s="97">
        <f>[3]Icelandair!$GJ$48</f>
        <v>0</v>
      </c>
      <c r="G29" s="97">
        <f>[3]Southwest!$GJ$48</f>
        <v>0</v>
      </c>
      <c r="H29" s="97">
        <f>'[3]Sun Country'!$GJ$48</f>
        <v>399238</v>
      </c>
      <c r="I29" s="97">
        <f>[3]Alaska!$GJ$48</f>
        <v>127</v>
      </c>
      <c r="J29" s="120">
        <f>SUM(B29:I29)</f>
        <v>399365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0</v>
      </c>
      <c r="E30" s="135">
        <f t="shared" si="11"/>
        <v>0</v>
      </c>
      <c r="F30" s="135">
        <f t="shared" si="10"/>
        <v>4590</v>
      </c>
      <c r="G30" s="135">
        <f t="shared" si="10"/>
        <v>219647</v>
      </c>
      <c r="H30" s="135">
        <f t="shared" si="10"/>
        <v>476291</v>
      </c>
      <c r="I30" s="135">
        <f t="shared" si="10"/>
        <v>34620</v>
      </c>
      <c r="J30" s="137">
        <f>SUM(B30:I30)</f>
        <v>735148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[3]Frontier!$GJ$52</f>
        <v>0</v>
      </c>
      <c r="C33" s="97">
        <f>'[3]Air Choice One'!$GJ$52</f>
        <v>0</v>
      </c>
      <c r="D33" s="97">
        <f>'[3]Aer Lingus'!$GJ$52</f>
        <v>313</v>
      </c>
      <c r="E33" s="97">
        <f>'[3]Boutique Air'!$GJ$52</f>
        <v>0</v>
      </c>
      <c r="F33" s="97">
        <f>[3]Icelandair!$GJ$52</f>
        <v>943</v>
      </c>
      <c r="G33" s="97">
        <f>[3]Southwest!$GJ$52</f>
        <v>66726</v>
      </c>
      <c r="H33" s="97">
        <f>'[3]Sun Country'!$GJ$52</f>
        <v>2396</v>
      </c>
      <c r="I33" s="97">
        <f>[3]Alaska!$GJ$52</f>
        <v>3508</v>
      </c>
      <c r="J33" s="120">
        <f>SUM(B33:I33)</f>
        <v>73886</v>
      </c>
    </row>
    <row r="34" spans="1:10" x14ac:dyDescent="0.2">
      <c r="A34" s="47" t="s">
        <v>38</v>
      </c>
      <c r="B34" s="97">
        <f>[3]Frontier!$GJ$53</f>
        <v>0</v>
      </c>
      <c r="C34" s="97">
        <f>'[3]Air Choice One'!$GJ$53</f>
        <v>0</v>
      </c>
      <c r="D34" s="97">
        <f>'[3]Aer Lingus'!$GJ$53</f>
        <v>0</v>
      </c>
      <c r="E34" s="97">
        <f>'[3]Boutique Air'!$GJ$53</f>
        <v>0</v>
      </c>
      <c r="F34" s="97">
        <f>[3]Icelandair!$GJ$53</f>
        <v>0</v>
      </c>
      <c r="G34" s="97">
        <f>[3]Southwest!$GJ$53</f>
        <v>0</v>
      </c>
      <c r="H34" s="97">
        <f>'[3]Sun Country'!$GJ$53</f>
        <v>315999</v>
      </c>
      <c r="I34" s="97">
        <f>[3]Alaska!$GJ$53</f>
        <v>106</v>
      </c>
      <c r="J34" s="136">
        <f>SUM(B34:I34)</f>
        <v>316105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313</v>
      </c>
      <c r="E35" s="121">
        <f t="shared" si="13"/>
        <v>0</v>
      </c>
      <c r="F35" s="121">
        <f t="shared" si="12"/>
        <v>943</v>
      </c>
      <c r="G35" s="121">
        <f t="shared" si="12"/>
        <v>66726</v>
      </c>
      <c r="H35" s="121">
        <f t="shared" si="12"/>
        <v>318395</v>
      </c>
      <c r="I35" s="121">
        <f t="shared" si="12"/>
        <v>3614</v>
      </c>
      <c r="J35" s="137">
        <f>SUM(B35:I35)</f>
        <v>389991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[3]Frontier!$GJ$57</f>
        <v>0</v>
      </c>
      <c r="C38" s="127">
        <f>'[3]Air Choice One'!$GJ$57</f>
        <v>0</v>
      </c>
      <c r="D38" s="127">
        <f>'[3]Aer Lingus'!$GJ$57</f>
        <v>0</v>
      </c>
      <c r="E38" s="127">
        <f>'[3]Boutique Air'!$GJ$57</f>
        <v>0</v>
      </c>
      <c r="F38" s="127">
        <f>[3]Icelandair!$GJ$57</f>
        <v>0</v>
      </c>
      <c r="G38" s="127">
        <f>[3]Southwest!$GJ$57</f>
        <v>0</v>
      </c>
      <c r="H38" s="127">
        <f>'[3]Sun Country'!$GJ$57</f>
        <v>0</v>
      </c>
      <c r="I38" s="127">
        <f>[3]Alaska!$GJ$57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[3]Frontier!$GJ$58</f>
        <v>0</v>
      </c>
      <c r="C39" s="130">
        <f>'[3]Air Choice One'!$GJ$58</f>
        <v>0</v>
      </c>
      <c r="D39" s="130">
        <f>'[3]Aer Lingus'!$GJ$58</f>
        <v>0</v>
      </c>
      <c r="E39" s="130">
        <f>'[3]Boutique Air'!$GJ$58</f>
        <v>0</v>
      </c>
      <c r="F39" s="130">
        <f>[3]Icelandair!$GJ$58</f>
        <v>0</v>
      </c>
      <c r="G39" s="130">
        <f>[3]Southwest!$GJ$58</f>
        <v>0</v>
      </c>
      <c r="H39" s="130">
        <f>'[3]Sun Country'!$GJ$58</f>
        <v>0</v>
      </c>
      <c r="I39" s="130">
        <f>[3]Alaska!$GJ$58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313</v>
      </c>
      <c r="E43" s="127">
        <f t="shared" si="17"/>
        <v>0</v>
      </c>
      <c r="F43" s="127">
        <f t="shared" si="16"/>
        <v>5533</v>
      </c>
      <c r="G43" s="127">
        <f t="shared" si="16"/>
        <v>286373</v>
      </c>
      <c r="H43" s="127">
        <f t="shared" si="16"/>
        <v>79449</v>
      </c>
      <c r="I43" s="127">
        <f t="shared" si="16"/>
        <v>38001</v>
      </c>
      <c r="J43" s="120">
        <f>SUM(B43:I43)</f>
        <v>409669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715237</v>
      </c>
      <c r="I44" s="130">
        <f t="shared" si="18"/>
        <v>233</v>
      </c>
      <c r="J44" s="120">
        <f>SUM(B44:I44)</f>
        <v>715470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313</v>
      </c>
      <c r="E45" s="139">
        <f t="shared" si="21"/>
        <v>0</v>
      </c>
      <c r="F45" s="139">
        <f t="shared" si="20"/>
        <v>5533</v>
      </c>
      <c r="G45" s="139">
        <f t="shared" si="20"/>
        <v>286373</v>
      </c>
      <c r="H45" s="139">
        <f t="shared" si="20"/>
        <v>794686</v>
      </c>
      <c r="I45" s="139">
        <f t="shared" si="20"/>
        <v>38234</v>
      </c>
      <c r="J45" s="140">
        <f>SUM(B45:I45)</f>
        <v>1125139</v>
      </c>
    </row>
    <row r="48" spans="1:10" x14ac:dyDescent="0.2">
      <c r="A48" s="322" t="s">
        <v>124</v>
      </c>
      <c r="B48" s="333"/>
      <c r="C48" s="333"/>
      <c r="D48" s="333"/>
      <c r="E48" s="333"/>
      <c r="G48" s="279">
        <f>[3]Southwest!$GJ$70+[3]Southwest!$GJ$73</f>
        <v>74966</v>
      </c>
      <c r="H48" s="279">
        <f>'[3]Sun Country'!$GJ$70+'[3]Sun Country'!$GJ$73</f>
        <v>93648</v>
      </c>
      <c r="I48" s="333"/>
      <c r="J48" s="268">
        <f>SUM(B48:I48)</f>
        <v>168614</v>
      </c>
    </row>
    <row r="49" spans="1:10" x14ac:dyDescent="0.2">
      <c r="A49" s="335" t="s">
        <v>125</v>
      </c>
      <c r="B49" s="333"/>
      <c r="C49" s="333"/>
      <c r="D49" s="333"/>
      <c r="E49" s="333"/>
      <c r="G49" s="279">
        <f>[3]Southwest!$GJ$71+[3]Southwest!$GJ$74</f>
        <v>357</v>
      </c>
      <c r="H49" s="279">
        <f>'[3]Sun Country'!$GJ$71+'[3]Sun Country'!$GJ$74</f>
        <v>0</v>
      </c>
      <c r="I49" s="333"/>
      <c r="J49" s="268">
        <f>SUM(B49:I49)</f>
        <v>357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September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85" zoomScalePageLayoutView="70" workbookViewId="0">
      <selection activeCell="B15" sqref="B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43709</v>
      </c>
      <c r="B2" s="371" t="s">
        <v>162</v>
      </c>
      <c r="C2" s="371" t="s">
        <v>165</v>
      </c>
      <c r="D2" s="371" t="s">
        <v>174</v>
      </c>
      <c r="E2" s="371" t="s">
        <v>173</v>
      </c>
      <c r="F2" s="371" t="s">
        <v>175</v>
      </c>
      <c r="G2" s="371" t="s">
        <v>211</v>
      </c>
      <c r="H2" s="371" t="s">
        <v>179</v>
      </c>
      <c r="I2" s="371" t="s">
        <v>186</v>
      </c>
      <c r="J2" s="371" t="s">
        <v>207</v>
      </c>
      <c r="K2" s="371" t="s">
        <v>178</v>
      </c>
      <c r="L2" s="12" t="s">
        <v>118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[3]Pinnacle!$GJ$22+[3]Pinnacle!$GJ$32</f>
        <v>67014</v>
      </c>
      <c r="C5" s="89">
        <f>[3]MESA_UA!$GJ$22</f>
        <v>6397</v>
      </c>
      <c r="D5" s="97">
        <f>'[3]Sky West'!$GJ$22+'[3]Sky West'!$GJ$32</f>
        <v>165806</v>
      </c>
      <c r="E5" s="97">
        <f>'[3]Sky West_UA'!$GJ$22</f>
        <v>3466</v>
      </c>
      <c r="F5" s="97">
        <f>'[3]Sky West_AS'!$GJ$22</f>
        <v>2103</v>
      </c>
      <c r="G5" s="97">
        <f>'[3]Sky West_AA'!$GJ$22</f>
        <v>0</v>
      </c>
      <c r="H5" s="97">
        <f>[3]Republic!$GJ$22</f>
        <v>11351</v>
      </c>
      <c r="I5" s="97">
        <f>[3]Republic_UA!$GJ$22</f>
        <v>11702</v>
      </c>
      <c r="J5" s="97">
        <f>'[3]Sky Regional'!$GJ$32</f>
        <v>6082</v>
      </c>
      <c r="K5" s="97">
        <f>'[3]American Eagle'!$GJ$22</f>
        <v>256</v>
      </c>
      <c r="L5" s="97">
        <f>'Other Regional'!J5</f>
        <v>8237</v>
      </c>
      <c r="M5" s="90">
        <f>SUM(B5:L5)</f>
        <v>282414</v>
      </c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</row>
    <row r="6" spans="1:38" s="6" customFormat="1" x14ac:dyDescent="0.2">
      <c r="A6" s="47" t="s">
        <v>31</v>
      </c>
      <c r="B6" s="89">
        <f>[3]Pinnacle!$GJ$23+[3]Pinnacle!$GJ$33</f>
        <v>66879</v>
      </c>
      <c r="C6" s="89">
        <f>[3]MESA_UA!$GJ$23</f>
        <v>6775</v>
      </c>
      <c r="D6" s="97">
        <f>'[3]Sky West'!$GJ$23+'[3]Sky West'!$GJ$33</f>
        <v>159317</v>
      </c>
      <c r="E6" s="97">
        <f>'[3]Sky West_UA'!$GJ$23</f>
        <v>3599</v>
      </c>
      <c r="F6" s="97">
        <f>'[3]Sky West_AS'!$GJ$23</f>
        <v>2103</v>
      </c>
      <c r="G6" s="97">
        <f>'[3]Sky West_AA'!$GJ$23</f>
        <v>0</v>
      </c>
      <c r="H6" s="97">
        <f>[3]Republic!$GJ$23</f>
        <v>11914</v>
      </c>
      <c r="I6" s="97">
        <f>[3]Republic_UA!$GJ$23</f>
        <v>11876</v>
      </c>
      <c r="J6" s="97">
        <f>'[3]Sky Regional'!$GJ$33</f>
        <v>6175</v>
      </c>
      <c r="K6" s="97">
        <f>'[3]American Eagle'!$GJ$23</f>
        <v>274</v>
      </c>
      <c r="L6" s="97">
        <f>'Other Regional'!J6</f>
        <v>7949</v>
      </c>
      <c r="M6" s="94">
        <f>SUM(B6:L6)</f>
        <v>276861</v>
      </c>
    </row>
    <row r="7" spans="1:38" ht="15" thickBot="1" x14ac:dyDescent="0.25">
      <c r="A7" s="56" t="s">
        <v>7</v>
      </c>
      <c r="B7" s="107">
        <f>SUM(B5:B6)</f>
        <v>133893</v>
      </c>
      <c r="C7" s="107">
        <f t="shared" ref="C7:L7" si="0">SUM(C5:C6)</f>
        <v>13172</v>
      </c>
      <c r="D7" s="107">
        <f t="shared" si="0"/>
        <v>325123</v>
      </c>
      <c r="E7" s="107">
        <f t="shared" si="0"/>
        <v>7065</v>
      </c>
      <c r="F7" s="107">
        <f t="shared" ref="F7:G7" si="1">SUM(F5:F6)</f>
        <v>4206</v>
      </c>
      <c r="G7" s="107">
        <f t="shared" si="1"/>
        <v>0</v>
      </c>
      <c r="H7" s="107">
        <f t="shared" si="0"/>
        <v>23265</v>
      </c>
      <c r="I7" s="107">
        <f t="shared" si="0"/>
        <v>23578</v>
      </c>
      <c r="J7" s="107">
        <f t="shared" si="0"/>
        <v>12257</v>
      </c>
      <c r="K7" s="107">
        <f t="shared" si="0"/>
        <v>530</v>
      </c>
      <c r="L7" s="107">
        <f t="shared" si="0"/>
        <v>16186</v>
      </c>
      <c r="M7" s="108">
        <f>SUM(B7:L7)</f>
        <v>559275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[3]Pinnacle!$GJ$27+[3]Pinnacle!$GJ$37</f>
        <v>1945</v>
      </c>
      <c r="C10" s="89">
        <f>[3]MESA_UA!$GJ$27</f>
        <v>250</v>
      </c>
      <c r="D10" s="97">
        <f>'[3]Sky West'!$GJ$27+'[3]Sky West'!$GJ$37</f>
        <v>5053</v>
      </c>
      <c r="E10" s="97">
        <f>'[3]Sky West_UA'!$GJ$27</f>
        <v>146</v>
      </c>
      <c r="F10" s="97">
        <f>'[3]Sky West_AS'!$GJ$27</f>
        <v>68</v>
      </c>
      <c r="G10" s="97">
        <f>'[3]Sky West_AA'!$GJ$27</f>
        <v>0</v>
      </c>
      <c r="H10" s="97">
        <f>[3]Republic!$GJ$27</f>
        <v>455</v>
      </c>
      <c r="I10" s="97">
        <f>[3]Republic_UA!$GJ$27</f>
        <v>388</v>
      </c>
      <c r="J10" s="97">
        <f>'[3]Sky Regional'!$GJ$37</f>
        <v>72</v>
      </c>
      <c r="K10" s="97">
        <f>'[3]American Eagle'!$GJ$27</f>
        <v>21</v>
      </c>
      <c r="L10" s="97">
        <f>'Other Regional'!J10</f>
        <v>226</v>
      </c>
      <c r="M10" s="90">
        <f>SUM(B10:L10)</f>
        <v>8624</v>
      </c>
    </row>
    <row r="11" spans="1:38" x14ac:dyDescent="0.2">
      <c r="A11" s="47" t="s">
        <v>33</v>
      </c>
      <c r="B11" s="89">
        <f>[3]Pinnacle!$GJ$28+[3]Pinnacle!$GJ$38</f>
        <v>1848</v>
      </c>
      <c r="C11" s="89">
        <f>[3]MESA_UA!$GJ$28</f>
        <v>190</v>
      </c>
      <c r="D11" s="97">
        <f>'[3]Sky West'!$GJ$28+'[3]Sky West'!$GJ$38</f>
        <v>4955</v>
      </c>
      <c r="E11" s="97">
        <f>'[3]Sky West_UA'!$GJ$28</f>
        <v>135</v>
      </c>
      <c r="F11" s="97">
        <f>'[3]Sky West_AS'!$GJ$28</f>
        <v>74</v>
      </c>
      <c r="G11" s="97">
        <f>'[3]Sky West_AA'!$GJ$28</f>
        <v>0</v>
      </c>
      <c r="H11" s="97">
        <f>[3]Republic!$GJ$28</f>
        <v>541</v>
      </c>
      <c r="I11" s="97">
        <f>[3]Republic_UA!$GJ$28</f>
        <v>356</v>
      </c>
      <c r="J11" s="97">
        <f>'[3]Sky Regional'!$GJ$38</f>
        <v>79</v>
      </c>
      <c r="K11" s="97">
        <f>'[3]American Eagle'!$GJ$28</f>
        <v>12</v>
      </c>
      <c r="L11" s="97">
        <f>'Other Regional'!J11</f>
        <v>320</v>
      </c>
      <c r="M11" s="94">
        <f>SUM(B11:L11)</f>
        <v>8510</v>
      </c>
    </row>
    <row r="12" spans="1:38" ht="15" thickBot="1" x14ac:dyDescent="0.25">
      <c r="A12" s="57" t="s">
        <v>34</v>
      </c>
      <c r="B12" s="110">
        <f t="shared" ref="B12:L12" si="2">SUM(B10:B11)</f>
        <v>3793</v>
      </c>
      <c r="C12" s="110">
        <f t="shared" si="2"/>
        <v>440</v>
      </c>
      <c r="D12" s="110">
        <f t="shared" si="2"/>
        <v>10008</v>
      </c>
      <c r="E12" s="110">
        <f t="shared" si="2"/>
        <v>281</v>
      </c>
      <c r="F12" s="110">
        <f t="shared" ref="F12:G12" si="3">SUM(F10:F11)</f>
        <v>142</v>
      </c>
      <c r="G12" s="110">
        <f t="shared" si="3"/>
        <v>0</v>
      </c>
      <c r="H12" s="110">
        <f t="shared" si="2"/>
        <v>996</v>
      </c>
      <c r="I12" s="110">
        <f t="shared" si="2"/>
        <v>744</v>
      </c>
      <c r="J12" s="110">
        <f t="shared" si="2"/>
        <v>151</v>
      </c>
      <c r="K12" s="110">
        <f t="shared" si="2"/>
        <v>33</v>
      </c>
      <c r="L12" s="110">
        <f t="shared" si="2"/>
        <v>546</v>
      </c>
      <c r="M12" s="111">
        <f>SUM(B12:L12)</f>
        <v>17134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[3]Pinnacle!$GJ$4+[3]Pinnacle!$GJ$15</f>
        <v>1135</v>
      </c>
      <c r="C15" s="88">
        <f>[3]MESA_UA!$GJ$4</f>
        <v>111</v>
      </c>
      <c r="D15" s="87">
        <f>'[3]Sky West'!$GJ$4+'[3]Sky West'!$GJ$15</f>
        <v>3537</v>
      </c>
      <c r="E15" s="87">
        <f>'[3]Sky West_UA'!$GJ$4</f>
        <v>57</v>
      </c>
      <c r="F15" s="87">
        <f>'[3]Sky West_AS'!$GJ$4</f>
        <v>30</v>
      </c>
      <c r="G15" s="87">
        <f>'[3]Sky West_AA'!$GJ$4</f>
        <v>0</v>
      </c>
      <c r="H15" s="89">
        <f>[3]Republic!$GJ$4</f>
        <v>227</v>
      </c>
      <c r="I15" s="385">
        <f>[3]Republic_UA!$GJ$4</f>
        <v>188</v>
      </c>
      <c r="J15" s="385">
        <f>'[3]Sky Regional'!$GJ$15</f>
        <v>114</v>
      </c>
      <c r="K15" s="89">
        <f>'[3]American Eagle'!$GJ$4</f>
        <v>5</v>
      </c>
      <c r="L15" s="88">
        <f>'Other Regional'!J15</f>
        <v>145</v>
      </c>
      <c r="M15" s="90">
        <f t="shared" ref="M15:M21" si="5">SUM(B15:L15)</f>
        <v>5549</v>
      </c>
    </row>
    <row r="16" spans="1:38" x14ac:dyDescent="0.2">
      <c r="A16" s="47" t="s">
        <v>54</v>
      </c>
      <c r="B16" s="7">
        <f>[3]Pinnacle!$GJ$5+[3]Pinnacle!$GJ$16</f>
        <v>1135</v>
      </c>
      <c r="C16" s="92">
        <f>[3]MESA_UA!$GJ$5</f>
        <v>111</v>
      </c>
      <c r="D16" s="91">
        <f>'[3]Sky West'!$GJ$5+'[3]Sky West'!$GJ$16</f>
        <v>3534</v>
      </c>
      <c r="E16" s="91">
        <f>'[3]Sky West_UA'!$GJ$5</f>
        <v>57</v>
      </c>
      <c r="F16" s="91">
        <f>'[3]Sky West_AS'!$GJ$5</f>
        <v>30</v>
      </c>
      <c r="G16" s="91">
        <f>'[3]Sky West_AA'!$GJ$5</f>
        <v>0</v>
      </c>
      <c r="H16" s="93">
        <f>[3]Republic!$GJ$5</f>
        <v>226</v>
      </c>
      <c r="I16" s="255">
        <f>[3]Republic_UA!$GJ$5</f>
        <v>188</v>
      </c>
      <c r="J16" s="255">
        <f>'[3]Sky Regional'!$GJ$16</f>
        <v>114</v>
      </c>
      <c r="K16" s="93">
        <f>'[3]American Eagle'!$GJ$5</f>
        <v>5</v>
      </c>
      <c r="L16" s="92">
        <f>'Other Regional'!J16</f>
        <v>144</v>
      </c>
      <c r="M16" s="94">
        <f t="shared" si="5"/>
        <v>5544</v>
      </c>
    </row>
    <row r="17" spans="1:13" x14ac:dyDescent="0.2">
      <c r="A17" s="51" t="s">
        <v>55</v>
      </c>
      <c r="B17" s="95">
        <f t="shared" ref="B17:E17" si="6">SUM(B15:B16)</f>
        <v>2270</v>
      </c>
      <c r="C17" s="95">
        <f t="shared" si="6"/>
        <v>222</v>
      </c>
      <c r="D17" s="95">
        <f t="shared" si="6"/>
        <v>7071</v>
      </c>
      <c r="E17" s="95">
        <f t="shared" si="6"/>
        <v>114</v>
      </c>
      <c r="F17" s="95">
        <f t="shared" ref="F17:G17" si="7">SUM(F15:F16)</f>
        <v>60</v>
      </c>
      <c r="G17" s="95">
        <f t="shared" si="7"/>
        <v>0</v>
      </c>
      <c r="H17" s="95">
        <f>SUM(H15:H16)</f>
        <v>453</v>
      </c>
      <c r="I17" s="95">
        <f t="shared" ref="I17:J17" si="8">SUM(I15:I16)</f>
        <v>376</v>
      </c>
      <c r="J17" s="95">
        <f t="shared" si="8"/>
        <v>228</v>
      </c>
      <c r="K17" s="95">
        <f>SUM(K15:K16)</f>
        <v>10</v>
      </c>
      <c r="L17" s="95">
        <f>SUM(L15:L16)</f>
        <v>289</v>
      </c>
      <c r="M17" s="96">
        <f t="shared" si="5"/>
        <v>11093</v>
      </c>
    </row>
    <row r="18" spans="1:13" x14ac:dyDescent="0.2">
      <c r="A18" s="47" t="s">
        <v>56</v>
      </c>
      <c r="B18" s="97">
        <f>[3]Pinnacle!$GJ$8</f>
        <v>0</v>
      </c>
      <c r="C18" s="89">
        <f>[3]MESA_UA!$GJ$8</f>
        <v>0</v>
      </c>
      <c r="D18" s="97">
        <f>'[3]Sky West'!$GJ$8</f>
        <v>0</v>
      </c>
      <c r="E18" s="97">
        <f>'[3]Sky West_UA'!$GJ$8</f>
        <v>0</v>
      </c>
      <c r="F18" s="97">
        <f>'[3]Sky West_AS'!$GJ$8</f>
        <v>0</v>
      </c>
      <c r="G18" s="97">
        <f>'[3]Sky West_AA'!$GJ$8</f>
        <v>0</v>
      </c>
      <c r="H18" s="97">
        <f>[3]Republic!$GJ$8</f>
        <v>0</v>
      </c>
      <c r="I18" s="97">
        <f>[3]Republic_UA!$GJ$8</f>
        <v>0</v>
      </c>
      <c r="J18" s="97">
        <f>'[3]Sky Regional'!$GJ$8</f>
        <v>0</v>
      </c>
      <c r="K18" s="97">
        <f>'[3]American Eagle'!$GJ$8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[3]Pinnacle!$GJ$9</f>
        <v>1</v>
      </c>
      <c r="C19" s="93">
        <f>[3]MESA_UA!$GJ$9</f>
        <v>0</v>
      </c>
      <c r="D19" s="98">
        <f>'[3]Sky West'!$GJ$9</f>
        <v>0</v>
      </c>
      <c r="E19" s="98">
        <f>'[3]Sky West_UA'!$GJ$9</f>
        <v>0</v>
      </c>
      <c r="F19" s="98">
        <f>'[3]Sky West_AS'!$GJ$9</f>
        <v>0</v>
      </c>
      <c r="G19" s="98">
        <f>'[3]Sky West_AA'!$GJ$9</f>
        <v>0</v>
      </c>
      <c r="H19" s="98">
        <f>[3]Republic!$GJ$9</f>
        <v>0</v>
      </c>
      <c r="I19" s="98">
        <f>[3]Republic_UA!$GJ$9</f>
        <v>0</v>
      </c>
      <c r="J19" s="98">
        <f>'[3]Sky Regional'!$GJ$9</f>
        <v>0</v>
      </c>
      <c r="K19" s="98">
        <f>'[3]American Eagle'!$GJ$9</f>
        <v>0</v>
      </c>
      <c r="L19" s="98">
        <f>'Other Regional'!J19</f>
        <v>1</v>
      </c>
      <c r="M19" s="94">
        <f t="shared" si="5"/>
        <v>2</v>
      </c>
    </row>
    <row r="20" spans="1:13" x14ac:dyDescent="0.2">
      <c r="A20" s="51" t="s">
        <v>58</v>
      </c>
      <c r="B20" s="95">
        <f t="shared" ref="B20:L20" si="9">SUM(B18:B19)</f>
        <v>1</v>
      </c>
      <c r="C20" s="95">
        <f t="shared" si="9"/>
        <v>0</v>
      </c>
      <c r="D20" s="95">
        <f t="shared" si="9"/>
        <v>0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1</v>
      </c>
      <c r="M20" s="96">
        <f t="shared" si="5"/>
        <v>2</v>
      </c>
    </row>
    <row r="21" spans="1:13" ht="15.75" thickBot="1" x14ac:dyDescent="0.3">
      <c r="A21" s="55" t="s">
        <v>28</v>
      </c>
      <c r="B21" s="99">
        <f t="shared" ref="B21:K21" si="11">SUM(B20,B17)</f>
        <v>2271</v>
      </c>
      <c r="C21" s="99">
        <f t="shared" si="11"/>
        <v>222</v>
      </c>
      <c r="D21" s="99">
        <f t="shared" si="11"/>
        <v>7071</v>
      </c>
      <c r="E21" s="99">
        <f t="shared" si="11"/>
        <v>114</v>
      </c>
      <c r="F21" s="99">
        <f t="shared" ref="F21:G21" si="12">SUM(F20,F17)</f>
        <v>60</v>
      </c>
      <c r="G21" s="99">
        <f t="shared" si="12"/>
        <v>0</v>
      </c>
      <c r="H21" s="99">
        <f t="shared" si="11"/>
        <v>453</v>
      </c>
      <c r="I21" s="99">
        <f t="shared" si="11"/>
        <v>376</v>
      </c>
      <c r="J21" s="99">
        <f t="shared" si="11"/>
        <v>228</v>
      </c>
      <c r="K21" s="99">
        <f t="shared" si="11"/>
        <v>10</v>
      </c>
      <c r="L21" s="99">
        <f>SUM(L20,L17)</f>
        <v>290</v>
      </c>
      <c r="M21" s="100">
        <f t="shared" si="5"/>
        <v>11095</v>
      </c>
    </row>
    <row r="22" spans="1:13" ht="13.5" thickBot="1" x14ac:dyDescent="0.25"/>
    <row r="23" spans="1:13" ht="15.75" thickTop="1" x14ac:dyDescent="0.25">
      <c r="A23" s="50" t="s">
        <v>117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[3]Pinnacle!$GJ$47</f>
        <v>0</v>
      </c>
      <c r="C25" s="89">
        <f>[3]MESA_UA!$GJ$47</f>
        <v>0</v>
      </c>
      <c r="D25" s="97">
        <f>'[3]Sky West'!$GJ$47</f>
        <v>0</v>
      </c>
      <c r="E25" s="97">
        <f>'[3]Sky West_UA'!$GJ$47</f>
        <v>0</v>
      </c>
      <c r="F25" s="97">
        <f>'[3]Sky West_AS'!$GJ$47</f>
        <v>1079</v>
      </c>
      <c r="G25" s="97">
        <f>'[3]Sky West_AA'!$GJ$47</f>
        <v>0</v>
      </c>
      <c r="H25" s="97">
        <f>[3]Republic!$GJ$47</f>
        <v>0</v>
      </c>
      <c r="I25" s="97">
        <f>[3]Republic_UA!$GJ$47</f>
        <v>0</v>
      </c>
      <c r="J25" s="97">
        <f>'[3]Sky Regional'!$GJ$47</f>
        <v>1418</v>
      </c>
      <c r="K25" s="97">
        <f>'[3]American Eagle'!$GJ$47</f>
        <v>0</v>
      </c>
      <c r="L25" s="97">
        <f>'Other Regional'!J25</f>
        <v>50</v>
      </c>
      <c r="M25" s="90">
        <f>SUM(B25:L25)</f>
        <v>2547</v>
      </c>
    </row>
    <row r="26" spans="1:13" x14ac:dyDescent="0.2">
      <c r="A26" s="47" t="s">
        <v>38</v>
      </c>
      <c r="B26" s="97">
        <f>[3]Pinnacle!$GJ$48</f>
        <v>0</v>
      </c>
      <c r="C26" s="89">
        <f>[3]MESA_UA!$GJ$48</f>
        <v>0</v>
      </c>
      <c r="D26" s="97">
        <f>'[3]Sky West'!$GJ$48</f>
        <v>0</v>
      </c>
      <c r="E26" s="97">
        <f>'[3]Sky West_UA'!$GJ$48</f>
        <v>0</v>
      </c>
      <c r="F26" s="97">
        <f>'[3]Sky West_AS'!$GJ$48</f>
        <v>0</v>
      </c>
      <c r="G26" s="97">
        <f>'[3]Sky West_AA'!$GJ$48</f>
        <v>0</v>
      </c>
      <c r="H26" s="97">
        <f>[3]Republic!$GJ$48</f>
        <v>0</v>
      </c>
      <c r="I26" s="97">
        <f>[3]Republic_UA!$GJ$48</f>
        <v>0</v>
      </c>
      <c r="J26" s="97">
        <f>'[3]Sky Regional'!$GJ$48</f>
        <v>0</v>
      </c>
      <c r="K26" s="97">
        <f>'[3]American Eagle'!$GJ$48</f>
        <v>0</v>
      </c>
      <c r="L26" s="97">
        <f>'Other Regional'!J26</f>
        <v>0</v>
      </c>
      <c r="M26" s="90">
        <f>SUM(B26:L26)</f>
        <v>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1079</v>
      </c>
      <c r="G27" s="107">
        <f t="shared" si="14"/>
        <v>0</v>
      </c>
      <c r="H27" s="107">
        <f t="shared" si="13"/>
        <v>0</v>
      </c>
      <c r="I27" s="107">
        <f t="shared" si="13"/>
        <v>0</v>
      </c>
      <c r="J27" s="107">
        <f t="shared" si="13"/>
        <v>1418</v>
      </c>
      <c r="K27" s="107">
        <f t="shared" si="13"/>
        <v>0</v>
      </c>
      <c r="L27" s="107">
        <f t="shared" si="13"/>
        <v>50</v>
      </c>
      <c r="M27" s="108">
        <f>SUM(B27:L27)</f>
        <v>2547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[3]Pinnacle!$GJ$52</f>
        <v>0</v>
      </c>
      <c r="C30" s="89">
        <f>[3]MESA_UA!$GJ$52</f>
        <v>0</v>
      </c>
      <c r="D30" s="97">
        <f>'[3]Sky West'!$GJ$52</f>
        <v>0</v>
      </c>
      <c r="E30" s="97">
        <f>'[3]Sky West_UA'!$GJ$52</f>
        <v>0</v>
      </c>
      <c r="F30" s="97">
        <f>'[3]Sky West_AS'!$GJ$52</f>
        <v>252</v>
      </c>
      <c r="G30" s="97">
        <f>'[3]Sky West_AA'!$GJ$52</f>
        <v>0</v>
      </c>
      <c r="H30" s="97">
        <f>[3]Republic!$GJ$52</f>
        <v>353</v>
      </c>
      <c r="I30" s="97">
        <f>[3]Republic_UA!$GJ$52</f>
        <v>0</v>
      </c>
      <c r="J30" s="97">
        <f>'[3]Sky Regional'!$GJ$52</f>
        <v>2688</v>
      </c>
      <c r="K30" s="97">
        <f>'[3]American Eagle'!$GJ$52</f>
        <v>0</v>
      </c>
      <c r="L30" s="97">
        <f>'Other Regional'!J30</f>
        <v>0</v>
      </c>
      <c r="M30" s="90">
        <f t="shared" ref="M30:M37" si="15">SUM(B30:L30)</f>
        <v>3293</v>
      </c>
    </row>
    <row r="31" spans="1:13" x14ac:dyDescent="0.2">
      <c r="A31" s="47" t="s">
        <v>60</v>
      </c>
      <c r="B31" s="97">
        <f>[3]Pinnacle!$GJ$53</f>
        <v>0</v>
      </c>
      <c r="C31" s="89">
        <f>[3]MESA_UA!$GJ$53</f>
        <v>0</v>
      </c>
      <c r="D31" s="97">
        <f>'[3]Sky West'!$GJ$53</f>
        <v>0</v>
      </c>
      <c r="E31" s="97">
        <f>'[3]Sky West_UA'!$GJ$53</f>
        <v>0</v>
      </c>
      <c r="F31" s="97">
        <f>'[3]Sky West_AS'!$GJ$53</f>
        <v>780</v>
      </c>
      <c r="G31" s="97">
        <f>'[3]Sky West_AA'!$GJ$53</f>
        <v>0</v>
      </c>
      <c r="H31" s="97">
        <f>[3]Republic!$GJ$53</f>
        <v>0</v>
      </c>
      <c r="I31" s="97">
        <f>[3]Republic_UA!$GJ$53</f>
        <v>0</v>
      </c>
      <c r="J31" s="97">
        <f>'[3]Sky Regional'!$GJ$53</f>
        <v>0</v>
      </c>
      <c r="K31" s="97">
        <f>'[3]American Eagle'!$GJ$53</f>
        <v>0</v>
      </c>
      <c r="L31" s="97">
        <f>'Other Regional'!J31</f>
        <v>0</v>
      </c>
      <c r="M31" s="90">
        <f t="shared" si="15"/>
        <v>780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1032</v>
      </c>
      <c r="G32" s="107">
        <f t="shared" si="17"/>
        <v>0</v>
      </c>
      <c r="H32" s="107">
        <f t="shared" si="16"/>
        <v>353</v>
      </c>
      <c r="I32" s="107">
        <f t="shared" si="16"/>
        <v>0</v>
      </c>
      <c r="J32" s="107">
        <f t="shared" si="16"/>
        <v>2688</v>
      </c>
      <c r="K32" s="107">
        <f t="shared" si="16"/>
        <v>0</v>
      </c>
      <c r="L32" s="107">
        <f>SUM(L30:L31)</f>
        <v>0</v>
      </c>
      <c r="M32" s="108">
        <f t="shared" si="15"/>
        <v>4073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[3]Pinnacle!$GJ$57</f>
        <v>0</v>
      </c>
      <c r="C35" s="89">
        <f>[3]MESA_UA!$GJ$57</f>
        <v>0</v>
      </c>
      <c r="D35" s="97">
        <f>'[3]Sky West'!$GJ$57</f>
        <v>0</v>
      </c>
      <c r="E35" s="97">
        <f>'[3]Sky West_UA'!$GJ$57</f>
        <v>0</v>
      </c>
      <c r="F35" s="97">
        <f>'[3]Sky West_AS'!$GJ$57</f>
        <v>0</v>
      </c>
      <c r="G35" s="97">
        <f>'[3]Sky West_AA'!$GJ$57</f>
        <v>0</v>
      </c>
      <c r="H35" s="97">
        <f>[3]Republic!$GJ$57</f>
        <v>0</v>
      </c>
      <c r="I35" s="97">
        <f>[3]Republic!$GJ$57</f>
        <v>0</v>
      </c>
      <c r="J35" s="97">
        <f>[3]Republic!$GJ$57</f>
        <v>0</v>
      </c>
      <c r="K35" s="97">
        <f>'[3]American Eagle'!$GJ$57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[3]Pinnacle!$GJ$58</f>
        <v>0</v>
      </c>
      <c r="C36" s="89">
        <f>[3]MESA_UA!$GJ$58</f>
        <v>0</v>
      </c>
      <c r="D36" s="97">
        <f>'[3]Sky West'!$GJ$58</f>
        <v>0</v>
      </c>
      <c r="E36" s="97">
        <f>'[3]Sky West_UA'!$GJ$58</f>
        <v>0</v>
      </c>
      <c r="F36" s="97">
        <f>'[3]Sky West_AS'!$GJ$58</f>
        <v>0</v>
      </c>
      <c r="G36" s="97">
        <f>'[3]Sky West_AA'!$GJ$58</f>
        <v>0</v>
      </c>
      <c r="H36" s="97">
        <f>[3]Republic!$GJ$58</f>
        <v>0</v>
      </c>
      <c r="I36" s="97">
        <f>[3]Republic!$GJ$58</f>
        <v>0</v>
      </c>
      <c r="J36" s="97">
        <f>[3]Republic!$GJ$58</f>
        <v>0</v>
      </c>
      <c r="K36" s="97">
        <f>'[3]American Eagle'!$GJ$58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1331</v>
      </c>
      <c r="G40" s="97">
        <f t="shared" ref="G40" si="22">SUM(G35,G30,G25)</f>
        <v>0</v>
      </c>
      <c r="H40" s="97">
        <f t="shared" si="20"/>
        <v>353</v>
      </c>
      <c r="I40" s="97">
        <f t="shared" si="20"/>
        <v>0</v>
      </c>
      <c r="J40" s="97">
        <f t="shared" si="20"/>
        <v>4106</v>
      </c>
      <c r="K40" s="97">
        <f>SUM(K35,K30,K25)</f>
        <v>0</v>
      </c>
      <c r="L40" s="97">
        <f>L35+L30+L25</f>
        <v>50</v>
      </c>
      <c r="M40" s="90">
        <f>SUM(B40:L40)</f>
        <v>5840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780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780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2111</v>
      </c>
      <c r="G42" s="110">
        <f t="shared" ref="G42" si="24">SUM(G37,G32,G27)</f>
        <v>0</v>
      </c>
      <c r="H42" s="110">
        <f t="shared" si="20"/>
        <v>353</v>
      </c>
      <c r="I42" s="110">
        <f t="shared" si="20"/>
        <v>0</v>
      </c>
      <c r="J42" s="110">
        <f t="shared" si="20"/>
        <v>4106</v>
      </c>
      <c r="K42" s="110">
        <f>SUM(K37,K32,K27)</f>
        <v>0</v>
      </c>
      <c r="L42" s="110">
        <f>SUM(L37,L32,L27)</f>
        <v>50</v>
      </c>
      <c r="M42" s="111">
        <f>SUM(B42:L42)</f>
        <v>6620</v>
      </c>
    </row>
    <row r="44" spans="1:13" x14ac:dyDescent="0.2">
      <c r="A44" s="322" t="s">
        <v>124</v>
      </c>
      <c r="B44" s="278">
        <f>[3]Pinnacle!$GJ$70+[3]Pinnacle!$GJ$73</f>
        <v>21875</v>
      </c>
      <c r="D44" s="279">
        <f>'[3]Sky West'!$GJ$70+'[3]Sky West'!$GJ$73</f>
        <v>48421</v>
      </c>
      <c r="E44" s="2"/>
      <c r="F44" s="2"/>
      <c r="G44" s="2"/>
      <c r="L44" s="279">
        <f>+'Other Regional'!J46</f>
        <v>1108</v>
      </c>
      <c r="M44" s="268">
        <f>SUM(B44:L44)</f>
        <v>71404</v>
      </c>
    </row>
    <row r="45" spans="1:13" x14ac:dyDescent="0.2">
      <c r="A45" s="335" t="s">
        <v>125</v>
      </c>
      <c r="B45" s="278">
        <f>[3]Pinnacle!$GJ$71+[3]Pinnacle!$GJ$74</f>
        <v>45004</v>
      </c>
      <c r="D45" s="279">
        <f>'[3]Sky West'!$GJ$71+'[3]Sky West'!$GJ$74</f>
        <v>110896</v>
      </c>
      <c r="E45" s="2"/>
      <c r="F45" s="2"/>
      <c r="G45" s="2"/>
      <c r="L45" s="279">
        <f>+'Other Regional'!J47</f>
        <v>2999</v>
      </c>
      <c r="M45" s="268">
        <f>SUM(B45:L45)</f>
        <v>158899</v>
      </c>
    </row>
    <row r="46" spans="1:13" x14ac:dyDescent="0.2">
      <c r="A46" s="269" t="s">
        <v>126</v>
      </c>
      <c r="B46" s="270">
        <f>SUM(B44:B45)</f>
        <v>66879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4
&amp;CMinneapolis-St. Paul International Airport
&amp;"Arial,Bold"Regional Major
September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topLeftCell="A2" zoomScaleNormal="100" zoomScaleSheetLayoutView="100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43709</v>
      </c>
      <c r="B2" s="428" t="s">
        <v>177</v>
      </c>
      <c r="C2" s="428" t="s">
        <v>176</v>
      </c>
      <c r="D2" s="428" t="s">
        <v>210</v>
      </c>
      <c r="E2" s="428" t="s">
        <v>187</v>
      </c>
      <c r="F2" s="428" t="s">
        <v>181</v>
      </c>
      <c r="G2" s="428" t="s">
        <v>180</v>
      </c>
      <c r="H2" s="428" t="s">
        <v>164</v>
      </c>
      <c r="I2" s="428" t="s">
        <v>168</v>
      </c>
      <c r="J2" s="429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7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America'!$GJ$22</f>
        <v>0</v>
      </c>
      <c r="C5" s="89">
        <f>'[3]Shuttle America_Delta'!$GJ$22</f>
        <v>0</v>
      </c>
      <c r="D5" s="385">
        <f>[3]Horizon_AS!$GJ$22</f>
        <v>0</v>
      </c>
      <c r="E5" s="385">
        <f>[3]PSA!$GJ$22</f>
        <v>0</v>
      </c>
      <c r="F5" s="89">
        <f>'[3]Atlantic Southeast'!$GJ$22+'[3]Atlantic Southeast'!$GJ$32</f>
        <v>0</v>
      </c>
      <c r="G5" s="89">
        <f>'[3]Continental Express'!$GJ$22</f>
        <v>3594</v>
      </c>
      <c r="H5" s="97">
        <f>'[3]Go Jet_UA'!$GJ$22</f>
        <v>630</v>
      </c>
      <c r="I5" s="13">
        <f>'[3]Go Jet'!$GJ$22+'[3]Go Jet'!$GJ$32</f>
        <v>4013</v>
      </c>
      <c r="J5" s="90">
        <f>SUM(B5:I5)</f>
        <v>8237</v>
      </c>
    </row>
    <row r="6" spans="1:10" s="6" customFormat="1" x14ac:dyDescent="0.2">
      <c r="A6" s="47" t="s">
        <v>31</v>
      </c>
      <c r="B6" s="89">
        <f>'[3]Shuttle America'!$GJ$23</f>
        <v>0</v>
      </c>
      <c r="C6" s="89">
        <f>'[3]Shuttle America_Delta'!$GJ$23</f>
        <v>0</v>
      </c>
      <c r="D6" s="385">
        <f>[3]Horizon_AS!$GJ$23</f>
        <v>0</v>
      </c>
      <c r="E6" s="385">
        <f>[3]PSA!$GJ$23</f>
        <v>0</v>
      </c>
      <c r="F6" s="89">
        <f>'[3]Atlantic Southeast'!$GJ$23+'[3]Atlantic Southeast'!$GJ$33</f>
        <v>0</v>
      </c>
      <c r="G6" s="89">
        <f>'[3]Continental Express'!$GJ$23</f>
        <v>3160</v>
      </c>
      <c r="H6" s="97">
        <f>'[3]Go Jet_UA'!$GJ$23</f>
        <v>682</v>
      </c>
      <c r="I6" s="7">
        <f>'[3]Go Jet'!$GJ$23+'[3]Go Jet'!$GJ$33</f>
        <v>4107</v>
      </c>
      <c r="J6" s="94">
        <f>SUM(B6:I6)</f>
        <v>7949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6754</v>
      </c>
      <c r="H7" s="107">
        <f t="shared" si="0"/>
        <v>1312</v>
      </c>
      <c r="I7" s="107">
        <f>SUM(I5:I6)</f>
        <v>8120</v>
      </c>
      <c r="J7" s="108">
        <f>SUM(B7:I7)</f>
        <v>16186</v>
      </c>
    </row>
    <row r="8" spans="1:10" ht="13.5" thickTop="1" x14ac:dyDescent="0.2">
      <c r="A8" s="47"/>
      <c r="B8" s="89"/>
      <c r="C8" s="89"/>
      <c r="D8" s="385"/>
      <c r="E8" s="385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5"/>
      <c r="E9" s="385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America'!$GJ$27</f>
        <v>0</v>
      </c>
      <c r="C10" s="89">
        <f>'[3]Shuttle America_Delta'!$GJ$27</f>
        <v>0</v>
      </c>
      <c r="D10" s="385">
        <f>[3]Horizon_AS!$GJ$27</f>
        <v>0</v>
      </c>
      <c r="E10" s="385">
        <f>[3]PSA!$GJ$27</f>
        <v>0</v>
      </c>
      <c r="F10" s="13">
        <f>'[3]Atlantic Southeast'!$GJ$27+'[3]Atlantic Southeast'!$GJ$37</f>
        <v>0</v>
      </c>
      <c r="G10" s="89">
        <f>'[3]Continental Express'!$GJ$27</f>
        <v>89</v>
      </c>
      <c r="H10" s="97">
        <f>'[3]Go Jet_UA'!$GJ$27</f>
        <v>28</v>
      </c>
      <c r="I10" s="13">
        <f>'[3]Go Jet'!$GJ$27+'[3]Go Jet'!$GJ$37</f>
        <v>109</v>
      </c>
      <c r="J10" s="90">
        <f>SUM(B10:I10)</f>
        <v>226</v>
      </c>
    </row>
    <row r="11" spans="1:10" x14ac:dyDescent="0.2">
      <c r="A11" s="47" t="s">
        <v>33</v>
      </c>
      <c r="B11" s="89">
        <f>'[3]Shuttle America'!$GJ$28</f>
        <v>0</v>
      </c>
      <c r="C11" s="89">
        <f>'[3]Shuttle America_Delta'!$GJ$28</f>
        <v>0</v>
      </c>
      <c r="D11" s="385">
        <f>[3]Horizon_AS!$GJ$28</f>
        <v>0</v>
      </c>
      <c r="E11" s="385">
        <f>[3]PSA!$GJ$28</f>
        <v>0</v>
      </c>
      <c r="F11" s="7">
        <f>'[3]Atlantic Southeast'!$GJ$28+'[3]Atlantic Southeast'!$GJ$38</f>
        <v>0</v>
      </c>
      <c r="G11" s="89">
        <f>'[3]Continental Express'!$GJ$28</f>
        <v>212</v>
      </c>
      <c r="H11" s="97">
        <f>'[3]Go Jet_UA'!$GJ$28</f>
        <v>11</v>
      </c>
      <c r="I11" s="7">
        <f>'[3]Go Jet'!$GJ$28+'[3]Go Jet'!$GJ$38</f>
        <v>97</v>
      </c>
      <c r="J11" s="94">
        <f>SUM(B11:I11)</f>
        <v>320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301</v>
      </c>
      <c r="H12" s="110">
        <f t="shared" si="3"/>
        <v>39</v>
      </c>
      <c r="I12" s="110">
        <f t="shared" ref="I12" si="4">SUM(I10:I11)</f>
        <v>206</v>
      </c>
      <c r="J12" s="111">
        <f>SUM(B12:I12)</f>
        <v>546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America'!$GJ$4</f>
        <v>0</v>
      </c>
      <c r="C15" s="87">
        <f>'[3]Shuttle America_Delta'!$GJ$4</f>
        <v>0</v>
      </c>
      <c r="D15" s="386">
        <f>[3]Horizon_AS!$GJ$4</f>
        <v>0</v>
      </c>
      <c r="E15" s="386">
        <f>[3]PSA!$GJ$4</f>
        <v>0</v>
      </c>
      <c r="F15" s="88">
        <f>'[3]Atlantic Southeast'!$GJ$4+'[3]Atlantic Southeast'!$GJ$15</f>
        <v>0</v>
      </c>
      <c r="G15" s="88">
        <f>'[3]Continental Express'!$GJ$4</f>
        <v>63</v>
      </c>
      <c r="H15" s="87">
        <f>'[3]Go Jet_UA'!$GJ$4</f>
        <v>10</v>
      </c>
      <c r="I15" s="13">
        <f>'[3]Go Jet'!$GJ$4+'[3]Go Jet'!$GJ$15</f>
        <v>72</v>
      </c>
      <c r="J15" s="90">
        <f t="shared" ref="J15:J21" si="5">SUM(B15:I15)</f>
        <v>145</v>
      </c>
    </row>
    <row r="16" spans="1:10" x14ac:dyDescent="0.2">
      <c r="A16" s="47" t="s">
        <v>54</v>
      </c>
      <c r="B16" s="91">
        <f>'[3]Shuttle America'!$GJ$5</f>
        <v>0</v>
      </c>
      <c r="C16" s="91">
        <f>'[3]Shuttle America_Delta'!$GJ$5</f>
        <v>0</v>
      </c>
      <c r="D16" s="387">
        <f>[3]Horizon_AS!$GJ$5</f>
        <v>0</v>
      </c>
      <c r="E16" s="387">
        <f>[3]PSA!$GJ$5</f>
        <v>0</v>
      </c>
      <c r="F16" s="92">
        <f>'[3]Atlantic Southeast'!$GJ$5+'[3]Atlantic Southeast'!$GJ$16</f>
        <v>0</v>
      </c>
      <c r="G16" s="92">
        <f>'[3]Continental Express'!$GJ$5</f>
        <v>63</v>
      </c>
      <c r="H16" s="91">
        <f>'[3]Go Jet_UA'!$GJ$5</f>
        <v>10</v>
      </c>
      <c r="I16" s="7">
        <f>'[3]Go Jet'!$GJ$5+'[3]Go Jet'!$GJ$16</f>
        <v>71</v>
      </c>
      <c r="J16" s="94">
        <f t="shared" si="5"/>
        <v>144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126</v>
      </c>
      <c r="H17" s="95">
        <f t="shared" si="7"/>
        <v>20</v>
      </c>
      <c r="I17" s="247">
        <f>SUM(I15:I16)</f>
        <v>143</v>
      </c>
      <c r="J17" s="96">
        <f t="shared" si="5"/>
        <v>289</v>
      </c>
    </row>
    <row r="18" spans="1:10" x14ac:dyDescent="0.2">
      <c r="A18" s="47" t="s">
        <v>56</v>
      </c>
      <c r="B18" s="97">
        <f>'[3]Shuttle America'!$GJ$8</f>
        <v>0</v>
      </c>
      <c r="C18" s="97">
        <f>'[3]Shuttle America_Delta'!$GJ$8</f>
        <v>0</v>
      </c>
      <c r="D18" s="97">
        <f>[3]Horizon_AS!$GJ$8</f>
        <v>0</v>
      </c>
      <c r="E18" s="97">
        <f>[3]PSA!$GJ$8</f>
        <v>0</v>
      </c>
      <c r="F18" s="89">
        <f>'[3]Atlantic Southeast'!$GJ$8</f>
        <v>0</v>
      </c>
      <c r="G18" s="89">
        <f>'[3]Continental Express'!$GJ$8</f>
        <v>0</v>
      </c>
      <c r="H18" s="97">
        <f>'[3]Go Jet_UA'!$GJ$8</f>
        <v>0</v>
      </c>
      <c r="I18" s="13">
        <f>'[3]Go Jet'!$GJ$8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America'!$GJ$9</f>
        <v>0</v>
      </c>
      <c r="C19" s="98">
        <f>'[3]Shuttle America_Delta'!$GJ$9</f>
        <v>0</v>
      </c>
      <c r="D19" s="98">
        <f>[3]Horizon_AS!$GJ$9</f>
        <v>0</v>
      </c>
      <c r="E19" s="98">
        <f>[3]PSA!$GJ$9</f>
        <v>0</v>
      </c>
      <c r="F19" s="93">
        <f>'[3]Atlantic Southeast'!$GJ$9</f>
        <v>0</v>
      </c>
      <c r="G19" s="93">
        <f>'[3]Continental Express'!$GJ$9</f>
        <v>0</v>
      </c>
      <c r="H19" s="98">
        <f>'[3]Go Jet_UA'!$GJ$9</f>
        <v>0</v>
      </c>
      <c r="I19" s="7">
        <f>'[3]Go Jet'!$GJ$9</f>
        <v>1</v>
      </c>
      <c r="J19" s="94">
        <f t="shared" si="5"/>
        <v>1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1</v>
      </c>
      <c r="J20" s="96">
        <f t="shared" si="5"/>
        <v>1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126</v>
      </c>
      <c r="H21" s="99">
        <f t="shared" si="11"/>
        <v>20</v>
      </c>
      <c r="I21" s="99">
        <f t="shared" ref="I21" si="12">SUM(I20,I17)</f>
        <v>144</v>
      </c>
      <c r="J21" s="100">
        <f t="shared" si="5"/>
        <v>290</v>
      </c>
    </row>
    <row r="22" spans="1:10" ht="3.75" customHeight="1" thickBot="1" x14ac:dyDescent="0.25"/>
    <row r="23" spans="1:10" ht="15.75" thickTop="1" x14ac:dyDescent="0.25">
      <c r="A23" s="50" t="s">
        <v>117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America'!$GJ$47</f>
        <v>0</v>
      </c>
      <c r="C25" s="97">
        <f>'[3]Shuttle America_Delta'!$GJ$47</f>
        <v>0</v>
      </c>
      <c r="D25" s="97">
        <f>[3]Horizon_AS!$GJ$47</f>
        <v>0</v>
      </c>
      <c r="E25" s="97">
        <f>[3]PSA!$GJ$47</f>
        <v>0</v>
      </c>
      <c r="F25" s="89">
        <f>'[3]Atlantic Southeast'!$GJ$47</f>
        <v>0</v>
      </c>
      <c r="G25" s="89">
        <f>'[3]Continental Express'!$GJ$47</f>
        <v>0</v>
      </c>
      <c r="H25" s="97">
        <f>'[3]Go Jet_UA'!$GJ$47</f>
        <v>0</v>
      </c>
      <c r="I25" s="97">
        <f>'[3]Go Jet'!$GJ$47</f>
        <v>50</v>
      </c>
      <c r="J25" s="90">
        <f>SUM(B25:I25)</f>
        <v>50</v>
      </c>
    </row>
    <row r="26" spans="1:10" x14ac:dyDescent="0.2">
      <c r="A26" s="47" t="s">
        <v>38</v>
      </c>
      <c r="B26" s="97">
        <f>'[3]Shuttle America'!$GJ$48</f>
        <v>0</v>
      </c>
      <c r="C26" s="97">
        <f>'[3]Shuttle America_Delta'!$GJ$48</f>
        <v>0</v>
      </c>
      <c r="D26" s="97">
        <f>[3]Horizon_AS!$GJ$48</f>
        <v>0</v>
      </c>
      <c r="E26" s="97">
        <f>[3]PSA!$GJ$48</f>
        <v>0</v>
      </c>
      <c r="F26" s="89">
        <f>'[3]Atlantic Southeast'!$GJ$48</f>
        <v>0</v>
      </c>
      <c r="G26" s="89">
        <f>'[3]Continental Express'!$GJ$48</f>
        <v>0</v>
      </c>
      <c r="H26" s="97">
        <f>'[3]Go Jet_UA'!$GJ$48</f>
        <v>0</v>
      </c>
      <c r="I26" s="97">
        <f>'[3]Go Jet'!$GJ$48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50</v>
      </c>
      <c r="J27" s="108">
        <f>SUM(B27:I27)</f>
        <v>50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America'!$GJ$52</f>
        <v>0</v>
      </c>
      <c r="C30" s="97">
        <f>'[3]Shuttle America_Delta'!$GJ$52</f>
        <v>0</v>
      </c>
      <c r="D30" s="97">
        <f>[3]Horizon_AS!$GJ$52</f>
        <v>0</v>
      </c>
      <c r="E30" s="97">
        <f>[3]PSA!$GJ$52</f>
        <v>0</v>
      </c>
      <c r="F30" s="89">
        <f>'[3]Atlantic Southeast'!$GJ$52</f>
        <v>0</v>
      </c>
      <c r="G30" s="89">
        <f>'[3]Continental Express'!$GJ$52</f>
        <v>0</v>
      </c>
      <c r="H30" s="97">
        <f>'[3]Go Jet_UA'!$GJ$52</f>
        <v>0</v>
      </c>
      <c r="I30" s="97">
        <f>'[3]Go Jet'!$GJ$52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America'!$GJ$53</f>
        <v>0</v>
      </c>
      <c r="C31" s="97">
        <f>'[3]Shuttle America_Delta'!$GJ$53</f>
        <v>0</v>
      </c>
      <c r="D31" s="97">
        <f>[3]Horizon_AS!$GJ$53</f>
        <v>0</v>
      </c>
      <c r="E31" s="97">
        <f>[3]PSA!$GJ$53</f>
        <v>0</v>
      </c>
      <c r="F31" s="89">
        <f>'[3]Atlantic Southeast'!$GJ$53</f>
        <v>0</v>
      </c>
      <c r="G31" s="89">
        <f>'[3]Continental Express'!$GJ$53</f>
        <v>0</v>
      </c>
      <c r="H31" s="97">
        <f>'[3]Go Jet_UA'!$GJ$53</f>
        <v>0</v>
      </c>
      <c r="I31" s="97">
        <f>'[3]Go Jet'!$GJ$53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America'!$GJ$57</f>
        <v>0</v>
      </c>
      <c r="C35" s="97">
        <f>'[3]Shuttle America_Delta'!$GJ$57</f>
        <v>0</v>
      </c>
      <c r="D35" s="97">
        <f>[3]Horizon_AS!$GJ$57</f>
        <v>0</v>
      </c>
      <c r="E35" s="97">
        <f>[3]PSA!$GJ$57</f>
        <v>0</v>
      </c>
      <c r="F35" s="89">
        <f>'[3]Atlantic Southeast'!$GJ$57</f>
        <v>0</v>
      </c>
      <c r="G35" s="89">
        <f>'[3]Continental Express'!$GJ$57</f>
        <v>0</v>
      </c>
      <c r="H35" s="97">
        <f>'[3]Go Jet_UA'!$AJ$57</f>
        <v>0</v>
      </c>
      <c r="I35" s="97">
        <f>'[3]Go Jet'!$GJ$57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50</v>
      </c>
      <c r="J40" s="90">
        <f>SUM(B40:I40)</f>
        <v>50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50</v>
      </c>
      <c r="J42" s="111">
        <f>SUM(B42:I42)</f>
        <v>50</v>
      </c>
    </row>
    <row r="43" spans="1:10" ht="4.5" customHeight="1" x14ac:dyDescent="0.2"/>
    <row r="44" spans="1:10" hidden="1" x14ac:dyDescent="0.2">
      <c r="A44" s="280" t="s">
        <v>127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128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124</v>
      </c>
      <c r="C46" s="279">
        <f>'[3]Shuttle America_Delta'!$GJ$70+'[3]Shuttle America_Delta'!$GJ$73</f>
        <v>0</v>
      </c>
      <c r="D46" s="2"/>
      <c r="F46" s="279">
        <f>'[3]Atlantic Southeast'!$GJ$70+'[3]Atlantic Southeast'!$GJ$73</f>
        <v>0</v>
      </c>
      <c r="I46" s="279">
        <f>'[3]Go Jet'!$GJ$70+'[3]Go Jet'!$GJ$73</f>
        <v>1108</v>
      </c>
      <c r="J46" s="334">
        <f>SUM(B46:I46)</f>
        <v>1108</v>
      </c>
    </row>
    <row r="47" spans="1:10" x14ac:dyDescent="0.2">
      <c r="A47" s="335" t="s">
        <v>125</v>
      </c>
      <c r="C47" s="279">
        <f>'[3]Shuttle America_Delta'!$GJ$71+'[3]Shuttle America_Delta'!$GJ$74</f>
        <v>0</v>
      </c>
      <c r="D47" s="2"/>
      <c r="F47" s="279">
        <f>'[3]Atlantic Southeast'!$GJ$71+'[3]Atlantic Southeast'!$GJ$74</f>
        <v>0</v>
      </c>
      <c r="I47" s="279">
        <f>'[3]Go Jet'!$GJ$71+'[3]Go Jet'!$GJ$74</f>
        <v>2999</v>
      </c>
      <c r="J47" s="334">
        <f>SUM(B47:I47)</f>
        <v>2999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September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O30" sqref="O3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43709</v>
      </c>
      <c r="B2" s="152" t="s">
        <v>119</v>
      </c>
      <c r="C2" s="152" t="s">
        <v>157</v>
      </c>
      <c r="D2" s="83" t="s">
        <v>78</v>
      </c>
      <c r="E2" s="83" t="s">
        <v>158</v>
      </c>
      <c r="F2" s="152" t="s">
        <v>133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Misc'!$GJ$22</f>
        <v>162</v>
      </c>
      <c r="C5" s="156">
        <f>[3]Ryan!$GJ$22</f>
        <v>0</v>
      </c>
      <c r="D5" s="156">
        <f>'[3]Charter Misc'!$GJ$32</f>
        <v>0</v>
      </c>
      <c r="E5" s="156">
        <f>[3]Omni!$GJ$32</f>
        <v>0</v>
      </c>
      <c r="F5" s="156">
        <f>[3]Xtra!$GJ$32+[3]Xtra!$GJ$22</f>
        <v>0</v>
      </c>
      <c r="G5" s="296">
        <f>SUM(B5:F5)</f>
        <v>162</v>
      </c>
    </row>
    <row r="6" spans="1:17" x14ac:dyDescent="0.2">
      <c r="A6" s="47" t="s">
        <v>31</v>
      </c>
      <c r="B6" s="360">
        <f>'[3]Charter Misc'!$GJ$23</f>
        <v>308</v>
      </c>
      <c r="C6" s="159">
        <f>[3]Ryan!$GJ$23</f>
        <v>0</v>
      </c>
      <c r="D6" s="159">
        <f>'[3]Charter Misc'!$GJ$33</f>
        <v>0</v>
      </c>
      <c r="E6" s="159">
        <f>[3]Omni!$GJ$33+[3]Omni!$GJ$23</f>
        <v>0</v>
      </c>
      <c r="F6" s="159">
        <f>[3]Xtra!$GJ$33+[3]Xtra!$GJ$23</f>
        <v>0</v>
      </c>
      <c r="G6" s="295">
        <f>SUM(B6:F6)</f>
        <v>308</v>
      </c>
    </row>
    <row r="7" spans="1:17" ht="15.75" thickBot="1" x14ac:dyDescent="0.3">
      <c r="A7" s="155" t="s">
        <v>7</v>
      </c>
      <c r="B7" s="361">
        <f>SUM(B5:B6)</f>
        <v>470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470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Misc'!$GJ$4</f>
        <v>1</v>
      </c>
      <c r="C10" s="156">
        <f>[3]Ryan!$GJ$4</f>
        <v>0</v>
      </c>
      <c r="D10" s="156">
        <f>'[3]Charter Misc'!$GJ$15</f>
        <v>0</v>
      </c>
      <c r="E10" s="156">
        <f>[3]Omni!$GJ$15+[3]Omni!$GJ$4+[3]Omni!$GJ$8</f>
        <v>0</v>
      </c>
      <c r="F10" s="156">
        <f>[3]Xtra!$GJ$15+[3]Xtra!$GJ$4+[3]Omni!$GJ$8</f>
        <v>0</v>
      </c>
      <c r="G10" s="295">
        <f>SUM(B10:F10)</f>
        <v>1</v>
      </c>
    </row>
    <row r="11" spans="1:17" x14ac:dyDescent="0.2">
      <c r="A11" s="154" t="s">
        <v>81</v>
      </c>
      <c r="B11" s="359">
        <f>'[3]Charter Misc'!$GJ$5</f>
        <v>2</v>
      </c>
      <c r="C11" s="156">
        <f>[3]Ryan!$GJ$5</f>
        <v>0</v>
      </c>
      <c r="D11" s="156">
        <f>'[3]Charter Misc'!$GJ$16</f>
        <v>0</v>
      </c>
      <c r="E11" s="156">
        <f>[3]Omni!$GJ$16+[3]Omni!$GJ$5+[3]Omni!$GJ$9</f>
        <v>0</v>
      </c>
      <c r="F11" s="156">
        <f>[3]Xtra!$GJ$16+[3]Xtra!$GJ$5+[3]Omni!$GJ$9</f>
        <v>0</v>
      </c>
      <c r="G11" s="295">
        <f>SUM(B11:F11)</f>
        <v>2</v>
      </c>
    </row>
    <row r="12" spans="1:17" ht="15.75" thickBot="1" x14ac:dyDescent="0.3">
      <c r="A12" s="238" t="s">
        <v>28</v>
      </c>
      <c r="B12" s="363">
        <f>SUM(B10:B11)</f>
        <v>3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3</v>
      </c>
      <c r="Q12" s="97"/>
    </row>
    <row r="17" spans="1:16" x14ac:dyDescent="0.2">
      <c r="B17" s="462" t="s">
        <v>155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5" t="s">
        <v>121</v>
      </c>
      <c r="C19" s="466"/>
      <c r="D19" s="466"/>
      <c r="E19" s="467"/>
      <c r="G19" s="465" t="s">
        <v>122</v>
      </c>
      <c r="H19" s="468"/>
      <c r="I19" s="468"/>
      <c r="J19" s="469"/>
      <c r="L19" s="470" t="s">
        <v>123</v>
      </c>
      <c r="M19" s="471"/>
      <c r="N19" s="471"/>
      <c r="O19" s="472"/>
    </row>
    <row r="20" spans="1:16" ht="13.5" thickBot="1" x14ac:dyDescent="0.25">
      <c r="A20" s="200" t="s">
        <v>102</v>
      </c>
      <c r="B20" s="205" t="s">
        <v>103</v>
      </c>
      <c r="C20" s="5" t="s">
        <v>104</v>
      </c>
      <c r="D20" s="5" t="s">
        <v>216</v>
      </c>
      <c r="E20" s="5" t="s">
        <v>209</v>
      </c>
      <c r="F20" s="206" t="s">
        <v>99</v>
      </c>
      <c r="G20" s="5" t="s">
        <v>103</v>
      </c>
      <c r="H20" s="5" t="s">
        <v>104</v>
      </c>
      <c r="I20" s="5" t="s">
        <v>216</v>
      </c>
      <c r="J20" s="5" t="s">
        <v>209</v>
      </c>
      <c r="K20" s="206" t="s">
        <v>99</v>
      </c>
      <c r="L20" s="205" t="s">
        <v>103</v>
      </c>
      <c r="M20" s="199" t="s">
        <v>104</v>
      </c>
      <c r="N20" s="5" t="s">
        <v>216</v>
      </c>
      <c r="O20" s="5" t="s">
        <v>209</v>
      </c>
      <c r="P20" s="206" t="s">
        <v>99</v>
      </c>
    </row>
    <row r="21" spans="1:16" ht="14.1" customHeight="1" x14ac:dyDescent="0.2">
      <c r="A21" s="209" t="s">
        <v>105</v>
      </c>
      <c r="B21" s="437">
        <f>+[4]Charter!$B$21</f>
        <v>137103</v>
      </c>
      <c r="C21" s="438">
        <f>+[4]Charter!$C$21</f>
        <v>129608</v>
      </c>
      <c r="D21" s="435">
        <f t="shared" ref="D21:D32" si="0">SUM(B21:C21)</f>
        <v>266711</v>
      </c>
      <c r="E21" s="436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41">
        <f>+[4]Charter!$L$21</f>
        <v>1351127</v>
      </c>
      <c r="M21" s="442">
        <f>+[4]Charter!$M$21</f>
        <v>1385714</v>
      </c>
      <c r="N21" s="291">
        <f t="shared" ref="N21:N32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106</v>
      </c>
      <c r="B22" s="439">
        <f>+[6]Charter!$B22</f>
        <v>135822</v>
      </c>
      <c r="C22" s="440">
        <f>+[6]Charter!$C22</f>
        <v>139060</v>
      </c>
      <c r="D22" s="431">
        <f t="shared" ref="D22" si="6">SUM(B22:C22)</f>
        <v>274882</v>
      </c>
      <c r="E22" s="432">
        <f>[7]Charter!$D22</f>
        <v>285115</v>
      </c>
      <c r="F22" s="289">
        <f t="shared" si="1"/>
        <v>-3.5890780912964944E-2</v>
      </c>
      <c r="G22" s="433">
        <f t="shared" si="2"/>
        <v>1165574</v>
      </c>
      <c r="H22" s="434">
        <f t="shared" si="2"/>
        <v>1184555</v>
      </c>
      <c r="I22" s="434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4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107</v>
      </c>
      <c r="B23" s="439">
        <f>+[8]Charter!$B23</f>
        <v>182334</v>
      </c>
      <c r="C23" s="440">
        <f>+[8]Charter!$C23</f>
        <v>184603</v>
      </c>
      <c r="D23" s="431">
        <f t="shared" ref="D23" si="9">SUM(B23:C23)</f>
        <v>366937</v>
      </c>
      <c r="E23" s="432">
        <f>[9]Charter!$D23</f>
        <v>367828</v>
      </c>
      <c r="F23" s="212">
        <f t="shared" si="1"/>
        <v>-2.4223278271365964E-3</v>
      </c>
      <c r="G23" s="433">
        <f t="shared" ref="G23" si="10">L23-B23</f>
        <v>1576599</v>
      </c>
      <c r="H23" s="434">
        <f t="shared" ref="H23" si="11">M23-C23</f>
        <v>1593868</v>
      </c>
      <c r="I23" s="434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4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108</v>
      </c>
      <c r="B24" s="439">
        <f>+[10]Charter!$B24</f>
        <v>134432</v>
      </c>
      <c r="C24" s="440">
        <f>+[10]Charter!$C24</f>
        <v>115520</v>
      </c>
      <c r="D24" s="431">
        <f t="shared" ref="D24" si="13">SUM(B24:C24)</f>
        <v>249952</v>
      </c>
      <c r="E24" s="432">
        <f>[11]Charter!$D24</f>
        <v>242418</v>
      </c>
      <c r="F24" s="212">
        <f t="shared" si="1"/>
        <v>3.1078550272669522E-2</v>
      </c>
      <c r="G24" s="433">
        <f t="shared" ref="G24" si="14">L24-B24</f>
        <v>1483600</v>
      </c>
      <c r="H24" s="434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4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9">
        <f>+[12]Charter!$B25</f>
        <v>120364</v>
      </c>
      <c r="C25" s="440">
        <f>+[12]Charter!$C25</f>
        <v>132909</v>
      </c>
      <c r="D25" s="431">
        <f t="shared" ref="D25" si="17">SUM(B25:C25)</f>
        <v>253273</v>
      </c>
      <c r="E25" s="432">
        <f>[13]Charter!$D25</f>
        <v>246334</v>
      </c>
      <c r="F25" s="201">
        <f t="shared" si="1"/>
        <v>2.8169071260970877E-2</v>
      </c>
      <c r="G25" s="433">
        <f t="shared" ref="G25" si="18">L25-B25</f>
        <v>1558009</v>
      </c>
      <c r="H25" s="434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4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109</v>
      </c>
      <c r="B26" s="439">
        <f>+[14]Charter!$B26</f>
        <v>140743</v>
      </c>
      <c r="C26" s="440">
        <f>+[14]Charter!$C26</f>
        <v>147358</v>
      </c>
      <c r="D26" s="431">
        <f t="shared" ref="D26" si="21">SUM(B26:C26)</f>
        <v>288101</v>
      </c>
      <c r="E26" s="432">
        <f>[15]Charter!$D26</f>
        <v>260189</v>
      </c>
      <c r="F26" s="212">
        <f t="shared" si="1"/>
        <v>0.10727586485208829</v>
      </c>
      <c r="G26" s="433">
        <f t="shared" ref="G26" si="22">L26-B26</f>
        <v>1698978</v>
      </c>
      <c r="H26" s="434">
        <f t="shared" ref="H26" si="23">M26-C26</f>
        <v>1680266</v>
      </c>
      <c r="I26" s="287">
        <f t="shared" si="3"/>
        <v>3379244</v>
      </c>
      <c r="J26" s="293">
        <f>[15]Charter!$I26</f>
        <v>3255476</v>
      </c>
      <c r="K26" s="213">
        <f t="shared" si="4"/>
        <v>3.8018403453135577E-2</v>
      </c>
      <c r="L26" s="286">
        <f>+[14]Charter!$L26</f>
        <v>1839721</v>
      </c>
      <c r="M26" s="288">
        <f>+[14]Charter!$M26</f>
        <v>1827624</v>
      </c>
      <c r="N26" s="434">
        <f t="shared" ref="N26" si="24">SUM(L26:M26)</f>
        <v>3667345</v>
      </c>
      <c r="O26" s="293">
        <f>[15]Charter!$N26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110</v>
      </c>
      <c r="B27" s="439">
        <f>+[16]Charter!$B27</f>
        <v>155961</v>
      </c>
      <c r="C27" s="440">
        <f>+[16]Charter!$C27</f>
        <v>140807</v>
      </c>
      <c r="D27" s="431">
        <f t="shared" ref="D27" si="25">SUM(B27:C27)</f>
        <v>296768</v>
      </c>
      <c r="E27" s="432">
        <f>[17]Charter!$D27</f>
        <v>266074</v>
      </c>
      <c r="F27" s="201">
        <f t="shared" si="1"/>
        <v>0.11535888512218405</v>
      </c>
      <c r="G27" s="433">
        <f t="shared" ref="G27" si="26">L27-B27</f>
        <v>1770399</v>
      </c>
      <c r="H27" s="434">
        <f t="shared" ref="H27" si="27">M27-C27</f>
        <v>1777862</v>
      </c>
      <c r="I27" s="287">
        <f t="shared" ref="I27" si="28">SUM(G27:H27)</f>
        <v>3548261</v>
      </c>
      <c r="J27" s="293">
        <f>[17]Charter!$I27</f>
        <v>3398934</v>
      </c>
      <c r="K27" s="207">
        <f t="shared" si="4"/>
        <v>4.3933480320594631E-2</v>
      </c>
      <c r="L27" s="286">
        <f>+[16]Charter!$L27</f>
        <v>1926360</v>
      </c>
      <c r="M27" s="288">
        <f>+[16]Charter!$M27</f>
        <v>1918669</v>
      </c>
      <c r="N27" s="434">
        <f t="shared" ref="N27" si="29">SUM(L27:M27)</f>
        <v>3845029</v>
      </c>
      <c r="O27" s="293">
        <f>[17]Charter!$N27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111</v>
      </c>
      <c r="B28" s="439">
        <f>+[2]Charter!$B28</f>
        <v>155262</v>
      </c>
      <c r="C28" s="440">
        <f>+[2]Charter!$C28</f>
        <v>151595</v>
      </c>
      <c r="D28" s="431">
        <f t="shared" ref="D28" si="30">SUM(B28:C28)</f>
        <v>306857</v>
      </c>
      <c r="E28" s="432">
        <f>[18]Charter!$D28</f>
        <v>275867</v>
      </c>
      <c r="F28" s="212">
        <f t="shared" si="1"/>
        <v>0.11233674198073709</v>
      </c>
      <c r="G28" s="433">
        <f t="shared" ref="G28" si="31">L28-B28</f>
        <v>1774347</v>
      </c>
      <c r="H28" s="434">
        <f t="shared" ref="H28" si="32">M28-C28</f>
        <v>1764393</v>
      </c>
      <c r="I28" s="287">
        <f t="shared" ref="I28" si="33">SUM(G28:H28)</f>
        <v>3538740</v>
      </c>
      <c r="J28" s="293">
        <f>[18]Charter!$I28</f>
        <v>3463238</v>
      </c>
      <c r="K28" s="213">
        <f t="shared" si="4"/>
        <v>2.1800985089676192E-2</v>
      </c>
      <c r="L28" s="286">
        <f>+[2]Charter!$L28</f>
        <v>1929609</v>
      </c>
      <c r="M28" s="288">
        <f>+[2]Charter!$M28</f>
        <v>1915988</v>
      </c>
      <c r="N28" s="434">
        <f t="shared" ref="N28" si="34">SUM(L28:M28)</f>
        <v>3845597</v>
      </c>
      <c r="O28" s="293">
        <f>[18]Charter!$N28</f>
        <v>3739105</v>
      </c>
      <c r="P28" s="212">
        <f t="shared" si="8"/>
        <v>2.8480612339049052E-2</v>
      </c>
    </row>
    <row r="29" spans="1:16" ht="14.1" customHeight="1" x14ac:dyDescent="0.2">
      <c r="A29" s="198" t="s">
        <v>112</v>
      </c>
      <c r="B29" s="430">
        <f>'Intl Detail'!$N$4+'Intl Detail'!$N$9</f>
        <v>134390</v>
      </c>
      <c r="C29" s="431">
        <f>'Intl Detail'!$N$5+'Intl Detail'!$N$10</f>
        <v>135820</v>
      </c>
      <c r="D29" s="431">
        <f>SUM(B29:C29)</f>
        <v>270210</v>
      </c>
      <c r="E29" s="432">
        <f>[1]Charter!$D29</f>
        <v>225661</v>
      </c>
      <c r="F29" s="201">
        <f t="shared" si="1"/>
        <v>0.19741559241517143</v>
      </c>
      <c r="G29" s="433">
        <f t="shared" ref="G29" si="35">L29-B29</f>
        <v>1484438</v>
      </c>
      <c r="H29" s="434">
        <f t="shared" ref="H29" si="36">M29-C29</f>
        <v>1493914</v>
      </c>
      <c r="I29" s="287">
        <f t="shared" ref="I29" si="37">SUM(G29:H29)</f>
        <v>2978352</v>
      </c>
      <c r="J29" s="293">
        <f>[1]Charter!$I29</f>
        <v>2824553</v>
      </c>
      <c r="K29" s="207">
        <f t="shared" si="4"/>
        <v>5.4450739639157066E-2</v>
      </c>
      <c r="L29" s="433">
        <f>'Monthly Summary'!$B$11</f>
        <v>1618828</v>
      </c>
      <c r="M29" s="434">
        <f>'Monthly Summary'!$C$11</f>
        <v>1629734</v>
      </c>
      <c r="N29" s="287">
        <f t="shared" ref="N29" si="38">SUM(L29:M29)</f>
        <v>3248562</v>
      </c>
      <c r="O29" s="293">
        <f>[1]Charter!$N29</f>
        <v>3050214</v>
      </c>
      <c r="P29" s="201">
        <f t="shared" si="8"/>
        <v>6.5027568557484816E-2</v>
      </c>
    </row>
    <row r="30" spans="1:16" ht="14.1" customHeight="1" x14ac:dyDescent="0.2">
      <c r="A30" s="211" t="s">
        <v>113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4"/>
        <v>#DIV/0!</v>
      </c>
      <c r="L30" s="286"/>
      <c r="M30" s="288"/>
      <c r="N30" s="287">
        <f>SUM(L30:M30)</f>
        <v>0</v>
      </c>
      <c r="O30" s="293"/>
      <c r="P30" s="212" t="e">
        <f t="shared" si="8"/>
        <v>#DIV/0!</v>
      </c>
    </row>
    <row r="31" spans="1:16" ht="14.1" customHeight="1" x14ac:dyDescent="0.2">
      <c r="A31" s="198" t="s">
        <v>114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ref="I31:I32" si="39">SUM(G31:H31)</f>
        <v>0</v>
      </c>
      <c r="J31" s="293"/>
      <c r="K31" s="207" t="e">
        <f t="shared" si="4"/>
        <v>#DIV/0!</v>
      </c>
      <c r="L31" s="286"/>
      <c r="M31" s="288"/>
      <c r="N31" s="287">
        <f>SUM(L31:M31)</f>
        <v>0</v>
      </c>
      <c r="O31" s="293"/>
      <c r="P31" s="201" t="e">
        <f t="shared" si="8"/>
        <v>#DIV/0!</v>
      </c>
    </row>
    <row r="32" spans="1:16" ht="14.1" customHeight="1" x14ac:dyDescent="0.2">
      <c r="A32" s="214" t="s">
        <v>115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39"/>
        <v>0</v>
      </c>
      <c r="J32" s="293"/>
      <c r="K32" s="215" t="e">
        <f t="shared" si="4"/>
        <v>#DIV/0!</v>
      </c>
      <c r="L32" s="286"/>
      <c r="M32" s="288"/>
      <c r="N32" s="134">
        <f t="shared" si="5"/>
        <v>0</v>
      </c>
      <c r="O32" s="293"/>
      <c r="P32" s="215" t="e">
        <f t="shared" si="8"/>
        <v>#DIV/0!</v>
      </c>
    </row>
    <row r="33" spans="1:16" ht="13.5" thickBot="1" x14ac:dyDescent="0.25">
      <c r="A33" s="208" t="s">
        <v>77</v>
      </c>
      <c r="B33" s="218">
        <f>SUM(B21:B32)</f>
        <v>1296411</v>
      </c>
      <c r="C33" s="219">
        <f>SUM(C21:C32)</f>
        <v>1277280</v>
      </c>
      <c r="D33" s="219">
        <f>SUM(D21:D32)</f>
        <v>2573691</v>
      </c>
      <c r="E33" s="220">
        <f>SUM(E21:E32)</f>
        <v>2438323</v>
      </c>
      <c r="F33" s="203">
        <f>(D33-E33)/E33</f>
        <v>5.5516844979110642E-2</v>
      </c>
      <c r="G33" s="221">
        <f>SUM(G21:G32)</f>
        <v>13725968</v>
      </c>
      <c r="H33" s="219">
        <f>SUM(H21:H32)</f>
        <v>13682972</v>
      </c>
      <c r="I33" s="219">
        <f>SUM(I21:I32)</f>
        <v>27408940</v>
      </c>
      <c r="J33" s="222">
        <f>SUM(J21:J32)</f>
        <v>26559471</v>
      </c>
      <c r="K33" s="204">
        <f>(I33-J33)/J33</f>
        <v>3.1983656602196632E-2</v>
      </c>
      <c r="L33" s="221">
        <f>SUM(L21:L32)</f>
        <v>15022379</v>
      </c>
      <c r="M33" s="219">
        <f>SUM(M21:M32)</f>
        <v>14960252</v>
      </c>
      <c r="N33" s="219">
        <f>SUM(N21:N32)</f>
        <v>29982631</v>
      </c>
      <c r="O33" s="220">
        <f>SUM(O21:O32)</f>
        <v>28997794</v>
      </c>
      <c r="P33" s="202">
        <f>(N33-O33)/O33</f>
        <v>3.3962480042447368E-2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September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zoomScaleNormal="100" workbookViewId="0">
      <selection activeCell="H4" sqref="H4:H3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10" width="11.28515625" customWidth="1"/>
    <col min="12" max="13" width="11.28515625" bestFit="1" customWidth="1"/>
    <col min="15" max="15" width="11.28515625" bestFit="1" customWidth="1"/>
  </cols>
  <sheetData>
    <row r="1" spans="1:18" s="44" customFormat="1" ht="15.75" thickBot="1" x14ac:dyDescent="0.3">
      <c r="B1" s="476"/>
      <c r="C1" s="476"/>
      <c r="D1" s="476"/>
      <c r="E1" s="476"/>
      <c r="F1" s="379"/>
      <c r="G1" s="477" t="s">
        <v>94</v>
      </c>
      <c r="H1" s="478"/>
      <c r="I1" s="478"/>
      <c r="J1" s="478"/>
      <c r="K1" s="478"/>
      <c r="L1" s="478"/>
      <c r="M1" s="478"/>
      <c r="N1" s="479"/>
    </row>
    <row r="2" spans="1:18" s="28" customFormat="1" ht="30.75" customHeight="1" thickBot="1" x14ac:dyDescent="0.25">
      <c r="A2" s="325">
        <v>43709</v>
      </c>
      <c r="B2" s="372" t="s">
        <v>182</v>
      </c>
      <c r="C2" s="372" t="s">
        <v>218</v>
      </c>
      <c r="D2" s="373" t="s">
        <v>82</v>
      </c>
      <c r="E2" s="373" t="s">
        <v>83</v>
      </c>
      <c r="F2" s="452"/>
      <c r="G2" s="453" t="s">
        <v>84</v>
      </c>
      <c r="H2" s="453" t="s">
        <v>227</v>
      </c>
      <c r="I2" s="453" t="s">
        <v>183</v>
      </c>
      <c r="J2" s="453" t="s">
        <v>166</v>
      </c>
      <c r="K2" s="454" t="s">
        <v>85</v>
      </c>
      <c r="L2" s="373" t="s">
        <v>86</v>
      </c>
      <c r="M2" s="453" t="s">
        <v>87</v>
      </c>
      <c r="N2" s="453" t="s">
        <v>130</v>
      </c>
      <c r="O2" s="453" t="s">
        <v>21</v>
      </c>
    </row>
    <row r="3" spans="1:18" ht="15" x14ac:dyDescent="0.25">
      <c r="A3" s="168" t="s">
        <v>9</v>
      </c>
      <c r="B3" s="169"/>
      <c r="C3" s="169"/>
      <c r="D3" s="169"/>
      <c r="E3" s="169"/>
      <c r="F3" s="170"/>
      <c r="G3" s="30"/>
      <c r="H3" s="30"/>
      <c r="I3" s="30"/>
      <c r="J3" s="30"/>
      <c r="K3" s="30"/>
      <c r="L3" s="41"/>
      <c r="M3" s="30"/>
      <c r="N3" s="30"/>
      <c r="O3" s="171"/>
    </row>
    <row r="4" spans="1:18" x14ac:dyDescent="0.2">
      <c r="A4" s="38" t="s">
        <v>53</v>
      </c>
      <c r="B4" s="134">
        <f>[3]DHL!$GJ$4</f>
        <v>21</v>
      </c>
      <c r="C4" s="134">
        <f>'[3]Atlas Air'!$GJ$4</f>
        <v>31</v>
      </c>
      <c r="D4" s="134">
        <f>[3]FedEx!$GJ$4+[3]FedEx!$GJ$15</f>
        <v>122</v>
      </c>
      <c r="E4" s="134">
        <f>[3]UPS!$GJ$4+[3]UPS!$GJ$15</f>
        <v>122</v>
      </c>
      <c r="F4" s="161"/>
      <c r="G4" s="97">
        <f>[3]ATI_BAX!$GJ$4</f>
        <v>0</v>
      </c>
      <c r="H4" s="134">
        <f>[3]Encore!$GJ$4+[3]Encore!$GJ$15</f>
        <v>40</v>
      </c>
      <c r="I4" s="134">
        <f>[3]IFL!$GJ$4+[3]IFL!$GJ$15</f>
        <v>15</v>
      </c>
      <c r="J4" s="97">
        <f>'[3]Suburban Air Freight'!$GJ$15</f>
        <v>0</v>
      </c>
      <c r="K4" s="97">
        <f>[3]Bemidji!$GJ$4</f>
        <v>186</v>
      </c>
      <c r="L4" s="97">
        <f>'[3]CSA Air'!$GJ$4</f>
        <v>0</v>
      </c>
      <c r="M4" s="97">
        <f>'[3]Mountain Cargo'!$GJ$4</f>
        <v>17</v>
      </c>
      <c r="N4" s="97">
        <f>'[3]Misc Cargo'!$GJ$4</f>
        <v>0</v>
      </c>
      <c r="O4" s="172">
        <f>SUM(B4:N4)</f>
        <v>554</v>
      </c>
    </row>
    <row r="5" spans="1:18" x14ac:dyDescent="0.2">
      <c r="A5" s="38" t="s">
        <v>54</v>
      </c>
      <c r="B5" s="167">
        <f>[3]DHL!$GJ$5</f>
        <v>21</v>
      </c>
      <c r="C5" s="167">
        <f>'[3]Atlas Air'!$GJ$5</f>
        <v>31</v>
      </c>
      <c r="D5" s="167">
        <f>[3]FedEx!$GJ$5</f>
        <v>122</v>
      </c>
      <c r="E5" s="167">
        <f>[3]UPS!$GJ$5+[3]UPS!$GJ$16</f>
        <v>122</v>
      </c>
      <c r="F5" s="161"/>
      <c r="G5" s="98">
        <f>[3]ATI_BAX!$GJ$5</f>
        <v>0</v>
      </c>
      <c r="H5" s="167">
        <f>[3]Encore!$GJ$5</f>
        <v>40</v>
      </c>
      <c r="I5" s="167">
        <f>[3]IFL!$GJ$5</f>
        <v>15</v>
      </c>
      <c r="J5" s="98">
        <f>'[3]Suburban Air Freight'!$GJ$16</f>
        <v>0</v>
      </c>
      <c r="K5" s="98">
        <f>[3]Bemidji!$GJ$5</f>
        <v>186</v>
      </c>
      <c r="L5" s="98">
        <f>'[3]CSA Air'!$GJ$5</f>
        <v>0</v>
      </c>
      <c r="M5" s="98">
        <f>'[3]Mountain Cargo'!$GJ$5</f>
        <v>17</v>
      </c>
      <c r="N5" s="98">
        <f>'[3]Misc Cargo'!$GJ$5</f>
        <v>0</v>
      </c>
      <c r="O5" s="176">
        <f>SUM(B5:N5)</f>
        <v>554</v>
      </c>
    </row>
    <row r="6" spans="1:18" s="160" customFormat="1" x14ac:dyDescent="0.2">
      <c r="A6" s="173" t="s">
        <v>55</v>
      </c>
      <c r="B6" s="174">
        <f>SUM(B4:B5)</f>
        <v>42</v>
      </c>
      <c r="C6" s="174">
        <f>SUM(C4:C5)</f>
        <v>62</v>
      </c>
      <c r="D6" s="174">
        <f>SUM(D4:D5)</f>
        <v>244</v>
      </c>
      <c r="E6" s="174">
        <f>SUM(E4:E5)</f>
        <v>244</v>
      </c>
      <c r="F6" s="162"/>
      <c r="G6" s="95">
        <f t="shared" ref="G6:N6" si="0">SUM(G4:G5)</f>
        <v>0</v>
      </c>
      <c r="H6" s="174">
        <f>SUM(H4:H5)</f>
        <v>80</v>
      </c>
      <c r="I6" s="174">
        <f>SUM(I4:I5)</f>
        <v>30</v>
      </c>
      <c r="J6" s="95">
        <f t="shared" si="0"/>
        <v>0</v>
      </c>
      <c r="K6" s="95">
        <f t="shared" si="0"/>
        <v>372</v>
      </c>
      <c r="L6" s="95">
        <f t="shared" si="0"/>
        <v>0</v>
      </c>
      <c r="M6" s="95">
        <f t="shared" si="0"/>
        <v>34</v>
      </c>
      <c r="N6" s="95">
        <f t="shared" si="0"/>
        <v>0</v>
      </c>
      <c r="O6" s="175">
        <f>SUM(B6:N6)</f>
        <v>1108</v>
      </c>
    </row>
    <row r="7" spans="1:18" x14ac:dyDescent="0.2">
      <c r="A7" s="38"/>
      <c r="B7" s="134"/>
      <c r="C7" s="134"/>
      <c r="D7" s="134"/>
      <c r="E7" s="134"/>
      <c r="F7" s="161"/>
      <c r="G7" s="97"/>
      <c r="H7" s="134"/>
      <c r="I7" s="134"/>
      <c r="J7" s="97"/>
      <c r="K7" s="97"/>
      <c r="L7" s="97"/>
      <c r="M7" s="97"/>
      <c r="N7" s="97"/>
      <c r="O7" s="172"/>
    </row>
    <row r="8" spans="1:18" x14ac:dyDescent="0.2">
      <c r="A8" s="38" t="s">
        <v>56</v>
      </c>
      <c r="B8" s="134"/>
      <c r="C8" s="134"/>
      <c r="D8" s="134"/>
      <c r="E8" s="134"/>
      <c r="F8" s="161"/>
      <c r="G8" s="97"/>
      <c r="H8" s="134"/>
      <c r="I8" s="134"/>
      <c r="J8" s="97"/>
      <c r="K8" s="97"/>
      <c r="L8" s="97"/>
      <c r="M8" s="97"/>
      <c r="N8" s="97">
        <f>'[3]Misc Cargo'!$GJ$8</f>
        <v>0</v>
      </c>
      <c r="O8" s="172">
        <f>SUM(B8:N8)</f>
        <v>0</v>
      </c>
    </row>
    <row r="9" spans="1:18" ht="15" x14ac:dyDescent="0.25">
      <c r="A9" s="38" t="s">
        <v>57</v>
      </c>
      <c r="B9" s="167"/>
      <c r="C9" s="167"/>
      <c r="D9" s="167"/>
      <c r="E9" s="167"/>
      <c r="F9" s="161"/>
      <c r="G9" s="98"/>
      <c r="H9" s="167"/>
      <c r="I9" s="167"/>
      <c r="J9" s="98"/>
      <c r="K9" s="98"/>
      <c r="L9" s="98"/>
      <c r="M9" s="98"/>
      <c r="N9" s="98">
        <f>'[3]Misc Cargo'!$GJ$9</f>
        <v>0</v>
      </c>
      <c r="O9" s="176">
        <f>SUM(B9:N9)</f>
        <v>0</v>
      </c>
      <c r="R9" s="8"/>
    </row>
    <row r="10" spans="1:18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62"/>
      <c r="G10" s="95">
        <f t="shared" ref="G10:N10" si="1">SUM(G8:G9)</f>
        <v>0</v>
      </c>
      <c r="H10" s="174">
        <f>SUM(H8:H9)</f>
        <v>0</v>
      </c>
      <c r="I10" s="174">
        <f>SUM(I8:I9)</f>
        <v>0</v>
      </c>
      <c r="J10" s="95">
        <f t="shared" si="1"/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175">
        <f>SUM(B10:N10)</f>
        <v>0</v>
      </c>
    </row>
    <row r="11" spans="1:18" x14ac:dyDescent="0.2">
      <c r="A11" s="38"/>
      <c r="B11" s="134"/>
      <c r="C11" s="134"/>
      <c r="D11" s="134"/>
      <c r="E11" s="134"/>
      <c r="F11" s="161"/>
      <c r="G11" s="97"/>
      <c r="H11" s="134"/>
      <c r="I11" s="134"/>
      <c r="J11" s="97"/>
      <c r="K11" s="97"/>
      <c r="L11" s="97"/>
      <c r="M11" s="97"/>
      <c r="N11" s="97"/>
      <c r="O11" s="142"/>
    </row>
    <row r="12" spans="1:18" ht="18" customHeight="1" thickBot="1" x14ac:dyDescent="0.25">
      <c r="A12" s="177" t="s">
        <v>28</v>
      </c>
      <c r="B12" s="178">
        <f>B6+B10</f>
        <v>42</v>
      </c>
      <c r="C12" s="178">
        <f>C6+C10</f>
        <v>62</v>
      </c>
      <c r="D12" s="178">
        <f>D6+D10</f>
        <v>244</v>
      </c>
      <c r="E12" s="178">
        <f>E6+E10</f>
        <v>244</v>
      </c>
      <c r="F12" s="179"/>
      <c r="G12" s="180">
        <f t="shared" ref="G12:N12" si="2">G6+G10</f>
        <v>0</v>
      </c>
      <c r="H12" s="178">
        <f>H6+H10</f>
        <v>80</v>
      </c>
      <c r="I12" s="178">
        <f>I6+I10</f>
        <v>30</v>
      </c>
      <c r="J12" s="180">
        <f t="shared" si="2"/>
        <v>0</v>
      </c>
      <c r="K12" s="180">
        <f t="shared" si="2"/>
        <v>372</v>
      </c>
      <c r="L12" s="180">
        <f t="shared" si="2"/>
        <v>0</v>
      </c>
      <c r="M12" s="180">
        <f t="shared" si="2"/>
        <v>34</v>
      </c>
      <c r="N12" s="180">
        <f t="shared" si="2"/>
        <v>0</v>
      </c>
      <c r="O12" s="181">
        <f>SUM(B12:N12)</f>
        <v>1108</v>
      </c>
    </row>
    <row r="13" spans="1:18" ht="18" customHeight="1" thickBot="1" x14ac:dyDescent="0.25">
      <c r="A13" s="149"/>
      <c r="B13" s="163"/>
      <c r="C13" s="163"/>
      <c r="D13" s="163"/>
      <c r="E13" s="163"/>
      <c r="F13" s="164"/>
      <c r="G13" s="165"/>
      <c r="H13" s="163"/>
      <c r="I13" s="163"/>
      <c r="J13" s="165"/>
      <c r="K13" s="150"/>
      <c r="L13" s="150"/>
      <c r="M13" s="150"/>
      <c r="N13" s="150"/>
      <c r="O13" s="2"/>
    </row>
    <row r="14" spans="1:18" ht="15" x14ac:dyDescent="0.25">
      <c r="A14" s="182" t="s">
        <v>95</v>
      </c>
      <c r="B14" s="183"/>
      <c r="C14" s="183"/>
      <c r="D14" s="183"/>
      <c r="E14" s="183"/>
      <c r="F14" s="184"/>
      <c r="G14" s="147"/>
      <c r="H14" s="183"/>
      <c r="I14" s="183"/>
      <c r="J14" s="147"/>
      <c r="K14" s="63"/>
      <c r="L14" s="63"/>
      <c r="M14" s="63"/>
      <c r="N14" s="63"/>
      <c r="O14" s="185"/>
    </row>
    <row r="15" spans="1:18" x14ac:dyDescent="0.2">
      <c r="A15" s="186" t="s">
        <v>96</v>
      </c>
      <c r="B15" s="134"/>
      <c r="C15" s="134"/>
      <c r="D15" s="134"/>
      <c r="E15" s="134"/>
      <c r="F15" s="161"/>
      <c r="G15" s="97"/>
      <c r="H15" s="134"/>
      <c r="I15" s="134"/>
      <c r="J15" s="97"/>
      <c r="K15" s="2"/>
      <c r="L15" s="2"/>
      <c r="M15" s="2"/>
      <c r="N15" s="2"/>
      <c r="O15" s="151"/>
    </row>
    <row r="16" spans="1:18" x14ac:dyDescent="0.2">
      <c r="A16" s="38" t="s">
        <v>37</v>
      </c>
      <c r="B16" s="134">
        <f>[3]DHL!$GJ$47</f>
        <v>816508</v>
      </c>
      <c r="C16" s="134">
        <f>'[3]Atlas Air'!$GJ$47</f>
        <v>2187336</v>
      </c>
      <c r="D16" s="134">
        <f>[3]FedEx!$GJ$47</f>
        <v>8080873</v>
      </c>
      <c r="E16" s="134">
        <f>[3]UPS!$GJ$47</f>
        <v>6616335</v>
      </c>
      <c r="F16" s="161"/>
      <c r="G16" s="97">
        <f>[3]ATI_BAX!$GJ$47</f>
        <v>0</v>
      </c>
      <c r="H16" s="134">
        <f>[3]Encore!$GJ$47</f>
        <v>64468</v>
      </c>
      <c r="I16" s="134">
        <f>[3]IFL!$GJ$47</f>
        <v>36884</v>
      </c>
      <c r="J16" s="97">
        <f>'[3]Suburban Air Freight'!$GJ$47</f>
        <v>0</v>
      </c>
      <c r="K16" s="473" t="s">
        <v>88</v>
      </c>
      <c r="L16" s="97">
        <f>'[3]CSA Air'!$GJ$47</f>
        <v>0</v>
      </c>
      <c r="M16" s="97">
        <f>'[3]Mountain Cargo'!$GJ$47</f>
        <v>75837</v>
      </c>
      <c r="N16" s="97">
        <f>'[3]Misc Cargo'!$GJ$47</f>
        <v>0</v>
      </c>
      <c r="O16" s="172">
        <f>SUM(B16:J16)+SUM(L16:N16)</f>
        <v>17878241</v>
      </c>
    </row>
    <row r="17" spans="1:15" x14ac:dyDescent="0.2">
      <c r="A17" s="38" t="s">
        <v>38</v>
      </c>
      <c r="B17" s="134">
        <f>[3]DHL!$GJ$48</f>
        <v>0</v>
      </c>
      <c r="C17" s="134">
        <f>'[3]Atlas Air'!$GJ$48</f>
        <v>0</v>
      </c>
      <c r="D17" s="134">
        <f>[3]FedEx!$GJ$48</f>
        <v>0</v>
      </c>
      <c r="E17" s="134">
        <f>[3]UPS!$GJ$48</f>
        <v>0</v>
      </c>
      <c r="F17" s="161"/>
      <c r="G17" s="97">
        <f>[3]ATI_BAX!$GJ$48</f>
        <v>0</v>
      </c>
      <c r="H17" s="134">
        <f>[3]Encore!$GJ$48</f>
        <v>0</v>
      </c>
      <c r="I17" s="134">
        <f>[3]IFL!$GJ$48</f>
        <v>0</v>
      </c>
      <c r="J17" s="97">
        <f>'[3]Suburban Air Freight'!$GJ$48</f>
        <v>0</v>
      </c>
      <c r="K17" s="474"/>
      <c r="L17" s="97">
        <f>'[3]CSA Air'!$GJ$48</f>
        <v>0</v>
      </c>
      <c r="M17" s="97">
        <f>'[3]Mountain Cargo'!$GJ$48</f>
        <v>0</v>
      </c>
      <c r="N17" s="97">
        <f>'[3]Misc Cargo'!$GJ$48</f>
        <v>0</v>
      </c>
      <c r="O17" s="172">
        <f>SUM(B17:J17)+SUM(L17:N17)</f>
        <v>0</v>
      </c>
    </row>
    <row r="18" spans="1:15" ht="18" customHeight="1" x14ac:dyDescent="0.2">
      <c r="A18" s="187" t="s">
        <v>39</v>
      </c>
      <c r="B18" s="260">
        <f>SUM(B16:B17)</f>
        <v>816508</v>
      </c>
      <c r="C18" s="260">
        <f>SUM(C16:C17)</f>
        <v>2187336</v>
      </c>
      <c r="D18" s="260">
        <f>SUM(D16:D17)</f>
        <v>8080873</v>
      </c>
      <c r="E18" s="260">
        <f>SUM(E16:E17)</f>
        <v>6616335</v>
      </c>
      <c r="F18" s="166"/>
      <c r="G18" s="261">
        <f>SUM(G16:G17)</f>
        <v>0</v>
      </c>
      <c r="H18" s="260">
        <f>SUM(H16:H17)</f>
        <v>64468</v>
      </c>
      <c r="I18" s="260">
        <f>SUM(I16:I17)</f>
        <v>36884</v>
      </c>
      <c r="J18" s="261">
        <f>SUM(J16:J17)</f>
        <v>0</v>
      </c>
      <c r="K18" s="474"/>
      <c r="L18" s="261">
        <f>SUM(L16:L17)</f>
        <v>0</v>
      </c>
      <c r="M18" s="261">
        <f>SUM(M16:M17)</f>
        <v>75837</v>
      </c>
      <c r="N18" s="261">
        <f>SUM(N16:N17)</f>
        <v>0</v>
      </c>
      <c r="O18" s="188">
        <f>SUM(B18:J18)+SUM(L18:N18)</f>
        <v>17878241</v>
      </c>
    </row>
    <row r="19" spans="1:15" x14ac:dyDescent="0.2">
      <c r="A19" s="38"/>
      <c r="B19" s="134"/>
      <c r="C19" s="134"/>
      <c r="D19" s="134"/>
      <c r="E19" s="134"/>
      <c r="F19" s="161"/>
      <c r="G19" s="97"/>
      <c r="H19" s="134"/>
      <c r="I19" s="134"/>
      <c r="J19" s="97"/>
      <c r="K19" s="474"/>
      <c r="L19" s="97"/>
      <c r="M19" s="97"/>
      <c r="N19" s="97"/>
      <c r="O19" s="172"/>
    </row>
    <row r="20" spans="1:15" x14ac:dyDescent="0.2">
      <c r="A20" s="189" t="s">
        <v>89</v>
      </c>
      <c r="B20" s="134"/>
      <c r="C20" s="134"/>
      <c r="D20" s="134"/>
      <c r="E20" s="134"/>
      <c r="F20" s="161"/>
      <c r="G20" s="97"/>
      <c r="H20" s="134"/>
      <c r="I20" s="134"/>
      <c r="J20" s="97"/>
      <c r="K20" s="474"/>
      <c r="L20" s="97"/>
      <c r="M20" s="97"/>
      <c r="N20" s="97"/>
      <c r="O20" s="172"/>
    </row>
    <row r="21" spans="1:15" x14ac:dyDescent="0.2">
      <c r="A21" s="38" t="s">
        <v>59</v>
      </c>
      <c r="B21" s="134">
        <f>[3]DHL!$GJ$52</f>
        <v>472027</v>
      </c>
      <c r="C21" s="134">
        <f>'[3]Atlas Air'!$GJ$52</f>
        <v>744739</v>
      </c>
      <c r="D21" s="134">
        <f>[3]FedEx!$GJ$52</f>
        <v>7029295</v>
      </c>
      <c r="E21" s="134">
        <f>[3]UPS!$GJ$52</f>
        <v>5313453</v>
      </c>
      <c r="F21" s="161"/>
      <c r="G21" s="97">
        <f>[3]ATI_BAX!$GJ$52</f>
        <v>0</v>
      </c>
      <c r="H21" s="134">
        <f>[3]Encore!$GJ$52</f>
        <v>28522</v>
      </c>
      <c r="I21" s="134">
        <f>[3]IFL!$GJ$52</f>
        <v>0</v>
      </c>
      <c r="J21" s="97">
        <f>'[3]Suburban Air Freight'!$GJ$52</f>
        <v>0</v>
      </c>
      <c r="K21" s="474"/>
      <c r="L21" s="97">
        <f>'[3]CSA Air'!$GJ$52</f>
        <v>0</v>
      </c>
      <c r="M21" s="97">
        <f>'[3]Mountain Cargo'!$GJ$52</f>
        <v>38818</v>
      </c>
      <c r="N21" s="97">
        <f>'[3]Misc Cargo'!$GJ$52</f>
        <v>0</v>
      </c>
      <c r="O21" s="172">
        <f>SUM(B21:J21)+SUM(L21:N21)</f>
        <v>13626854</v>
      </c>
    </row>
    <row r="22" spans="1:15" x14ac:dyDescent="0.2">
      <c r="A22" s="38" t="s">
        <v>60</v>
      </c>
      <c r="B22" s="134">
        <f>[3]DHL!$GJ$53</f>
        <v>0</v>
      </c>
      <c r="C22" s="134">
        <f>'[3]Atlas Air'!$GJ$53</f>
        <v>0</v>
      </c>
      <c r="D22" s="134">
        <f>[3]FedEx!$GJ$53</f>
        <v>0</v>
      </c>
      <c r="E22" s="134">
        <f>[3]UPS!$GJ$53</f>
        <v>487574</v>
      </c>
      <c r="F22" s="161"/>
      <c r="G22" s="97">
        <f>[3]ATI_BAX!$GJ$53</f>
        <v>0</v>
      </c>
      <c r="H22" s="134">
        <f>[3]Encore!$GJ$53</f>
        <v>0</v>
      </c>
      <c r="I22" s="134">
        <f>[3]IFL!$GJ$53</f>
        <v>0</v>
      </c>
      <c r="J22" s="97">
        <f>'[3]Suburban Air Freight'!$GJ$53</f>
        <v>0</v>
      </c>
      <c r="K22" s="474"/>
      <c r="L22" s="97">
        <f>'[3]CSA Air'!$GJ$53</f>
        <v>0</v>
      </c>
      <c r="M22" s="97">
        <f>'[3]Mountain Cargo'!$GJ$53</f>
        <v>0</v>
      </c>
      <c r="N22" s="97">
        <f>'[3]Misc Cargo'!$GJ$53</f>
        <v>0</v>
      </c>
      <c r="O22" s="172">
        <f>SUM(B22:J22)+SUM(L22:N22)</f>
        <v>487574</v>
      </c>
    </row>
    <row r="23" spans="1:15" ht="18" customHeight="1" x14ac:dyDescent="0.2">
      <c r="A23" s="187" t="s">
        <v>41</v>
      </c>
      <c r="B23" s="260">
        <f>SUM(B21:B22)</f>
        <v>472027</v>
      </c>
      <c r="C23" s="260">
        <f>SUM(C21:C22)</f>
        <v>744739</v>
      </c>
      <c r="D23" s="260">
        <f>SUM(D21:D22)</f>
        <v>7029295</v>
      </c>
      <c r="E23" s="260">
        <f>SUM(E21:E22)</f>
        <v>5801027</v>
      </c>
      <c r="F23" s="166"/>
      <c r="G23" s="261">
        <f>SUM(G21:G22)</f>
        <v>0</v>
      </c>
      <c r="H23" s="260">
        <f>SUM(H21:H22)</f>
        <v>28522</v>
      </c>
      <c r="I23" s="260">
        <f>SUM(I21:I22)</f>
        <v>0</v>
      </c>
      <c r="J23" s="261">
        <f>SUM(J21:J22)</f>
        <v>0</v>
      </c>
      <c r="K23" s="474"/>
      <c r="L23" s="261">
        <f>SUM(L21:L22)</f>
        <v>0</v>
      </c>
      <c r="M23" s="261">
        <f>SUM(M21:M22)</f>
        <v>38818</v>
      </c>
      <c r="N23" s="261">
        <f>SUM(N21:N22)</f>
        <v>0</v>
      </c>
      <c r="O23" s="188">
        <f>SUM(B23:J23)+SUM(L23:N23)</f>
        <v>14114428</v>
      </c>
    </row>
    <row r="24" spans="1:15" x14ac:dyDescent="0.2">
      <c r="A24" s="38"/>
      <c r="B24" s="134"/>
      <c r="C24" s="134"/>
      <c r="D24" s="134"/>
      <c r="E24" s="134"/>
      <c r="F24" s="161"/>
      <c r="G24" s="97"/>
      <c r="H24" s="134"/>
      <c r="I24" s="134"/>
      <c r="J24" s="97"/>
      <c r="K24" s="474"/>
      <c r="L24" s="97"/>
      <c r="M24" s="97"/>
      <c r="N24" s="97"/>
      <c r="O24" s="172"/>
    </row>
    <row r="25" spans="1:15" x14ac:dyDescent="0.2">
      <c r="A25" s="189" t="s">
        <v>97</v>
      </c>
      <c r="B25" s="134"/>
      <c r="C25" s="134"/>
      <c r="D25" s="134"/>
      <c r="E25" s="134"/>
      <c r="F25" s="161"/>
      <c r="G25" s="97"/>
      <c r="H25" s="134"/>
      <c r="I25" s="134"/>
      <c r="J25" s="97"/>
      <c r="K25" s="474"/>
      <c r="L25" s="97"/>
      <c r="M25" s="97"/>
      <c r="N25" s="97"/>
      <c r="O25" s="172"/>
    </row>
    <row r="26" spans="1:15" x14ac:dyDescent="0.2">
      <c r="A26" s="38" t="s">
        <v>59</v>
      </c>
      <c r="B26" s="134">
        <f>[3]DHL!$GJ$57</f>
        <v>0</v>
      </c>
      <c r="C26" s="134">
        <f>'[3]Atlas Air'!$GJ$57</f>
        <v>0</v>
      </c>
      <c r="D26" s="134">
        <f>[3]FedEx!$GJ$57</f>
        <v>0</v>
      </c>
      <c r="E26" s="134">
        <f>[3]UPS!$GJ$57</f>
        <v>0</v>
      </c>
      <c r="F26" s="161"/>
      <c r="G26" s="97">
        <f>[3]ATI_BAX!$GJ$57</f>
        <v>0</v>
      </c>
      <c r="H26" s="134">
        <f>[3]Encore!$GJ$57</f>
        <v>0</v>
      </c>
      <c r="I26" s="134">
        <f>[3]IFL!$GJ$57</f>
        <v>0</v>
      </c>
      <c r="J26" s="97">
        <f>'[3]Suburban Air Freight'!$GJ$57</f>
        <v>0</v>
      </c>
      <c r="K26" s="474"/>
      <c r="L26" s="97">
        <f>'[3]CSA Air'!$GJ$57</f>
        <v>0</v>
      </c>
      <c r="M26" s="97">
        <f>'[3]Mountain Cargo'!$GJ$57</f>
        <v>0</v>
      </c>
      <c r="N26" s="97">
        <f>'[3]Misc Cargo'!$GJ$57</f>
        <v>0</v>
      </c>
      <c r="O26" s="172">
        <f>SUM(B26:J26)+SUM(L26:N26)</f>
        <v>0</v>
      </c>
    </row>
    <row r="27" spans="1:15" x14ac:dyDescent="0.2">
      <c r="A27" s="38" t="s">
        <v>60</v>
      </c>
      <c r="B27" s="134">
        <f>[3]DHL!$GJ$58</f>
        <v>0</v>
      </c>
      <c r="C27" s="134">
        <f>'[3]Atlas Air'!$GJ$58</f>
        <v>0</v>
      </c>
      <c r="D27" s="134">
        <f>[3]FedEx!$GJ$58</f>
        <v>0</v>
      </c>
      <c r="E27" s="134">
        <f>[3]UPS!$GJ$58</f>
        <v>0</v>
      </c>
      <c r="F27" s="161"/>
      <c r="G27" s="97">
        <f>[3]ATI_BAX!$GJ$58</f>
        <v>0</v>
      </c>
      <c r="H27" s="134">
        <f>[3]Encore!$GJ$58</f>
        <v>0</v>
      </c>
      <c r="I27" s="134">
        <f>[3]IFL!$GJ$58</f>
        <v>0</v>
      </c>
      <c r="J27" s="97">
        <f>'[3]Suburban Air Freight'!$GJ$58</f>
        <v>0</v>
      </c>
      <c r="K27" s="474"/>
      <c r="L27" s="97">
        <f>'[3]CSA Air'!$GJ$58</f>
        <v>0</v>
      </c>
      <c r="M27" s="97">
        <f>'[3]Mountain Cargo'!$GJ$58</f>
        <v>0</v>
      </c>
      <c r="N27" s="97">
        <f>'[3]Misc Cargo'!$GJ$58</f>
        <v>0</v>
      </c>
      <c r="O27" s="172">
        <f>SUM(B27:J27)+SUM(L27:N27)</f>
        <v>0</v>
      </c>
    </row>
    <row r="28" spans="1:15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166"/>
      <c r="G28" s="261">
        <f>SUM(G26:G27)</f>
        <v>0</v>
      </c>
      <c r="H28" s="260">
        <f>SUM(H26:H27)</f>
        <v>0</v>
      </c>
      <c r="I28" s="260">
        <f>SUM(I26:I27)</f>
        <v>0</v>
      </c>
      <c r="J28" s="261">
        <f>SUM(J26:J27)</f>
        <v>0</v>
      </c>
      <c r="K28" s="474"/>
      <c r="L28" s="261">
        <f>SUM(L26:L27)</f>
        <v>0</v>
      </c>
      <c r="M28" s="261">
        <f>SUM(M26:M27)</f>
        <v>0</v>
      </c>
      <c r="N28" s="261">
        <f>SUM(N26:N27)</f>
        <v>0</v>
      </c>
      <c r="O28" s="188">
        <f>SUM(B28:J28)+SUM(L28:N28)</f>
        <v>0</v>
      </c>
    </row>
    <row r="29" spans="1:15" x14ac:dyDescent="0.2">
      <c r="A29" s="38"/>
      <c r="B29" s="134"/>
      <c r="C29" s="134"/>
      <c r="D29" s="134"/>
      <c r="E29" s="134"/>
      <c r="F29" s="161"/>
      <c r="G29" s="97"/>
      <c r="H29" s="134"/>
      <c r="I29" s="134"/>
      <c r="J29" s="97"/>
      <c r="K29" s="474"/>
      <c r="L29" s="97"/>
      <c r="M29" s="97"/>
      <c r="N29" s="97"/>
      <c r="O29" s="172"/>
    </row>
    <row r="30" spans="1:15" x14ac:dyDescent="0.2">
      <c r="A30" s="190" t="s">
        <v>44</v>
      </c>
      <c r="B30" s="134"/>
      <c r="C30" s="134"/>
      <c r="D30" s="134"/>
      <c r="E30" s="134"/>
      <c r="F30" s="161"/>
      <c r="G30" s="97"/>
      <c r="H30" s="134"/>
      <c r="I30" s="134"/>
      <c r="J30" s="97"/>
      <c r="K30" s="474"/>
      <c r="L30" s="97"/>
      <c r="M30" s="97"/>
      <c r="N30" s="97"/>
      <c r="O30" s="172"/>
    </row>
    <row r="31" spans="1:15" x14ac:dyDescent="0.2">
      <c r="A31" s="38" t="s">
        <v>90</v>
      </c>
      <c r="B31" s="134">
        <f t="shared" ref="B31:E33" si="3">B26+B21+B16</f>
        <v>1288535</v>
      </c>
      <c r="C31" s="134">
        <f t="shared" ref="C31" si="4">C26+C21+C16</f>
        <v>2932075</v>
      </c>
      <c r="D31" s="134">
        <f t="shared" si="3"/>
        <v>15110168</v>
      </c>
      <c r="E31" s="134">
        <f t="shared" si="3"/>
        <v>11929788</v>
      </c>
      <c r="F31" s="161"/>
      <c r="G31" s="97">
        <f t="shared" ref="G31:J33" si="5">G26+G21+G16</f>
        <v>0</v>
      </c>
      <c r="H31" s="134">
        <f t="shared" ref="H31" si="6">H26+H21+H16</f>
        <v>92990</v>
      </c>
      <c r="I31" s="134">
        <f t="shared" si="5"/>
        <v>36884</v>
      </c>
      <c r="J31" s="97">
        <f t="shared" si="5"/>
        <v>0</v>
      </c>
      <c r="K31" s="474"/>
      <c r="L31" s="97">
        <f t="shared" ref="L31:N33" si="7">L26+L21+L16</f>
        <v>0</v>
      </c>
      <c r="M31" s="97">
        <f t="shared" si="7"/>
        <v>114655</v>
      </c>
      <c r="N31" s="97">
        <f>N26+N21+N16</f>
        <v>0</v>
      </c>
      <c r="O31" s="172">
        <f>SUM(B31:J31)+SUM(L31:N31)</f>
        <v>31505095</v>
      </c>
    </row>
    <row r="32" spans="1:15" x14ac:dyDescent="0.2">
      <c r="A32" s="38" t="s">
        <v>60</v>
      </c>
      <c r="B32" s="134">
        <f t="shared" si="3"/>
        <v>0</v>
      </c>
      <c r="C32" s="134">
        <f t="shared" ref="C32" si="8">C27+C22+C17</f>
        <v>0</v>
      </c>
      <c r="D32" s="134">
        <f t="shared" si="3"/>
        <v>0</v>
      </c>
      <c r="E32" s="134">
        <f t="shared" si="3"/>
        <v>487574</v>
      </c>
      <c r="F32" s="161"/>
      <c r="G32" s="97">
        <f t="shared" si="5"/>
        <v>0</v>
      </c>
      <c r="H32" s="134">
        <f t="shared" ref="H32" si="9">H27+H22+H17</f>
        <v>0</v>
      </c>
      <c r="I32" s="134">
        <f t="shared" si="5"/>
        <v>0</v>
      </c>
      <c r="J32" s="97">
        <f t="shared" si="5"/>
        <v>0</v>
      </c>
      <c r="K32" s="475"/>
      <c r="L32" s="97">
        <f t="shared" si="7"/>
        <v>0</v>
      </c>
      <c r="M32" s="97">
        <f t="shared" si="7"/>
        <v>0</v>
      </c>
      <c r="N32" s="97">
        <f>N27+N22+N17</f>
        <v>0</v>
      </c>
      <c r="O32" s="176">
        <f>SUM(B32:J32)+SUM(L32:N32)</f>
        <v>487574</v>
      </c>
    </row>
    <row r="33" spans="1:15" ht="18" customHeight="1" thickBot="1" x14ac:dyDescent="0.25">
      <c r="A33" s="177" t="s">
        <v>46</v>
      </c>
      <c r="B33" s="178">
        <f t="shared" si="3"/>
        <v>1288535</v>
      </c>
      <c r="C33" s="178">
        <f t="shared" ref="C33" si="10">C28+C23+C18</f>
        <v>2932075</v>
      </c>
      <c r="D33" s="178">
        <f t="shared" si="3"/>
        <v>15110168</v>
      </c>
      <c r="E33" s="178">
        <f t="shared" si="3"/>
        <v>12417362</v>
      </c>
      <c r="F33" s="191"/>
      <c r="G33" s="180">
        <f t="shared" si="5"/>
        <v>0</v>
      </c>
      <c r="H33" s="178">
        <f t="shared" ref="H33" si="11">H28+H23+H18</f>
        <v>92990</v>
      </c>
      <c r="I33" s="178">
        <f t="shared" si="5"/>
        <v>36884</v>
      </c>
      <c r="J33" s="180">
        <f t="shared" si="5"/>
        <v>0</v>
      </c>
      <c r="K33" s="262">
        <f>K28+K23+K18</f>
        <v>0</v>
      </c>
      <c r="L33" s="180">
        <f t="shared" si="7"/>
        <v>0</v>
      </c>
      <c r="M33" s="180">
        <f t="shared" si="7"/>
        <v>114655</v>
      </c>
      <c r="N33" s="180">
        <f t="shared" si="7"/>
        <v>0</v>
      </c>
      <c r="O33" s="181">
        <f>SUM(B33:J33)+SUM(L33:N33)</f>
        <v>31992669</v>
      </c>
    </row>
    <row r="34" spans="1: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</row>
    <row r="35" spans="1:15" x14ac:dyDescent="0.2">
      <c r="A35" t="s">
        <v>91</v>
      </c>
      <c r="B35" s="2"/>
      <c r="C35" s="2"/>
      <c r="D35" s="2"/>
      <c r="E35" s="2"/>
      <c r="F35" s="2"/>
    </row>
    <row r="36" spans="1:15" x14ac:dyDescent="0.2">
      <c r="A36" t="s">
        <v>92</v>
      </c>
    </row>
    <row r="37" spans="1:15" x14ac:dyDescent="0.2">
      <c r="A37" t="s">
        <v>93</v>
      </c>
    </row>
    <row r="43" spans="1:15" ht="15" x14ac:dyDescent="0.25">
      <c r="K43" s="44"/>
    </row>
  </sheetData>
  <mergeCells count="3">
    <mergeCell ref="K16:K32"/>
    <mergeCell ref="B1:E1"/>
    <mergeCell ref="G1:N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September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43709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217</v>
      </c>
      <c r="G2" s="60" t="s">
        <v>208</v>
      </c>
      <c r="H2" s="61" t="s">
        <v>66</v>
      </c>
      <c r="I2" s="62" t="s">
        <v>213</v>
      </c>
      <c r="J2" s="62" t="s">
        <v>199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3388058</v>
      </c>
      <c r="C5" s="97">
        <f>'Regional Major'!M25</f>
        <v>2547</v>
      </c>
      <c r="D5" s="97">
        <f>Cargo!O16</f>
        <v>17878241</v>
      </c>
      <c r="E5" s="97">
        <f>SUM(B5:D5)</f>
        <v>21268846</v>
      </c>
      <c r="F5" s="97">
        <f>E5*0.00045359237</f>
        <v>9647.3862643050197</v>
      </c>
      <c r="G5" s="97">
        <f>'[1]Cargo Summary'!F5</f>
        <v>10651.024700231299</v>
      </c>
      <c r="H5" s="79">
        <f>(F5-G5)/G5</f>
        <v>-9.4229284427862062E-2</v>
      </c>
      <c r="I5" s="97">
        <f>+F5+'[2]Cargo Summary'!I5</f>
        <v>82357.223953249631</v>
      </c>
      <c r="J5" s="97">
        <f>'[1]Cargo Summary'!I5</f>
        <v>88741.934815100482</v>
      </c>
      <c r="K5" s="67">
        <f>(I5-J5)/J5</f>
        <v>-7.1946942278797554E-2</v>
      </c>
      <c r="M5" s="26"/>
    </row>
    <row r="6" spans="1:18" x14ac:dyDescent="0.2">
      <c r="A6" s="47" t="s">
        <v>16</v>
      </c>
      <c r="B6" s="141">
        <f>'Major Airline Stats'!K29</f>
        <v>2031212</v>
      </c>
      <c r="C6" s="97">
        <f>'Regional Major'!M26</f>
        <v>0</v>
      </c>
      <c r="D6" s="97">
        <f>Cargo!O17</f>
        <v>0</v>
      </c>
      <c r="E6" s="97">
        <f>SUM(B6:D6)</f>
        <v>2031212</v>
      </c>
      <c r="F6" s="97">
        <f>E6*0.00045359237</f>
        <v>921.34226505243998</v>
      </c>
      <c r="G6" s="97">
        <f>'[1]Cargo Summary'!F6</f>
        <v>764.33988443196995</v>
      </c>
      <c r="H6" s="3">
        <f>(F6-G6)/G6</f>
        <v>0.20540911683177254</v>
      </c>
      <c r="I6" s="97">
        <f>+F6+'[2]Cargo Summary'!I6</f>
        <v>7652.2112368840608</v>
      </c>
      <c r="J6" s="97">
        <f>'[1]Cargo Summary'!I6</f>
        <v>7628.976874915551</v>
      </c>
      <c r="K6" s="67">
        <f>(I6-J6)/J6</f>
        <v>3.0455410141437865E-3</v>
      </c>
      <c r="M6" s="26"/>
    </row>
    <row r="7" spans="1:18" ht="18" customHeight="1" thickBot="1" x14ac:dyDescent="0.25">
      <c r="A7" s="56" t="s">
        <v>72</v>
      </c>
      <c r="B7" s="143">
        <f>SUM(B5:B6)</f>
        <v>5419270</v>
      </c>
      <c r="C7" s="107">
        <f t="shared" ref="C7:J7" si="0">SUM(C5:C6)</f>
        <v>2547</v>
      </c>
      <c r="D7" s="107">
        <f t="shared" si="0"/>
        <v>17878241</v>
      </c>
      <c r="E7" s="107">
        <f t="shared" si="0"/>
        <v>23300058</v>
      </c>
      <c r="F7" s="107">
        <f t="shared" si="0"/>
        <v>10568.728529357461</v>
      </c>
      <c r="G7" s="107">
        <f t="shared" si="0"/>
        <v>11415.364584663268</v>
      </c>
      <c r="H7" s="29">
        <f>(F7-G7)/G7</f>
        <v>-7.4166361400605382E-2</v>
      </c>
      <c r="I7" s="107">
        <f t="shared" si="0"/>
        <v>90009.435190133692</v>
      </c>
      <c r="J7" s="107">
        <f t="shared" si="0"/>
        <v>96370.91169001603</v>
      </c>
      <c r="K7" s="275">
        <f>(I7-J7)/J7</f>
        <v>-6.6010338475830599E-2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1301143</v>
      </c>
      <c r="C10" s="97">
        <f>'Regional Major'!M30</f>
        <v>3293</v>
      </c>
      <c r="D10" s="97">
        <f>Cargo!O21</f>
        <v>13626854</v>
      </c>
      <c r="E10" s="97">
        <f>SUM(B10:D10)</f>
        <v>14931290</v>
      </c>
      <c r="F10" s="97">
        <f>E10*0.00045359237</f>
        <v>6772.7192182572999</v>
      </c>
      <c r="G10" s="97">
        <f>'[1]Cargo Summary'!F10</f>
        <v>8164.2272113248</v>
      </c>
      <c r="H10" s="3">
        <f>(F10-G10)/G10</f>
        <v>-0.17043964566999131</v>
      </c>
      <c r="I10" s="97">
        <f>+F10+'[2]Cargo Summary'!I10</f>
        <v>67293.405469816673</v>
      </c>
      <c r="J10" s="97">
        <f>'[1]Cargo Summary'!I10</f>
        <v>69561.438987411137</v>
      </c>
      <c r="K10" s="67">
        <f>(I10-J10)/J10</f>
        <v>-3.2604752728087188E-2</v>
      </c>
      <c r="M10" s="26"/>
    </row>
    <row r="11" spans="1:18" x14ac:dyDescent="0.2">
      <c r="A11" s="47" t="s">
        <v>16</v>
      </c>
      <c r="B11" s="141">
        <f>'Major Airline Stats'!K34</f>
        <v>2030105</v>
      </c>
      <c r="C11" s="97">
        <f>'Regional Major'!M31</f>
        <v>780</v>
      </c>
      <c r="D11" s="97">
        <f>Cargo!O22</f>
        <v>487574</v>
      </c>
      <c r="E11" s="97">
        <f>SUM(B11:D11)</f>
        <v>2518459</v>
      </c>
      <c r="F11" s="97">
        <f>E11*0.00045359237</f>
        <v>1142.3537865578301</v>
      </c>
      <c r="G11" s="97">
        <f>'[1]Cargo Summary'!F11</f>
        <v>937.20166867711998</v>
      </c>
      <c r="H11" s="26">
        <f>(F11-G11)/G11</f>
        <v>0.21889858366373444</v>
      </c>
      <c r="I11" s="97">
        <f>+F11+'[2]Cargo Summary'!I11</f>
        <v>10742.968327222668</v>
      </c>
      <c r="J11" s="97">
        <f>'[1]Cargo Summary'!I11</f>
        <v>11056.89869931493</v>
      </c>
      <c r="K11" s="67">
        <f>(I11-J11)/J11</f>
        <v>-2.8392262661474175E-2</v>
      </c>
      <c r="M11" s="26"/>
    </row>
    <row r="12" spans="1:18" ht="18" customHeight="1" thickBot="1" x14ac:dyDescent="0.25">
      <c r="A12" s="56" t="s">
        <v>73</v>
      </c>
      <c r="B12" s="143">
        <f>SUM(B10:B11)</f>
        <v>3331248</v>
      </c>
      <c r="C12" s="107">
        <f t="shared" ref="C12:J12" si="1">SUM(C10:C11)</f>
        <v>4073</v>
      </c>
      <c r="D12" s="107">
        <f t="shared" si="1"/>
        <v>14114428</v>
      </c>
      <c r="E12" s="107">
        <f t="shared" si="1"/>
        <v>17449749</v>
      </c>
      <c r="F12" s="107">
        <f t="shared" si="1"/>
        <v>7915.0730048151299</v>
      </c>
      <c r="G12" s="107">
        <f t="shared" si="1"/>
        <v>9101.4288800019203</v>
      </c>
      <c r="H12" s="29">
        <f>(F12-G12)/G12</f>
        <v>-0.13034831023000204</v>
      </c>
      <c r="I12" s="107">
        <f t="shared" si="1"/>
        <v>78036.373797039341</v>
      </c>
      <c r="J12" s="107">
        <f t="shared" si="1"/>
        <v>80618.337686726067</v>
      </c>
      <c r="K12" s="275">
        <f>(I12-J12)/J12</f>
        <v>-3.2027004820168223E-2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Cargo!O26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Cargo!O27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4689201</v>
      </c>
      <c r="C20" s="97">
        <f t="shared" si="3"/>
        <v>5840</v>
      </c>
      <c r="D20" s="97">
        <f t="shared" si="3"/>
        <v>31505095</v>
      </c>
      <c r="E20" s="97">
        <f>SUM(B20:D20)</f>
        <v>36200136</v>
      </c>
      <c r="F20" s="97">
        <f>E20*0.00045359237</f>
        <v>16420.105482562318</v>
      </c>
      <c r="G20" s="97">
        <f>'[1]Cargo Summary'!F20</f>
        <v>18815.251911556101</v>
      </c>
      <c r="H20" s="3">
        <f>(F20-G20)/G20</f>
        <v>-0.12729813240091209</v>
      </c>
      <c r="I20" s="97">
        <f>+I5+I10+I15</f>
        <v>149650.6294230663</v>
      </c>
      <c r="J20" s="97">
        <f>+J5+J10+J15</f>
        <v>158303.3738025116</v>
      </c>
      <c r="K20" s="67">
        <f>(I20-J20)/J20</f>
        <v>-5.4659254389864541E-2</v>
      </c>
      <c r="M20" s="26"/>
    </row>
    <row r="21" spans="1:13" x14ac:dyDescent="0.2">
      <c r="A21" s="47" t="s">
        <v>16</v>
      </c>
      <c r="B21" s="141">
        <f t="shared" si="3"/>
        <v>4061317</v>
      </c>
      <c r="C21" s="98">
        <f t="shared" si="3"/>
        <v>780</v>
      </c>
      <c r="D21" s="98">
        <f t="shared" si="3"/>
        <v>487574</v>
      </c>
      <c r="E21" s="97">
        <f>SUM(B21:D21)</f>
        <v>4549671</v>
      </c>
      <c r="F21" s="97">
        <f>E21*0.00045359237</f>
        <v>2063.6960516102699</v>
      </c>
      <c r="G21" s="97">
        <f>'[1]Cargo Summary'!F21</f>
        <v>1701.54155310909</v>
      </c>
      <c r="H21" s="3">
        <f>(F21-G21)/G21</f>
        <v>0.21283905634831196</v>
      </c>
      <c r="I21" s="97">
        <f>+I6+I11+I16</f>
        <v>18395.179564106729</v>
      </c>
      <c r="J21" s="97">
        <f>+J6+J11+J16</f>
        <v>18685.875574230482</v>
      </c>
      <c r="K21" s="67">
        <f>(I21-J21)/J21</f>
        <v>-1.555699164157172E-2</v>
      </c>
      <c r="M21" s="26"/>
    </row>
    <row r="22" spans="1:13" ht="18" customHeight="1" thickBot="1" x14ac:dyDescent="0.25">
      <c r="A22" s="69" t="s">
        <v>62</v>
      </c>
      <c r="B22" s="144">
        <f>SUM(B20:B21)</f>
        <v>8750518</v>
      </c>
      <c r="C22" s="145">
        <f t="shared" ref="C22:J22" si="4">SUM(C20:C21)</f>
        <v>6620</v>
      </c>
      <c r="D22" s="145">
        <f t="shared" si="4"/>
        <v>31992669</v>
      </c>
      <c r="E22" s="145">
        <f t="shared" si="4"/>
        <v>40749807</v>
      </c>
      <c r="F22" s="145">
        <f t="shared" si="4"/>
        <v>18483.801534172588</v>
      </c>
      <c r="G22" s="145">
        <f t="shared" si="4"/>
        <v>20516.793464665192</v>
      </c>
      <c r="H22" s="281">
        <f>(F22-G22)/G22</f>
        <v>-9.9089164883094466E-2</v>
      </c>
      <c r="I22" s="145">
        <f t="shared" si="4"/>
        <v>168045.80898717302</v>
      </c>
      <c r="J22" s="145">
        <f t="shared" si="4"/>
        <v>176989.24937674208</v>
      </c>
      <c r="K22" s="282">
        <f>(I22-J22)/J22</f>
        <v>-5.0530980955413377E-2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September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A9" sqref="A9:XFD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6" t="s">
        <v>194</v>
      </c>
      <c r="B2" s="487"/>
      <c r="C2" s="388" t="s">
        <v>220</v>
      </c>
      <c r="D2" s="390" t="s">
        <v>203</v>
      </c>
      <c r="E2" s="391" t="s">
        <v>98</v>
      </c>
      <c r="F2" s="392" t="s">
        <v>221</v>
      </c>
      <c r="G2" s="390" t="s">
        <v>204</v>
      </c>
      <c r="H2" s="389" t="s">
        <v>99</v>
      </c>
      <c r="I2" s="391" t="s">
        <v>140</v>
      </c>
      <c r="J2" s="486" t="s">
        <v>189</v>
      </c>
      <c r="K2" s="487"/>
      <c r="L2" s="388" t="s">
        <v>222</v>
      </c>
      <c r="M2" s="390" t="s">
        <v>205</v>
      </c>
      <c r="N2" s="393" t="s">
        <v>99</v>
      </c>
      <c r="O2" s="394" t="s">
        <v>223</v>
      </c>
      <c r="P2" s="394" t="s">
        <v>206</v>
      </c>
      <c r="Q2" s="421" t="s">
        <v>99</v>
      </c>
      <c r="R2" s="391" t="s">
        <v>224</v>
      </c>
    </row>
    <row r="3" spans="1:18" s="9" customFormat="1" ht="13.5" customHeight="1" thickBot="1" x14ac:dyDescent="0.25">
      <c r="A3" s="488">
        <v>43709</v>
      </c>
      <c r="B3" s="489"/>
      <c r="C3" s="490" t="s">
        <v>9</v>
      </c>
      <c r="D3" s="491"/>
      <c r="E3" s="491"/>
      <c r="F3" s="491"/>
      <c r="G3" s="491"/>
      <c r="H3" s="492"/>
      <c r="I3" s="395"/>
      <c r="J3" s="488">
        <f>+A3</f>
        <v>43709</v>
      </c>
      <c r="K3" s="489"/>
      <c r="L3" s="480" t="s">
        <v>190</v>
      </c>
      <c r="M3" s="481"/>
      <c r="N3" s="481"/>
      <c r="O3" s="481"/>
      <c r="P3" s="481"/>
      <c r="Q3" s="481"/>
      <c r="R3" s="482"/>
    </row>
    <row r="4" spans="1:18" x14ac:dyDescent="0.2">
      <c r="A4" s="299"/>
      <c r="B4" s="300"/>
      <c r="C4" s="301"/>
      <c r="D4" s="302"/>
      <c r="E4" s="303"/>
      <c r="F4" s="396"/>
      <c r="G4" s="302"/>
      <c r="H4" s="412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191</v>
      </c>
      <c r="B5" s="40"/>
      <c r="C5" s="307">
        <f>+[3]DHL!$GJ$19</f>
        <v>42</v>
      </c>
      <c r="D5" s="150">
        <f>+[3]DHL!$FV$19</f>
        <v>40</v>
      </c>
      <c r="E5" s="309">
        <f>(C5-D5)/D5</f>
        <v>0.05</v>
      </c>
      <c r="F5" s="307">
        <f>+SUM([3]DHL!$GB$12:$GJ$12)</f>
        <v>379</v>
      </c>
      <c r="G5" s="150">
        <f>+SUM([3]DHL!$FN$12:$FV$12)</f>
        <v>366</v>
      </c>
      <c r="H5" s="308">
        <f>(F5-G5)/G5</f>
        <v>3.5519125683060107E-2</v>
      </c>
      <c r="I5" s="309">
        <f>+F5/$F$28</f>
        <v>3.6953978159126363E-2</v>
      </c>
      <c r="J5" s="306" t="s">
        <v>191</v>
      </c>
      <c r="K5" s="40"/>
      <c r="L5" s="307">
        <f>+[3]DHL!$GJ$64</f>
        <v>1288535</v>
      </c>
      <c r="M5" s="150">
        <f>+[3]DHL!$FV$64</f>
        <v>1247787</v>
      </c>
      <c r="N5" s="309">
        <f>(L5-M5)/M5</f>
        <v>3.2656214562261025E-2</v>
      </c>
      <c r="O5" s="307">
        <f>+SUM([3]DHL!$GB$64:$GJ$64)</f>
        <v>11649340</v>
      </c>
      <c r="P5" s="150">
        <f>+SUM([3]DHL!$FN$64:$FV$64)</f>
        <v>11217373</v>
      </c>
      <c r="Q5" s="308">
        <f>(O5-P5)/P5</f>
        <v>3.8508748884431322E-2</v>
      </c>
      <c r="R5" s="309">
        <f>O5/$O$28</f>
        <v>4.2097594437888033E-2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219</v>
      </c>
      <c r="B7" s="40"/>
      <c r="C7" s="307">
        <f>+'[3]Atlas Air'!$GJ$19</f>
        <v>62</v>
      </c>
      <c r="D7" s="150">
        <f>+'[3]Atlas Air'!$FV$19</f>
        <v>64</v>
      </c>
      <c r="E7" s="309">
        <f>(C7-D7)/D7</f>
        <v>-3.125E-2</v>
      </c>
      <c r="F7" s="307">
        <f>+SUM('[3]Atlas Air'!$GB$12:$GJ$12)</f>
        <v>544</v>
      </c>
      <c r="G7" s="150">
        <f>+SUM('[3]Atlas Air'!$FN$12:$FV$12)</f>
        <v>244</v>
      </c>
      <c r="H7" s="308">
        <f>(F7-G7)/G7</f>
        <v>1.2295081967213115</v>
      </c>
      <c r="I7" s="309">
        <f>+F7/$F$28</f>
        <v>5.3042121684867397E-2</v>
      </c>
      <c r="J7" s="306" t="s">
        <v>219</v>
      </c>
      <c r="K7" s="40"/>
      <c r="L7" s="307">
        <f>+'[3]Atlas Air'!$GJ$64</f>
        <v>2932075</v>
      </c>
      <c r="M7" s="150">
        <f>+'[3]Atlas Air'!$FV$64</f>
        <v>2219557</v>
      </c>
      <c r="N7" s="309">
        <f>(L7-M7)/M7</f>
        <v>0.3210181130739152</v>
      </c>
      <c r="O7" s="307">
        <f>+SUM('[3]Atlas Air'!$GB$64:$GJ$64)</f>
        <v>21396353</v>
      </c>
      <c r="P7" s="150">
        <f>+SUM('[3]Atlas Air'!$FN$64:$FV$64)</f>
        <v>8268074</v>
      </c>
      <c r="Q7" s="308">
        <f>(O7-P7)/P7</f>
        <v>1.5878279512254003</v>
      </c>
      <c r="R7" s="309">
        <f>O7/$O$28</f>
        <v>7.7320688643638946E-2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228</v>
      </c>
      <c r="B9" s="40"/>
      <c r="C9" s="307">
        <f>+[3]Encore!$GJ$19</f>
        <v>80</v>
      </c>
      <c r="D9" s="150">
        <f>+[3]Encore!$FV$19</f>
        <v>0</v>
      </c>
      <c r="E9" s="309" t="e">
        <f>(C9-D9)/D9</f>
        <v>#DIV/0!</v>
      </c>
      <c r="F9" s="307">
        <f>+SUM([3]Encore!$GB$12:$GJ$12)</f>
        <v>763</v>
      </c>
      <c r="G9" s="150">
        <f>+SUM([3]Encore!$FN$12:$FV$12)</f>
        <v>0</v>
      </c>
      <c r="H9" s="308" t="e">
        <f>(F9-G9)/G9</f>
        <v>#DIV/0!</v>
      </c>
      <c r="I9" s="309">
        <f>+F9/$F$28</f>
        <v>7.4395475819032761E-2</v>
      </c>
      <c r="J9" s="306" t="s">
        <v>228</v>
      </c>
      <c r="K9" s="40"/>
      <c r="L9" s="307">
        <f>+[3]Encore!$GJ$64</f>
        <v>92990</v>
      </c>
      <c r="M9" s="150">
        <f>+[3]Encore!$FV$64</f>
        <v>0</v>
      </c>
      <c r="N9" s="309" t="e">
        <f>(L9-M9)/M9</f>
        <v>#DIV/0!</v>
      </c>
      <c r="O9" s="307">
        <f>+SUM([3]Encore!$GB$64:$GJ$64)</f>
        <v>911718</v>
      </c>
      <c r="P9" s="150">
        <f>+SUM([3]Encore!$FN$64:$FV$64)</f>
        <v>0</v>
      </c>
      <c r="Q9" s="308" t="e">
        <f>(O9-P9)/P9</f>
        <v>#DIV/0!</v>
      </c>
      <c r="R9" s="309">
        <f>O9/$O$28</f>
        <v>3.2947046447028244E-3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192</v>
      </c>
      <c r="B11" s="40"/>
      <c r="C11" s="307">
        <f>+[3]FedEx!$GJ$19</f>
        <v>244</v>
      </c>
      <c r="D11" s="150">
        <f>+[3]FedEx!$FV$19</f>
        <v>252</v>
      </c>
      <c r="E11" s="309">
        <f>(C11-D11)/D11</f>
        <v>-3.1746031746031744E-2</v>
      </c>
      <c r="F11" s="307">
        <f>+SUM([3]FedEx!$GB$12:$GJ$12)</f>
        <v>2298</v>
      </c>
      <c r="G11" s="150">
        <f>+SUM([3]FedEx!$FN$12:$FV$12)</f>
        <v>2154</v>
      </c>
      <c r="H11" s="308">
        <f t="shared" ref="H11" si="0">(F11-G11)/G11</f>
        <v>6.6852367688022288E-2</v>
      </c>
      <c r="I11" s="309">
        <f>+F11/$F$28</f>
        <v>0.22406396255850233</v>
      </c>
      <c r="J11" s="306" t="s">
        <v>192</v>
      </c>
      <c r="K11" s="40"/>
      <c r="L11" s="307">
        <f>+[3]FedEx!$GJ$64</f>
        <v>15110168</v>
      </c>
      <c r="M11" s="150">
        <f>+[3]FedEx!$FV$64</f>
        <v>16515766</v>
      </c>
      <c r="N11" s="309">
        <f>(L11-M11)/M11</f>
        <v>-8.5106437085630787E-2</v>
      </c>
      <c r="O11" s="307">
        <f>+SUM([3]FedEx!$GB$64:$GJ$64)</f>
        <v>132939881</v>
      </c>
      <c r="P11" s="150">
        <f>+SUM([3]FedEx!$FN$64:$FV$64)</f>
        <v>151398043</v>
      </c>
      <c r="Q11" s="308">
        <f t="shared" ref="Q11" si="1">(O11-P11)/P11</f>
        <v>-0.12191810167585852</v>
      </c>
      <c r="R11" s="309">
        <f>O11/$O$28</f>
        <v>0.48040912145744707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83</v>
      </c>
      <c r="B13" s="40"/>
      <c r="C13" s="307">
        <f>+[3]UPS!$GJ$19</f>
        <v>244</v>
      </c>
      <c r="D13" s="150">
        <f>+[3]UPS!$FV$19</f>
        <v>236</v>
      </c>
      <c r="E13" s="309">
        <f>(C13-D13)/D13</f>
        <v>3.3898305084745763E-2</v>
      </c>
      <c r="F13" s="307">
        <f>+SUM([3]UPS!$GB$12:$GJ$12)</f>
        <v>2154</v>
      </c>
      <c r="G13" s="150">
        <f>+SUM([3]UPS!$FN$12:$FV$12)</f>
        <v>1848</v>
      </c>
      <c r="H13" s="308">
        <f>(F13-G13)/G13</f>
        <v>0.16558441558441558</v>
      </c>
      <c r="I13" s="309">
        <f>+F13/$F$28</f>
        <v>0.21002340093603744</v>
      </c>
      <c r="J13" s="306" t="s">
        <v>83</v>
      </c>
      <c r="K13" s="40"/>
      <c r="L13" s="307">
        <f>+[3]UPS!$GJ$64</f>
        <v>12417362</v>
      </c>
      <c r="M13" s="150">
        <f>+[3]UPS!$FV$64</f>
        <v>12368540</v>
      </c>
      <c r="N13" s="309">
        <f>(L13-M13)/M13</f>
        <v>3.9472726772925501E-3</v>
      </c>
      <c r="O13" s="307">
        <f>+SUM([3]UPS!$GB$64:$GJ$64)</f>
        <v>108280964</v>
      </c>
      <c r="P13" s="150">
        <f>+SUM([3]UPS!$FN$64:$FV$64)</f>
        <v>102336882</v>
      </c>
      <c r="Q13" s="308">
        <f>(O13-P13)/P13</f>
        <v>5.8083477665461805E-2</v>
      </c>
      <c r="R13" s="309">
        <f>O13/$O$28</f>
        <v>0.39129840040856856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183</v>
      </c>
      <c r="B15" s="40"/>
      <c r="C15" s="307">
        <f>+[3]IFL!$GJ$19</f>
        <v>30</v>
      </c>
      <c r="D15" s="150">
        <f>+[3]IFL!$FV$19</f>
        <v>36</v>
      </c>
      <c r="E15" s="309">
        <f>(C15-D15)/D15</f>
        <v>-0.16666666666666666</v>
      </c>
      <c r="F15" s="307">
        <f>+SUM([3]IFL!$GB$12:$GJ$12)</f>
        <v>291</v>
      </c>
      <c r="G15" s="150">
        <f>+SUM([3]IFL!$FN$12:$FV$12)</f>
        <v>386</v>
      </c>
      <c r="H15" s="308">
        <f>(F15-G15)/G15</f>
        <v>-0.24611398963730569</v>
      </c>
      <c r="I15" s="309">
        <f>+F15/$F$28</f>
        <v>2.8373634945397817E-2</v>
      </c>
      <c r="J15" s="306" t="s">
        <v>183</v>
      </c>
      <c r="K15" s="40"/>
      <c r="L15" s="307">
        <f>+[3]IFL!$GJ$64</f>
        <v>36884</v>
      </c>
      <c r="M15" s="150">
        <f>+[3]IFL!$FV$64</f>
        <v>21292</v>
      </c>
      <c r="N15" s="309">
        <f>(L15-M15)/M15</f>
        <v>0.73229381927484505</v>
      </c>
      <c r="O15" s="307">
        <f>+SUM([3]IFL!$GB$64:$GJ$64)</f>
        <v>226552</v>
      </c>
      <c r="P15" s="150">
        <f>+SUM([3]IFL!$FN$64:$FV$64)</f>
        <v>194749</v>
      </c>
      <c r="Q15" s="308">
        <f>(O15-P15)/P15</f>
        <v>0.16330250732994778</v>
      </c>
      <c r="R15" s="309">
        <f>O15/$O$28</f>
        <v>8.1869824514456695E-4</v>
      </c>
    </row>
    <row r="16" spans="1:18" ht="14.1" customHeight="1" x14ac:dyDescent="0.2">
      <c r="A16" s="306"/>
      <c r="B16" s="40"/>
      <c r="C16" s="307"/>
      <c r="D16" s="165"/>
      <c r="E16" s="309"/>
      <c r="F16" s="397"/>
      <c r="G16" s="165"/>
      <c r="H16" s="308"/>
      <c r="I16" s="309"/>
      <c r="J16" s="306"/>
      <c r="K16" s="40"/>
      <c r="L16" s="141"/>
      <c r="M16" s="97"/>
      <c r="N16" s="67"/>
      <c r="O16" s="141"/>
      <c r="P16" s="97"/>
      <c r="Q16" s="3"/>
      <c r="R16" s="67"/>
    </row>
    <row r="17" spans="1:19" ht="14.1" customHeight="1" x14ac:dyDescent="0.2">
      <c r="A17" s="306" t="s">
        <v>166</v>
      </c>
      <c r="B17" s="311"/>
      <c r="C17" s="307">
        <f>+'[3]Suburban Air Freight'!$GJ$19</f>
        <v>0</v>
      </c>
      <c r="D17" s="150">
        <f>+'[3]Suburban Air Freight'!$FV$19</f>
        <v>0</v>
      </c>
      <c r="E17" s="309" t="e">
        <f>(C17-D17)/D17</f>
        <v>#DIV/0!</v>
      </c>
      <c r="F17" s="307">
        <f>+SUM('[3]Suburban Air Freight'!$GB$12:$GJ$12)</f>
        <v>0</v>
      </c>
      <c r="G17" s="150">
        <f>+SUM('[3]Suburban Air Freight'!$FN$12:$FV$12)</f>
        <v>0</v>
      </c>
      <c r="H17" s="308" t="e">
        <f t="shared" ref="H17" si="2">(F17-G17)/G17</f>
        <v>#DIV/0!</v>
      </c>
      <c r="I17" s="309">
        <f>+F17/$F$28</f>
        <v>0</v>
      </c>
      <c r="J17" s="306" t="s">
        <v>166</v>
      </c>
      <c r="K17" s="311"/>
      <c r="L17" s="307">
        <f>+'[3]Suburban Air Freight'!$GJ$64</f>
        <v>0</v>
      </c>
      <c r="M17" s="150">
        <f>+'[3]Suburban Air Freight'!$FV$64</f>
        <v>0</v>
      </c>
      <c r="N17" s="309" t="e">
        <f>(L17-M17)/M17</f>
        <v>#DIV/0!</v>
      </c>
      <c r="O17" s="307">
        <f>+SUM('[3]Suburban Air Freight'!$GB$64:$GJ$64)</f>
        <v>0</v>
      </c>
      <c r="P17" s="150">
        <f>+SUM('[3]Suburban Air Freight'!$FN$64:$FV$64)</f>
        <v>0</v>
      </c>
      <c r="Q17" s="308" t="e">
        <f t="shared" ref="Q17" si="3">(O17-P17)/P17</f>
        <v>#DIV/0!</v>
      </c>
      <c r="R17" s="309">
        <f>O17/$O$28</f>
        <v>0</v>
      </c>
    </row>
    <row r="18" spans="1:19" ht="14.1" customHeight="1" x14ac:dyDescent="0.2">
      <c r="A18" s="38"/>
      <c r="B18" s="40"/>
      <c r="C18" s="307"/>
      <c r="E18" s="67"/>
      <c r="F18" s="310"/>
      <c r="I18" s="67"/>
      <c r="J18" s="38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85</v>
      </c>
      <c r="B19" s="40"/>
      <c r="C19" s="307">
        <f>+[3]Bemidji!$GJ$19</f>
        <v>372</v>
      </c>
      <c r="D19" s="150">
        <f>+[3]Bemidji!$FV$19</f>
        <v>516</v>
      </c>
      <c r="E19" s="309">
        <f>(C19-D19)/D19</f>
        <v>-0.27906976744186046</v>
      </c>
      <c r="F19" s="307">
        <f>+SUM([3]Bemidji!$GB$12:$GJ$12)</f>
        <v>3492</v>
      </c>
      <c r="G19" s="150">
        <f>+SUM([3]Bemidji!$FN$12:$FV$12)</f>
        <v>4980</v>
      </c>
      <c r="H19" s="308">
        <f t="shared" ref="H19" si="4">(F19-G19)/G19</f>
        <v>-0.29879518072289157</v>
      </c>
      <c r="I19" s="309">
        <f>+F19/$F$28</f>
        <v>0.34048361934477378</v>
      </c>
      <c r="J19" s="306" t="s">
        <v>85</v>
      </c>
      <c r="K19" s="40"/>
      <c r="L19" s="483" t="s">
        <v>195</v>
      </c>
      <c r="M19" s="484"/>
      <c r="N19" s="484"/>
      <c r="O19" s="484"/>
      <c r="P19" s="484"/>
      <c r="Q19" s="484"/>
      <c r="R19" s="485"/>
    </row>
    <row r="20" spans="1:19" ht="14.1" customHeight="1" x14ac:dyDescent="0.2">
      <c r="A20" s="38"/>
      <c r="B20" s="40"/>
      <c r="C20" s="307"/>
      <c r="E20" s="67"/>
      <c r="F20" s="310"/>
      <c r="I20" s="67"/>
      <c r="J20" s="38"/>
      <c r="K20" s="40"/>
      <c r="L20" s="310"/>
      <c r="N20" s="67"/>
      <c r="O20" s="310"/>
      <c r="P20" s="2"/>
      <c r="Q20" s="3"/>
      <c r="R20" s="67"/>
    </row>
    <row r="21" spans="1:19" ht="14.1" customHeight="1" x14ac:dyDescent="0.2">
      <c r="A21" s="306" t="s">
        <v>86</v>
      </c>
      <c r="B21" s="40"/>
      <c r="C21" s="307">
        <f>+'[3]CSA Air'!$GJ$19</f>
        <v>0</v>
      </c>
      <c r="D21" s="150">
        <f>+'[3]CSA Air'!$FV$19</f>
        <v>0</v>
      </c>
      <c r="E21" s="309" t="e">
        <f>(C21-D21)/D21</f>
        <v>#DIV/0!</v>
      </c>
      <c r="F21" s="307">
        <f>+SUM('[3]CSA Air'!$GB$12:$GJ$12)</f>
        <v>9</v>
      </c>
      <c r="G21" s="150">
        <f>+SUM('[3]CSA Air'!$FN$12:$FV$12)</f>
        <v>7</v>
      </c>
      <c r="H21" s="308">
        <f t="shared" ref="H21" si="5">(F21-G21)/G21</f>
        <v>0.2857142857142857</v>
      </c>
      <c r="I21" s="309">
        <f>+F21/$F$28</f>
        <v>8.7753510140405619E-4</v>
      </c>
      <c r="J21" s="306" t="s">
        <v>86</v>
      </c>
      <c r="K21" s="40"/>
      <c r="L21" s="307">
        <f>+'[3]CSA Air'!$GJ$64</f>
        <v>0</v>
      </c>
      <c r="M21" s="150">
        <f>+'[3]CSA Air'!$FV$64</f>
        <v>0</v>
      </c>
      <c r="N21" s="309" t="e">
        <f>(L21-M21)/M21</f>
        <v>#DIV/0!</v>
      </c>
      <c r="O21" s="307">
        <f>+SUM('[3]CSA Air'!$GB$64:$GJ$64)</f>
        <v>9686</v>
      </c>
      <c r="P21" s="150">
        <f>+SUM('[3]CSA Air'!$FN$64:$FV$64)</f>
        <v>4785</v>
      </c>
      <c r="Q21" s="308">
        <f t="shared" ref="Q21" si="6">(O21-P21)/P21</f>
        <v>1.0242424242424242</v>
      </c>
      <c r="R21" s="309">
        <f>O21/$O$28</f>
        <v>3.5002609566325944E-5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87</v>
      </c>
      <c r="B23" s="311"/>
      <c r="C23" s="307">
        <f>+'[3]Mountain Cargo'!$GJ$19</f>
        <v>34</v>
      </c>
      <c r="D23" s="150">
        <f>+'[3]Mountain Cargo'!$FV$19</f>
        <v>42</v>
      </c>
      <c r="E23" s="309">
        <f>(C23-D23)/D23</f>
        <v>-0.19047619047619047</v>
      </c>
      <c r="F23" s="307">
        <f>+SUM('[3]Mountain Cargo'!$GB$12:$GJ$12)</f>
        <v>324</v>
      </c>
      <c r="G23" s="150">
        <f>+SUM('[3]Mountain Cargo'!$FN$12:$FV$12)</f>
        <v>366</v>
      </c>
      <c r="H23" s="308">
        <f>(F23-G23)/G23</f>
        <v>-0.11475409836065574</v>
      </c>
      <c r="I23" s="309">
        <f>+F23/$F$28</f>
        <v>3.1591263650546021E-2</v>
      </c>
      <c r="J23" s="306" t="s">
        <v>87</v>
      </c>
      <c r="K23" s="311"/>
      <c r="L23" s="307">
        <f>+'[3]Mountain Cargo'!$GJ$64</f>
        <v>114655</v>
      </c>
      <c r="M23" s="150">
        <f>+'[3]Mountain Cargo'!$FV$64</f>
        <v>192711</v>
      </c>
      <c r="N23" s="309">
        <f>(L23-M23)/M23</f>
        <v>-0.40504174644934643</v>
      </c>
      <c r="O23" s="307">
        <f>+SUM('[3]Mountain Cargo'!$GB$64:$GJ$64)</f>
        <v>1278014</v>
      </c>
      <c r="P23" s="150">
        <f>+SUM('[3]Mountain Cargo'!$FN$64:$FV$64)</f>
        <v>1274118</v>
      </c>
      <c r="Q23" s="308">
        <f t="shared" ref="Q23" si="7">(O23-P23)/P23</f>
        <v>3.0578015537022474E-3</v>
      </c>
      <c r="R23" s="309">
        <f>O23/$O$28</f>
        <v>4.6184002748604668E-3</v>
      </c>
      <c r="S23" s="353"/>
    </row>
    <row r="24" spans="1:19" ht="14.1" customHeight="1" x14ac:dyDescent="0.2">
      <c r="A24" s="38"/>
      <c r="B24" s="364"/>
      <c r="C24" s="307"/>
      <c r="E24" s="67"/>
      <c r="F24" s="310"/>
      <c r="I24" s="67"/>
      <c r="J24" s="38"/>
      <c r="K24" s="364"/>
      <c r="L24" s="310"/>
      <c r="N24" s="67"/>
      <c r="O24" s="310"/>
      <c r="P24" s="2"/>
      <c r="Q24" s="3"/>
      <c r="R24" s="67"/>
      <c r="S24" s="284"/>
    </row>
    <row r="25" spans="1:19" ht="14.1" customHeight="1" x14ac:dyDescent="0.2">
      <c r="A25" s="306" t="s">
        <v>130</v>
      </c>
      <c r="B25" s="40"/>
      <c r="C25" s="307">
        <f>+'[3]Misc Cargo'!$GJ$19</f>
        <v>0</v>
      </c>
      <c r="D25" s="150">
        <f>+'[3]Misc Cargo'!$FV$19</f>
        <v>76</v>
      </c>
      <c r="E25" s="309">
        <f>(C25-D25)/D25</f>
        <v>-1</v>
      </c>
      <c r="F25" s="307">
        <f>+SUM('[3]Misc Cargo'!$GB$12:$GJ$12)</f>
        <v>2</v>
      </c>
      <c r="G25" s="150">
        <f>+SUM('[3]Misc Cargo'!$FN$12:$FV$12)</f>
        <v>664</v>
      </c>
      <c r="H25" s="308">
        <f>(F25-G25)/G25</f>
        <v>-0.99698795180722888</v>
      </c>
      <c r="I25" s="309">
        <f>+F25/$F$28</f>
        <v>1.9500780031201249E-4</v>
      </c>
      <c r="J25" s="306" t="s">
        <v>130</v>
      </c>
      <c r="K25" s="40"/>
      <c r="L25" s="307">
        <f>+'[3]Misc Cargo'!$GJ$64</f>
        <v>0</v>
      </c>
      <c r="M25" s="150">
        <f>+'[3]Misc Cargo'!$FV$64</f>
        <v>94388</v>
      </c>
      <c r="N25" s="309">
        <f>(L25-M25)/M25</f>
        <v>-1</v>
      </c>
      <c r="O25" s="307">
        <f>+SUM('[3]Misc Cargo'!$GB$64:$GJ$64)</f>
        <v>29717</v>
      </c>
      <c r="P25" s="150">
        <f>+SUM('[3]Misc Cargo'!$FN$64:$FV$64)</f>
        <v>929455</v>
      </c>
      <c r="Q25" s="308">
        <f>(O25-P25)/P25</f>
        <v>-0.96802749998655124</v>
      </c>
      <c r="R25" s="309">
        <f>O25/$O$28</f>
        <v>1.0738927818320339E-4</v>
      </c>
      <c r="S25" s="398"/>
    </row>
    <row r="26" spans="1:19" ht="14.1" customHeight="1" thickBot="1" x14ac:dyDescent="0.25">
      <c r="A26" s="399"/>
      <c r="B26" s="400"/>
      <c r="C26" s="401"/>
      <c r="D26" s="403"/>
      <c r="E26" s="404"/>
      <c r="F26" s="401"/>
      <c r="G26" s="403"/>
      <c r="H26" s="402"/>
      <c r="I26" s="404"/>
      <c r="J26" s="306"/>
      <c r="K26" s="40"/>
      <c r="L26" s="313"/>
      <c r="M26" s="315"/>
      <c r="N26" s="316"/>
      <c r="O26" s="313"/>
      <c r="P26" s="315"/>
      <c r="Q26" s="314"/>
      <c r="R26" s="400"/>
      <c r="S26" s="398"/>
    </row>
    <row r="27" spans="1:19" ht="13.5" thickBot="1" x14ac:dyDescent="0.25">
      <c r="D27" s="3"/>
      <c r="F27" s="2"/>
      <c r="G27"/>
      <c r="H27"/>
      <c r="I27"/>
      <c r="J27"/>
      <c r="K27"/>
      <c r="M27"/>
      <c r="N27"/>
    </row>
    <row r="28" spans="1:19" ht="15.75" thickBot="1" x14ac:dyDescent="0.3">
      <c r="B28" s="405" t="s">
        <v>193</v>
      </c>
      <c r="C28" s="406">
        <f>+SUM(C5:C25)</f>
        <v>1108</v>
      </c>
      <c r="D28" s="407">
        <f>SUM(D5:D26)</f>
        <v>1262</v>
      </c>
      <c r="E28" s="408">
        <f>(C28-D28)/D28</f>
        <v>-0.12202852614896989</v>
      </c>
      <c r="F28" s="406">
        <f>+SUM(F5:F25)</f>
        <v>10256</v>
      </c>
      <c r="G28" s="406">
        <f>+SUM(G5:G25)</f>
        <v>11015</v>
      </c>
      <c r="H28" s="409">
        <f>(F28-G28)/G28</f>
        <v>-6.8906037221970043E-2</v>
      </c>
      <c r="I28" s="420"/>
      <c r="J28"/>
      <c r="K28" s="405" t="s">
        <v>193</v>
      </c>
      <c r="L28" s="406">
        <f>+SUM(L5:L25)</f>
        <v>31992669</v>
      </c>
      <c r="M28" s="410">
        <f>SUM(M5:M26)</f>
        <v>32660041</v>
      </c>
      <c r="N28" s="411">
        <f>(L28-M28)/M28</f>
        <v>-2.0433899639011474E-2</v>
      </c>
      <c r="O28" s="406">
        <f>+SUM(O5:O25)</f>
        <v>276722225</v>
      </c>
      <c r="P28" s="406">
        <f>+SUM(P5:P25)</f>
        <v>275623479</v>
      </c>
      <c r="Q28" s="409">
        <f t="shared" ref="Q28" si="8">(O28-P28)/P28</f>
        <v>3.9864020437823441E-3</v>
      </c>
      <c r="R28" s="420"/>
    </row>
    <row r="29" spans="1:19" x14ac:dyDescent="0.2">
      <c r="D29" s="3"/>
      <c r="F29"/>
      <c r="G29"/>
      <c r="H29"/>
      <c r="I29"/>
      <c r="J29"/>
      <c r="K29"/>
      <c r="L29"/>
      <c r="M29"/>
      <c r="N29"/>
    </row>
    <row r="30" spans="1:19" x14ac:dyDescent="0.2">
      <c r="D30" s="3"/>
      <c r="F30"/>
      <c r="G30"/>
      <c r="H30"/>
      <c r="I30"/>
      <c r="J30"/>
      <c r="K30"/>
      <c r="L30"/>
      <c r="M30"/>
      <c r="N30"/>
    </row>
    <row r="31" spans="1:19" x14ac:dyDescent="0.2">
      <c r="D31" s="3"/>
      <c r="F31"/>
      <c r="G31"/>
      <c r="H31"/>
      <c r="I31"/>
      <c r="J31"/>
      <c r="K31"/>
      <c r="L31"/>
      <c r="M31"/>
      <c r="N31"/>
    </row>
    <row r="32" spans="1:19" x14ac:dyDescent="0.2">
      <c r="D32" s="3"/>
      <c r="F32"/>
      <c r="G32"/>
      <c r="H32"/>
      <c r="I32"/>
      <c r="J32"/>
      <c r="K32"/>
      <c r="L32"/>
      <c r="M32"/>
      <c r="N32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F98" s="195"/>
      <c r="K98"/>
    </row>
    <row r="99" spans="4:14" x14ac:dyDescent="0.2">
      <c r="F99" s="195"/>
      <c r="K99"/>
    </row>
    <row r="100" spans="4:14" x14ac:dyDescent="0.2">
      <c r="F100" s="195"/>
      <c r="K100"/>
    </row>
    <row r="101" spans="4:14" x14ac:dyDescent="0.2">
      <c r="F101" s="195"/>
      <c r="K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</sheetData>
  <mergeCells count="7">
    <mergeCell ref="L3:R3"/>
    <mergeCell ref="L19:R19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September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2019-08-13T20:15:45Z</cp:lastPrinted>
  <dcterms:created xsi:type="dcterms:W3CDTF">2007-09-24T12:26:24Z</dcterms:created>
  <dcterms:modified xsi:type="dcterms:W3CDTF">2020-01-28T17:41:23Z</dcterms:modified>
</cp:coreProperties>
</file>