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0D4A4C8A-40FC-4624-99D6-C9813B3E5517}" xr6:coauthVersionLast="47" xr6:coauthVersionMax="47" xr10:uidLastSave="{00000000-0000-0000-0000-000000000000}"/>
  <bookViews>
    <workbookView xWindow="27705" yWindow="390" windowWidth="20445" windowHeight="1384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D39" i="3"/>
  <c r="D38" i="3"/>
  <c r="D34" i="3"/>
  <c r="D33" i="3"/>
  <c r="D35" i="3" s="1"/>
  <c r="D29" i="3"/>
  <c r="D28" i="3"/>
  <c r="D21" i="3"/>
  <c r="D20" i="3"/>
  <c r="D17" i="3"/>
  <c r="D16" i="3"/>
  <c r="D11" i="3"/>
  <c r="D10" i="3"/>
  <c r="D6" i="3"/>
  <c r="D5" i="3"/>
  <c r="D22" i="3" l="1"/>
  <c r="D7" i="3"/>
  <c r="D44" i="3"/>
  <c r="D43" i="3"/>
  <c r="D12" i="3"/>
  <c r="D18" i="3"/>
  <c r="D40" i="3"/>
  <c r="D30" i="3"/>
  <c r="D23" i="3" l="1"/>
  <c r="D45" i="3"/>
  <c r="P19" i="17"/>
  <c r="O19" i="17"/>
  <c r="M19" i="17"/>
  <c r="L19" i="17"/>
  <c r="D19" i="17"/>
  <c r="C19" i="17"/>
  <c r="H28" i="1" l="1"/>
  <c r="H27" i="1"/>
  <c r="H21" i="1"/>
  <c r="H20" i="1"/>
  <c r="H19" i="1"/>
  <c r="H18" i="1"/>
  <c r="H17" i="1"/>
  <c r="H16" i="1"/>
  <c r="H10" i="1"/>
  <c r="H7" i="1"/>
  <c r="H6" i="1"/>
  <c r="H5" i="1"/>
  <c r="E28" i="1"/>
  <c r="E27" i="1"/>
  <c r="E21" i="1"/>
  <c r="E20" i="1"/>
  <c r="E19" i="1"/>
  <c r="E18" i="1"/>
  <c r="E17" i="1"/>
  <c r="E16" i="1"/>
  <c r="E10" i="1"/>
  <c r="E7" i="1"/>
  <c r="E6" i="1"/>
  <c r="E5" i="1"/>
  <c r="D37" i="1" l="1"/>
  <c r="D36" i="1"/>
  <c r="B37" i="1"/>
  <c r="B36" i="1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D29" i="17"/>
  <c r="D27" i="17"/>
  <c r="P26" i="17"/>
  <c r="M26" i="17"/>
  <c r="D26" i="17"/>
  <c r="P22" i="17"/>
  <c r="M22" i="17"/>
  <c r="D22" i="17"/>
  <c r="P21" i="17"/>
  <c r="M21" i="17"/>
  <c r="D21" i="17"/>
  <c r="P20" i="17"/>
  <c r="M20" i="17"/>
  <c r="D20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C26" i="17"/>
  <c r="O22" i="17"/>
  <c r="L22" i="17"/>
  <c r="C22" i="17"/>
  <c r="O21" i="17"/>
  <c r="L21" i="17"/>
  <c r="C21" i="17"/>
  <c r="O20" i="17"/>
  <c r="L20" i="17"/>
  <c r="C20" i="17"/>
  <c r="O16" i="17"/>
  <c r="L16" i="17"/>
  <c r="C16" i="17"/>
  <c r="O15" i="17"/>
  <c r="L15" i="17"/>
  <c r="C15" i="17"/>
  <c r="O14" i="17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9" i="7"/>
  <c r="J29" i="7"/>
  <c r="E29" i="7"/>
  <c r="E28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C39" i="3"/>
  <c r="B39" i="3"/>
  <c r="J38" i="3"/>
  <c r="I38" i="3"/>
  <c r="H38" i="3"/>
  <c r="G38" i="3"/>
  <c r="F38" i="3"/>
  <c r="E38" i="3"/>
  <c r="C38" i="3"/>
  <c r="B38" i="3"/>
  <c r="J34" i="3"/>
  <c r="I34" i="3"/>
  <c r="H34" i="3"/>
  <c r="G34" i="3"/>
  <c r="F34" i="3"/>
  <c r="E34" i="3"/>
  <c r="C34" i="3"/>
  <c r="B34" i="3"/>
  <c r="J33" i="3"/>
  <c r="I33" i="3"/>
  <c r="H33" i="3"/>
  <c r="G33" i="3"/>
  <c r="F33" i="3"/>
  <c r="E33" i="3"/>
  <c r="C33" i="3"/>
  <c r="B33" i="3"/>
  <c r="J29" i="3"/>
  <c r="I29" i="3"/>
  <c r="H29" i="3"/>
  <c r="G29" i="3"/>
  <c r="F29" i="3"/>
  <c r="E29" i="3"/>
  <c r="C29" i="3"/>
  <c r="B29" i="3"/>
  <c r="J28" i="3"/>
  <c r="I28" i="3"/>
  <c r="H28" i="3"/>
  <c r="G28" i="3"/>
  <c r="F28" i="3"/>
  <c r="E28" i="3"/>
  <c r="C28" i="3"/>
  <c r="B28" i="3"/>
  <c r="J21" i="3"/>
  <c r="I21" i="3"/>
  <c r="H21" i="3"/>
  <c r="G21" i="3"/>
  <c r="F21" i="3"/>
  <c r="E21" i="3"/>
  <c r="C21" i="3"/>
  <c r="B21" i="3"/>
  <c r="J20" i="3"/>
  <c r="I20" i="3"/>
  <c r="H20" i="3"/>
  <c r="G20" i="3"/>
  <c r="F20" i="3"/>
  <c r="E20" i="3"/>
  <c r="C20" i="3"/>
  <c r="B20" i="3"/>
  <c r="J17" i="3"/>
  <c r="I17" i="3"/>
  <c r="H17" i="3"/>
  <c r="G17" i="3"/>
  <c r="F17" i="3"/>
  <c r="E17" i="3"/>
  <c r="C17" i="3"/>
  <c r="B17" i="3"/>
  <c r="J16" i="3"/>
  <c r="I16" i="3"/>
  <c r="H16" i="3"/>
  <c r="G16" i="3"/>
  <c r="F16" i="3"/>
  <c r="E16" i="3"/>
  <c r="C16" i="3"/>
  <c r="B16" i="3"/>
  <c r="J11" i="3"/>
  <c r="I11" i="3"/>
  <c r="H11" i="3"/>
  <c r="G11" i="3"/>
  <c r="F11" i="3"/>
  <c r="E11" i="3"/>
  <c r="C11" i="3"/>
  <c r="B11" i="3"/>
  <c r="J10" i="3"/>
  <c r="I10" i="3"/>
  <c r="H10" i="3"/>
  <c r="G10" i="3"/>
  <c r="F10" i="3"/>
  <c r="E10" i="3"/>
  <c r="C10" i="3"/>
  <c r="B10" i="3"/>
  <c r="J6" i="3"/>
  <c r="I6" i="3"/>
  <c r="H6" i="3"/>
  <c r="G6" i="3"/>
  <c r="F6" i="3"/>
  <c r="E6" i="3"/>
  <c r="C6" i="3"/>
  <c r="B6" i="3"/>
  <c r="J5" i="3"/>
  <c r="I5" i="3"/>
  <c r="H5" i="3"/>
  <c r="G5" i="3"/>
  <c r="F5" i="3"/>
  <c r="E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0" i="1"/>
  <c r="B20" i="1"/>
  <c r="B21" i="1"/>
  <c r="C21" i="1"/>
  <c r="N10" i="17" l="1"/>
  <c r="N16" i="17" l="1"/>
  <c r="N15" i="17"/>
  <c r="E15" i="17"/>
  <c r="E10" i="17"/>
  <c r="E11" i="17"/>
  <c r="H11" i="17"/>
  <c r="Q11" i="17"/>
  <c r="E14" i="17"/>
  <c r="H14" i="17"/>
  <c r="E16" i="17"/>
  <c r="N14" i="17"/>
  <c r="H16" i="17"/>
  <c r="N11" i="17"/>
  <c r="Q14" i="17"/>
  <c r="Q16" i="17"/>
  <c r="Q15" i="17"/>
  <c r="H15" i="17"/>
  <c r="H13" i="17"/>
  <c r="Q10" i="17"/>
  <c r="H10" i="17"/>
  <c r="E13" i="17" l="1"/>
  <c r="O5" i="17"/>
  <c r="M5" i="17"/>
  <c r="L5" i="17"/>
  <c r="D5" i="17"/>
  <c r="L18" i="17"/>
  <c r="D18" i="17" l="1"/>
  <c r="M18" i="17"/>
  <c r="P5" i="17"/>
  <c r="Q5" i="17" s="1"/>
  <c r="F18" i="17"/>
  <c r="N5" i="17"/>
  <c r="G5" i="17"/>
  <c r="C18" i="17"/>
  <c r="E7" i="17"/>
  <c r="G18" i="17"/>
  <c r="H7" i="17"/>
  <c r="O18" i="17"/>
  <c r="F5" i="17"/>
  <c r="H6" i="17"/>
  <c r="C5" i="17"/>
  <c r="E5" i="17" s="1"/>
  <c r="E6" i="17"/>
  <c r="P18" i="17"/>
  <c r="H22" i="17"/>
  <c r="Q19" i="17"/>
  <c r="Q20" i="17"/>
  <c r="Q13" i="17"/>
  <c r="N22" i="17"/>
  <c r="Q22" i="17"/>
  <c r="E22" i="17"/>
  <c r="N13" i="17"/>
  <c r="Q7" i="17"/>
  <c r="Q6" i="17"/>
  <c r="N7" i="17"/>
  <c r="E19" i="17"/>
  <c r="N19" i="17"/>
  <c r="N21" i="17"/>
  <c r="Q21" i="17"/>
  <c r="N6" i="17"/>
  <c r="E21" i="17"/>
  <c r="H19" i="17"/>
  <c r="N20" i="17"/>
  <c r="H21" i="17"/>
  <c r="E20" i="17"/>
  <c r="H20" i="17"/>
  <c r="B10" i="8"/>
  <c r="L10" i="8"/>
  <c r="K10" i="8"/>
  <c r="I10" i="8"/>
  <c r="E10" i="8"/>
  <c r="E18" i="8" l="1"/>
  <c r="E23" i="8"/>
  <c r="H5" i="17"/>
  <c r="K6" i="8"/>
  <c r="K12" i="8" s="1"/>
  <c r="L23" i="8"/>
  <c r="L6" i="8"/>
  <c r="L12" i="8" s="1"/>
  <c r="K23" i="8"/>
  <c r="I18" i="8"/>
  <c r="L32" i="8"/>
  <c r="E6" i="8"/>
  <c r="E12" i="8" s="1"/>
  <c r="K31" i="8"/>
  <c r="L18" i="8"/>
  <c r="K32" i="8"/>
  <c r="L31" i="8"/>
  <c r="L28" i="8"/>
  <c r="I23" i="8"/>
  <c r="I28" i="8"/>
  <c r="I6" i="8"/>
  <c r="I12" i="8" s="1"/>
  <c r="K28" i="8"/>
  <c r="K18" i="8"/>
  <c r="E31" i="8"/>
  <c r="I32" i="8"/>
  <c r="I31" i="8"/>
  <c r="E32" i="8"/>
  <c r="E28" i="8"/>
  <c r="E33" i="8" l="1"/>
  <c r="I33" i="8"/>
  <c r="L33" i="8"/>
  <c r="K33" i="8"/>
  <c r="P25" i="17" l="1"/>
  <c r="M25" i="17"/>
  <c r="P9" i="17"/>
  <c r="M9" i="17"/>
  <c r="G9" i="17"/>
  <c r="D9" i="17"/>
  <c r="F25" i="17"/>
  <c r="O25" i="17"/>
  <c r="L25" i="17"/>
  <c r="O9" i="17"/>
  <c r="L9" i="17"/>
  <c r="C23" i="8"/>
  <c r="F18" i="8"/>
  <c r="G18" i="8"/>
  <c r="P9" i="8"/>
  <c r="P8" i="8"/>
  <c r="M27" i="7"/>
  <c r="L27" i="7"/>
  <c r="O28" i="7"/>
  <c r="J28" i="7"/>
  <c r="C27" i="7"/>
  <c r="B27" i="7"/>
  <c r="M33" i="17" l="1"/>
  <c r="C25" i="17"/>
  <c r="N9" i="17"/>
  <c r="N25" i="17"/>
  <c r="N27" i="7"/>
  <c r="P33" i="17"/>
  <c r="D25" i="17"/>
  <c r="G25" i="17"/>
  <c r="H25" i="17" s="1"/>
  <c r="E12" i="17"/>
  <c r="C9" i="17"/>
  <c r="E9" i="17" s="1"/>
  <c r="Q25" i="17"/>
  <c r="H12" i="17"/>
  <c r="F9" i="17"/>
  <c r="H9" i="17" s="1"/>
  <c r="H18" i="8"/>
  <c r="Q9" i="17"/>
  <c r="L33" i="17"/>
  <c r="O33" i="17"/>
  <c r="C18" i="8"/>
  <c r="B18" i="8"/>
  <c r="P16" i="8"/>
  <c r="D5" i="5" s="1"/>
  <c r="P17" i="8"/>
  <c r="D27" i="7"/>
  <c r="B6" i="8"/>
  <c r="P4" i="8"/>
  <c r="B23" i="8"/>
  <c r="P21" i="8"/>
  <c r="P22" i="8"/>
  <c r="C28" i="8"/>
  <c r="P5" i="8"/>
  <c r="B28" i="8"/>
  <c r="P26" i="8"/>
  <c r="P27" i="8"/>
  <c r="E27" i="7"/>
  <c r="J27" i="7"/>
  <c r="O27" i="7"/>
  <c r="O26" i="7"/>
  <c r="M26" i="7"/>
  <c r="L26" i="7"/>
  <c r="E26" i="7"/>
  <c r="C26" i="7"/>
  <c r="B26" i="7"/>
  <c r="G33" i="17" l="1"/>
  <c r="E25" i="17"/>
  <c r="D33" i="17"/>
  <c r="C33" i="8"/>
  <c r="F33" i="17"/>
  <c r="I9" i="17" s="1"/>
  <c r="R5" i="17"/>
  <c r="R18" i="17"/>
  <c r="R9" i="17"/>
  <c r="R29" i="17"/>
  <c r="C33" i="17"/>
  <c r="R25" i="17"/>
  <c r="B33" i="8"/>
  <c r="B12" i="8"/>
  <c r="N26" i="7"/>
  <c r="D26" i="7"/>
  <c r="I5" i="17" l="1"/>
  <c r="M18" i="8"/>
  <c r="M10" i="8"/>
  <c r="M6" i="8" l="1"/>
  <c r="M12" i="8" s="1"/>
  <c r="M32" i="8"/>
  <c r="M23" i="8"/>
  <c r="M28" i="8"/>
  <c r="M31" i="8"/>
  <c r="M33" i="8" l="1"/>
  <c r="J26" i="7"/>
  <c r="O25" i="7"/>
  <c r="M25" i="7"/>
  <c r="L25" i="7"/>
  <c r="C25" i="7"/>
  <c r="B25" i="7"/>
  <c r="D25" i="7" l="1"/>
  <c r="E33" i="9"/>
  <c r="N25" i="7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E40" i="3" l="1"/>
  <c r="E35" i="3"/>
  <c r="E18" i="3"/>
  <c r="E12" i="3"/>
  <c r="E7" i="3"/>
  <c r="E30" i="3"/>
  <c r="E44" i="3" l="1"/>
  <c r="E22" i="3"/>
  <c r="E23" i="3" s="1"/>
  <c r="E43" i="3"/>
  <c r="E45" i="3" l="1"/>
  <c r="F10" i="8"/>
  <c r="F6" i="8" l="1"/>
  <c r="F12" i="8" s="1"/>
  <c r="F31" i="8"/>
  <c r="F32" i="8"/>
  <c r="F23" i="8"/>
  <c r="F28" i="8"/>
  <c r="F33" i="8" l="1"/>
  <c r="D69" i="9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B32" i="8" l="1"/>
  <c r="B31" i="8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55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H29" i="17" l="1"/>
  <c r="Q29" i="17"/>
  <c r="Q12" i="17"/>
  <c r="Q18" i="17"/>
  <c r="H26" i="17"/>
  <c r="Q26" i="17"/>
  <c r="E27" i="17"/>
  <c r="E29" i="17"/>
  <c r="E18" i="17"/>
  <c r="N18" i="17"/>
  <c r="H18" i="17"/>
  <c r="E26" i="17"/>
  <c r="H27" i="17"/>
  <c r="R16" i="17"/>
  <c r="N12" i="17"/>
  <c r="N26" i="17"/>
  <c r="N29" i="17"/>
  <c r="R14" i="17" l="1"/>
  <c r="R15" i="17"/>
  <c r="I14" i="17"/>
  <c r="I15" i="17"/>
  <c r="R11" i="17"/>
  <c r="R10" i="17"/>
  <c r="I13" i="17"/>
  <c r="I16" i="17"/>
  <c r="I25" i="17"/>
  <c r="I18" i="17"/>
  <c r="I11" i="17"/>
  <c r="I10" i="17"/>
  <c r="I6" i="17"/>
  <c r="R13" i="17"/>
  <c r="R22" i="17"/>
  <c r="I22" i="17"/>
  <c r="R6" i="17"/>
  <c r="R7" i="17"/>
  <c r="I7" i="17"/>
  <c r="R21" i="17"/>
  <c r="R19" i="17"/>
  <c r="R20" i="17"/>
  <c r="I20" i="17"/>
  <c r="I19" i="17"/>
  <c r="I21" i="17"/>
  <c r="Q33" i="17"/>
  <c r="H33" i="17"/>
  <c r="R12" i="17"/>
  <c r="R26" i="17"/>
  <c r="I29" i="17"/>
  <c r="I27" i="17"/>
  <c r="I26" i="17"/>
  <c r="I12" i="17"/>
  <c r="N33" i="17"/>
  <c r="E33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F22" i="3"/>
  <c r="I17" i="4"/>
  <c r="I37" i="4"/>
  <c r="J40" i="4"/>
  <c r="F44" i="3"/>
  <c r="C44" i="3"/>
  <c r="E7" i="15"/>
  <c r="J20" i="4"/>
  <c r="E12" i="15"/>
  <c r="E20" i="15"/>
  <c r="E32" i="15"/>
  <c r="C22" i="3"/>
  <c r="C7" i="3"/>
  <c r="C40" i="3"/>
  <c r="F7" i="3"/>
  <c r="F18" i="3"/>
  <c r="F30" i="3"/>
  <c r="J27" i="4"/>
  <c r="J41" i="4"/>
  <c r="E41" i="15"/>
  <c r="F12" i="3"/>
  <c r="F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F40" i="3"/>
  <c r="F43" i="3"/>
  <c r="C43" i="3"/>
  <c r="E21" i="15" l="1"/>
  <c r="F23" i="3"/>
  <c r="C23" i="3"/>
  <c r="C45" i="3"/>
  <c r="J21" i="4"/>
  <c r="I42" i="4"/>
  <c r="F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H32" i="8" l="1"/>
  <c r="H6" i="8"/>
  <c r="H31" i="8"/>
  <c r="H10" i="8"/>
  <c r="H12" i="8" l="1"/>
  <c r="H23" i="8"/>
  <c r="H28" i="8"/>
  <c r="H33" i="8" l="1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J18" i="8" l="1"/>
  <c r="D30" i="2"/>
  <c r="B30" i="3"/>
  <c r="C27" i="4"/>
  <c r="K27" i="4"/>
  <c r="G23" i="8"/>
  <c r="D35" i="2"/>
  <c r="B35" i="3"/>
  <c r="G35" i="3"/>
  <c r="I35" i="3"/>
  <c r="E32" i="4"/>
  <c r="B32" i="15"/>
  <c r="H32" i="15"/>
  <c r="D17" i="4"/>
  <c r="F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32" i="7"/>
  <c r="P32" i="7" s="1"/>
  <c r="I32" i="7"/>
  <c r="K32" i="7" s="1"/>
  <c r="D32" i="7"/>
  <c r="F32" i="7" s="1"/>
  <c r="I31" i="7"/>
  <c r="K31" i="7" s="1"/>
  <c r="F31" i="7"/>
  <c r="I30" i="7"/>
  <c r="K30" i="7" s="1"/>
  <c r="J45" i="15"/>
  <c r="J44" i="15"/>
  <c r="P20" i="16"/>
  <c r="P8" i="16"/>
  <c r="K42" i="2"/>
  <c r="K37" i="2"/>
  <c r="K36" i="2"/>
  <c r="K32" i="2"/>
  <c r="K8" i="2"/>
  <c r="M34" i="4"/>
  <c r="M33" i="4"/>
  <c r="M14" i="4"/>
  <c r="C10" i="8"/>
  <c r="G10" i="8"/>
  <c r="N10" i="8"/>
  <c r="D10" i="8"/>
  <c r="J10" i="8"/>
  <c r="D33" i="8"/>
  <c r="J32" i="8" l="1"/>
  <c r="O37" i="16"/>
  <c r="I18" i="3"/>
  <c r="I23" i="3" s="1"/>
  <c r="C17" i="4"/>
  <c r="K37" i="4"/>
  <c r="J37" i="16"/>
  <c r="N32" i="8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J28" i="8"/>
  <c r="B22" i="3"/>
  <c r="K20" i="4"/>
  <c r="K17" i="4"/>
  <c r="B46" i="4"/>
  <c r="B47" i="4" s="1"/>
  <c r="B44" i="3"/>
  <c r="D44" i="2"/>
  <c r="N18" i="16"/>
  <c r="D6" i="16"/>
  <c r="C7" i="7"/>
  <c r="H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J22" i="3"/>
  <c r="J23" i="3" s="1"/>
  <c r="B17" i="15"/>
  <c r="F12" i="7"/>
  <c r="B12" i="7"/>
  <c r="D20" i="1"/>
  <c r="O32" i="8"/>
  <c r="F41" i="15"/>
  <c r="B41" i="15"/>
  <c r="D41" i="4"/>
  <c r="G28" i="8"/>
  <c r="K40" i="4"/>
  <c r="H18" i="16"/>
  <c r="E43" i="2"/>
  <c r="B43" i="2"/>
  <c r="G32" i="15"/>
  <c r="C32" i="15"/>
  <c r="H44" i="3"/>
  <c r="B23" i="16"/>
  <c r="G11" i="16"/>
  <c r="E6" i="16"/>
  <c r="B6" i="16"/>
  <c r="J11" i="16"/>
  <c r="H6" i="16"/>
  <c r="H12" i="15"/>
  <c r="H12" i="4"/>
  <c r="H12" i="3"/>
  <c r="C21" i="2"/>
  <c r="C23" i="2" s="1"/>
  <c r="H20" i="4"/>
  <c r="H17" i="15"/>
  <c r="D32" i="4"/>
  <c r="J35" i="3"/>
  <c r="O23" i="8"/>
  <c r="N23" i="8"/>
  <c r="F27" i="15"/>
  <c r="K28" i="3"/>
  <c r="J28" i="2" s="1"/>
  <c r="K28" i="2" s="1"/>
  <c r="B5" i="5" s="1"/>
  <c r="C30" i="16"/>
  <c r="G30" i="16"/>
  <c r="H7" i="3"/>
  <c r="E7" i="7"/>
  <c r="C12" i="7"/>
  <c r="J6" i="8"/>
  <c r="J12" i="8" s="1"/>
  <c r="K32" i="4"/>
  <c r="D27" i="4"/>
  <c r="O18" i="8"/>
  <c r="N18" i="8"/>
  <c r="H23" i="16"/>
  <c r="G6" i="16"/>
  <c r="C6" i="16"/>
  <c r="G7" i="3"/>
  <c r="J7" i="3"/>
  <c r="C6" i="8"/>
  <c r="B40" i="4"/>
  <c r="J23" i="16"/>
  <c r="K7" i="4"/>
  <c r="C7" i="4"/>
  <c r="K10" i="3"/>
  <c r="J9" i="2" s="1"/>
  <c r="B17" i="2"/>
  <c r="D21" i="1"/>
  <c r="G41" i="15"/>
  <c r="J36" i="15"/>
  <c r="L36" i="4" s="1"/>
  <c r="M36" i="4" s="1"/>
  <c r="C16" i="5" s="1"/>
  <c r="B37" i="4"/>
  <c r="O31" i="8"/>
  <c r="N28" i="8"/>
  <c r="D40" i="4"/>
  <c r="I40" i="3"/>
  <c r="B40" i="3"/>
  <c r="D40" i="2"/>
  <c r="G44" i="3"/>
  <c r="C32" i="8"/>
  <c r="O10" i="8"/>
  <c r="P10" i="8" s="1"/>
  <c r="H7" i="15"/>
  <c r="D12" i="4"/>
  <c r="H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N31" i="8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31" i="8"/>
  <c r="G43" i="3"/>
  <c r="B41" i="4"/>
  <c r="C32" i="4"/>
  <c r="B18" i="16"/>
  <c r="E18" i="16"/>
  <c r="P21" i="16"/>
  <c r="I7" i="3"/>
  <c r="C6" i="2"/>
  <c r="G7" i="15"/>
  <c r="E7" i="4"/>
  <c r="K16" i="3"/>
  <c r="J15" i="2" s="1"/>
  <c r="K15" i="2" s="1"/>
  <c r="H40" i="15"/>
  <c r="N6" i="8"/>
  <c r="N12" i="8" s="1"/>
  <c r="C19" i="1"/>
  <c r="D16" i="5"/>
  <c r="C44" i="2"/>
  <c r="G23" i="16"/>
  <c r="K5" i="3"/>
  <c r="J4" i="2" s="1"/>
  <c r="K4" i="2" s="1"/>
  <c r="B5" i="1" s="1"/>
  <c r="C7" i="15"/>
  <c r="L5" i="4"/>
  <c r="M5" i="4" s="1"/>
  <c r="L16" i="4"/>
  <c r="M16" i="4" s="1"/>
  <c r="F20" i="15"/>
  <c r="F21" i="15" s="1"/>
  <c r="J30" i="3"/>
  <c r="J43" i="3"/>
  <c r="K34" i="3"/>
  <c r="J34" i="2" s="1"/>
  <c r="K34" i="2" s="1"/>
  <c r="B11" i="5" s="1"/>
  <c r="K29" i="3"/>
  <c r="J29" i="2" s="1"/>
  <c r="G12" i="3"/>
  <c r="H35" i="3"/>
  <c r="J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G37" i="15"/>
  <c r="L18" i="4"/>
  <c r="M18" i="4" s="1"/>
  <c r="P10" i="16"/>
  <c r="B11" i="16"/>
  <c r="K51" i="2"/>
  <c r="K21" i="3"/>
  <c r="J20" i="2" s="1"/>
  <c r="K20" i="2" s="1"/>
  <c r="H22" i="3"/>
  <c r="H41" i="4"/>
  <c r="D15" i="5"/>
  <c r="C37" i="15"/>
  <c r="H30" i="3"/>
  <c r="J46" i="15"/>
  <c r="L44" i="4" s="1"/>
  <c r="M44" i="4" s="1"/>
  <c r="N37" i="16"/>
  <c r="E11" i="16"/>
  <c r="J47" i="15"/>
  <c r="L45" i="4" s="1"/>
  <c r="M45" i="4" s="1"/>
  <c r="G22" i="3"/>
  <c r="G23" i="3" s="1"/>
  <c r="B21" i="2"/>
  <c r="E37" i="4"/>
  <c r="J30" i="15"/>
  <c r="L30" i="4" s="1"/>
  <c r="M30" i="4" s="1"/>
  <c r="C10" i="5" s="1"/>
  <c r="H27" i="15"/>
  <c r="D11" i="5"/>
  <c r="G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K5" i="2" s="1"/>
  <c r="C5" i="1" s="1"/>
  <c r="B7" i="3"/>
  <c r="F7" i="15"/>
  <c r="H7" i="4"/>
  <c r="D7" i="7"/>
  <c r="J12" i="3"/>
  <c r="D17" i="2"/>
  <c r="D23" i="2" s="1"/>
  <c r="C17" i="15"/>
  <c r="D12" i="7"/>
  <c r="E12" i="7"/>
  <c r="O6" i="8"/>
  <c r="H41" i="15"/>
  <c r="C31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D6" i="8"/>
  <c r="D12" i="8" s="1"/>
  <c r="O28" i="8"/>
  <c r="B6" i="2"/>
  <c r="K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19" i="1"/>
  <c r="G6" i="8"/>
  <c r="J31" i="8"/>
  <c r="J23" i="8"/>
  <c r="G32" i="8"/>
  <c r="B43" i="3"/>
  <c r="C11" i="16"/>
  <c r="P9" i="16"/>
  <c r="B29" i="7" s="1"/>
  <c r="B12" i="15"/>
  <c r="L10" i="4"/>
  <c r="M10" i="4" s="1"/>
  <c r="F40" i="15"/>
  <c r="J35" i="15"/>
  <c r="L35" i="4" s="1"/>
  <c r="F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29" i="7" l="1"/>
  <c r="P23" i="8"/>
  <c r="P32" i="8"/>
  <c r="P28" i="8"/>
  <c r="C12" i="8"/>
  <c r="P6" i="8"/>
  <c r="P31" i="8"/>
  <c r="P18" i="8"/>
  <c r="F26" i="7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J45" i="3"/>
  <c r="C21" i="4"/>
  <c r="B23" i="2"/>
  <c r="B33" i="1"/>
  <c r="I45" i="3"/>
  <c r="H45" i="3"/>
  <c r="D45" i="2"/>
  <c r="O12" i="8"/>
  <c r="H23" i="3"/>
  <c r="G42" i="15"/>
  <c r="H21" i="15"/>
  <c r="B42" i="4"/>
  <c r="D7" i="1"/>
  <c r="J17" i="2"/>
  <c r="K17" i="2" s="1"/>
  <c r="K12" i="3"/>
  <c r="K44" i="3"/>
  <c r="E45" i="2"/>
  <c r="O33" i="8"/>
  <c r="E21" i="4"/>
  <c r="D17" i="5"/>
  <c r="G45" i="3"/>
  <c r="F42" i="15"/>
  <c r="D18" i="1"/>
  <c r="C10" i="1"/>
  <c r="L27" i="4"/>
  <c r="M27" i="4" s="1"/>
  <c r="C21" i="15"/>
  <c r="D42" i="4"/>
  <c r="N33" i="8"/>
  <c r="J11" i="2"/>
  <c r="K11" i="2" s="1"/>
  <c r="K9" i="2"/>
  <c r="K35" i="3"/>
  <c r="K40" i="3"/>
  <c r="J44" i="2"/>
  <c r="K44" i="2" s="1"/>
  <c r="J32" i="15"/>
  <c r="M25" i="4"/>
  <c r="C5" i="5" s="1"/>
  <c r="K30" i="3"/>
  <c r="P6" i="16"/>
  <c r="K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K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3" i="8"/>
  <c r="J37" i="15"/>
  <c r="K18" i="3"/>
  <c r="L17" i="4"/>
  <c r="M17" i="4" s="1"/>
  <c r="D10" i="5"/>
  <c r="G12" i="8"/>
  <c r="E42" i="4"/>
  <c r="C42" i="15"/>
  <c r="J40" i="15"/>
  <c r="J41" i="15"/>
  <c r="G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K43" i="3"/>
  <c r="B17" i="5" l="1"/>
  <c r="B20" i="5"/>
  <c r="D29" i="7"/>
  <c r="F29" i="7" s="1"/>
  <c r="P33" i="8"/>
  <c r="P12" i="8"/>
  <c r="F27" i="7"/>
  <c r="F25" i="7"/>
  <c r="F23" i="7"/>
  <c r="B8" i="1"/>
  <c r="F18" i="1"/>
  <c r="J21" i="15"/>
  <c r="D6" i="1"/>
  <c r="C8" i="1"/>
  <c r="C33" i="1" s="1"/>
  <c r="B10" i="1"/>
  <c r="F19" i="1"/>
  <c r="J45" i="2"/>
  <c r="K45" i="2" s="1"/>
  <c r="K45" i="3"/>
  <c r="F7" i="1"/>
  <c r="J23" i="2"/>
  <c r="K23" i="2" s="1"/>
  <c r="B27" i="1"/>
  <c r="B21" i="5"/>
  <c r="B28" i="1"/>
  <c r="L42" i="4"/>
  <c r="M42" i="4" s="1"/>
  <c r="J42" i="15"/>
  <c r="K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F10" i="5" s="1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29" i="7" s="1"/>
  <c r="B32" i="1"/>
  <c r="B11" i="1"/>
  <c r="L29" i="7" s="1"/>
  <c r="D28" i="1"/>
  <c r="B22" i="1"/>
  <c r="B29" i="1"/>
  <c r="C12" i="5"/>
  <c r="C21" i="5"/>
  <c r="E21" i="5" s="1"/>
  <c r="F21" i="5" s="1"/>
  <c r="H21" i="5" s="1"/>
  <c r="E11" i="5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7" i="1"/>
  <c r="H29" i="7" l="1"/>
  <c r="F11" i="5"/>
  <c r="H11" i="5" s="1"/>
  <c r="N29" i="7"/>
  <c r="P29" i="7" s="1"/>
  <c r="G29" i="7"/>
  <c r="H27" i="7"/>
  <c r="P27" i="7"/>
  <c r="G27" i="7"/>
  <c r="G26" i="7"/>
  <c r="H25" i="7"/>
  <c r="H26" i="7"/>
  <c r="P25" i="7"/>
  <c r="G25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F27" i="1"/>
  <c r="D29" i="1"/>
  <c r="F29" i="1" s="1"/>
  <c r="H5" i="5"/>
  <c r="F7" i="5"/>
  <c r="H7" i="5" s="1"/>
  <c r="F17" i="5"/>
  <c r="H17" i="5" s="1"/>
  <c r="H15" i="5"/>
  <c r="F20" i="5"/>
  <c r="E22" i="5"/>
  <c r="H10" i="5"/>
  <c r="F12" i="5" l="1"/>
  <c r="H12" i="5" s="1"/>
  <c r="I29" i="7"/>
  <c r="K29" i="7" s="1"/>
  <c r="I25" i="7"/>
  <c r="K25" i="7" s="1"/>
  <c r="I27" i="7"/>
  <c r="K27" i="7" s="1"/>
  <c r="I26" i="7"/>
  <c r="K26" i="7" s="1"/>
  <c r="P26" i="7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B28" i="7" l="1"/>
  <c r="B33" i="7" l="1"/>
  <c r="C28" i="7"/>
  <c r="C33" i="7" s="1"/>
  <c r="D28" i="7" l="1"/>
  <c r="F28" i="7" l="1"/>
  <c r="D33" i="7"/>
  <c r="F33" i="7" s="1"/>
  <c r="L28" i="7"/>
  <c r="G28" i="7" l="1"/>
  <c r="L33" i="7"/>
  <c r="M28" i="7" l="1"/>
  <c r="G33" i="7"/>
  <c r="H28" i="7" l="1"/>
  <c r="M33" i="7"/>
  <c r="N28" i="7"/>
  <c r="P28" i="7" l="1"/>
  <c r="N33" i="7"/>
  <c r="P33" i="7" s="1"/>
  <c r="H33" i="7"/>
  <c r="I28" i="7"/>
  <c r="K28" i="7" l="1"/>
  <c r="I33" i="7"/>
  <c r="K33" i="7" s="1"/>
  <c r="D33" i="1" l="1"/>
  <c r="I16" i="5"/>
  <c r="G20" i="1" l="1"/>
  <c r="I20" i="1" s="1"/>
  <c r="I5" i="5"/>
  <c r="G5" i="1"/>
  <c r="I10" i="5"/>
  <c r="I5" i="1" l="1"/>
  <c r="K10" i="5"/>
  <c r="K5" i="5"/>
  <c r="G21" i="1"/>
  <c r="I21" i="1" s="1"/>
  <c r="G16" i="1"/>
  <c r="D32" i="1"/>
  <c r="G27" i="1"/>
  <c r="D34" i="1" l="1"/>
  <c r="E33" i="1" s="1"/>
  <c r="I16" i="1"/>
  <c r="I27" i="1"/>
  <c r="G19" i="1"/>
  <c r="I19" i="1" s="1"/>
  <c r="G7" i="1"/>
  <c r="I7" i="1" s="1"/>
  <c r="G18" i="1"/>
  <c r="I18" i="1" s="1"/>
  <c r="G17" i="1"/>
  <c r="I17" i="1" s="1"/>
  <c r="I6" i="5"/>
  <c r="G6" i="1"/>
  <c r="I11" i="5"/>
  <c r="I15" i="5"/>
  <c r="K11" i="5" l="1"/>
  <c r="I12" i="5"/>
  <c r="K12" i="5" s="1"/>
  <c r="I6" i="1"/>
  <c r="G8" i="1"/>
  <c r="K6" i="5"/>
  <c r="I21" i="5"/>
  <c r="K21" i="5" s="1"/>
  <c r="I7" i="5"/>
  <c r="K7" i="5" s="1"/>
  <c r="G22" i="1"/>
  <c r="I22" i="1" s="1"/>
  <c r="K15" i="5"/>
  <c r="I17" i="5"/>
  <c r="K17" i="5" s="1"/>
  <c r="I20" i="5"/>
  <c r="E32" i="1"/>
  <c r="G28" i="1"/>
  <c r="I8" i="1" l="1"/>
  <c r="I22" i="5"/>
  <c r="K22" i="5" s="1"/>
  <c r="K20" i="5"/>
  <c r="I28" i="1"/>
  <c r="G29" i="1"/>
  <c r="I29" i="1" s="1"/>
  <c r="G10" i="1"/>
  <c r="I10" i="1" s="1"/>
  <c r="G11" i="1" l="1"/>
  <c r="I11" i="1" s="1"/>
</calcChain>
</file>

<file path=xl/sharedStrings.xml><?xml version="1.0" encoding="utf-8"?>
<sst xmlns="http://schemas.openxmlformats.org/spreadsheetml/2006/main" count="682" uniqueCount="243">
  <si>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</si>
  <si>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</si>
  <si>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</si>
  <si>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</si>
  <si>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</si>
  <si>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</si>
  <si>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</si>
  <si>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</si>
  <si>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</si>
  <si>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</si>
  <si>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</si>
  <si>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</si>
  <si>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</si>
  <si>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</si>
  <si>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</si>
  <si>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</si>
  <si>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</si>
  <si>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</si>
  <si>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</si>
  <si>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</si>
  <si>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</si>
  <si>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</si>
  <si>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</si>
  <si>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</si>
  <si>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</si>
  <si>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</si>
  <si>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</si>
  <si>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</si>
  <si>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</si>
  <si>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</si>
  <si>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</si>
  <si>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</si>
  <si>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</si>
  <si>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</si>
  <si>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</si>
  <si>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</si>
  <si>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</si>
  <si>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</si>
  <si>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</si>
  <si>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</si>
  <si>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</si>
  <si>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</si>
  <si>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</si>
  <si>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</si>
  <si>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</si>
  <si>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</si>
  <si>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</si>
  <si>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</si>
  <si>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</si>
  <si>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</si>
  <si>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</si>
  <si>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</si>
  <si>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</si>
  <si>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</si>
  <si>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</si>
  <si>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</si>
  <si>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</si>
  <si>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</si>
  <si>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</si>
  <si>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</si>
  <si>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</si>
  <si>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</si>
  <si>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</si>
  <si>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</si>
  <si>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</si>
  <si>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</si>
  <si>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</si>
  <si>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</si>
  <si>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</si>
  <si>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</si>
  <si>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</si>
  <si>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</si>
  <si>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</si>
  <si>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</si>
  <si>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</si>
  <si>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</si>
  <si>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</si>
  <si>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</si>
  <si>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</si>
  <si>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</si>
  <si>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</si>
  <si>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</si>
  <si>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</si>
  <si>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</si>
  <si>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</si>
  <si>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</si>
  <si>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</si>
  <si>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</si>
  <si>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</si>
  <si>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</si>
  <si>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</si>
  <si>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</si>
  <si>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</si>
  <si>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</si>
  <si>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</si>
  <si>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</si>
  <si>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</si>
  <si>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</si>
  <si>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</si>
  <si>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</si>
  <si>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</si>
  <si>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</si>
  <si>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</si>
  <si>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</si>
  <si>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</si>
  <si>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</si>
  <si>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</si>
  <si>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</si>
  <si>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</si>
  <si>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</si>
  <si>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</si>
  <si>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</si>
  <si>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</si>
  <si>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</si>
  <si>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</si>
  <si>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</si>
  <si>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</si>
  <si>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</si>
  <si>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</si>
  <si>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</si>
  <si>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</si>
  <si>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</si>
  <si>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</si>
  <si>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</si>
  <si>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</si>
  <si>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</si>
  <si>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</si>
  <si>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</si>
  <si>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</si>
  <si>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</si>
  <si>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</si>
  <si>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</si>
  <si>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</si>
  <si>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</si>
  <si>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</si>
  <si>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</si>
  <si>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</si>
  <si>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</si>
  <si>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</si>
  <si>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</si>
  <si>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</si>
  <si>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</si>
  <si>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</si>
  <si>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</si>
  <si>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</si>
  <si>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</si>
  <si>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</si>
  <si>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</si>
  <si>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</si>
  <si>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</si>
  <si>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</si>
  <si>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</si>
  <si>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</si>
  <si>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</si>
  <si>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</si>
  <si>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</si>
  <si>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</si>
  <si>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</si>
  <si>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</si>
  <si>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</si>
  <si>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</si>
  <si>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</si>
  <si>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</si>
  <si>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</si>
  <si>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</si>
  <si>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</si>
  <si>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</si>
  <si>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</si>
  <si>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</si>
  <si>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</si>
  <si>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</si>
  <si>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</si>
  <si>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</si>
  <si>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</si>
  <si>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</si>
  <si>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</si>
  <si>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</si>
  <si>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</si>
  <si>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</si>
  <si>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</si>
  <si>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</si>
  <si>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</si>
  <si>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</si>
  <si>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</si>
  <si>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</si>
  <si>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</si>
  <si>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</si>
  <si>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</si>
  <si>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</si>
  <si>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</si>
  <si>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</si>
  <si>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</si>
  <si>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</si>
  <si>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</si>
  <si>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</si>
  <si>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</si>
  <si>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</si>
  <si>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</si>
  <si>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</si>
  <si>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</si>
  <si>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</si>
  <si>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</si>
  <si>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</si>
  <si>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</si>
  <si>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</si>
  <si>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</si>
  <si>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</si>
  <si>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</si>
  <si>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</si>
  <si>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</si>
  <si>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</si>
  <si>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</si>
  <si>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</si>
  <si>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</si>
  <si>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</si>
  <si>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</si>
  <si>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</si>
  <si>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</si>
  <si>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</si>
  <si>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</si>
  <si>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</si>
  <si>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</si>
  <si>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</si>
  <si>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</si>
  <si>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</si>
  <si>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</si>
  <si>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Air Wisconsin-United</t>
  </si>
  <si>
    <t>MSP Cargo</t>
  </si>
  <si>
    <t>Encore -DHL</t>
  </si>
  <si>
    <t>Kalitta - DHL</t>
  </si>
  <si>
    <t>Southern Air - DHL</t>
  </si>
  <si>
    <t>Swift Air - DHL</t>
  </si>
  <si>
    <t>DHL</t>
  </si>
  <si>
    <t>Atlas Air</t>
  </si>
  <si>
    <t>Kalitta</t>
  </si>
  <si>
    <t>Southern Air</t>
  </si>
  <si>
    <t>Swift</t>
  </si>
  <si>
    <t>ATI</t>
  </si>
  <si>
    <t xml:space="preserve">Amazon </t>
  </si>
  <si>
    <t>Mountain Air</t>
  </si>
  <si>
    <t>ABX Air</t>
  </si>
  <si>
    <t>September 2019</t>
  </si>
  <si>
    <t>Boutique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</si>
</sst>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0" fontId="16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7" fillId="3" borderId="17" xfId="0" applyNumberFormat="1" applyFont="1" applyFill="1" applyBorder="1" applyAlignment="1">
      <alignment horizontal="center"/>
    </xf>
    <xf numFmtId="41" fontId="17" fillId="3" borderId="34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9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63" xfId="0" applyNumberFormat="1" applyFont="1" applyBorder="1"/>
    <xf numFmtId="10" fontId="29" fillId="0" borderId="63" xfId="0" applyNumberFormat="1" applyFont="1" applyBorder="1"/>
    <xf numFmtId="10" fontId="29" fillId="0" borderId="46" xfId="3" applyNumberFormat="1" applyFont="1" applyBorder="1"/>
    <xf numFmtId="10" fontId="29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1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0" xfId="0" applyNumberFormat="1" applyFont="1" applyBorder="1"/>
    <xf numFmtId="3" fontId="4" fillId="15" borderId="0" xfId="0" applyNumberFormat="1" applyFont="1" applyFill="1" applyBorder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3" fontId="4" fillId="15" borderId="9" xfId="0" applyNumberFormat="1" applyFont="1" applyFill="1" applyBorder="1"/>
    <xf numFmtId="3" fontId="4" fillId="15" borderId="0" xfId="0" applyNumberFormat="1" applyFont="1" applyFill="1"/>
    <xf numFmtId="10" fontId="4" fillId="15" borderId="0" xfId="0" applyNumberFormat="1" applyFont="1" applyFill="1" applyBorder="1"/>
    <xf numFmtId="3" fontId="1" fillId="0" borderId="0" xfId="0" applyNumberFormat="1" applyFont="1" applyFill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0" fontId="32" fillId="6" borderId="35" xfId="0" applyFont="1" applyFill="1" applyBorder="1" applyAlignment="1">
      <alignment horizontal="center"/>
    </xf>
    <xf numFmtId="0" fontId="32" fillId="6" borderId="45" xfId="0" applyFont="1" applyFill="1" applyBorder="1" applyAlignment="1">
      <alignment horizontal="center"/>
    </xf>
    <xf numFmtId="0" fontId="32" fillId="6" borderId="46" xfId="0" applyFont="1" applyFill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3" fontId="4" fillId="0" borderId="48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3" fontId="4" fillId="0" borderId="71" xfId="0" applyNumberFormat="1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30" fillId="11" borderId="35" xfId="0" applyNumberFormat="1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3" fontId="30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September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ugus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2591794</v>
          </cell>
          <cell r="G5">
            <v>23312219</v>
          </cell>
        </row>
        <row r="6">
          <cell r="D6">
            <v>559275</v>
          </cell>
          <cell r="G6">
            <v>5745671</v>
          </cell>
        </row>
        <row r="7">
          <cell r="D7">
            <v>470</v>
          </cell>
          <cell r="G7">
            <v>5195</v>
          </cell>
        </row>
        <row r="10">
          <cell r="D10">
            <v>97023</v>
          </cell>
          <cell r="G10">
            <v>919546</v>
          </cell>
        </row>
        <row r="16">
          <cell r="D16">
            <v>19672</v>
          </cell>
          <cell r="G16">
            <v>173097</v>
          </cell>
        </row>
        <row r="17">
          <cell r="D17">
            <v>11095</v>
          </cell>
          <cell r="G17">
            <v>107953</v>
          </cell>
        </row>
        <row r="18">
          <cell r="D18">
            <v>3</v>
          </cell>
          <cell r="G18">
            <v>59</v>
          </cell>
        </row>
        <row r="19">
          <cell r="D19">
            <v>1108</v>
          </cell>
          <cell r="G19">
            <v>10555</v>
          </cell>
        </row>
        <row r="20">
          <cell r="D20">
            <v>1630</v>
          </cell>
          <cell r="G20">
            <v>14212</v>
          </cell>
        </row>
        <row r="21">
          <cell r="D21">
            <v>26</v>
          </cell>
          <cell r="G21">
            <v>781</v>
          </cell>
        </row>
        <row r="27">
          <cell r="D27">
            <v>16420.105482562321</v>
          </cell>
          <cell r="G27">
            <v>149670.29355949056</v>
          </cell>
        </row>
        <row r="28">
          <cell r="D28">
            <v>2063.6960516102699</v>
          </cell>
          <cell r="G28">
            <v>18395.179564106729</v>
          </cell>
        </row>
        <row r="32">
          <cell r="B32">
            <v>964065</v>
          </cell>
          <cell r="D32">
            <v>9141272</v>
          </cell>
        </row>
        <row r="33">
          <cell r="B33">
            <v>617026</v>
          </cell>
          <cell r="D33">
            <v>5358796</v>
          </cell>
        </row>
      </sheetData>
      <sheetData sheetId="1"/>
      <sheetData sheetId="2"/>
      <sheetData sheetId="3"/>
      <sheetData sheetId="4"/>
      <sheetData sheetId="5">
        <row r="29">
          <cell r="D29">
            <v>270210</v>
          </cell>
          <cell r="I29">
            <v>2978352</v>
          </cell>
          <cell r="N29">
            <v>3248562</v>
          </cell>
        </row>
      </sheetData>
      <sheetData sheetId="6"/>
      <sheetData sheetId="7">
        <row r="5">
          <cell r="F5">
            <v>9647.3862643050197</v>
          </cell>
          <cell r="I5">
            <v>82376.325635135072</v>
          </cell>
        </row>
        <row r="6">
          <cell r="F6">
            <v>921.34226505243998</v>
          </cell>
          <cell r="I6">
            <v>7652.2112368840608</v>
          </cell>
        </row>
        <row r="10">
          <cell r="F10">
            <v>6772.7192182572999</v>
          </cell>
          <cell r="I10">
            <v>67293.967924355471</v>
          </cell>
        </row>
        <row r="11">
          <cell r="F11">
            <v>1142.3537865578301</v>
          </cell>
          <cell r="I11">
            <v>10742.968327222668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16420.105482562318</v>
          </cell>
        </row>
        <row r="21">
          <cell r="F21">
            <v>2063.6960516102699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1298</v>
          </cell>
          <cell r="C27">
            <v>972</v>
          </cell>
          <cell r="L27">
            <v>468752</v>
          </cell>
          <cell r="M27">
            <v>475973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306857</v>
          </cell>
          <cell r="I28">
            <v>3538740</v>
          </cell>
          <cell r="N28">
            <v>3845597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7935068</v>
          </cell>
        </row>
        <row r="6">
          <cell r="G6">
            <v>2226061</v>
          </cell>
        </row>
        <row r="7">
          <cell r="G7">
            <v>2113</v>
          </cell>
        </row>
        <row r="10">
          <cell r="G10">
            <v>427314</v>
          </cell>
        </row>
        <row r="16">
          <cell r="G16">
            <v>81444</v>
          </cell>
        </row>
        <row r="17">
          <cell r="G17">
            <v>61857</v>
          </cell>
        </row>
        <row r="18">
          <cell r="G18">
            <v>22</v>
          </cell>
        </row>
        <row r="19">
          <cell r="G19">
            <v>9540</v>
          </cell>
        </row>
        <row r="20">
          <cell r="G20">
            <v>7054</v>
          </cell>
        </row>
        <row r="21">
          <cell r="G21">
            <v>654</v>
          </cell>
        </row>
        <row r="27">
          <cell r="G27">
            <v>120427.88746191663</v>
          </cell>
        </row>
        <row r="28">
          <cell r="G28">
            <v>10770.813455632229</v>
          </cell>
        </row>
        <row r="32">
          <cell r="D32">
            <v>3314637</v>
          </cell>
        </row>
        <row r="33">
          <cell r="D33">
            <v>1721379</v>
          </cell>
        </row>
      </sheetData>
      <sheetData sheetId="1"/>
      <sheetData sheetId="2"/>
      <sheetData sheetId="3"/>
      <sheetData sheetId="4"/>
      <sheetData sheetId="5">
        <row r="28">
          <cell r="B28">
            <v>1482</v>
          </cell>
          <cell r="C28">
            <v>1488</v>
          </cell>
          <cell r="L28">
            <v>564831</v>
          </cell>
          <cell r="M28">
            <v>567563</v>
          </cell>
        </row>
      </sheetData>
      <sheetData sheetId="6"/>
      <sheetData sheetId="7">
        <row r="5">
          <cell r="I5">
            <v>66812.525890022211</v>
          </cell>
        </row>
        <row r="6">
          <cell r="I6">
            <v>4016.4284409703296</v>
          </cell>
        </row>
        <row r="10">
          <cell r="I10">
            <v>53615.361571894427</v>
          </cell>
        </row>
        <row r="11">
          <cell r="I11">
            <v>6754.3850146619006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X4">
            <v>74</v>
          </cell>
        </row>
        <row r="5">
          <cell r="GX5">
            <v>74</v>
          </cell>
        </row>
        <row r="8">
          <cell r="GX8"/>
        </row>
        <row r="9">
          <cell r="GX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  <cell r="GW19">
            <v>144</v>
          </cell>
          <cell r="GX19">
            <v>148</v>
          </cell>
        </row>
        <row r="22">
          <cell r="GX22">
            <v>105</v>
          </cell>
        </row>
        <row r="23">
          <cell r="GX23">
            <v>114</v>
          </cell>
        </row>
        <row r="27">
          <cell r="GX27"/>
        </row>
        <row r="28">
          <cell r="GX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  <cell r="GW41">
            <v>244</v>
          </cell>
          <cell r="GX41">
            <v>219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3"/>
      <sheetData sheetId="4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I64">
            <v>143926</v>
          </cell>
          <cell r="GJ64">
            <v>225019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5"/>
      <sheetData sheetId="6">
        <row r="8">
          <cell r="GX8"/>
        </row>
        <row r="9">
          <cell r="GX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  <cell r="GV15"/>
          <cell r="GW15"/>
          <cell r="GX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  <cell r="GV16"/>
          <cell r="GW16"/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  <cell r="GV32"/>
          <cell r="GW32"/>
          <cell r="GX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  <cell r="GV33"/>
          <cell r="GW33"/>
          <cell r="GX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  <cell r="GV37"/>
          <cell r="GW37"/>
          <cell r="GX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  <cell r="GV38"/>
          <cell r="GW38"/>
          <cell r="GX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I64">
            <v>8696</v>
          </cell>
          <cell r="GJ64">
            <v>313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7">
        <row r="4">
          <cell r="GX4">
            <v>60</v>
          </cell>
        </row>
        <row r="5">
          <cell r="GX5">
            <v>60</v>
          </cell>
        </row>
        <row r="8">
          <cell r="GX8"/>
        </row>
        <row r="9">
          <cell r="GX9"/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  <cell r="GW19">
            <v>126</v>
          </cell>
          <cell r="GX19">
            <v>120</v>
          </cell>
        </row>
        <row r="22">
          <cell r="GX22">
            <v>4640</v>
          </cell>
        </row>
        <row r="23">
          <cell r="GX23">
            <v>4453</v>
          </cell>
        </row>
        <row r="27">
          <cell r="GX27">
            <v>232</v>
          </cell>
        </row>
        <row r="28">
          <cell r="GX28">
            <v>224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  <cell r="GW41">
            <v>10189</v>
          </cell>
          <cell r="GX41">
            <v>9093</v>
          </cell>
        </row>
        <row r="47">
          <cell r="GX47">
            <v>39574</v>
          </cell>
        </row>
        <row r="48">
          <cell r="GX48">
            <v>546</v>
          </cell>
        </row>
        <row r="52">
          <cell r="GX52">
            <v>4044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I64">
            <v>48902</v>
          </cell>
          <cell r="GJ64">
            <v>38234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  <cell r="GW64">
            <v>49387</v>
          </cell>
          <cell r="GX64">
            <v>44164</v>
          </cell>
        </row>
      </sheetData>
      <sheetData sheetId="8"/>
      <sheetData sheetId="9">
        <row r="4">
          <cell r="GX4">
            <v>253</v>
          </cell>
        </row>
        <row r="5">
          <cell r="GX5">
            <v>254</v>
          </cell>
        </row>
        <row r="8">
          <cell r="GX8"/>
        </row>
        <row r="9">
          <cell r="GX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  <cell r="GW19">
            <v>652</v>
          </cell>
          <cell r="GX19">
            <v>507</v>
          </cell>
        </row>
        <row r="22">
          <cell r="GX22">
            <v>28117</v>
          </cell>
        </row>
        <row r="23">
          <cell r="GX23">
            <v>28550</v>
          </cell>
        </row>
        <row r="27">
          <cell r="GX27">
            <v>1208</v>
          </cell>
        </row>
        <row r="28">
          <cell r="GX28">
            <v>1281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  <cell r="GW41">
            <v>62770</v>
          </cell>
          <cell r="GX41">
            <v>56667</v>
          </cell>
        </row>
        <row r="47">
          <cell r="GX47">
            <v>29183</v>
          </cell>
        </row>
        <row r="48">
          <cell r="GX48">
            <v>65167</v>
          </cell>
        </row>
        <row r="52">
          <cell r="GX52">
            <v>3839</v>
          </cell>
        </row>
        <row r="53">
          <cell r="GX53">
            <v>64460</v>
          </cell>
        </row>
        <row r="57">
          <cell r="GX57"/>
        </row>
        <row r="58">
          <cell r="GX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I64">
            <v>98213</v>
          </cell>
          <cell r="GJ64">
            <v>102181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  <cell r="GW64">
            <v>149664</v>
          </cell>
          <cell r="GX64">
            <v>162649</v>
          </cell>
        </row>
      </sheetData>
      <sheetData sheetId="10"/>
      <sheetData sheetId="11">
        <row r="4">
          <cell r="GX4">
            <v>300</v>
          </cell>
        </row>
        <row r="5">
          <cell r="GX5">
            <v>300</v>
          </cell>
        </row>
        <row r="8">
          <cell r="GX8">
            <v>59</v>
          </cell>
        </row>
        <row r="9">
          <cell r="GX9">
            <v>55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  <cell r="GV15">
            <v>1</v>
          </cell>
          <cell r="GW15">
            <v>5</v>
          </cell>
          <cell r="GX15">
            <v>4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  <cell r="GV16">
            <v>0</v>
          </cell>
          <cell r="GW16"/>
          <cell r="GX16">
            <v>4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  <cell r="GW19">
            <v>1153</v>
          </cell>
          <cell r="GX19">
            <v>722</v>
          </cell>
        </row>
        <row r="22">
          <cell r="GX22">
            <v>38723</v>
          </cell>
        </row>
        <row r="23">
          <cell r="GX23">
            <v>38631</v>
          </cell>
        </row>
        <row r="27">
          <cell r="GX27">
            <v>941</v>
          </cell>
        </row>
        <row r="28">
          <cell r="GX28">
            <v>993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  <cell r="GV32"/>
          <cell r="GW32">
            <v>444</v>
          </cell>
          <cell r="GX32">
            <v>330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  <cell r="GX33">
            <v>442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  <cell r="GV37"/>
          <cell r="GW37">
            <v>7</v>
          </cell>
          <cell r="GX37">
            <v>19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  <cell r="GX38">
            <v>14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  <cell r="GW41">
            <v>104444</v>
          </cell>
          <cell r="GX41">
            <v>78126</v>
          </cell>
        </row>
        <row r="47">
          <cell r="GX47">
            <v>15710</v>
          </cell>
        </row>
        <row r="48">
          <cell r="GX48">
            <v>112553</v>
          </cell>
        </row>
        <row r="52">
          <cell r="GX52"/>
        </row>
        <row r="53">
          <cell r="GX53">
            <v>218</v>
          </cell>
        </row>
        <row r="57">
          <cell r="GX57"/>
        </row>
        <row r="58">
          <cell r="GX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I64">
            <v>1051243</v>
          </cell>
          <cell r="GJ64">
            <v>794686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  <cell r="GW64">
            <v>429273</v>
          </cell>
          <cell r="GX64">
            <v>128481</v>
          </cell>
        </row>
        <row r="70">
          <cell r="GX70">
            <v>38631</v>
          </cell>
        </row>
        <row r="71">
          <cell r="GX71">
            <v>0</v>
          </cell>
        </row>
        <row r="73">
          <cell r="GX73">
            <v>442</v>
          </cell>
        </row>
        <row r="74">
          <cell r="GX74"/>
        </row>
      </sheetData>
      <sheetData sheetId="12">
        <row r="4">
          <cell r="GX4">
            <v>25</v>
          </cell>
        </row>
        <row r="5">
          <cell r="GX5">
            <v>25</v>
          </cell>
        </row>
        <row r="8">
          <cell r="GX8"/>
        </row>
        <row r="9">
          <cell r="GX9"/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  <cell r="GW19">
            <v>37</v>
          </cell>
          <cell r="GX19">
            <v>50</v>
          </cell>
        </row>
        <row r="22">
          <cell r="GX22">
            <v>90</v>
          </cell>
        </row>
        <row r="23">
          <cell r="GX23">
            <v>68</v>
          </cell>
        </row>
        <row r="27">
          <cell r="GX27"/>
        </row>
        <row r="28">
          <cell r="GX28"/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  <cell r="GW41">
            <v>94</v>
          </cell>
          <cell r="GX41">
            <v>158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13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I64">
            <v>50906</v>
          </cell>
          <cell r="GJ64">
            <v>73162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14">
        <row r="4">
          <cell r="GX4">
            <v>3002</v>
          </cell>
        </row>
        <row r="5">
          <cell r="GX5">
            <v>3004</v>
          </cell>
        </row>
        <row r="8">
          <cell r="GX8">
            <v>1</v>
          </cell>
        </row>
        <row r="9">
          <cell r="GX9">
            <v>2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  <cell r="GW15">
            <v>3</v>
          </cell>
          <cell r="GX15">
            <v>1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  <cell r="GV16">
            <v>2</v>
          </cell>
          <cell r="GW16">
            <v>3</v>
          </cell>
          <cell r="GX16">
            <v>1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  <cell r="GW19">
            <v>6798</v>
          </cell>
          <cell r="GX19">
            <v>6011</v>
          </cell>
        </row>
        <row r="22">
          <cell r="GX22">
            <v>227862</v>
          </cell>
        </row>
        <row r="23">
          <cell r="GX23">
            <v>230715</v>
          </cell>
        </row>
        <row r="27">
          <cell r="GX27">
            <v>11547</v>
          </cell>
        </row>
        <row r="28">
          <cell r="GX28">
            <v>11412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  <cell r="GW32">
            <v>121</v>
          </cell>
          <cell r="GX32"/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  <cell r="GV33">
            <v>50</v>
          </cell>
          <cell r="GW33">
            <v>222</v>
          </cell>
          <cell r="GX33"/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  <cell r="GV37">
            <v>1</v>
          </cell>
          <cell r="GW37">
            <v>6</v>
          </cell>
          <cell r="GX37"/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  <cell r="GV38">
            <v>11</v>
          </cell>
          <cell r="GW38">
            <v>3</v>
          </cell>
          <cell r="GX38"/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  <cell r="GW41">
            <v>498428</v>
          </cell>
          <cell r="GX41">
            <v>458577</v>
          </cell>
        </row>
        <row r="47">
          <cell r="GX47">
            <v>496166</v>
          </cell>
        </row>
        <row r="48">
          <cell r="GX48">
            <v>1256494</v>
          </cell>
        </row>
        <row r="52">
          <cell r="GX52">
            <v>239480</v>
          </cell>
        </row>
        <row r="53">
          <cell r="GX53">
            <v>1203071</v>
          </cell>
        </row>
        <row r="57">
          <cell r="GX57"/>
        </row>
        <row r="58">
          <cell r="GX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I64">
            <v>5482283</v>
          </cell>
          <cell r="GJ64">
            <v>6512462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  <cell r="GW64">
            <v>3370015</v>
          </cell>
          <cell r="GX64">
            <v>3195211</v>
          </cell>
        </row>
        <row r="70">
          <cell r="GX70">
            <v>110634</v>
          </cell>
        </row>
        <row r="71">
          <cell r="GX71">
            <v>120081</v>
          </cell>
        </row>
        <row r="73">
          <cell r="GX73"/>
        </row>
        <row r="74">
          <cell r="GX74"/>
        </row>
      </sheetData>
      <sheetData sheetId="15">
        <row r="4">
          <cell r="GX4">
            <v>52</v>
          </cell>
        </row>
        <row r="5">
          <cell r="GX5">
            <v>52</v>
          </cell>
        </row>
        <row r="8">
          <cell r="GX8"/>
        </row>
        <row r="9">
          <cell r="GX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  <cell r="GW19">
            <v>108</v>
          </cell>
          <cell r="GX19">
            <v>104</v>
          </cell>
        </row>
        <row r="22">
          <cell r="GX22">
            <v>173</v>
          </cell>
        </row>
        <row r="23">
          <cell r="GX23">
            <v>111</v>
          </cell>
        </row>
        <row r="27">
          <cell r="GX27">
            <v>15</v>
          </cell>
        </row>
        <row r="28">
          <cell r="GX28">
            <v>14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  <cell r="GW41">
            <v>273</v>
          </cell>
          <cell r="GX41">
            <v>284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16">
        <row r="4">
          <cell r="GX4">
            <v>60</v>
          </cell>
        </row>
        <row r="5">
          <cell r="GX5">
            <v>60</v>
          </cell>
        </row>
        <row r="8">
          <cell r="GX8"/>
        </row>
        <row r="9">
          <cell r="GX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  <cell r="GW19">
            <v>123</v>
          </cell>
          <cell r="GX19">
            <v>120</v>
          </cell>
        </row>
        <row r="22">
          <cell r="GX22">
            <v>7738</v>
          </cell>
        </row>
        <row r="23">
          <cell r="GX23">
            <v>7713</v>
          </cell>
        </row>
        <row r="27">
          <cell r="GX27">
            <v>98</v>
          </cell>
        </row>
        <row r="28">
          <cell r="GX28">
            <v>114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  <cell r="GW41">
            <v>16138</v>
          </cell>
          <cell r="GX41">
            <v>15451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17"/>
      <sheetData sheetId="18">
        <row r="8">
          <cell r="GX8"/>
        </row>
        <row r="9">
          <cell r="GX9"/>
        </row>
        <row r="15">
          <cell r="GP15">
            <v>4</v>
          </cell>
          <cell r="GQ15"/>
          <cell r="GR15">
            <v>5</v>
          </cell>
          <cell r="GS15"/>
          <cell r="GT15"/>
          <cell r="GV15"/>
          <cell r="GW15"/>
          <cell r="GX15"/>
        </row>
        <row r="16">
          <cell r="GP16">
            <v>4</v>
          </cell>
          <cell r="GQ16"/>
          <cell r="GR16">
            <v>5</v>
          </cell>
          <cell r="GS16"/>
          <cell r="GT16"/>
          <cell r="GV16"/>
          <cell r="GW16"/>
          <cell r="GX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  <cell r="GV32"/>
          <cell r="GW32"/>
          <cell r="GX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  <cell r="GX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  <cell r="GV37"/>
          <cell r="GW37"/>
          <cell r="GX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  <cell r="GX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I64">
            <v>22043</v>
          </cell>
          <cell r="GJ64">
            <v>5533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19">
        <row r="4">
          <cell r="GX4">
            <v>13</v>
          </cell>
        </row>
        <row r="5">
          <cell r="GX5">
            <v>13</v>
          </cell>
        </row>
        <row r="8">
          <cell r="GX8"/>
        </row>
        <row r="9">
          <cell r="GX9"/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  <cell r="GW19">
            <v>34</v>
          </cell>
          <cell r="GX19">
            <v>26</v>
          </cell>
        </row>
        <row r="22">
          <cell r="GX22">
            <v>345</v>
          </cell>
        </row>
        <row r="23">
          <cell r="GX23">
            <v>388</v>
          </cell>
        </row>
        <row r="27">
          <cell r="GX27">
            <v>45</v>
          </cell>
        </row>
        <row r="28">
          <cell r="GX28">
            <v>51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  <cell r="GW41">
            <v>1376</v>
          </cell>
          <cell r="GX41">
            <v>733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20">
        <row r="4">
          <cell r="GX4">
            <v>78</v>
          </cell>
        </row>
        <row r="5">
          <cell r="GX5">
            <v>78</v>
          </cell>
        </row>
        <row r="8">
          <cell r="GX8"/>
        </row>
        <row r="9">
          <cell r="GX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  <cell r="GW19">
            <v>194</v>
          </cell>
          <cell r="GX19">
            <v>156</v>
          </cell>
        </row>
        <row r="22">
          <cell r="GX22">
            <v>7281</v>
          </cell>
        </row>
        <row r="23">
          <cell r="GX23">
            <v>7657</v>
          </cell>
        </row>
        <row r="27">
          <cell r="GX27">
            <v>530</v>
          </cell>
        </row>
        <row r="28">
          <cell r="GX28">
            <v>515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  <cell r="GW41">
            <v>14077</v>
          </cell>
          <cell r="GX41">
            <v>14938</v>
          </cell>
        </row>
        <row r="47">
          <cell r="GX47">
            <v>36187</v>
          </cell>
        </row>
        <row r="48">
          <cell r="GX48">
            <v>3320</v>
          </cell>
        </row>
        <row r="52">
          <cell r="GX52">
            <v>21307</v>
          </cell>
        </row>
        <row r="53">
          <cell r="GX53">
            <v>9538</v>
          </cell>
        </row>
        <row r="57">
          <cell r="GX57"/>
        </row>
        <row r="58">
          <cell r="GX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I64">
            <v>170286</v>
          </cell>
          <cell r="GJ64">
            <v>176107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  <cell r="GW64">
            <v>108811</v>
          </cell>
          <cell r="GX64">
            <v>70352</v>
          </cell>
        </row>
      </sheetData>
      <sheetData sheetId="21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  <cell r="GV15"/>
          <cell r="GW15"/>
          <cell r="GX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  <cell r="GV16"/>
          <cell r="GW16"/>
          <cell r="GX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  <cell r="GV32"/>
          <cell r="GW32"/>
          <cell r="GX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  <cell r="GV33"/>
          <cell r="GW33"/>
          <cell r="GX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  <cell r="GV37"/>
          <cell r="GW37"/>
          <cell r="GX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  <cell r="GV38"/>
          <cell r="GW38"/>
          <cell r="GX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I64">
            <v>385728</v>
          </cell>
          <cell r="GJ64">
            <v>536448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</row>
      </sheetData>
      <sheetData sheetId="24">
        <row r="4">
          <cell r="GX4">
            <v>268</v>
          </cell>
        </row>
        <row r="5">
          <cell r="GX5">
            <v>268</v>
          </cell>
        </row>
        <row r="8">
          <cell r="GX8"/>
        </row>
        <row r="9">
          <cell r="GX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  <cell r="GW19">
            <v>815</v>
          </cell>
          <cell r="GX19">
            <v>536</v>
          </cell>
        </row>
        <row r="22">
          <cell r="GX22">
            <v>22855</v>
          </cell>
        </row>
        <row r="23">
          <cell r="GX23">
            <v>22651</v>
          </cell>
        </row>
        <row r="27">
          <cell r="GX27">
            <v>793</v>
          </cell>
        </row>
        <row r="28">
          <cell r="GX28">
            <v>862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  <cell r="GW41">
            <v>57824</v>
          </cell>
          <cell r="GX41">
            <v>45506</v>
          </cell>
        </row>
        <row r="47">
          <cell r="GX47">
            <v>207992</v>
          </cell>
        </row>
        <row r="48">
          <cell r="GX48"/>
        </row>
        <row r="52">
          <cell r="GX52">
            <v>61128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I64">
            <v>289661</v>
          </cell>
          <cell r="GJ64">
            <v>286373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  <cell r="GW64">
            <v>229371</v>
          </cell>
          <cell r="GX64">
            <v>269120</v>
          </cell>
        </row>
        <row r="70">
          <cell r="GX70">
            <v>22633</v>
          </cell>
        </row>
        <row r="71">
          <cell r="GX71">
            <v>18</v>
          </cell>
        </row>
        <row r="73">
          <cell r="GX73"/>
        </row>
        <row r="74">
          <cell r="GX74"/>
        </row>
      </sheetData>
      <sheetData sheetId="25">
        <row r="4">
          <cell r="GX4">
            <v>76</v>
          </cell>
        </row>
        <row r="5">
          <cell r="GX5">
            <v>76</v>
          </cell>
        </row>
        <row r="8">
          <cell r="GX8"/>
        </row>
        <row r="9">
          <cell r="GX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  <cell r="GW19">
            <v>306</v>
          </cell>
          <cell r="GX19">
            <v>152</v>
          </cell>
        </row>
        <row r="22">
          <cell r="GX22">
            <v>10209</v>
          </cell>
        </row>
        <row r="23">
          <cell r="GX23">
            <v>10496</v>
          </cell>
        </row>
        <row r="27">
          <cell r="GX27">
            <v>87</v>
          </cell>
        </row>
        <row r="28">
          <cell r="GX28">
            <v>106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  <cell r="GW41">
            <v>37696</v>
          </cell>
          <cell r="GX41">
            <v>20705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/>
        </row>
        <row r="71">
          <cell r="GX71"/>
        </row>
        <row r="73">
          <cell r="GX73"/>
        </row>
        <row r="74">
          <cell r="GX74"/>
        </row>
      </sheetData>
      <sheetData sheetId="26"/>
      <sheetData sheetId="27"/>
      <sheetData sheetId="28"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29">
        <row r="4">
          <cell r="GX4">
            <v>53</v>
          </cell>
        </row>
        <row r="5">
          <cell r="GX5">
            <v>52</v>
          </cell>
        </row>
        <row r="8">
          <cell r="GX8"/>
        </row>
        <row r="9">
          <cell r="GX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  <cell r="GW19">
            <v>0</v>
          </cell>
          <cell r="GX19">
            <v>105</v>
          </cell>
        </row>
        <row r="22">
          <cell r="GX22">
            <v>3575</v>
          </cell>
        </row>
        <row r="23">
          <cell r="GX23">
            <v>3504</v>
          </cell>
        </row>
        <row r="27">
          <cell r="GX27">
            <v>214</v>
          </cell>
        </row>
        <row r="28">
          <cell r="GX28">
            <v>214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  <cell r="GW41">
            <v>0</v>
          </cell>
          <cell r="GX41">
            <v>7079</v>
          </cell>
        </row>
        <row r="47">
          <cell r="GX47">
            <v>390</v>
          </cell>
        </row>
        <row r="48">
          <cell r="GX48"/>
        </row>
        <row r="52">
          <cell r="GX52">
            <v>516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I64">
            <v>77</v>
          </cell>
          <cell r="GJ64">
            <v>0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  <cell r="GW64">
            <v>0</v>
          </cell>
          <cell r="GX64">
            <v>906</v>
          </cell>
        </row>
      </sheetData>
      <sheetData sheetId="30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31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  <cell r="GW64">
            <v>0</v>
          </cell>
          <cell r="GX64">
            <v>0</v>
          </cell>
        </row>
      </sheetData>
      <sheetData sheetId="32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/>
        </row>
        <row r="71">
          <cell r="GX71"/>
        </row>
        <row r="73">
          <cell r="GX73"/>
        </row>
        <row r="74">
          <cell r="GX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37"/>
      <sheetData sheetId="38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39"/>
      <sheetData sheetId="40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I64">
            <v>49</v>
          </cell>
          <cell r="GJ64">
            <v>50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/>
        </row>
        <row r="71">
          <cell r="GX71"/>
        </row>
        <row r="73">
          <cell r="GX73"/>
        </row>
        <row r="74">
          <cell r="GX74"/>
        </row>
      </sheetData>
      <sheetData sheetId="41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42">
        <row r="4">
          <cell r="GX4">
            <v>142</v>
          </cell>
        </row>
        <row r="5">
          <cell r="GX5">
            <v>142</v>
          </cell>
        </row>
        <row r="8">
          <cell r="GX8"/>
        </row>
        <row r="9">
          <cell r="GX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  <cell r="GW19">
            <v>186</v>
          </cell>
          <cell r="GX19">
            <v>284</v>
          </cell>
        </row>
        <row r="22">
          <cell r="GX22">
            <v>7881</v>
          </cell>
        </row>
        <row r="23">
          <cell r="GX23">
            <v>7885</v>
          </cell>
        </row>
        <row r="27">
          <cell r="GX27">
            <v>646</v>
          </cell>
        </row>
        <row r="28">
          <cell r="GX28">
            <v>619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  <cell r="GW41">
            <v>8355</v>
          </cell>
          <cell r="GX41">
            <v>15766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43"/>
      <sheetData sheetId="44">
        <row r="4">
          <cell r="GX4">
            <v>115</v>
          </cell>
        </row>
        <row r="5">
          <cell r="GX5">
            <v>116</v>
          </cell>
        </row>
        <row r="8">
          <cell r="GX8"/>
        </row>
        <row r="9">
          <cell r="GX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  <cell r="GW19">
            <v>236</v>
          </cell>
          <cell r="GX19">
            <v>231</v>
          </cell>
        </row>
        <row r="22">
          <cell r="GX22">
            <v>5343</v>
          </cell>
        </row>
        <row r="23">
          <cell r="GX23">
            <v>5405</v>
          </cell>
        </row>
        <row r="27">
          <cell r="GX27">
            <v>401</v>
          </cell>
        </row>
        <row r="28">
          <cell r="GX28">
            <v>398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  <cell r="GW41">
            <v>9704</v>
          </cell>
          <cell r="GX41">
            <v>10748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45"/>
      <sheetData sheetId="46"/>
      <sheetData sheetId="47">
        <row r="4">
          <cell r="GX4">
            <v>2112</v>
          </cell>
        </row>
        <row r="5">
          <cell r="GX5">
            <v>2114</v>
          </cell>
        </row>
        <row r="8">
          <cell r="GX8"/>
        </row>
        <row r="9">
          <cell r="GX9"/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  <cell r="GV15"/>
          <cell r="GW15"/>
          <cell r="GX15">
            <v>2</v>
          </cell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  <cell r="GV16"/>
          <cell r="GW16"/>
          <cell r="GX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  <cell r="GW19">
            <v>3721</v>
          </cell>
          <cell r="GX19">
            <v>4228</v>
          </cell>
        </row>
        <row r="22">
          <cell r="GX22">
            <v>66880</v>
          </cell>
        </row>
        <row r="23">
          <cell r="GX23">
            <v>67320</v>
          </cell>
        </row>
        <row r="27">
          <cell r="GX27">
            <v>2470</v>
          </cell>
        </row>
        <row r="28">
          <cell r="GX28">
            <v>2521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  <cell r="GV32"/>
          <cell r="GW32"/>
          <cell r="GX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  <cell r="GV33"/>
          <cell r="GW33"/>
          <cell r="GX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  <cell r="GV37"/>
          <cell r="GW37"/>
          <cell r="GX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  <cell r="GV38"/>
          <cell r="GW38"/>
          <cell r="GX38">
            <v>1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  <cell r="GW41">
            <v>124292</v>
          </cell>
          <cell r="GX41">
            <v>134200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>
            <v>17139</v>
          </cell>
        </row>
        <row r="71">
          <cell r="GX71">
            <v>50181</v>
          </cell>
        </row>
        <row r="73">
          <cell r="GX73"/>
        </row>
        <row r="74">
          <cell r="GX74"/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49">
        <row r="4">
          <cell r="GX4">
            <v>90</v>
          </cell>
        </row>
        <row r="5">
          <cell r="GX5">
            <v>93</v>
          </cell>
        </row>
        <row r="8">
          <cell r="GX8"/>
        </row>
        <row r="9">
          <cell r="GX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  <cell r="GW19">
            <v>339</v>
          </cell>
          <cell r="GX19">
            <v>183</v>
          </cell>
        </row>
        <row r="22">
          <cell r="GX22">
            <v>4442</v>
          </cell>
        </row>
        <row r="23">
          <cell r="GX23">
            <v>4406</v>
          </cell>
        </row>
        <row r="27">
          <cell r="GX27">
            <v>321</v>
          </cell>
        </row>
        <row r="28">
          <cell r="GX28">
            <v>363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  <cell r="GW41">
            <v>17449</v>
          </cell>
          <cell r="GX41">
            <v>8848</v>
          </cell>
        </row>
        <row r="47">
          <cell r="GX47">
            <v>77</v>
          </cell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I64">
            <v>120</v>
          </cell>
          <cell r="GJ64">
            <v>353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  <cell r="GW64">
            <v>363</v>
          </cell>
          <cell r="GX64">
            <v>77</v>
          </cell>
        </row>
      </sheetData>
      <sheetData sheetId="50">
        <row r="4">
          <cell r="GX4">
            <v>32</v>
          </cell>
        </row>
        <row r="5">
          <cell r="GX5">
            <v>33</v>
          </cell>
        </row>
        <row r="8">
          <cell r="GX8"/>
        </row>
        <row r="9">
          <cell r="GX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  <cell r="GW19">
            <v>182</v>
          </cell>
          <cell r="GX19">
            <v>65</v>
          </cell>
        </row>
        <row r="22">
          <cell r="GX22">
            <v>1348</v>
          </cell>
        </row>
        <row r="23">
          <cell r="GX23">
            <v>1408</v>
          </cell>
        </row>
        <row r="27">
          <cell r="GX27">
            <v>86</v>
          </cell>
        </row>
        <row r="28">
          <cell r="GX28">
            <v>107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  <cell r="GW41">
            <v>6817</v>
          </cell>
          <cell r="GX41">
            <v>2756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51">
        <row r="8">
          <cell r="GX8"/>
        </row>
        <row r="9">
          <cell r="GX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  <cell r="GV15"/>
          <cell r="GW15"/>
          <cell r="GX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  <cell r="GV16"/>
          <cell r="GW16"/>
          <cell r="GX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  <cell r="GV32"/>
          <cell r="GW32"/>
          <cell r="GX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  <cell r="GX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  <cell r="GV37"/>
          <cell r="GW37"/>
          <cell r="GX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  <cell r="GX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I64">
            <v>4288</v>
          </cell>
          <cell r="GJ64">
            <v>4106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52">
        <row r="4">
          <cell r="GX4">
            <v>1838</v>
          </cell>
        </row>
        <row r="5">
          <cell r="GX5">
            <v>1829</v>
          </cell>
        </row>
        <row r="8">
          <cell r="GX8"/>
        </row>
        <row r="9">
          <cell r="GX9">
            <v>1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  <cell r="GW15">
            <v>42</v>
          </cell>
          <cell r="GX15">
            <v>28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  <cell r="GW16">
            <v>42</v>
          </cell>
          <cell r="GX16">
            <v>29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  <cell r="GW19">
            <v>4141</v>
          </cell>
          <cell r="GX19">
            <v>3725</v>
          </cell>
        </row>
        <row r="22">
          <cell r="GX22">
            <v>55641</v>
          </cell>
        </row>
        <row r="23">
          <cell r="GX23">
            <v>54206</v>
          </cell>
        </row>
        <row r="27">
          <cell r="GX27">
            <v>2341</v>
          </cell>
        </row>
        <row r="28">
          <cell r="GX28">
            <v>2404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  <cell r="GW32">
            <v>891</v>
          </cell>
          <cell r="GX32">
            <v>938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  <cell r="GW33">
            <v>735</v>
          </cell>
          <cell r="GX33">
            <v>691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  <cell r="GW37">
            <v>13</v>
          </cell>
          <cell r="GX37">
            <v>4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  <cell r="GW38">
            <v>7</v>
          </cell>
          <cell r="GX38">
            <v>4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  <cell r="GW41">
            <v>110567</v>
          </cell>
          <cell r="GX41">
            <v>111476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>
            <v>16610</v>
          </cell>
        </row>
        <row r="71">
          <cell r="GX71">
            <v>37596</v>
          </cell>
        </row>
        <row r="73">
          <cell r="GX73">
            <v>212</v>
          </cell>
        </row>
        <row r="74">
          <cell r="GX74">
            <v>479</v>
          </cell>
        </row>
      </sheetData>
      <sheetData sheetId="53"/>
      <sheetData sheetId="54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116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6402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84</v>
          </cell>
          <cell r="GW64">
            <v>0</v>
          </cell>
          <cell r="GX64">
            <v>0</v>
          </cell>
        </row>
      </sheetData>
      <sheetData sheetId="55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I64">
            <v>3078</v>
          </cell>
          <cell r="GJ64">
            <v>2111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  <cell r="GW64">
            <v>0</v>
          </cell>
          <cell r="GX64">
            <v>0</v>
          </cell>
        </row>
      </sheetData>
      <sheetData sheetId="56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57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2">
          <cell r="GX22"/>
        </row>
        <row r="23">
          <cell r="GX23"/>
        </row>
        <row r="27">
          <cell r="GX27"/>
        </row>
        <row r="28">
          <cell r="GX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70">
          <cell r="GX70"/>
        </row>
        <row r="71">
          <cell r="GX71"/>
        </row>
        <row r="73">
          <cell r="GX73"/>
        </row>
        <row r="74">
          <cell r="GX74"/>
        </row>
      </sheetData>
      <sheetData sheetId="58"/>
      <sheetData sheetId="59"/>
      <sheetData sheetId="60"/>
      <sheetData sheetId="61">
        <row r="4">
          <cell r="GX4"/>
        </row>
        <row r="5">
          <cell r="GX5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22">
          <cell r="GX22"/>
        </row>
        <row r="23">
          <cell r="GX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</sheetData>
      <sheetData sheetId="62">
        <row r="4">
          <cell r="GX4"/>
        </row>
        <row r="5">
          <cell r="GX5"/>
        </row>
        <row r="15">
          <cell r="GX15"/>
        </row>
        <row r="16">
          <cell r="GX16"/>
        </row>
        <row r="22">
          <cell r="GX22"/>
        </row>
        <row r="23">
          <cell r="GX23"/>
        </row>
        <row r="32">
          <cell r="GX32"/>
        </row>
        <row r="33">
          <cell r="GX33"/>
        </row>
      </sheetData>
      <sheetData sheetId="63">
        <row r="4">
          <cell r="GX4"/>
        </row>
        <row r="5">
          <cell r="GX5">
            <v>1</v>
          </cell>
        </row>
        <row r="8">
          <cell r="GX8"/>
        </row>
        <row r="9">
          <cell r="GX9"/>
        </row>
        <row r="15">
          <cell r="GP15">
            <v>1</v>
          </cell>
          <cell r="GQ15"/>
          <cell r="GR15"/>
          <cell r="GS15"/>
          <cell r="GT15"/>
          <cell r="GV15"/>
          <cell r="GW15"/>
          <cell r="GX15">
            <v>1</v>
          </cell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23">
          <cell r="GX23">
            <v>138</v>
          </cell>
        </row>
        <row r="32">
          <cell r="GP32">
            <v>60</v>
          </cell>
          <cell r="GQ32"/>
          <cell r="GR32"/>
          <cell r="GS32"/>
          <cell r="GT32"/>
          <cell r="GU32"/>
          <cell r="GV32"/>
          <cell r="GW32"/>
          <cell r="GX32">
            <v>19</v>
          </cell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</sheetData>
      <sheetData sheetId="64">
        <row r="4">
          <cell r="GX4"/>
        </row>
        <row r="5">
          <cell r="GX5"/>
        </row>
        <row r="15">
          <cell r="GP15"/>
          <cell r="GQ15"/>
          <cell r="GR15"/>
          <cell r="GS15"/>
          <cell r="GT15"/>
          <cell r="GV15"/>
          <cell r="GW15"/>
          <cell r="GX15"/>
        </row>
        <row r="16">
          <cell r="GP16"/>
          <cell r="GQ16"/>
          <cell r="GR16"/>
          <cell r="GS16"/>
          <cell r="GT16"/>
          <cell r="GV16"/>
          <cell r="GW16"/>
          <cell r="GX16"/>
        </row>
        <row r="22">
          <cell r="GX22"/>
        </row>
        <row r="23">
          <cell r="GX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</row>
      </sheetData>
      <sheetData sheetId="65">
        <row r="4">
          <cell r="GX4">
            <v>1</v>
          </cell>
        </row>
        <row r="5">
          <cell r="GX5">
            <v>1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  <cell r="GW19">
            <v>2</v>
          </cell>
          <cell r="GX19">
            <v>2</v>
          </cell>
        </row>
        <row r="47">
          <cell r="GX47">
            <v>32387</v>
          </cell>
        </row>
        <row r="48">
          <cell r="GX48"/>
        </row>
        <row r="52">
          <cell r="GX52">
            <v>17790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  <cell r="GW64">
            <v>18647</v>
          </cell>
          <cell r="GX64">
            <v>50177</v>
          </cell>
        </row>
      </sheetData>
      <sheetData sheetId="66">
        <row r="4">
          <cell r="GX4">
            <v>60</v>
          </cell>
        </row>
        <row r="5">
          <cell r="GX5">
            <v>61</v>
          </cell>
        </row>
        <row r="8">
          <cell r="GX8"/>
        </row>
        <row r="9">
          <cell r="GX9"/>
        </row>
        <row r="15">
          <cell r="GX15"/>
        </row>
        <row r="16">
          <cell r="GX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119</v>
          </cell>
          <cell r="GW19">
            <v>127</v>
          </cell>
          <cell r="GX19">
            <v>121</v>
          </cell>
        </row>
        <row r="47">
          <cell r="GX47">
            <v>1455863</v>
          </cell>
        </row>
        <row r="48">
          <cell r="GX48"/>
        </row>
        <row r="52">
          <cell r="GX52">
            <v>590521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2131850</v>
          </cell>
          <cell r="GW64">
            <v>2326355</v>
          </cell>
          <cell r="GX64">
            <v>2046384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68">
        <row r="4">
          <cell r="GX4"/>
        </row>
        <row r="5">
          <cell r="GX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  <cell r="GV19"/>
          <cell r="GW19">
            <v>0</v>
          </cell>
          <cell r="GX19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  <cell r="GV64"/>
          <cell r="GW64">
            <v>0</v>
          </cell>
          <cell r="GX64">
            <v>0</v>
          </cell>
        </row>
      </sheetData>
      <sheetData sheetId="69">
        <row r="4">
          <cell r="GX4"/>
        </row>
        <row r="5">
          <cell r="GX5"/>
        </row>
        <row r="8">
          <cell r="GX8"/>
        </row>
        <row r="9">
          <cell r="GX9"/>
        </row>
        <row r="15">
          <cell r="GX15"/>
        </row>
        <row r="16">
          <cell r="GX16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  <cell r="GW19">
            <v>0</v>
          </cell>
          <cell r="GX19">
            <v>0</v>
          </cell>
        </row>
        <row r="47">
          <cell r="GX47"/>
        </row>
        <row r="52">
          <cell r="GX52"/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  <cell r="GW64">
            <v>0</v>
          </cell>
          <cell r="GX64">
            <v>0</v>
          </cell>
        </row>
      </sheetData>
      <sheetData sheetId="70"/>
      <sheetData sheetId="71">
        <row r="4">
          <cell r="GX4">
            <v>45</v>
          </cell>
        </row>
        <row r="5">
          <cell r="GX5">
            <v>45</v>
          </cell>
        </row>
        <row r="12">
          <cell r="GX12">
            <v>90</v>
          </cell>
        </row>
        <row r="15">
          <cell r="GX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  <cell r="GW19">
            <v>82</v>
          </cell>
          <cell r="GX19">
            <v>90</v>
          </cell>
        </row>
        <row r="47">
          <cell r="GX47">
            <v>68146</v>
          </cell>
        </row>
        <row r="48">
          <cell r="GX48"/>
        </row>
        <row r="52">
          <cell r="GX52">
            <v>47066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  <cell r="GW64">
            <v>109569</v>
          </cell>
          <cell r="GX64">
            <v>115212</v>
          </cell>
        </row>
      </sheetData>
      <sheetData sheetId="72">
        <row r="4">
          <cell r="GX4"/>
        </row>
        <row r="5">
          <cell r="GX5"/>
        </row>
        <row r="15">
          <cell r="GX1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P19">
            <v>34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P64">
            <v>835987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  <cell r="GW64">
            <v>0</v>
          </cell>
          <cell r="GX64">
            <v>0</v>
          </cell>
        </row>
      </sheetData>
      <sheetData sheetId="73">
        <row r="4">
          <cell r="GX4"/>
        </row>
        <row r="5">
          <cell r="GX5"/>
        </row>
        <row r="15">
          <cell r="GX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46833</v>
          </cell>
          <cell r="GX64">
            <v>0</v>
          </cell>
        </row>
      </sheetData>
      <sheetData sheetId="74">
        <row r="4">
          <cell r="GX4">
            <v>22</v>
          </cell>
        </row>
        <row r="5">
          <cell r="GX5">
            <v>22</v>
          </cell>
        </row>
        <row r="15">
          <cell r="GX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  <cell r="GW19">
            <v>38</v>
          </cell>
          <cell r="GX19">
            <v>44</v>
          </cell>
        </row>
        <row r="47">
          <cell r="GX47">
            <v>621056</v>
          </cell>
        </row>
        <row r="48">
          <cell r="GX48"/>
        </row>
        <row r="52">
          <cell r="GX52">
            <v>388814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  <cell r="GW64">
            <v>1114604</v>
          </cell>
          <cell r="GX64">
            <v>1009870</v>
          </cell>
        </row>
      </sheetData>
      <sheetData sheetId="75">
        <row r="4">
          <cell r="GX4"/>
        </row>
        <row r="5">
          <cell r="GX5"/>
        </row>
        <row r="15">
          <cell r="GX1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76"/>
      <sheetData sheetId="77">
        <row r="4">
          <cell r="GX4">
            <v>142</v>
          </cell>
        </row>
        <row r="5">
          <cell r="GX5">
            <v>142</v>
          </cell>
        </row>
        <row r="15">
          <cell r="GX15"/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  <cell r="GW19">
            <v>250</v>
          </cell>
          <cell r="GX19">
            <v>284</v>
          </cell>
        </row>
        <row r="47">
          <cell r="GX47">
            <v>8748074</v>
          </cell>
        </row>
        <row r="48">
          <cell r="GX48"/>
        </row>
        <row r="52">
          <cell r="GX52">
            <v>7837375</v>
          </cell>
        </row>
        <row r="53">
          <cell r="GX53"/>
        </row>
        <row r="57">
          <cell r="GX57"/>
        </row>
        <row r="58">
          <cell r="GX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  <cell r="GW64">
            <v>15280794</v>
          </cell>
          <cell r="GX64">
            <v>16585449</v>
          </cell>
        </row>
      </sheetData>
      <sheetData sheetId="78">
        <row r="4">
          <cell r="GX4">
            <v>21</v>
          </cell>
        </row>
        <row r="5">
          <cell r="GX5">
            <v>21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  <cell r="GW19">
            <v>42</v>
          </cell>
          <cell r="GX19">
            <v>42</v>
          </cell>
        </row>
        <row r="47">
          <cell r="GX47"/>
        </row>
        <row r="48">
          <cell r="GX48">
            <v>57480</v>
          </cell>
        </row>
        <row r="52">
          <cell r="GX52"/>
        </row>
        <row r="53">
          <cell r="GX53">
            <v>103350</v>
          </cell>
        </row>
        <row r="57">
          <cell r="GX57"/>
        </row>
        <row r="58">
          <cell r="GX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  <cell r="GW64">
            <v>152296</v>
          </cell>
          <cell r="GX64">
            <v>160830</v>
          </cell>
        </row>
      </sheetData>
      <sheetData sheetId="79">
        <row r="4">
          <cell r="GX4">
            <v>18</v>
          </cell>
        </row>
        <row r="5">
          <cell r="GX5">
            <v>18</v>
          </cell>
        </row>
        <row r="15">
          <cell r="GX15"/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  <cell r="GW19">
            <v>30</v>
          </cell>
          <cell r="GX19">
            <v>36</v>
          </cell>
        </row>
        <row r="47">
          <cell r="GX47">
            <v>68724</v>
          </cell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  <cell r="GW64">
            <v>59763</v>
          </cell>
          <cell r="GX64">
            <v>68724</v>
          </cell>
        </row>
      </sheetData>
      <sheetData sheetId="80">
        <row r="4">
          <cell r="GX4">
            <v>126</v>
          </cell>
        </row>
        <row r="5">
          <cell r="GX5">
            <v>126</v>
          </cell>
        </row>
        <row r="15">
          <cell r="GX15">
            <v>17</v>
          </cell>
        </row>
        <row r="16">
          <cell r="GX16">
            <v>18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P19">
            <v>282</v>
          </cell>
          <cell r="GQ19">
            <v>236</v>
          </cell>
          <cell r="GR19">
            <v>255</v>
          </cell>
          <cell r="GS19">
            <v>295</v>
          </cell>
          <cell r="GT19">
            <v>264</v>
          </cell>
          <cell r="GU19">
            <v>276</v>
          </cell>
          <cell r="GV19">
            <v>298</v>
          </cell>
          <cell r="GW19">
            <v>261</v>
          </cell>
          <cell r="GX19">
            <v>287</v>
          </cell>
        </row>
        <row r="47">
          <cell r="GX47">
            <v>7489628</v>
          </cell>
        </row>
        <row r="48">
          <cell r="GX48">
            <v>247112</v>
          </cell>
        </row>
        <row r="52">
          <cell r="GX52">
            <v>5931283</v>
          </cell>
        </row>
        <row r="53">
          <cell r="GX53">
            <v>781545</v>
          </cell>
        </row>
        <row r="57">
          <cell r="GX57"/>
        </row>
        <row r="58">
          <cell r="GX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  <cell r="GW64">
            <v>12478290</v>
          </cell>
          <cell r="GX64">
            <v>14449568</v>
          </cell>
        </row>
      </sheetData>
      <sheetData sheetId="81"/>
      <sheetData sheetId="82"/>
      <sheetData sheetId="83"/>
      <sheetData sheetId="84">
        <row r="4">
          <cell r="GX4">
            <v>201</v>
          </cell>
        </row>
        <row r="5">
          <cell r="GX5">
            <v>201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  <cell r="GW19">
            <v>386</v>
          </cell>
          <cell r="GX19">
            <v>402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</sheetData>
      <sheetData sheetId="86">
        <row r="4">
          <cell r="GX4"/>
        </row>
        <row r="5">
          <cell r="GX5"/>
        </row>
        <row r="8">
          <cell r="GX8"/>
        </row>
        <row r="9">
          <cell r="GX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</row>
        <row r="47">
          <cell r="GX47"/>
        </row>
        <row r="48">
          <cell r="GX48"/>
        </row>
        <row r="52">
          <cell r="GX52"/>
        </row>
        <row r="53">
          <cell r="GX53"/>
        </row>
        <row r="57">
          <cell r="GX57"/>
        </row>
        <row r="58">
          <cell r="GX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3860</v>
          </cell>
          <cell r="GX64">
            <v>0</v>
          </cell>
        </row>
      </sheetData>
      <sheetData sheetId="87">
        <row r="4">
          <cell r="GX4">
            <v>76</v>
          </cell>
        </row>
        <row r="5">
          <cell r="GX5">
            <v>73</v>
          </cell>
        </row>
      </sheetData>
      <sheetData sheetId="88">
        <row r="4">
          <cell r="GX4">
            <v>516</v>
          </cell>
        </row>
        <row r="5">
          <cell r="GX5">
            <v>517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12" sqref="J1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8">
        <v>44075</v>
      </c>
      <c r="B2" s="10"/>
      <c r="C2" s="10"/>
      <c r="D2" s="461" t="s">
        <v>213</v>
      </c>
      <c r="E2" s="461" t="s">
        <v>199</v>
      </c>
      <c r="F2" s="5"/>
      <c r="G2" s="5"/>
      <c r="H2" s="5"/>
      <c r="I2" s="5"/>
      <c r="J2" s="5"/>
    </row>
    <row r="3" spans="1:14" ht="13.5" thickBot="1" x14ac:dyDescent="0.25">
      <c r="A3" s="263"/>
      <c r="B3" s="5" t="s">
        <v>0</v>
      </c>
      <c r="C3" s="5" t="s">
        <v>1</v>
      </c>
      <c r="D3" s="462"/>
      <c r="E3" s="463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3">
        <f>'Major Airline Stats'!K4</f>
        <v>348468</v>
      </c>
      <c r="C5" s="10">
        <f>'Major Airline Stats'!K5</f>
        <v>351989</v>
      </c>
      <c r="D5" s="2">
        <f>'Major Airline Stats'!K6</f>
        <v>700457</v>
      </c>
      <c r="E5" s="2">
        <f>'[1]Monthly Summary'!D5</f>
        <v>2591794</v>
      </c>
      <c r="F5" s="3">
        <f>(D5-E5)/E5</f>
        <v>-0.72974048091785071</v>
      </c>
      <c r="G5" s="2">
        <f>+D5+'[2]Monthly Summary'!G5</f>
        <v>8635525</v>
      </c>
      <c r="H5" s="2">
        <f>'[1]Monthly Summary'!G5</f>
        <v>23312219</v>
      </c>
      <c r="I5" s="58">
        <f>(G5-H5)/H5</f>
        <v>-0.62957087010893298</v>
      </c>
      <c r="J5" s="2"/>
    </row>
    <row r="6" spans="1:14" x14ac:dyDescent="0.2">
      <c r="A6" s="43" t="s">
        <v>5</v>
      </c>
      <c r="B6" s="193">
        <f>'Regional Major'!M5</f>
        <v>146048</v>
      </c>
      <c r="C6" s="193">
        <f>'Regional Major'!M6</f>
        <v>144825</v>
      </c>
      <c r="D6" s="2">
        <f>B6+C6</f>
        <v>290873</v>
      </c>
      <c r="E6" s="2">
        <f>'[1]Monthly Summary'!D6</f>
        <v>559275</v>
      </c>
      <c r="F6" s="3">
        <f>(D6-E6)/E6</f>
        <v>-0.47991059854275625</v>
      </c>
      <c r="G6" s="2">
        <f>+D6+'[2]Monthly Summary'!G6</f>
        <v>2516934</v>
      </c>
      <c r="H6" s="2">
        <f>'[1]Monthly Summary'!G6</f>
        <v>5745671</v>
      </c>
      <c r="I6" s="58">
        <f>(G6-H6)/H6</f>
        <v>-0.56194254770243546</v>
      </c>
      <c r="K6" s="2"/>
    </row>
    <row r="7" spans="1:14" x14ac:dyDescent="0.2">
      <c r="A7" s="43" t="s">
        <v>6</v>
      </c>
      <c r="B7" s="2">
        <f>Charter!G5</f>
        <v>19</v>
      </c>
      <c r="C7" s="193">
        <f>Charter!G6</f>
        <v>138</v>
      </c>
      <c r="D7" s="2">
        <f>B7+C7</f>
        <v>157</v>
      </c>
      <c r="E7" s="2">
        <f>'[1]Monthly Summary'!D7</f>
        <v>470</v>
      </c>
      <c r="F7" s="3">
        <f>(D7-E7)/E7</f>
        <v>-0.66595744680851066</v>
      </c>
      <c r="G7" s="2">
        <f>+D7+'[2]Monthly Summary'!G7</f>
        <v>2270</v>
      </c>
      <c r="H7" s="2">
        <f>'[1]Monthly Summary'!G7</f>
        <v>5195</v>
      </c>
      <c r="I7" s="58">
        <f>(G7-H7)/H7</f>
        <v>-0.563041385948027</v>
      </c>
      <c r="K7" s="2"/>
    </row>
    <row r="8" spans="1:14" x14ac:dyDescent="0.2">
      <c r="A8" s="45" t="s">
        <v>7</v>
      </c>
      <c r="B8" s="98">
        <f>SUM(B5:B7)</f>
        <v>494535</v>
      </c>
      <c r="C8" s="98">
        <f>SUM(C5:C7)</f>
        <v>496952</v>
      </c>
      <c r="D8" s="98">
        <f>SUM(D5:D7)</f>
        <v>991487</v>
      </c>
      <c r="E8" s="98">
        <f>SUM(E5:E7)</f>
        <v>3151539</v>
      </c>
      <c r="F8" s="64">
        <f>(D8-E8)/E8</f>
        <v>-0.68539592878273126</v>
      </c>
      <c r="G8" s="98">
        <f>SUM(G5:G7)</f>
        <v>11154729</v>
      </c>
      <c r="H8" s="98">
        <f>SUM(H5:H7)</f>
        <v>29063085</v>
      </c>
      <c r="I8" s="63">
        <f>(G8-H8)/H8</f>
        <v>-0.61618909348405371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4">
        <f>'Major Airline Stats'!K9+'Regional Major'!M10</f>
        <v>21998</v>
      </c>
      <c r="C10" s="194">
        <f>'Major Airline Stats'!K10+'Regional Major'!M11</f>
        <v>22217</v>
      </c>
      <c r="D10" s="84">
        <f>SUM(B10:C10)</f>
        <v>44215</v>
      </c>
      <c r="E10" s="84">
        <f>'[1]Monthly Summary'!D10</f>
        <v>97023</v>
      </c>
      <c r="F10" s="65">
        <f>(D10-E10)/E10</f>
        <v>-0.54428331426568954</v>
      </c>
      <c r="G10" s="84">
        <f>+D10+'[2]Monthly Summary'!G10</f>
        <v>471529</v>
      </c>
      <c r="H10" s="84">
        <f>'[1]Monthly Summary'!G10</f>
        <v>919546</v>
      </c>
      <c r="I10" s="68">
        <f>(G10-H10)/H10</f>
        <v>-0.48721543022317537</v>
      </c>
      <c r="J10" s="141"/>
    </row>
    <row r="11" spans="1:14" ht="15.75" thickBot="1" x14ac:dyDescent="0.3">
      <c r="A11" s="44" t="s">
        <v>13</v>
      </c>
      <c r="B11" s="180">
        <f>B10+B8</f>
        <v>516533</v>
      </c>
      <c r="C11" s="180">
        <f>C10+C8</f>
        <v>519169</v>
      </c>
      <c r="D11" s="180">
        <f>D10+D8</f>
        <v>1035702</v>
      </c>
      <c r="E11" s="180">
        <f>E10+E8</f>
        <v>3248562</v>
      </c>
      <c r="F11" s="66">
        <f>(D11-E11)/E11</f>
        <v>-0.68118139656869714</v>
      </c>
      <c r="G11" s="180">
        <f>G8+G10</f>
        <v>11626258</v>
      </c>
      <c r="H11" s="180">
        <f>H8+H10</f>
        <v>29982631</v>
      </c>
      <c r="I11" s="69">
        <f>(G11-H11)/H11</f>
        <v>-0.61223356282509034</v>
      </c>
    </row>
    <row r="12" spans="1:14" ht="15" x14ac:dyDescent="0.25">
      <c r="A12" s="8"/>
      <c r="B12" s="86"/>
      <c r="C12" s="86"/>
      <c r="D12" s="86"/>
      <c r="E12" s="86"/>
      <c r="F12" s="182"/>
      <c r="G12" s="86"/>
      <c r="H12" s="86"/>
      <c r="I12" s="183"/>
      <c r="K12" s="83"/>
    </row>
    <row r="13" spans="1:14" ht="16.5" customHeight="1" x14ac:dyDescent="0.2">
      <c r="B13" s="10"/>
      <c r="C13" s="10"/>
      <c r="D13" s="461" t="s">
        <v>213</v>
      </c>
      <c r="E13" s="461" t="s">
        <v>199</v>
      </c>
      <c r="F13" s="361"/>
      <c r="G13" s="361"/>
      <c r="H13" s="361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62"/>
      <c r="E14" s="463"/>
      <c r="F14" s="361" t="s">
        <v>2</v>
      </c>
      <c r="G14" s="361" t="s">
        <v>214</v>
      </c>
      <c r="H14" s="361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1"/>
    </row>
    <row r="16" spans="1:14" x14ac:dyDescent="0.2">
      <c r="A16" s="43" t="s">
        <v>4</v>
      </c>
      <c r="B16" s="200">
        <f>'Major Airline Stats'!K15+'Major Airline Stats'!K19</f>
        <v>4326</v>
      </c>
      <c r="C16" s="200">
        <f>'Major Airline Stats'!K16+'Major Airline Stats'!K20</f>
        <v>4326</v>
      </c>
      <c r="D16" s="25">
        <f t="shared" ref="D16:D21" si="0">SUM(B16:C16)</f>
        <v>8652</v>
      </c>
      <c r="E16" s="2">
        <f>'[1]Monthly Summary'!D16</f>
        <v>19672</v>
      </c>
      <c r="F16" s="67">
        <f t="shared" ref="F16:F22" si="1">(D16-E16)/E16</f>
        <v>-0.56018706791378614</v>
      </c>
      <c r="G16" s="2">
        <f>+D16+'[2]Monthly Summary'!G16</f>
        <v>90096</v>
      </c>
      <c r="H16" s="2">
        <f>'[1]Monthly Summary'!G16</f>
        <v>173097</v>
      </c>
      <c r="I16" s="172">
        <f t="shared" ref="I16:I22" si="2">(G16-H16)/H16</f>
        <v>-0.47950571067089554</v>
      </c>
      <c r="N16" s="83"/>
    </row>
    <row r="17" spans="1:12" x14ac:dyDescent="0.2">
      <c r="A17" s="43" t="s">
        <v>5</v>
      </c>
      <c r="B17" s="25">
        <f>'Regional Major'!M15+'Regional Major'!M18</f>
        <v>4412</v>
      </c>
      <c r="C17" s="25">
        <f>'Regional Major'!M16+'Regional Major'!M19</f>
        <v>4409</v>
      </c>
      <c r="D17" s="25">
        <f>SUM(B17:C17)</f>
        <v>8821</v>
      </c>
      <c r="E17" s="2">
        <f>'[1]Monthly Summary'!D17</f>
        <v>11095</v>
      </c>
      <c r="F17" s="67">
        <f t="shared" si="1"/>
        <v>-0.2049571879224876</v>
      </c>
      <c r="G17" s="2">
        <f>+D17+'[2]Monthly Summary'!G17</f>
        <v>70678</v>
      </c>
      <c r="H17" s="2">
        <f>'[1]Monthly Summary'!G17</f>
        <v>107953</v>
      </c>
      <c r="I17" s="172">
        <f t="shared" si="2"/>
        <v>-0.34528915361314644</v>
      </c>
    </row>
    <row r="18" spans="1:12" x14ac:dyDescent="0.2">
      <c r="A18" s="43" t="s">
        <v>10</v>
      </c>
      <c r="B18" s="25">
        <f>Charter!G10</f>
        <v>1</v>
      </c>
      <c r="C18" s="25">
        <f>Charter!G11</f>
        <v>1</v>
      </c>
      <c r="D18" s="25">
        <f t="shared" si="0"/>
        <v>2</v>
      </c>
      <c r="E18" s="2">
        <f>'[1]Monthly Summary'!D18</f>
        <v>3</v>
      </c>
      <c r="F18" s="67">
        <f t="shared" si="1"/>
        <v>-0.33333333333333331</v>
      </c>
      <c r="G18" s="2">
        <f>+D18+'[2]Monthly Summary'!G18</f>
        <v>24</v>
      </c>
      <c r="H18" s="2">
        <f>'[1]Monthly Summary'!G18</f>
        <v>59</v>
      </c>
      <c r="I18" s="172">
        <f t="shared" si="2"/>
        <v>-0.59322033898305082</v>
      </c>
    </row>
    <row r="19" spans="1:12" x14ac:dyDescent="0.2">
      <c r="A19" s="43" t="s">
        <v>11</v>
      </c>
      <c r="B19" s="25">
        <f>Cargo!P4</f>
        <v>653</v>
      </c>
      <c r="C19" s="25">
        <f>Cargo!P5</f>
        <v>655</v>
      </c>
      <c r="D19" s="25">
        <f t="shared" si="0"/>
        <v>1308</v>
      </c>
      <c r="E19" s="2">
        <f>'[1]Monthly Summary'!D19</f>
        <v>1108</v>
      </c>
      <c r="F19" s="67">
        <f t="shared" si="1"/>
        <v>0.18050541516245489</v>
      </c>
      <c r="G19" s="2">
        <f>+D19+'[2]Monthly Summary'!G19</f>
        <v>10848</v>
      </c>
      <c r="H19" s="2">
        <f>'[1]Monthly Summary'!G19</f>
        <v>10555</v>
      </c>
      <c r="I19" s="172">
        <f t="shared" si="2"/>
        <v>2.7759355755566081E-2</v>
      </c>
    </row>
    <row r="20" spans="1:12" x14ac:dyDescent="0.2">
      <c r="A20" s="43" t="s">
        <v>149</v>
      </c>
      <c r="B20" s="25">
        <f>'[3]General Avation'!$GX$4</f>
        <v>516</v>
      </c>
      <c r="C20" s="25">
        <f>'[3]General Avation'!$GX$5</f>
        <v>517</v>
      </c>
      <c r="D20" s="25">
        <f t="shared" si="0"/>
        <v>1033</v>
      </c>
      <c r="E20" s="2">
        <f>'[1]Monthly Summary'!D20</f>
        <v>1630</v>
      </c>
      <c r="F20" s="67">
        <f t="shared" si="1"/>
        <v>-0.36625766871165644</v>
      </c>
      <c r="G20" s="2">
        <f>+D20+'[2]Monthly Summary'!G20</f>
        <v>8087</v>
      </c>
      <c r="H20" s="2">
        <f>'[1]Monthly Summary'!G20</f>
        <v>14212</v>
      </c>
      <c r="I20" s="172">
        <f t="shared" si="2"/>
        <v>-0.43097382493667324</v>
      </c>
    </row>
    <row r="21" spans="1:12" ht="12.75" customHeight="1" x14ac:dyDescent="0.2">
      <c r="A21" s="43" t="s">
        <v>12</v>
      </c>
      <c r="B21" s="11">
        <f>'[3]Military '!$GX$4</f>
        <v>76</v>
      </c>
      <c r="C21" s="11">
        <f>'[3]Military '!$GX$5</f>
        <v>73</v>
      </c>
      <c r="D21" s="11">
        <f t="shared" si="0"/>
        <v>149</v>
      </c>
      <c r="E21" s="84">
        <f>'[1]Monthly Summary'!D21</f>
        <v>26</v>
      </c>
      <c r="F21" s="170">
        <f t="shared" si="1"/>
        <v>4.7307692307692308</v>
      </c>
      <c r="G21" s="84">
        <f>+D21+'[2]Monthly Summary'!G21</f>
        <v>803</v>
      </c>
      <c r="H21" s="84">
        <f>'[1]Monthly Summary'!G21</f>
        <v>781</v>
      </c>
      <c r="I21" s="173">
        <f t="shared" si="2"/>
        <v>2.8169014084507043E-2</v>
      </c>
    </row>
    <row r="22" spans="1:12" ht="15.75" thickBot="1" x14ac:dyDescent="0.3">
      <c r="A22" s="44" t="s">
        <v>28</v>
      </c>
      <c r="B22" s="181">
        <f>SUM(B16:B21)</f>
        <v>9984</v>
      </c>
      <c r="C22" s="181">
        <f>SUM(C16:C21)</f>
        <v>9981</v>
      </c>
      <c r="D22" s="181">
        <f>SUM(D16:D21)</f>
        <v>19965</v>
      </c>
      <c r="E22" s="181">
        <f>SUM(E16:E21)</f>
        <v>33534</v>
      </c>
      <c r="F22" s="178">
        <f t="shared" si="1"/>
        <v>-0.40463410270173555</v>
      </c>
      <c r="G22" s="181">
        <f>SUM(G16:G21)</f>
        <v>180536</v>
      </c>
      <c r="H22" s="181">
        <f>SUM(H16:H21)</f>
        <v>306657</v>
      </c>
      <c r="I22" s="179">
        <f t="shared" si="2"/>
        <v>-0.41127709460406903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61" t="s">
        <v>213</v>
      </c>
      <c r="E24" s="461" t="s">
        <v>199</v>
      </c>
      <c r="F24" s="361"/>
      <c r="G24" s="361"/>
      <c r="H24" s="361"/>
      <c r="I24" s="5"/>
    </row>
    <row r="25" spans="1:12" ht="13.5" thickBot="1" x14ac:dyDescent="0.25">
      <c r="B25" s="5" t="s">
        <v>0</v>
      </c>
      <c r="C25" s="5" t="s">
        <v>1</v>
      </c>
      <c r="D25" s="462"/>
      <c r="E25" s="463"/>
      <c r="F25" s="361" t="s">
        <v>2</v>
      </c>
      <c r="G25" s="361" t="s">
        <v>214</v>
      </c>
      <c r="H25" s="361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8758.4862863320905</v>
      </c>
      <c r="C27" s="13">
        <f>(Cargo!P21+'Major Airline Stats'!K33+'Regional Major'!M30)*0.00045359237</f>
        <v>6868.8231944663103</v>
      </c>
      <c r="D27" s="13">
        <f>(SUM(B27:C27)+('Cargo Summary'!E17*0.00045359237))</f>
        <v>15627.309480798402</v>
      </c>
      <c r="E27" s="2">
        <f>'[1]Monthly Summary'!D27</f>
        <v>16420.105482562321</v>
      </c>
      <c r="F27" s="70">
        <f>(D27-E27)/E27</f>
        <v>-4.8282028553704864E-2</v>
      </c>
      <c r="G27" s="2">
        <f>+D27+'[2]Monthly Summary'!G27</f>
        <v>136055.19694271503</v>
      </c>
      <c r="H27" s="2">
        <f>'[1]Monthly Summary'!G27</f>
        <v>149670.29355949056</v>
      </c>
      <c r="I27" s="72">
        <f>(G27-H27)/H27</f>
        <v>-9.0967260723410229E-2</v>
      </c>
    </row>
    <row r="28" spans="1:12" x14ac:dyDescent="0.2">
      <c r="A28" s="38" t="s">
        <v>16</v>
      </c>
      <c r="B28" s="13">
        <f>(Cargo!P17+'Major Airline Stats'!K29+'Regional Major'!M26)*0.00045359237</f>
        <v>790.46272261263994</v>
      </c>
      <c r="C28" s="13">
        <f>(Cargo!P22+'Major Airline Stats'!K34+'Regional Major'!M31)*0.00045359237</f>
        <v>980.74925775134</v>
      </c>
      <c r="D28" s="13">
        <f>SUM(B28:C28)</f>
        <v>1771.2119803639798</v>
      </c>
      <c r="E28" s="2">
        <f>'[1]Monthly Summary'!D28</f>
        <v>2063.6960516102699</v>
      </c>
      <c r="F28" s="70">
        <f>(D28-E28)/E28</f>
        <v>-0.1417282700221621</v>
      </c>
      <c r="G28" s="2">
        <f>+D28+'[2]Monthly Summary'!G28</f>
        <v>12542.025435996209</v>
      </c>
      <c r="H28" s="2">
        <f>'[1]Monthly Summary'!G28</f>
        <v>18395.179564106729</v>
      </c>
      <c r="I28" s="72">
        <f>(G28-H28)/H28</f>
        <v>-0.31818956198347659</v>
      </c>
    </row>
    <row r="29" spans="1:12" ht="15.75" thickBot="1" x14ac:dyDescent="0.3">
      <c r="A29" s="39" t="s">
        <v>62</v>
      </c>
      <c r="B29" s="32">
        <f>SUM(B27:B28)</f>
        <v>9548.9490089447299</v>
      </c>
      <c r="C29" s="32">
        <f>SUM(C27:C28)</f>
        <v>7849.5724522176506</v>
      </c>
      <c r="D29" s="32">
        <f>SUM(D27:D28)</f>
        <v>17398.521461162381</v>
      </c>
      <c r="E29" s="32">
        <f>SUM(E27:E28)</f>
        <v>18483.801534172591</v>
      </c>
      <c r="F29" s="71">
        <f>(D29-E29)/E29</f>
        <v>-5.8715198332104972E-2</v>
      </c>
      <c r="G29" s="32">
        <f>SUM(G27:G28)</f>
        <v>148597.22237871125</v>
      </c>
      <c r="H29" s="32">
        <f>SUM(H27:H28)</f>
        <v>168065.47312359727</v>
      </c>
      <c r="I29" s="73">
        <f>(G29-H29)/H29</f>
        <v>-0.11583730068441156</v>
      </c>
    </row>
    <row r="30" spans="1:12" ht="4.5" customHeight="1" thickBot="1" x14ac:dyDescent="0.3">
      <c r="A30" s="35"/>
      <c r="B30" s="264"/>
      <c r="C30" s="264"/>
      <c r="D30" s="264"/>
      <c r="E30" s="264"/>
      <c r="F30" s="182"/>
      <c r="G30" s="264"/>
      <c r="H30" s="264"/>
      <c r="I30" s="182"/>
    </row>
    <row r="31" spans="1:12" ht="13.5" thickBot="1" x14ac:dyDescent="0.25">
      <c r="B31" s="460" t="s">
        <v>145</v>
      </c>
      <c r="C31" s="459"/>
      <c r="D31" s="460" t="s">
        <v>152</v>
      </c>
      <c r="E31" s="459"/>
      <c r="F31" s="286"/>
      <c r="G31" s="287"/>
    </row>
    <row r="32" spans="1:12" x14ac:dyDescent="0.2">
      <c r="A32" s="268" t="s">
        <v>146</v>
      </c>
      <c r="B32" s="269">
        <f>C8-B33</f>
        <v>288597</v>
      </c>
      <c r="C32" s="270">
        <f>B32/C8</f>
        <v>0.58073415541138784</v>
      </c>
      <c r="D32" s="271">
        <f>+B32+'[2]Monthly Summary'!$D$32</f>
        <v>3603234</v>
      </c>
      <c r="E32" s="272">
        <f>+D32/D34</f>
        <v>0.65122986433321139</v>
      </c>
      <c r="G32" s="2"/>
      <c r="I32" s="285"/>
    </row>
    <row r="33" spans="1:14" ht="13.5" thickBot="1" x14ac:dyDescent="0.25">
      <c r="A33" s="273" t="s">
        <v>147</v>
      </c>
      <c r="B33" s="274">
        <f>'Major Airline Stats'!K51+'Regional Major'!M45</f>
        <v>208355</v>
      </c>
      <c r="C33" s="275">
        <f>+B33/C8</f>
        <v>0.41926584458861216</v>
      </c>
      <c r="D33" s="276">
        <f>+B33+'[2]Monthly Summary'!$D$33</f>
        <v>1929734</v>
      </c>
      <c r="E33" s="277">
        <f>+D33/D34</f>
        <v>0.34877013566678861</v>
      </c>
      <c r="I33" s="285"/>
    </row>
    <row r="34" spans="1:14" ht="13.5" thickBot="1" x14ac:dyDescent="0.25">
      <c r="B34" s="204"/>
      <c r="D34" s="278">
        <f>SUM(D32:D33)</f>
        <v>5532968</v>
      </c>
    </row>
    <row r="35" spans="1:14" ht="13.5" thickBot="1" x14ac:dyDescent="0.25">
      <c r="B35" s="458" t="s">
        <v>241</v>
      </c>
      <c r="C35" s="459"/>
      <c r="D35" s="460" t="s">
        <v>212</v>
      </c>
      <c r="E35" s="459"/>
    </row>
    <row r="36" spans="1:14" x14ac:dyDescent="0.2">
      <c r="A36" s="268" t="s">
        <v>146</v>
      </c>
      <c r="B36" s="269">
        <f>'[1]Monthly Summary'!$B$32</f>
        <v>964065</v>
      </c>
      <c r="C36" s="270">
        <f>+B36/B38</f>
        <v>0.60974668757206263</v>
      </c>
      <c r="D36" s="271">
        <f>'[1]Monthly Summary'!$D$32</f>
        <v>9141272</v>
      </c>
      <c r="E36" s="272">
        <f>+D36/D38</f>
        <v>0.63042959522672581</v>
      </c>
    </row>
    <row r="37" spans="1:14" ht="13.5" thickBot="1" x14ac:dyDescent="0.25">
      <c r="A37" s="273" t="s">
        <v>147</v>
      </c>
      <c r="B37" s="274">
        <f>'[1]Monthly Summary'!$B$33</f>
        <v>617026</v>
      </c>
      <c r="C37" s="277">
        <f>+B37/B38</f>
        <v>0.39025331242793743</v>
      </c>
      <c r="D37" s="276">
        <f>'[1]Monthly Summary'!$D$33</f>
        <v>5358796</v>
      </c>
      <c r="E37" s="277">
        <f>+D37/D38</f>
        <v>0.36957040477327419</v>
      </c>
      <c r="M37" s="1"/>
    </row>
    <row r="38" spans="1:14" x14ac:dyDescent="0.2">
      <c r="B38" s="290">
        <f>+SUM(B36:B37)</f>
        <v>1581091</v>
      </c>
      <c r="D38" s="278">
        <f>SUM(D36:D37)</f>
        <v>14500068</v>
      </c>
    </row>
    <row r="39" spans="1:14" x14ac:dyDescent="0.2">
      <c r="A39" s="282" t="s">
        <v>148</v>
      </c>
    </row>
    <row r="40" spans="1:14" x14ac:dyDescent="0.2">
      <c r="A40" s="142" t="s">
        <v>150</v>
      </c>
      <c r="I40" s="2"/>
    </row>
    <row r="41" spans="1:14" x14ac:dyDescent="0.2">
      <c r="N41" s="283"/>
    </row>
    <row r="42" spans="1:14" x14ac:dyDescent="0.2">
      <c r="G42" s="2"/>
      <c r="N42" s="283"/>
    </row>
    <row r="43" spans="1:14" x14ac:dyDescent="0.2">
      <c r="B43" s="204"/>
      <c r="J43" s="2"/>
      <c r="N43" s="283"/>
    </row>
    <row r="44" spans="1:14" x14ac:dyDescent="0.2">
      <c r="B44" s="204"/>
      <c r="N44" s="283"/>
    </row>
    <row r="45" spans="1:14" x14ac:dyDescent="0.2">
      <c r="J45" s="2"/>
      <c r="N45" s="283"/>
    </row>
    <row r="46" spans="1:14" x14ac:dyDescent="0.2">
      <c r="B46" s="2"/>
      <c r="F46" s="204"/>
    </row>
    <row r="47" spans="1:14" x14ac:dyDescent="0.2">
      <c r="N47" s="283"/>
    </row>
    <row r="51" spans="12:12" x14ac:dyDescent="0.2">
      <c r="L51" s="28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7" zoomScaleNormal="100" zoomScaleSheetLayoutView="100" workbookViewId="0">
      <selection activeCell="O39" sqref="O3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8">
        <v>44075</v>
      </c>
      <c r="B1" s="305" t="s">
        <v>18</v>
      </c>
      <c r="C1" s="304" t="s">
        <v>195</v>
      </c>
      <c r="D1" s="371" t="s">
        <v>158</v>
      </c>
      <c r="E1" s="304" t="s">
        <v>164</v>
      </c>
      <c r="F1" s="304" t="s">
        <v>163</v>
      </c>
      <c r="G1" s="304" t="s">
        <v>49</v>
      </c>
      <c r="H1" s="304" t="s">
        <v>114</v>
      </c>
      <c r="I1" s="304" t="s">
        <v>194</v>
      </c>
      <c r="J1" s="304" t="s">
        <v>191</v>
      </c>
      <c r="K1" s="304" t="s">
        <v>196</v>
      </c>
      <c r="L1" s="304" t="s">
        <v>162</v>
      </c>
      <c r="M1" s="304" t="s">
        <v>211</v>
      </c>
      <c r="N1" s="304" t="s">
        <v>157</v>
      </c>
      <c r="O1" s="304" t="s">
        <v>140</v>
      </c>
      <c r="P1" s="304" t="s">
        <v>21</v>
      </c>
    </row>
    <row r="2" spans="1:16" ht="15" x14ac:dyDescent="0.25">
      <c r="A2" s="494" t="s">
        <v>141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6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[3]Delta!$GX$32</f>
        <v>0</v>
      </c>
      <c r="C4" s="12">
        <f>'[3]Atlantic Southeast'!$GX$32</f>
        <v>0</v>
      </c>
      <c r="D4" s="12">
        <f>[3]Pinnacle!$GX$32</f>
        <v>0</v>
      </c>
      <c r="E4" s="12">
        <f>'[3]Sky West'!$GX$32</f>
        <v>938</v>
      </c>
      <c r="F4" s="12">
        <f>'[3]Go Jet'!$GX$32</f>
        <v>0</v>
      </c>
      <c r="G4" s="12">
        <f>'[3]Sun Country'!$GX$32</f>
        <v>330</v>
      </c>
      <c r="H4" s="12">
        <f>[3]Icelandair!$GX$32</f>
        <v>0</v>
      </c>
      <c r="I4" s="12">
        <f>[3]KLM!$GX$32</f>
        <v>0</v>
      </c>
      <c r="J4" s="12">
        <f>'[3]Air Georgian'!$GX$32</f>
        <v>0</v>
      </c>
      <c r="K4" s="12">
        <f>'[3]Sky Regional'!$GX$32</f>
        <v>0</v>
      </c>
      <c r="L4" s="12">
        <f>[3]Condor!$GX$32</f>
        <v>0</v>
      </c>
      <c r="M4" s="12">
        <f>'[3]Aer Lingus'!$GX$32</f>
        <v>0</v>
      </c>
      <c r="N4" s="12">
        <f>'[3]Air France'!$GX$32</f>
        <v>0</v>
      </c>
      <c r="O4" s="12">
        <f>'[3]Charter Misc'!$GX$32+[3]Ryan!$GX$32+[3]Omni!$GX$32</f>
        <v>19</v>
      </c>
      <c r="P4" s="373">
        <f>SUM(B4:O4)</f>
        <v>1287</v>
      </c>
    </row>
    <row r="5" spans="1:16" x14ac:dyDescent="0.2">
      <c r="A5" s="38" t="s">
        <v>31</v>
      </c>
      <c r="B5" s="7">
        <f>[3]Delta!$GX$33</f>
        <v>0</v>
      </c>
      <c r="C5" s="7">
        <f>'[3]Atlantic Southeast'!$GX$33</f>
        <v>0</v>
      </c>
      <c r="D5" s="7">
        <f>[3]Pinnacle!$GX$33</f>
        <v>0</v>
      </c>
      <c r="E5" s="7">
        <f>'[3]Sky West'!$GX$33</f>
        <v>691</v>
      </c>
      <c r="F5" s="7">
        <f>'[3]Go Jet'!$GX$33</f>
        <v>0</v>
      </c>
      <c r="G5" s="7">
        <f>'[3]Sun Country'!$GX$33</f>
        <v>442</v>
      </c>
      <c r="H5" s="7">
        <f>[3]Icelandair!$GX$33</f>
        <v>0</v>
      </c>
      <c r="I5" s="7">
        <f>[3]KLM!$GX$33</f>
        <v>0</v>
      </c>
      <c r="J5" s="7">
        <f>'[3]Air Georgian'!$GX$33</f>
        <v>0</v>
      </c>
      <c r="K5" s="7">
        <f>'[3]Sky Regional'!$GX$33</f>
        <v>0</v>
      </c>
      <c r="L5" s="7">
        <f>[3]Condor!$GX$33</f>
        <v>0</v>
      </c>
      <c r="M5" s="7">
        <f>'[3]Aer Lingus'!$GX$33</f>
        <v>0</v>
      </c>
      <c r="N5" s="7">
        <f>'[3]Air France'!$GX$33</f>
        <v>0</v>
      </c>
      <c r="O5" s="7">
        <f>'[3]Charter Misc'!$GX$33++[3]Ryan!$GX$33+[3]Omni!$GX$33</f>
        <v>0</v>
      </c>
      <c r="P5" s="374">
        <f>SUM(B5:O5)</f>
        <v>1133</v>
      </c>
    </row>
    <row r="6" spans="1:16" ht="15" x14ac:dyDescent="0.25">
      <c r="A6" s="36" t="s">
        <v>7</v>
      </c>
      <c r="B6" s="18">
        <f t="shared" ref="B6:O6" si="0">SUM(B4:B5)</f>
        <v>0</v>
      </c>
      <c r="C6" s="18">
        <f t="shared" si="0"/>
        <v>0</v>
      </c>
      <c r="D6" s="18">
        <f t="shared" si="0"/>
        <v>0</v>
      </c>
      <c r="E6" s="18">
        <f t="shared" si="0"/>
        <v>1629</v>
      </c>
      <c r="F6" s="18">
        <f t="shared" ref="F6" si="1">SUM(F4:F5)</f>
        <v>0</v>
      </c>
      <c r="G6" s="18">
        <f t="shared" si="0"/>
        <v>772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19</v>
      </c>
      <c r="P6" s="375">
        <f>SUM(B6:O6)</f>
        <v>2420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3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3">
        <f>SUM(B8:O8)</f>
        <v>0</v>
      </c>
    </row>
    <row r="9" spans="1:16" x14ac:dyDescent="0.2">
      <c r="A9" s="38" t="s">
        <v>30</v>
      </c>
      <c r="B9" s="12">
        <f>[3]Delta!$GX$37</f>
        <v>0</v>
      </c>
      <c r="C9" s="12">
        <f>'[3]Atlantic Southeast'!$GX$37</f>
        <v>0</v>
      </c>
      <c r="D9" s="12">
        <f>[3]Pinnacle!$GX$37</f>
        <v>0</v>
      </c>
      <c r="E9" s="12">
        <f>'[3]Sky West'!$GX$37</f>
        <v>4</v>
      </c>
      <c r="F9" s="12">
        <f>'[3]Go Jet'!$GX$37</f>
        <v>0</v>
      </c>
      <c r="G9" s="12">
        <f>'[3]Sun Country'!$GX$37</f>
        <v>19</v>
      </c>
      <c r="H9" s="12">
        <f>[3]Icelandair!$GX$37</f>
        <v>0</v>
      </c>
      <c r="I9" s="12">
        <f>[3]KLM!$GX$37</f>
        <v>0</v>
      </c>
      <c r="J9" s="12">
        <f>'[3]Air Georgian'!$GX$37</f>
        <v>0</v>
      </c>
      <c r="K9" s="12">
        <f>'[3]Sky Regional'!$GX$37</f>
        <v>0</v>
      </c>
      <c r="L9" s="12">
        <f>[3]Condor!$GX$37</f>
        <v>0</v>
      </c>
      <c r="M9" s="12">
        <f>'[3]Aer Lingus'!$GX$37</f>
        <v>0</v>
      </c>
      <c r="N9" s="12">
        <f>'[3]Air France'!$GX$37</f>
        <v>0</v>
      </c>
      <c r="O9" s="12">
        <f>'[3]Charter Misc'!$GX$37+[3]Ryan!$GX$37+[3]Omni!$GX$37</f>
        <v>0</v>
      </c>
      <c r="P9" s="373">
        <f>SUM(B9:O9)</f>
        <v>23</v>
      </c>
    </row>
    <row r="10" spans="1:16" x14ac:dyDescent="0.2">
      <c r="A10" s="38" t="s">
        <v>33</v>
      </c>
      <c r="B10" s="7">
        <f>[3]Delta!$GX$38</f>
        <v>0</v>
      </c>
      <c r="C10" s="7">
        <f>'[3]Atlantic Southeast'!$GX$38</f>
        <v>0</v>
      </c>
      <c r="D10" s="7">
        <f>[3]Pinnacle!$GX$38</f>
        <v>1</v>
      </c>
      <c r="E10" s="7">
        <f>'[3]Sky West'!$GX$38</f>
        <v>4</v>
      </c>
      <c r="F10" s="7">
        <f>'[3]Go Jet'!$GX$38</f>
        <v>0</v>
      </c>
      <c r="G10" s="7">
        <f>'[3]Sun Country'!$GX$38</f>
        <v>14</v>
      </c>
      <c r="H10" s="7">
        <f>[3]Icelandair!$GX$38</f>
        <v>0</v>
      </c>
      <c r="I10" s="7">
        <f>[3]KLM!$GX$38</f>
        <v>0</v>
      </c>
      <c r="J10" s="7">
        <f>'[3]Air Georgian'!$GX$38</f>
        <v>0</v>
      </c>
      <c r="K10" s="7">
        <f>'[3]Sky Regional'!$GX$38</f>
        <v>0</v>
      </c>
      <c r="L10" s="7">
        <f>[3]Condor!$GX$38</f>
        <v>0</v>
      </c>
      <c r="M10" s="7">
        <f>'[3]Aer Lingus'!$GX$38</f>
        <v>0</v>
      </c>
      <c r="N10" s="7">
        <f>'[3]Air France'!$GX$38</f>
        <v>0</v>
      </c>
      <c r="O10" s="7">
        <f>'[3]Charter Misc'!$GX$38+[3]Ryan!$GX$38+[3]Omni!$GX$38</f>
        <v>0</v>
      </c>
      <c r="P10" s="374">
        <f>SUM(B10:O10)</f>
        <v>19</v>
      </c>
    </row>
    <row r="11" spans="1:16" ht="15.75" thickBot="1" x14ac:dyDescent="0.3">
      <c r="A11" s="39" t="s">
        <v>34</v>
      </c>
      <c r="B11" s="187">
        <f t="shared" ref="B11:G11" si="5">SUM(B9:B10)</f>
        <v>0</v>
      </c>
      <c r="C11" s="187">
        <f t="shared" si="5"/>
        <v>0</v>
      </c>
      <c r="D11" s="187">
        <f t="shared" si="5"/>
        <v>1</v>
      </c>
      <c r="E11" s="187">
        <f t="shared" si="5"/>
        <v>8</v>
      </c>
      <c r="F11" s="187">
        <f t="shared" ref="F11" si="6">SUM(F9:F10)</f>
        <v>0</v>
      </c>
      <c r="G11" s="187">
        <f t="shared" si="5"/>
        <v>33</v>
      </c>
      <c r="H11" s="187">
        <f t="shared" ref="H11:O11" si="7">SUM(H9:H10)</f>
        <v>0</v>
      </c>
      <c r="I11" s="187">
        <f t="shared" ref="I11" si="8">SUM(I9:I10)</f>
        <v>0</v>
      </c>
      <c r="J11" s="187">
        <f t="shared" si="7"/>
        <v>0</v>
      </c>
      <c r="K11" s="187">
        <f t="shared" ref="K11" si="9">SUM(K9:K10)</f>
        <v>0</v>
      </c>
      <c r="L11" s="187">
        <f t="shared" si="7"/>
        <v>0</v>
      </c>
      <c r="M11" s="187">
        <f t="shared" ref="M11" si="10">SUM(M9:M10)</f>
        <v>0</v>
      </c>
      <c r="N11" s="187">
        <f t="shared" si="7"/>
        <v>0</v>
      </c>
      <c r="O11" s="187">
        <f t="shared" si="7"/>
        <v>0</v>
      </c>
      <c r="P11" s="376">
        <f>SUM(B11:O11)</f>
        <v>42</v>
      </c>
    </row>
    <row r="12" spans="1:16" ht="15" x14ac:dyDescent="0.25">
      <c r="A12" s="262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60"/>
    </row>
    <row r="13" spans="1:16" ht="39" thickBot="1" x14ac:dyDescent="0.25">
      <c r="B13" s="305" t="s">
        <v>18</v>
      </c>
      <c r="C13" s="304" t="s">
        <v>195</v>
      </c>
      <c r="D13" s="371" t="s">
        <v>158</v>
      </c>
      <c r="E13" s="304" t="s">
        <v>164</v>
      </c>
      <c r="F13" s="304" t="s">
        <v>163</v>
      </c>
      <c r="G13" s="304" t="s">
        <v>49</v>
      </c>
      <c r="H13" s="304" t="s">
        <v>114</v>
      </c>
      <c r="I13" s="304" t="s">
        <v>194</v>
      </c>
      <c r="J13" s="304" t="s">
        <v>191</v>
      </c>
      <c r="K13" s="304" t="s">
        <v>196</v>
      </c>
      <c r="L13" s="304" t="s">
        <v>162</v>
      </c>
      <c r="M13" s="304" t="s">
        <v>211</v>
      </c>
      <c r="N13" s="304" t="s">
        <v>157</v>
      </c>
      <c r="O13" s="304" t="s">
        <v>140</v>
      </c>
      <c r="P13" s="304" t="s">
        <v>21</v>
      </c>
    </row>
    <row r="14" spans="1:16" ht="15" x14ac:dyDescent="0.25">
      <c r="A14" s="497" t="s">
        <v>142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9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SUM([3]Delta!$GP$32:$GX$32)</f>
        <v>241307</v>
      </c>
      <c r="C16" s="12">
        <f>SUM('[3]Atlantic Southeast'!$GP$32:$GX$32)</f>
        <v>0</v>
      </c>
      <c r="D16" s="12">
        <f>SUM([3]Pinnacle!$GP$32:$GX$32)</f>
        <v>11430</v>
      </c>
      <c r="E16" s="12">
        <f>SUM('[3]Sky West'!$GP$32:$GX$32)</f>
        <v>43912</v>
      </c>
      <c r="F16" s="12">
        <f>SUM('[3]Go Jet'!$GP$32:$GX$32)</f>
        <v>0</v>
      </c>
      <c r="G16" s="12">
        <f>SUM('[3]Sun Country'!$GP$32:$GX$32)</f>
        <v>86811</v>
      </c>
      <c r="H16" s="12">
        <f>SUM([3]Icelandair!$GP$32:$GX$32)</f>
        <v>1011</v>
      </c>
      <c r="I16" s="12">
        <f>SUM([3]KLM!$GP$32:$GX$32)</f>
        <v>9290</v>
      </c>
      <c r="J16" s="12">
        <f>SUM('[3]Air Georgian'!$GP$32:$GX$32)</f>
        <v>0</v>
      </c>
      <c r="K16" s="12">
        <f>SUM('[3]Sky Regional'!$GP$32:$GX$32)</f>
        <v>8489</v>
      </c>
      <c r="L16" s="12">
        <f>SUM([3]Condor!$GP$32:$GX$32)</f>
        <v>0</v>
      </c>
      <c r="M16" s="12">
        <f>SUM('[3]Aer Lingus'!$GP$32:$GX$32)</f>
        <v>5028</v>
      </c>
      <c r="N16" s="12">
        <f>SUM('[3]Air France'!$GP$32:$GX$32)</f>
        <v>0</v>
      </c>
      <c r="O16" s="12">
        <f>SUM('[3]Charter Misc'!$GP$32:$GX$32)+SUM([3]Ryan!$GP$32:$GX$32)+SUM([3]Omni!$GP$32:$GX$32)</f>
        <v>79</v>
      </c>
      <c r="P16" s="373">
        <f>SUM(B16:O16)</f>
        <v>407357</v>
      </c>
    </row>
    <row r="17" spans="1:19" x14ac:dyDescent="0.2">
      <c r="A17" s="38" t="s">
        <v>31</v>
      </c>
      <c r="B17" s="7">
        <f>SUM([3]Delta!$GP$33:$GX$33)</f>
        <v>221626</v>
      </c>
      <c r="C17" s="7">
        <f>SUM('[3]Atlantic Southeast'!$GP$33:$GX$33)</f>
        <v>0</v>
      </c>
      <c r="D17" s="7">
        <f>SUM([3]Pinnacle!$GP$33:$GX$33)</f>
        <v>12177</v>
      </c>
      <c r="E17" s="7">
        <f>SUM('[3]Sky West'!$GP$33:$GX$33)</f>
        <v>44528</v>
      </c>
      <c r="F17" s="7">
        <f>SUM('[3]Go Jet'!$GP$33:$GX$33)</f>
        <v>0</v>
      </c>
      <c r="G17" s="7">
        <f>SUM('[3]Sun Country'!$GP$33:$GX$33)</f>
        <v>79898</v>
      </c>
      <c r="H17" s="7">
        <f>SUM([3]Icelandair!$GP$33:$GX$33)</f>
        <v>1047</v>
      </c>
      <c r="I17" s="7">
        <f>SUM([3]KLM!$GP$33:$GX$33)</f>
        <v>6678</v>
      </c>
      <c r="J17" s="7">
        <f>SUM('[3]Air Georgian'!$GP$33:$GX$33)</f>
        <v>0</v>
      </c>
      <c r="K17" s="7">
        <f>SUM('[3]Sky Regional'!$GP$33:$GX$33)</f>
        <v>8452</v>
      </c>
      <c r="L17" s="7">
        <f>SUM([3]Condor!$GP$33:$GX$33)</f>
        <v>0</v>
      </c>
      <c r="M17" s="7">
        <f>SUM('[3]Aer Lingus'!$GP$33:$GX$33)</f>
        <v>4594</v>
      </c>
      <c r="N17" s="7">
        <f>SUM('[3]Air France'!$GP$33:$GX$33)</f>
        <v>0</v>
      </c>
      <c r="O17" s="7">
        <f>SUM('[3]Charter Misc'!$GP$33:$GX$33)++SUM([3]Ryan!$GP$33:$GX$33)+SUM([3]Omni!$GP$33:$GX$33)</f>
        <v>0</v>
      </c>
      <c r="P17" s="374">
        <f>SUM(B17:O17)</f>
        <v>379000</v>
      </c>
    </row>
    <row r="18" spans="1:19" ht="15" x14ac:dyDescent="0.25">
      <c r="A18" s="36" t="s">
        <v>7</v>
      </c>
      <c r="B18" s="18">
        <f t="shared" ref="B18:O18" si="11">SUM(B16:B17)</f>
        <v>462933</v>
      </c>
      <c r="C18" s="18">
        <f t="shared" si="11"/>
        <v>0</v>
      </c>
      <c r="D18" s="18">
        <f t="shared" si="11"/>
        <v>23607</v>
      </c>
      <c r="E18" s="18">
        <f t="shared" si="11"/>
        <v>88440</v>
      </c>
      <c r="F18" s="18">
        <f t="shared" ref="F18" si="12">SUM(F16:F17)</f>
        <v>0</v>
      </c>
      <c r="G18" s="18">
        <f t="shared" si="11"/>
        <v>166709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79</v>
      </c>
      <c r="P18" s="375">
        <f>SUM(B18:O18)</f>
        <v>786357</v>
      </c>
      <c r="S18" s="204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3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3">
        <f>SUM(B20:O20)</f>
        <v>0</v>
      </c>
    </row>
    <row r="21" spans="1:19" x14ac:dyDescent="0.2">
      <c r="A21" s="38" t="s">
        <v>30</v>
      </c>
      <c r="B21" s="12">
        <f>SUM([3]Delta!$GP$37:$GX$37)</f>
        <v>6548</v>
      </c>
      <c r="C21" s="12">
        <f>SUM('[3]Atlantic Southeast'!$GP$37:$GX$37)</f>
        <v>0</v>
      </c>
      <c r="D21" s="12">
        <f>SUM([3]Pinnacle!$GP$37:$GX$37)</f>
        <v>265</v>
      </c>
      <c r="E21" s="12">
        <f>SUM('[3]Sky West'!$GP$37:$GX$37)</f>
        <v>532</v>
      </c>
      <c r="F21" s="12">
        <f>SUM('[3]Go Jet'!$GP$37:$GX$37)</f>
        <v>0</v>
      </c>
      <c r="G21" s="12">
        <f>SUM('[3]Sun Country'!$GP$37:$GX$37)</f>
        <v>1037</v>
      </c>
      <c r="H21" s="12">
        <f>SUM([3]Icelandair!$GP$37:$GX$37)</f>
        <v>22</v>
      </c>
      <c r="I21" s="12">
        <f>SUM([3]KLM!$GP$37:$GX$37)</f>
        <v>35</v>
      </c>
      <c r="J21" s="12">
        <f>SUM('[3]Air Georgian'!$GP$37:$GX$37)</f>
        <v>0</v>
      </c>
      <c r="K21" s="12">
        <f>SUM('[3]Sky Regional'!$GP$37:$GX$37)</f>
        <v>116</v>
      </c>
      <c r="L21" s="12">
        <f>SUM([3]Condor!$GP$37:$GX$37)</f>
        <v>0</v>
      </c>
      <c r="M21" s="12">
        <f>SUM('[3]Aer Lingus'!$GP$37:$GX$37)</f>
        <v>35</v>
      </c>
      <c r="N21" s="12">
        <f>SUM('[3]Air France'!$GP$37:$GX$37)</f>
        <v>0</v>
      </c>
      <c r="O21" s="12">
        <f>SUM('[3]Charter Misc'!$GP$37:$GX$37)++SUM([3]Ryan!$GP$37:$GX$37)+SUM([3]Omni!$GP$37:$GX$37)</f>
        <v>0</v>
      </c>
      <c r="P21" s="373">
        <f>SUM(B21:O21)</f>
        <v>8590</v>
      </c>
    </row>
    <row r="22" spans="1:19" x14ac:dyDescent="0.2">
      <c r="A22" s="38" t="s">
        <v>33</v>
      </c>
      <c r="B22" s="7">
        <f>SUM([3]Delta!$GP$38:$GX$38)</f>
        <v>5739</v>
      </c>
      <c r="C22" s="7">
        <f>SUM('[3]Atlantic Southeast'!$GP$38:$GX$38)</f>
        <v>0</v>
      </c>
      <c r="D22" s="7">
        <f>SUM([3]Pinnacle!$GP$38:$GX$38)</f>
        <v>140</v>
      </c>
      <c r="E22" s="7">
        <f>SUM('[3]Sky West'!$GP$38:$GX$38)</f>
        <v>520</v>
      </c>
      <c r="F22" s="7">
        <f>SUM('[3]Go Jet'!$GP$38:$GX$38)</f>
        <v>0</v>
      </c>
      <c r="G22" s="7">
        <f>SUM('[3]Sun Country'!$GP$38:$GX$38)</f>
        <v>989</v>
      </c>
      <c r="H22" s="7">
        <f>SUM([3]Icelandair!$GP$38:$GX$38)</f>
        <v>20</v>
      </c>
      <c r="I22" s="7">
        <f>SUM([3]KLM!$GP$38:$GX$38)</f>
        <v>26</v>
      </c>
      <c r="J22" s="7">
        <f>SUM('[3]Air Georgian'!$GP$38:$GX$38)</f>
        <v>0</v>
      </c>
      <c r="K22" s="7">
        <f>SUM('[3]Sky Regional'!$GP$38:$GX$38)</f>
        <v>116</v>
      </c>
      <c r="L22" s="7">
        <f>SUM([3]Condor!$GP$38:$GX$38)</f>
        <v>0</v>
      </c>
      <c r="M22" s="7">
        <f>SUM('[3]Aer Lingus'!$GP$38:$GX$38)</f>
        <v>37</v>
      </c>
      <c r="N22" s="7">
        <f>SUM('[3]Air France'!$GP$38:$GX$38)</f>
        <v>0</v>
      </c>
      <c r="O22" s="7">
        <f>SUM('[3]Charter Misc'!$GP$38:$GX$38)++SUM([3]Ryan!$GP$38:$GX$38)+SUM([3]Omni!$GP$38:$GX$38)</f>
        <v>0</v>
      </c>
      <c r="P22" s="374">
        <f>SUM(B22:O22)</f>
        <v>7587</v>
      </c>
    </row>
    <row r="23" spans="1:19" ht="15.75" thickBot="1" x14ac:dyDescent="0.3">
      <c r="A23" s="39" t="s">
        <v>34</v>
      </c>
      <c r="B23" s="187">
        <f t="shared" ref="B23:O23" si="16">SUM(B21:B22)</f>
        <v>12287</v>
      </c>
      <c r="C23" s="187">
        <f t="shared" si="16"/>
        <v>0</v>
      </c>
      <c r="D23" s="187">
        <f t="shared" si="16"/>
        <v>405</v>
      </c>
      <c r="E23" s="187">
        <f t="shared" si="16"/>
        <v>1052</v>
      </c>
      <c r="F23" s="187">
        <f t="shared" ref="F23" si="17">SUM(F21:F22)</f>
        <v>0</v>
      </c>
      <c r="G23" s="187">
        <f t="shared" si="16"/>
        <v>2026</v>
      </c>
      <c r="H23" s="187">
        <f t="shared" si="16"/>
        <v>42</v>
      </c>
      <c r="I23" s="187">
        <f t="shared" ref="I23" si="18">SUM(I21:I22)</f>
        <v>61</v>
      </c>
      <c r="J23" s="187">
        <f t="shared" si="16"/>
        <v>0</v>
      </c>
      <c r="K23" s="187">
        <f t="shared" ref="K23" si="19">SUM(K21:K22)</f>
        <v>232</v>
      </c>
      <c r="L23" s="187">
        <f t="shared" ref="L23:M23" si="20">SUM(L21:L22)</f>
        <v>0</v>
      </c>
      <c r="M23" s="187">
        <f t="shared" si="20"/>
        <v>72</v>
      </c>
      <c r="N23" s="187">
        <f t="shared" si="16"/>
        <v>0</v>
      </c>
      <c r="O23" s="187">
        <f t="shared" si="16"/>
        <v>0</v>
      </c>
      <c r="P23" s="376">
        <f>SUM(B23:O23)</f>
        <v>16177</v>
      </c>
    </row>
    <row r="25" spans="1:19" ht="39" thickBot="1" x14ac:dyDescent="0.25">
      <c r="B25" s="305" t="s">
        <v>18</v>
      </c>
      <c r="C25" s="304" t="s">
        <v>195</v>
      </c>
      <c r="D25" s="371" t="s">
        <v>158</v>
      </c>
      <c r="E25" s="304" t="s">
        <v>164</v>
      </c>
      <c r="F25" s="304" t="s">
        <v>163</v>
      </c>
      <c r="G25" s="304" t="s">
        <v>49</v>
      </c>
      <c r="H25" s="304" t="s">
        <v>114</v>
      </c>
      <c r="I25" s="304" t="s">
        <v>194</v>
      </c>
      <c r="J25" s="304" t="s">
        <v>191</v>
      </c>
      <c r="K25" s="304" t="s">
        <v>196</v>
      </c>
      <c r="L25" s="304" t="s">
        <v>162</v>
      </c>
      <c r="M25" s="304" t="s">
        <v>211</v>
      </c>
      <c r="N25" s="304" t="s">
        <v>157</v>
      </c>
      <c r="O25" s="304" t="s">
        <v>140</v>
      </c>
      <c r="P25" s="304" t="s">
        <v>21</v>
      </c>
    </row>
    <row r="26" spans="1:19" ht="15" x14ac:dyDescent="0.25">
      <c r="A26" s="500" t="s">
        <v>143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2"/>
    </row>
    <row r="27" spans="1:19" x14ac:dyDescent="0.2">
      <c r="A27" s="38" t="s">
        <v>22</v>
      </c>
      <c r="B27" s="12">
        <f>[3]Delta!$GX$15</f>
        <v>1</v>
      </c>
      <c r="C27" s="12">
        <f>'[3]Atlantic Southeast'!$GX$15</f>
        <v>0</v>
      </c>
      <c r="D27" s="12">
        <f>[3]Pinnacle!$GX$15</f>
        <v>2</v>
      </c>
      <c r="E27" s="12">
        <f>'[3]Sky West'!$GX$15</f>
        <v>28</v>
      </c>
      <c r="F27" s="12">
        <f>'[3]Go Jet'!$GX$15</f>
        <v>0</v>
      </c>
      <c r="G27" s="12">
        <f>'[3]Sun Country'!$GX$15</f>
        <v>4</v>
      </c>
      <c r="H27" s="12">
        <f>[3]Icelandair!$GX$15</f>
        <v>0</v>
      </c>
      <c r="I27" s="12">
        <f>[3]KLM!$GX$15</f>
        <v>0</v>
      </c>
      <c r="J27" s="12">
        <f>'[3]Air Georgian'!$GX$15</f>
        <v>0</v>
      </c>
      <c r="K27" s="12">
        <f>'[3]Sky Regional'!$GX$15</f>
        <v>0</v>
      </c>
      <c r="L27" s="12">
        <f>[3]Condor!$GX$15</f>
        <v>0</v>
      </c>
      <c r="M27" s="12"/>
      <c r="N27" s="12">
        <f>'[3]Air France'!$GX$15</f>
        <v>0</v>
      </c>
      <c r="O27" s="12">
        <f>'[3]Charter Misc'!$GX$15+[3]Ryan!$GX$15+[3]Omni!$GX$15</f>
        <v>1</v>
      </c>
      <c r="P27" s="373">
        <f>SUM(B27:O27)</f>
        <v>36</v>
      </c>
    </row>
    <row r="28" spans="1:19" x14ac:dyDescent="0.2">
      <c r="A28" s="38" t="s">
        <v>23</v>
      </c>
      <c r="B28" s="12">
        <f>[3]Delta!$GX$16</f>
        <v>1</v>
      </c>
      <c r="C28" s="12">
        <f>'[3]Atlantic Southeast'!$GX$16</f>
        <v>0</v>
      </c>
      <c r="D28" s="12">
        <f>[3]Pinnacle!$GX$16</f>
        <v>0</v>
      </c>
      <c r="E28" s="12">
        <f>'[3]Sky West'!$GX$16</f>
        <v>29</v>
      </c>
      <c r="F28" s="12">
        <f>'[3]Go Jet'!$GX$16</f>
        <v>0</v>
      </c>
      <c r="G28" s="12">
        <f>'[3]Sun Country'!$GX$16</f>
        <v>4</v>
      </c>
      <c r="H28" s="12">
        <f>[3]Icelandair!$GX$16</f>
        <v>0</v>
      </c>
      <c r="I28" s="12">
        <f>[3]KLM!$GX$16</f>
        <v>0</v>
      </c>
      <c r="J28" s="12">
        <f>'[3]Air Georgian'!$GX$16</f>
        <v>0</v>
      </c>
      <c r="K28" s="12">
        <f>'[3]Sky Regional'!$GX$16</f>
        <v>0</v>
      </c>
      <c r="L28" s="12">
        <f>[3]Condor!$GX$16</f>
        <v>0</v>
      </c>
      <c r="M28" s="12">
        <f>'[3]Aer Lingus'!$GX$16</f>
        <v>0</v>
      </c>
      <c r="N28" s="12">
        <f>'[3]Air France'!$GX$16</f>
        <v>0</v>
      </c>
      <c r="O28" s="12">
        <f>'[3]Charter Misc'!$GX$16+[3]Ryan!$GX$16+[3]Omni!$GX$16</f>
        <v>0</v>
      </c>
      <c r="P28" s="373">
        <f>SUM(B28:O28)</f>
        <v>34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3"/>
    </row>
    <row r="30" spans="1:19" ht="15.75" thickBot="1" x14ac:dyDescent="0.3">
      <c r="A30" s="39" t="s">
        <v>28</v>
      </c>
      <c r="B30" s="261">
        <f t="shared" ref="B30:J30" si="21">SUM(B27:B28)</f>
        <v>2</v>
      </c>
      <c r="C30" s="261">
        <f t="shared" si="21"/>
        <v>0</v>
      </c>
      <c r="D30" s="261">
        <f t="shared" si="21"/>
        <v>2</v>
      </c>
      <c r="E30" s="261">
        <f>SUM(E27:E28)</f>
        <v>57</v>
      </c>
      <c r="F30" s="261">
        <f>SUM(F27:F28)</f>
        <v>0</v>
      </c>
      <c r="G30" s="261">
        <f t="shared" si="21"/>
        <v>8</v>
      </c>
      <c r="H30" s="261">
        <f t="shared" si="21"/>
        <v>0</v>
      </c>
      <c r="I30" s="261">
        <f t="shared" ref="I30" si="22">SUM(I27:I28)</f>
        <v>0</v>
      </c>
      <c r="J30" s="261">
        <f t="shared" si="21"/>
        <v>0</v>
      </c>
      <c r="K30" s="261">
        <f t="shared" ref="K30" si="23">SUM(K27:K28)</f>
        <v>0</v>
      </c>
      <c r="L30" s="261">
        <f>SUM(L27:L28)</f>
        <v>0</v>
      </c>
      <c r="M30" s="261">
        <f>SUM(M27:M28)</f>
        <v>0</v>
      </c>
      <c r="N30" s="261">
        <f>SUM(N27:N28)</f>
        <v>0</v>
      </c>
      <c r="O30" s="261">
        <f>SUM(O27:O28)</f>
        <v>1</v>
      </c>
      <c r="P30" s="419">
        <f>SUM(B30:O30)</f>
        <v>70</v>
      </c>
    </row>
    <row r="31" spans="1:19" ht="15" x14ac:dyDescent="0.25">
      <c r="A31" s="262"/>
    </row>
    <row r="32" spans="1:19" ht="39" thickBot="1" x14ac:dyDescent="0.25">
      <c r="B32" s="305" t="s">
        <v>18</v>
      </c>
      <c r="C32" s="304" t="s">
        <v>195</v>
      </c>
      <c r="D32" s="371" t="s">
        <v>158</v>
      </c>
      <c r="E32" s="304" t="s">
        <v>164</v>
      </c>
      <c r="F32" s="304" t="s">
        <v>163</v>
      </c>
      <c r="G32" s="304" t="s">
        <v>49</v>
      </c>
      <c r="H32" s="304" t="s">
        <v>114</v>
      </c>
      <c r="I32" s="304" t="s">
        <v>194</v>
      </c>
      <c r="J32" s="304" t="s">
        <v>191</v>
      </c>
      <c r="K32" s="304" t="s">
        <v>196</v>
      </c>
      <c r="L32" s="304" t="s">
        <v>162</v>
      </c>
      <c r="M32" s="304" t="s">
        <v>211</v>
      </c>
      <c r="N32" s="304" t="s">
        <v>157</v>
      </c>
      <c r="O32" s="304" t="s">
        <v>140</v>
      </c>
      <c r="P32" s="304" t="s">
        <v>21</v>
      </c>
    </row>
    <row r="33" spans="1:16" ht="15" x14ac:dyDescent="0.25">
      <c r="A33" s="503" t="s">
        <v>144</v>
      </c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5"/>
    </row>
    <row r="34" spans="1:16" x14ac:dyDescent="0.2">
      <c r="A34" s="38" t="s">
        <v>22</v>
      </c>
      <c r="B34" s="12">
        <f>SUM([3]Delta!$GP$15:$GX$15)</f>
        <v>1638</v>
      </c>
      <c r="C34" s="12">
        <f>SUM('[3]Atlantic Southeast'!$GP$15:$GX$15)</f>
        <v>0</v>
      </c>
      <c r="D34" s="12">
        <f>SUM([3]Pinnacle!$GP$15:$GX$15)</f>
        <v>232</v>
      </c>
      <c r="E34" s="12">
        <f>SUM('[3]Sky West'!$GP$15:$GX$15)</f>
        <v>1007</v>
      </c>
      <c r="F34" s="12">
        <f>SUM('[3]Go Jet'!$GP$15:$GX$15)</f>
        <v>0</v>
      </c>
      <c r="G34" s="12">
        <f>SUM('[3]Sun Country'!$GP$15:$GX$15)</f>
        <v>628</v>
      </c>
      <c r="H34" s="12">
        <f>SUM([3]Icelandair!$GP$15:$GX$15)</f>
        <v>9</v>
      </c>
      <c r="I34" s="12">
        <f>SUM([3]KLM!$GP$15:$GX$15)</f>
        <v>40</v>
      </c>
      <c r="J34" s="12">
        <f>SUM('[3]Air Georgian'!$GP$15:$GX$15)</f>
        <v>0</v>
      </c>
      <c r="K34" s="12">
        <f>SUM('[3]Sky Regional'!$GP$15:$GX$15)</f>
        <v>195</v>
      </c>
      <c r="L34" s="12">
        <f>SUM([3]Condor!$GP$15:$GX$15)</f>
        <v>0</v>
      </c>
      <c r="M34" s="12">
        <f>SUM('[3]Aer Lingus'!$GP$15:$GX$15)</f>
        <v>44</v>
      </c>
      <c r="N34" s="12">
        <f>SUM('[3]Air France'!$GP$15:$GX$15)</f>
        <v>0</v>
      </c>
      <c r="O34" s="12">
        <f>SUM('[3]Charter Misc'!$GP$15:$GX$15)+SUM([3]Ryan!$GP$15:$GX$15)+SUM([3]Omni!$GP$15:$GX$15)</f>
        <v>2</v>
      </c>
      <c r="P34" s="373">
        <f>SUM(B34:O34)</f>
        <v>3795</v>
      </c>
    </row>
    <row r="35" spans="1:16" x14ac:dyDescent="0.2">
      <c r="A35" s="38" t="s">
        <v>23</v>
      </c>
      <c r="B35" s="12">
        <f>SUM([3]Delta!$GP$16:$GX$16)</f>
        <v>1626</v>
      </c>
      <c r="C35" s="12">
        <f>SUM('[3]Atlantic Southeast'!$GP$16:$GX$16)</f>
        <v>0</v>
      </c>
      <c r="D35" s="12">
        <f>SUM([3]Pinnacle!$GP$16:$GX$16)</f>
        <v>223</v>
      </c>
      <c r="E35" s="12">
        <f>SUM('[3]Sky West'!$GP$16:$GX$16)</f>
        <v>1007</v>
      </c>
      <c r="F35" s="12">
        <f>SUM('[3]Go Jet'!$GP$16:$GX$16)</f>
        <v>0</v>
      </c>
      <c r="G35" s="12">
        <f>SUM('[3]Sun Country'!$GP$16:$GX$16)</f>
        <v>628</v>
      </c>
      <c r="H35" s="12">
        <f>SUM([3]Icelandair!$GP$16:$GX$16)</f>
        <v>9</v>
      </c>
      <c r="I35" s="12">
        <f>SUM([3]KLM!$GP$16:$GX$16)</f>
        <v>40</v>
      </c>
      <c r="J35" s="12">
        <f>SUM('[3]Air Georgian'!$GP$16:$GX$16)</f>
        <v>0</v>
      </c>
      <c r="K35" s="12">
        <f>SUM('[3]Sky Regional'!$GP$16:$GX$16)</f>
        <v>195</v>
      </c>
      <c r="L35" s="12">
        <f>SUM([3]Condor!$GP$16:$GX$16)</f>
        <v>0</v>
      </c>
      <c r="M35" s="12">
        <f>SUM('[3]Aer Lingus'!$GP$16:$GX$16)</f>
        <v>44</v>
      </c>
      <c r="N35" s="12">
        <f>SUM('[3]Air France'!$GP$16:$GX$16)</f>
        <v>0</v>
      </c>
      <c r="O35" s="12">
        <f>SUM('[3]Charter Misc'!$GP$16:$GX$16)+SUM([3]Ryan!$GP$16:$GX$16)+SUM([3]Omni!$GP$16:$GX$16)</f>
        <v>0</v>
      </c>
      <c r="P35" s="373">
        <f>SUM(B35:O35)</f>
        <v>3772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3"/>
    </row>
    <row r="37" spans="1:16" ht="15.75" thickBot="1" x14ac:dyDescent="0.3">
      <c r="A37" s="39" t="s">
        <v>28</v>
      </c>
      <c r="B37" s="261">
        <f t="shared" ref="B37:J37" si="24">+SUM(B34:B35)</f>
        <v>3264</v>
      </c>
      <c r="C37" s="261">
        <f t="shared" si="24"/>
        <v>0</v>
      </c>
      <c r="D37" s="261">
        <f t="shared" si="24"/>
        <v>455</v>
      </c>
      <c r="E37" s="261">
        <f>+SUM(E34:E35)</f>
        <v>2014</v>
      </c>
      <c r="F37" s="261">
        <f>+SUM(F34:F35)</f>
        <v>0</v>
      </c>
      <c r="G37" s="261">
        <f t="shared" si="24"/>
        <v>1256</v>
      </c>
      <c r="H37" s="261">
        <f t="shared" si="24"/>
        <v>18</v>
      </c>
      <c r="I37" s="261">
        <f t="shared" ref="I37" si="25">+SUM(I34:I35)</f>
        <v>80</v>
      </c>
      <c r="J37" s="261">
        <f t="shared" si="24"/>
        <v>0</v>
      </c>
      <c r="K37" s="261">
        <f t="shared" ref="K37" si="26">+SUM(K34:K35)</f>
        <v>390</v>
      </c>
      <c r="L37" s="261">
        <f>+SUM(L34:L35)</f>
        <v>0</v>
      </c>
      <c r="M37" s="261">
        <f>+SUM(M34:M35)</f>
        <v>88</v>
      </c>
      <c r="N37" s="261">
        <f>+SUM(N34:N35)</f>
        <v>0</v>
      </c>
      <c r="O37" s="261">
        <f>+SUM(O34:O35)</f>
        <v>2</v>
      </c>
      <c r="P37" s="419">
        <f>SUM(B37:O37)</f>
        <v>7567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&amp;"Arial,Bold"September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zoomScale="85" zoomScaleNormal="85" zoomScaleSheetLayoutView="85" workbookViewId="0">
      <pane ySplit="2" topLeftCell="A42" activePane="bottomLeft" state="frozen"/>
      <selection pane="bottomLeft" activeCell="V66" sqref="V66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4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4" bestFit="1" customWidth="1"/>
    <col min="12" max="13" width="14" style="2" bestFit="1" customWidth="1"/>
    <col min="14" max="14" width="11.7109375" style="3" customWidth="1"/>
    <col min="15" max="15" width="10.855468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9.710937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6" t="s">
        <v>133</v>
      </c>
      <c r="B1" s="517"/>
      <c r="C1" s="364" t="s">
        <v>217</v>
      </c>
      <c r="D1" s="365" t="s">
        <v>205</v>
      </c>
      <c r="E1" s="176" t="s">
        <v>96</v>
      </c>
      <c r="F1" s="175" t="s">
        <v>218</v>
      </c>
      <c r="G1" s="365" t="s">
        <v>206</v>
      </c>
      <c r="H1" s="174" t="s">
        <v>97</v>
      </c>
      <c r="I1" s="176" t="s">
        <v>221</v>
      </c>
      <c r="J1" s="522" t="s">
        <v>137</v>
      </c>
      <c r="K1" s="523"/>
      <c r="L1" s="362" t="s">
        <v>219</v>
      </c>
      <c r="M1" s="363" t="s">
        <v>207</v>
      </c>
      <c r="N1" s="231" t="s">
        <v>97</v>
      </c>
      <c r="O1" s="341" t="s">
        <v>220</v>
      </c>
      <c r="P1" s="177" t="s">
        <v>208</v>
      </c>
      <c r="Q1" s="338" t="s">
        <v>97</v>
      </c>
      <c r="R1" s="342" t="s">
        <v>221</v>
      </c>
      <c r="S1" s="506" t="s">
        <v>223</v>
      </c>
      <c r="T1" s="507"/>
      <c r="U1" s="435" t="s">
        <v>219</v>
      </c>
      <c r="V1" s="436" t="s">
        <v>207</v>
      </c>
      <c r="W1" s="437" t="s">
        <v>97</v>
      </c>
      <c r="X1" s="438" t="s">
        <v>220</v>
      </c>
      <c r="Y1" s="439" t="s">
        <v>208</v>
      </c>
      <c r="Z1" s="440" t="s">
        <v>97</v>
      </c>
      <c r="AA1" s="441" t="s">
        <v>221</v>
      </c>
    </row>
    <row r="2" spans="1:27" s="9" customFormat="1" ht="13.5" customHeight="1" thickBot="1" x14ac:dyDescent="0.25">
      <c r="A2" s="518">
        <v>44075</v>
      </c>
      <c r="B2" s="519"/>
      <c r="C2" s="520" t="s">
        <v>9</v>
      </c>
      <c r="D2" s="521"/>
      <c r="E2" s="521"/>
      <c r="F2" s="521"/>
      <c r="G2" s="521"/>
      <c r="H2" s="521"/>
      <c r="I2" s="311"/>
      <c r="J2" s="518">
        <f>+A2</f>
        <v>44075</v>
      </c>
      <c r="K2" s="519"/>
      <c r="L2" s="513" t="s">
        <v>139</v>
      </c>
      <c r="M2" s="514"/>
      <c r="N2" s="514"/>
      <c r="O2" s="514"/>
      <c r="P2" s="514"/>
      <c r="Q2" s="514"/>
      <c r="R2" s="515"/>
      <c r="S2" s="508">
        <f>+J2</f>
        <v>44075</v>
      </c>
      <c r="T2" s="509"/>
      <c r="U2" s="510" t="s">
        <v>222</v>
      </c>
      <c r="V2" s="511"/>
      <c r="W2" s="511"/>
      <c r="X2" s="511"/>
      <c r="Y2" s="511"/>
      <c r="Z2" s="511"/>
      <c r="AA2" s="512"/>
    </row>
    <row r="3" spans="1:27" x14ac:dyDescent="0.2">
      <c r="A3" s="232"/>
      <c r="B3" s="233"/>
      <c r="C3" s="234"/>
      <c r="D3" s="235"/>
      <c r="E3" s="236"/>
      <c r="F3" s="288"/>
      <c r="G3" s="235"/>
      <c r="H3" s="336"/>
      <c r="I3" s="236"/>
      <c r="J3" s="237"/>
      <c r="K3" s="233"/>
      <c r="L3" s="243"/>
      <c r="N3" s="58"/>
      <c r="O3" s="232"/>
      <c r="P3" s="238"/>
      <c r="Q3" s="238"/>
      <c r="R3" s="233"/>
      <c r="S3" s="237"/>
      <c r="T3" s="233"/>
      <c r="U3" s="243"/>
      <c r="V3" s="2"/>
      <c r="W3" s="58"/>
      <c r="X3" s="232"/>
      <c r="Y3" s="238"/>
      <c r="Z3" s="238"/>
      <c r="AA3" s="233"/>
    </row>
    <row r="4" spans="1:27" x14ac:dyDescent="0.2">
      <c r="A4" s="239" t="s">
        <v>211</v>
      </c>
      <c r="B4" s="33"/>
      <c r="C4" s="240">
        <f>'[3]Aer Lingus'!$GX$19</f>
        <v>0</v>
      </c>
      <c r="D4" s="115">
        <f>'[3]Aer Lingus'!$GJ$19</f>
        <v>60</v>
      </c>
      <c r="E4" s="242">
        <f>(C4-D4)/D4</f>
        <v>-1</v>
      </c>
      <c r="F4" s="115">
        <f>SUM('[3]Aer Lingus'!$GP$19:$GX$19)</f>
        <v>88</v>
      </c>
      <c r="G4" s="115">
        <f>SUM('[3]Aer Lingus'!$GB$19:$GJ$19)</f>
        <v>166</v>
      </c>
      <c r="H4" s="241">
        <f>(F4-G4)/G4</f>
        <v>-0.46987951807228917</v>
      </c>
      <c r="I4" s="242">
        <f>F4/$F$70</f>
        <v>5.4735218381081517E-4</v>
      </c>
      <c r="J4" s="239" t="s">
        <v>211</v>
      </c>
      <c r="K4" s="33"/>
      <c r="L4" s="240">
        <f>'[3]Aer Lingus'!$GX$41</f>
        <v>0</v>
      </c>
      <c r="M4" s="115">
        <f>'[3]Aer Lingus'!$GJ$41</f>
        <v>8614</v>
      </c>
      <c r="N4" s="242">
        <f>(L4-M4)/M4</f>
        <v>-1</v>
      </c>
      <c r="O4" s="240">
        <f>SUM('[3]Aer Lingus'!$GP$41:$GX$41)</f>
        <v>9622</v>
      </c>
      <c r="P4" s="115">
        <f>SUM('[3]Aer Lingus'!$GB$41:$GJ$41)</f>
        <v>24199</v>
      </c>
      <c r="Q4" s="241">
        <f>(O4-P4)/P4</f>
        <v>-0.60238026364725816</v>
      </c>
      <c r="R4" s="242">
        <f>O4/$O$70</f>
        <v>8.6276936772419429E-4</v>
      </c>
      <c r="S4" s="239" t="s">
        <v>211</v>
      </c>
      <c r="T4" s="33"/>
      <c r="U4" s="240">
        <f>'[3]Aer Lingus'!$GX$64</f>
        <v>0</v>
      </c>
      <c r="V4" s="115">
        <f>'[3]Aer Lingus'!$GJ$64</f>
        <v>313</v>
      </c>
      <c r="W4" s="242">
        <f>(U4-V4)/V4</f>
        <v>-1</v>
      </c>
      <c r="X4" s="240">
        <f>SUM('[3]Aer Lingus'!$GP$64:$GX$64)</f>
        <v>10341</v>
      </c>
      <c r="Y4" s="115">
        <f>SUM('[3]Aer Lingus'!$GB$64:$GJ$64)</f>
        <v>15821</v>
      </c>
      <c r="Z4" s="241">
        <f>(X4-Y4)/Y4</f>
        <v>-0.34637507110802096</v>
      </c>
      <c r="AA4" s="242">
        <f>X4/$X$70</f>
        <v>2.5358808378779822E-4</v>
      </c>
    </row>
    <row r="5" spans="1:27" x14ac:dyDescent="0.2">
      <c r="A5" s="31"/>
      <c r="B5" s="33"/>
      <c r="C5" s="243"/>
      <c r="D5" s="366"/>
      <c r="E5" s="58"/>
      <c r="F5" s="367"/>
      <c r="G5" s="366"/>
      <c r="H5" s="368"/>
      <c r="I5" s="58"/>
      <c r="J5" s="369"/>
      <c r="K5" s="33"/>
      <c r="L5" s="243"/>
      <c r="N5" s="58"/>
      <c r="O5" s="31"/>
      <c r="P5" s="370"/>
      <c r="Q5" s="370"/>
      <c r="R5" s="33"/>
      <c r="S5" s="369"/>
      <c r="T5" s="33"/>
      <c r="U5" s="243"/>
      <c r="V5" s="2"/>
      <c r="W5" s="58"/>
      <c r="X5" s="31"/>
      <c r="Y5" s="370"/>
      <c r="Z5" s="370"/>
      <c r="AA5" s="33"/>
    </row>
    <row r="6" spans="1:27" ht="14.1" customHeight="1" x14ac:dyDescent="0.2">
      <c r="A6" s="239" t="s">
        <v>99</v>
      </c>
      <c r="B6" s="33"/>
      <c r="C6" s="240">
        <f>SUM(C7:C9)</f>
        <v>0</v>
      </c>
      <c r="D6" s="115">
        <f>SUM(D7:D9)</f>
        <v>228</v>
      </c>
      <c r="E6" s="242">
        <f>(C6-D6)/D6</f>
        <v>-1</v>
      </c>
      <c r="F6" s="240">
        <f>SUM(F7:F9)</f>
        <v>390</v>
      </c>
      <c r="G6" s="115">
        <f>SUM(G7:G9)</f>
        <v>1578</v>
      </c>
      <c r="H6" s="241">
        <f>(F6-G6)/G6</f>
        <v>-0.75285171102661597</v>
      </c>
      <c r="I6" s="242">
        <f>F6/$F$70</f>
        <v>2.4257653600706581E-3</v>
      </c>
      <c r="J6" s="239" t="s">
        <v>99</v>
      </c>
      <c r="K6" s="33"/>
      <c r="L6" s="240">
        <f>SUM(L7:L9)</f>
        <v>0</v>
      </c>
      <c r="M6" s="115">
        <f>SUM(M7:M9)</f>
        <v>12257</v>
      </c>
      <c r="N6" s="242">
        <f>(L6-M6)/M6</f>
        <v>-1</v>
      </c>
      <c r="O6" s="240">
        <f>SUM(O7:O9)</f>
        <v>16941</v>
      </c>
      <c r="P6" s="115">
        <f>SUM(P7:P9)</f>
        <v>90244</v>
      </c>
      <c r="Q6" s="241">
        <f>(O6-P6)/P6</f>
        <v>-0.81227560835069368</v>
      </c>
      <c r="R6" s="242">
        <f>O6/$O$70</f>
        <v>1.5190371917081246E-3</v>
      </c>
      <c r="S6" s="239" t="s">
        <v>99</v>
      </c>
      <c r="T6" s="33"/>
      <c r="U6" s="240">
        <f>SUM(U7:U9)</f>
        <v>0</v>
      </c>
      <c r="V6" s="115">
        <f>SUM(V7:V9)</f>
        <v>4106</v>
      </c>
      <c r="W6" s="242">
        <f>(U6-V6)/V6</f>
        <v>-1</v>
      </c>
      <c r="X6" s="240">
        <f>SUM(X7:X9)</f>
        <v>4266</v>
      </c>
      <c r="Y6" s="115">
        <f>SUM(Y7:Y9)</f>
        <v>42723</v>
      </c>
      <c r="Z6" s="241">
        <f>(X6-Y6)/Y6</f>
        <v>-0.90014746155466607</v>
      </c>
      <c r="AA6" s="242">
        <f>X6/$X$70</f>
        <v>1.0461336093595853E-4</v>
      </c>
    </row>
    <row r="7" spans="1:27" ht="14.1" customHeight="1" x14ac:dyDescent="0.2">
      <c r="A7" s="239"/>
      <c r="B7" s="296" t="s">
        <v>99</v>
      </c>
      <c r="C7" s="243">
        <f>+[3]AirCanada!$GX$19</f>
        <v>0</v>
      </c>
      <c r="D7" s="2">
        <f>+[3]AirCanada!$GJ$19</f>
        <v>0</v>
      </c>
      <c r="E7" s="58" t="e">
        <f>(C7-D7)/D7</f>
        <v>#DIV/0!</v>
      </c>
      <c r="F7" s="193">
        <f>SUM([3]AirCanada!$GP$19:$GX$19)</f>
        <v>0</v>
      </c>
      <c r="G7" s="193">
        <f>SUM([3]AirCanada!$GB$19:$GJ$19)</f>
        <v>0</v>
      </c>
      <c r="H7" s="301" t="e">
        <f>(F7-G7)/G7</f>
        <v>#DIV/0!</v>
      </c>
      <c r="I7" s="58">
        <f>F7/$F$70</f>
        <v>0</v>
      </c>
      <c r="J7" s="239"/>
      <c r="K7" s="296" t="s">
        <v>99</v>
      </c>
      <c r="L7" s="300">
        <f>+[3]AirCanada!$GX$41</f>
        <v>0</v>
      </c>
      <c r="M7" s="193">
        <f>+[3]AirCanada!$GJ$41</f>
        <v>0</v>
      </c>
      <c r="N7" s="302" t="e">
        <f>(L7-M7)/M7</f>
        <v>#DIV/0!</v>
      </c>
      <c r="O7" s="300">
        <f>SUM([3]AirCanada!$GP$41:$GX$41)</f>
        <v>0</v>
      </c>
      <c r="P7" s="193">
        <f>SUM([3]AirCanada!$GB$41:$GJ$41)</f>
        <v>0</v>
      </c>
      <c r="Q7" s="301" t="e">
        <f>(O7-P7)/P7</f>
        <v>#DIV/0!</v>
      </c>
      <c r="R7" s="302">
        <f>O7/$O$70</f>
        <v>0</v>
      </c>
      <c r="S7" s="239"/>
      <c r="T7" s="296" t="s">
        <v>99</v>
      </c>
      <c r="U7" s="300">
        <f>+[3]AirCanada!$GX$64</f>
        <v>0</v>
      </c>
      <c r="V7" s="193">
        <f>+[3]AirCanada!$GJ$64</f>
        <v>0</v>
      </c>
      <c r="W7" s="302" t="e">
        <f>(U7-V7)/V7</f>
        <v>#DIV/0!</v>
      </c>
      <c r="X7" s="300">
        <f>SUM([3]AirCanada!$GP$64:$GX$64)</f>
        <v>0</v>
      </c>
      <c r="Y7" s="193">
        <f>SUM([3]AirCanada!$GB$64:$GJ$64)</f>
        <v>0</v>
      </c>
      <c r="Z7" s="301" t="e">
        <f>(X7-Y7)/Y7</f>
        <v>#DIV/0!</v>
      </c>
      <c r="AA7" s="302">
        <f>X7/$X$70</f>
        <v>0</v>
      </c>
    </row>
    <row r="8" spans="1:27" ht="14.1" customHeight="1" x14ac:dyDescent="0.2">
      <c r="A8" s="239"/>
      <c r="B8" s="296" t="s">
        <v>165</v>
      </c>
      <c r="C8" s="243">
        <f>'[3]Air Georgian'!$GX$19</f>
        <v>0</v>
      </c>
      <c r="D8" s="2">
        <f>'[3]Air Georgian'!$GJ$19</f>
        <v>0</v>
      </c>
      <c r="E8" s="58" t="e">
        <f>(C8-D8)/D8</f>
        <v>#DIV/0!</v>
      </c>
      <c r="F8" s="193">
        <f>SUM('[3]Air Georgian'!$GP$19:$GX$19)</f>
        <v>0</v>
      </c>
      <c r="G8" s="193">
        <f>SUM('[3]Air Georgian'!$GB$19:$GJ$19)</f>
        <v>0</v>
      </c>
      <c r="H8" s="301" t="e">
        <f>(F8-G8)/G8</f>
        <v>#DIV/0!</v>
      </c>
      <c r="I8" s="58">
        <f>F8/$F$70</f>
        <v>0</v>
      </c>
      <c r="J8" s="239"/>
      <c r="K8" s="296" t="s">
        <v>165</v>
      </c>
      <c r="L8" s="243">
        <f>'[3]Air Georgian'!$GX$41</f>
        <v>0</v>
      </c>
      <c r="M8" s="2">
        <f>'[3]Air Georgian'!$GJ$41</f>
        <v>0</v>
      </c>
      <c r="N8" s="58" t="e">
        <f>(L8-M8)/M8</f>
        <v>#DIV/0!</v>
      </c>
      <c r="O8" s="243">
        <f>SUM('[3]Air Georgian'!$GP$41:$GX$41)</f>
        <v>0</v>
      </c>
      <c r="P8" s="2">
        <f>SUM('[3]Air Georgian'!$GB$41:$GJ$41)</f>
        <v>0</v>
      </c>
      <c r="Q8" s="3" t="e">
        <f>(O8-P8)/P8</f>
        <v>#DIV/0!</v>
      </c>
      <c r="R8" s="58">
        <f>O8/$O$70</f>
        <v>0</v>
      </c>
      <c r="S8" s="239"/>
      <c r="T8" s="296" t="s">
        <v>165</v>
      </c>
      <c r="U8" s="243">
        <f>'[3]Air Georgian'!$GX$64</f>
        <v>0</v>
      </c>
      <c r="V8" s="2">
        <f>'[3]Air Georgian'!$GJ$64</f>
        <v>0</v>
      </c>
      <c r="W8" s="58" t="e">
        <f>(U8-V8)/V8</f>
        <v>#DIV/0!</v>
      </c>
      <c r="X8" s="243">
        <f>SUM('[3]Air Georgian'!$GP$64:$GX$64)</f>
        <v>0</v>
      </c>
      <c r="Y8" s="2">
        <f>SUM('[3]Air Georgian'!$GB$64:$GJ$64)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9"/>
      <c r="B9" s="296" t="s">
        <v>192</v>
      </c>
      <c r="C9" s="243">
        <f>'[3]Sky Regional'!$GX$19</f>
        <v>0</v>
      </c>
      <c r="D9" s="2">
        <f>'[3]Sky Regional'!$GJ$19</f>
        <v>228</v>
      </c>
      <c r="E9" s="58">
        <f>(C9-D9)/D9</f>
        <v>-1</v>
      </c>
      <c r="F9" s="193">
        <f>SUM('[3]Sky Regional'!$GP$19:$GX$19)</f>
        <v>390</v>
      </c>
      <c r="G9" s="193">
        <f>SUM('[3]Sky Regional'!$GB$19:$GJ$19)</f>
        <v>1578</v>
      </c>
      <c r="H9" s="301">
        <f>(F9-G9)/G9</f>
        <v>-0.75285171102661597</v>
      </c>
      <c r="I9" s="58">
        <f>F9/$F$70</f>
        <v>2.4257653600706581E-3</v>
      </c>
      <c r="J9" s="239"/>
      <c r="K9" s="296" t="s">
        <v>192</v>
      </c>
      <c r="L9" s="243">
        <f>'[3]Sky Regional'!$GX$41</f>
        <v>0</v>
      </c>
      <c r="M9" s="2">
        <f>'[3]Sky Regional'!$GJ$41</f>
        <v>12257</v>
      </c>
      <c r="N9" s="58">
        <f>(L9-M9)/M9</f>
        <v>-1</v>
      </c>
      <c r="O9" s="243">
        <f>SUM('[3]Sky Regional'!$GP$41:$GX$41)</f>
        <v>16941</v>
      </c>
      <c r="P9" s="2">
        <f>SUM('[3]Sky Regional'!$GB$41:$GJ$41)</f>
        <v>90244</v>
      </c>
      <c r="Q9" s="3">
        <f>(O9-P9)/P9</f>
        <v>-0.81227560835069368</v>
      </c>
      <c r="R9" s="58">
        <f>O9/$O$70</f>
        <v>1.5190371917081246E-3</v>
      </c>
      <c r="S9" s="239"/>
      <c r="T9" s="296" t="s">
        <v>192</v>
      </c>
      <c r="U9" s="243">
        <f>'[3]Sky Regional'!$GX$64</f>
        <v>0</v>
      </c>
      <c r="V9" s="2">
        <f>'[3]Sky Regional'!$GJ$64</f>
        <v>4106</v>
      </c>
      <c r="W9" s="58">
        <f>(U9-V9)/V9</f>
        <v>-1</v>
      </c>
      <c r="X9" s="243">
        <f>SUM('[3]Sky Regional'!$GP$64:$GX$64)</f>
        <v>4266</v>
      </c>
      <c r="Y9" s="2">
        <f>SUM('[3]Sky Regional'!$GB$64:$GJ$64)</f>
        <v>42723</v>
      </c>
      <c r="Z9" s="3">
        <f>(X9-Y9)/Y9</f>
        <v>-0.90014746155466607</v>
      </c>
      <c r="AA9" s="58">
        <f>X9/$X$70</f>
        <v>1.0461336093595853E-4</v>
      </c>
    </row>
    <row r="10" spans="1:27" ht="14.1" customHeight="1" x14ac:dyDescent="0.2">
      <c r="A10" s="239"/>
      <c r="B10" s="33"/>
      <c r="C10" s="240"/>
      <c r="D10" s="115"/>
      <c r="E10" s="242"/>
      <c r="F10" s="115"/>
      <c r="G10" s="115"/>
      <c r="H10" s="241"/>
      <c r="I10" s="242"/>
      <c r="J10" s="239"/>
      <c r="K10" s="33"/>
      <c r="L10" s="243"/>
      <c r="N10" s="58"/>
      <c r="O10" s="243"/>
      <c r="P10" s="2"/>
      <c r="Q10" s="3"/>
      <c r="R10" s="58"/>
      <c r="S10" s="239"/>
      <c r="T10" s="33"/>
      <c r="U10" s="243"/>
      <c r="V10" s="2"/>
      <c r="W10" s="58"/>
      <c r="X10" s="243"/>
      <c r="Y10" s="2"/>
      <c r="Z10" s="3"/>
      <c r="AA10" s="58"/>
    </row>
    <row r="11" spans="1:27" ht="14.1" customHeight="1" x14ac:dyDescent="0.2">
      <c r="A11" s="239" t="s">
        <v>179</v>
      </c>
      <c r="B11" s="33"/>
      <c r="C11" s="240">
        <f>'[3]Air Choice One'!$GX$19</f>
        <v>148</v>
      </c>
      <c r="D11" s="115">
        <f>'[3]Air Choice One'!$GJ$19</f>
        <v>204</v>
      </c>
      <c r="E11" s="242">
        <f>(C11-D11)/D11</f>
        <v>-0.27450980392156865</v>
      </c>
      <c r="F11" s="115">
        <f>SUM('[3]Air Choice One'!$GP$19:$GX$19)</f>
        <v>1544</v>
      </c>
      <c r="G11" s="115">
        <f>SUM('[3]Air Choice One'!$GB$19:$GJ$19)</f>
        <v>1808</v>
      </c>
      <c r="H11" s="241">
        <f>(F11-G11)/G11</f>
        <v>-0.14601769911504425</v>
      </c>
      <c r="I11" s="242">
        <f>F11/$F$70</f>
        <v>9.6035428614079394E-3</v>
      </c>
      <c r="J11" s="239" t="s">
        <v>179</v>
      </c>
      <c r="K11" s="33"/>
      <c r="L11" s="240">
        <f>'[3]Air Choice One'!$GX$41</f>
        <v>219</v>
      </c>
      <c r="M11" s="115">
        <f>'[3]Air Choice One'!$GJ$41</f>
        <v>890</v>
      </c>
      <c r="N11" s="242">
        <f>(L11-M11)/M11</f>
        <v>-0.75393258426966292</v>
      </c>
      <c r="O11" s="240">
        <f>SUM('[3]Air Choice One'!$GP$41:$GX$41)</f>
        <v>3100</v>
      </c>
      <c r="P11" s="115">
        <f>SUM('[3]Air Choice One'!$GB$41:$GJ$41)</f>
        <v>7764</v>
      </c>
      <c r="Q11" s="241">
        <f>(O11-P11)/P11</f>
        <v>-0.60072127769191141</v>
      </c>
      <c r="R11" s="242">
        <f>O11/$O$70</f>
        <v>2.7796560381885285E-4</v>
      </c>
      <c r="S11" s="239" t="s">
        <v>179</v>
      </c>
      <c r="T11" s="33"/>
      <c r="U11" s="240">
        <f>'[3]Air Choice One'!$GX$64</f>
        <v>0</v>
      </c>
      <c r="V11" s="115">
        <f>'[3]Air Choice One'!$GJ$64</f>
        <v>0</v>
      </c>
      <c r="W11" s="242" t="e">
        <f>(U11-V11)/V11</f>
        <v>#DIV/0!</v>
      </c>
      <c r="X11" s="240">
        <f>SUM('[3]Air Choice One'!$GP$64:$GX$64)</f>
        <v>0</v>
      </c>
      <c r="Y11" s="115">
        <f>SUM('[3]Air Choice One'!$GB$64:$GJ$64)</f>
        <v>0</v>
      </c>
      <c r="Z11" s="241" t="e">
        <f>(X11-Y11)/Y11</f>
        <v>#DIV/0!</v>
      </c>
      <c r="AA11" s="242">
        <f>X11/$X$70</f>
        <v>0</v>
      </c>
    </row>
    <row r="12" spans="1:27" ht="14.1" customHeight="1" x14ac:dyDescent="0.2">
      <c r="A12" s="239"/>
      <c r="B12" s="33"/>
      <c r="C12" s="240"/>
      <c r="D12" s="115"/>
      <c r="E12" s="242"/>
      <c r="F12" s="115"/>
      <c r="G12" s="115"/>
      <c r="H12" s="241"/>
      <c r="I12" s="242"/>
      <c r="J12" s="239"/>
      <c r="K12" s="33"/>
      <c r="L12" s="243"/>
      <c r="N12" s="58"/>
      <c r="O12" s="243"/>
      <c r="P12" s="2"/>
      <c r="Q12" s="3"/>
      <c r="R12" s="58"/>
      <c r="S12" s="239"/>
      <c r="T12" s="33"/>
      <c r="U12" s="243"/>
      <c r="V12" s="2"/>
      <c r="W12" s="58"/>
      <c r="X12" s="243"/>
      <c r="Y12" s="2"/>
      <c r="Z12" s="3"/>
      <c r="AA12" s="58"/>
    </row>
    <row r="13" spans="1:27" ht="14.1" customHeight="1" x14ac:dyDescent="0.2">
      <c r="A13" s="239" t="s">
        <v>157</v>
      </c>
      <c r="B13" s="33"/>
      <c r="C13" s="240">
        <f>'[3]Air France'!$GX$19</f>
        <v>0</v>
      </c>
      <c r="D13" s="115">
        <f>'[3]Air France'!$GJ$19</f>
        <v>42</v>
      </c>
      <c r="E13" s="242">
        <f>(C13-D13)/D13</f>
        <v>-1</v>
      </c>
      <c r="F13" s="115">
        <f>SUM('[3]Air France'!$GP$19:$GX$19)</f>
        <v>0</v>
      </c>
      <c r="G13" s="115">
        <f>SUM('[3]Air France'!$GB$19:$GJ$19)</f>
        <v>280</v>
      </c>
      <c r="H13" s="241">
        <f>(F13-G13)/G13</f>
        <v>-1</v>
      </c>
      <c r="I13" s="242">
        <f>F13/$F$70</f>
        <v>0</v>
      </c>
      <c r="J13" s="239" t="s">
        <v>157</v>
      </c>
      <c r="K13" s="33"/>
      <c r="L13" s="240">
        <f>'[3]Air France'!$GX$41</f>
        <v>0</v>
      </c>
      <c r="M13" s="115">
        <f>'[3]Air France'!$GJ$41</f>
        <v>10738</v>
      </c>
      <c r="N13" s="242">
        <f>(L13-M13)/M13</f>
        <v>-1</v>
      </c>
      <c r="O13" s="240">
        <f>SUM('[3]Air France'!$GP$41:$GX$41)</f>
        <v>0</v>
      </c>
      <c r="P13" s="115">
        <f>SUM('[3]Air France'!$GB$41:$GJ$41)</f>
        <v>71946</v>
      </c>
      <c r="Q13" s="241">
        <f>(O13-P13)/P13</f>
        <v>-1</v>
      </c>
      <c r="R13" s="242">
        <f>O13/$O$70</f>
        <v>0</v>
      </c>
      <c r="S13" s="239" t="s">
        <v>157</v>
      </c>
      <c r="T13" s="33"/>
      <c r="U13" s="240">
        <f>'[3]Air France'!$GX$64</f>
        <v>0</v>
      </c>
      <c r="V13" s="115">
        <f>'[3]Air France'!$GJ$64</f>
        <v>225019</v>
      </c>
      <c r="W13" s="242">
        <f>(U13-V13)/V13</f>
        <v>-1</v>
      </c>
      <c r="X13" s="240">
        <f>SUM('[3]Air France'!$GP$64:$GX$64)</f>
        <v>0</v>
      </c>
      <c r="Y13" s="115">
        <f>SUM('[3]Air France'!$GB$64:$GJ$64)</f>
        <v>1394251</v>
      </c>
      <c r="Z13" s="241">
        <f>(X13-Y13)/Y13</f>
        <v>-1</v>
      </c>
      <c r="AA13" s="242">
        <f>X13/$X$70</f>
        <v>0</v>
      </c>
    </row>
    <row r="14" spans="1:27" ht="14.1" customHeight="1" x14ac:dyDescent="0.2">
      <c r="A14" s="239"/>
      <c r="B14" s="33"/>
      <c r="C14" s="240"/>
      <c r="D14" s="115"/>
      <c r="E14" s="242"/>
      <c r="F14" s="115"/>
      <c r="G14" s="115"/>
      <c r="H14" s="241"/>
      <c r="I14" s="242"/>
      <c r="J14" s="239"/>
      <c r="K14" s="33"/>
      <c r="L14" s="243"/>
      <c r="N14" s="58"/>
      <c r="O14" s="243"/>
      <c r="P14" s="2"/>
      <c r="Q14" s="3"/>
      <c r="R14" s="58"/>
      <c r="S14" s="239"/>
      <c r="T14" s="33"/>
      <c r="U14" s="243"/>
      <c r="V14" s="2"/>
      <c r="W14" s="58"/>
      <c r="X14" s="243"/>
      <c r="Y14" s="2"/>
      <c r="Z14" s="3"/>
      <c r="AA14" s="58"/>
    </row>
    <row r="15" spans="1:27" ht="14.1" customHeight="1" x14ac:dyDescent="0.2">
      <c r="A15" s="239" t="s">
        <v>129</v>
      </c>
      <c r="B15" s="33"/>
      <c r="C15" s="240">
        <f>SUM(C16:C18)</f>
        <v>120</v>
      </c>
      <c r="D15" s="115">
        <f>SUM(D16:D18)</f>
        <v>294</v>
      </c>
      <c r="E15" s="242">
        <f>(C15-D15)/D15</f>
        <v>-0.59183673469387754</v>
      </c>
      <c r="F15" s="115">
        <f>SUM(F16:F18)</f>
        <v>1252</v>
      </c>
      <c r="G15" s="115">
        <f>SUM(G16:G18)</f>
        <v>2421</v>
      </c>
      <c r="H15" s="241">
        <f>(F15-G15)/G15</f>
        <v>-0.48285832300702192</v>
      </c>
      <c r="I15" s="242">
        <f>F15/$F$70</f>
        <v>7.7873287969447797E-3</v>
      </c>
      <c r="J15" s="239" t="s">
        <v>129</v>
      </c>
      <c r="K15" s="33"/>
      <c r="L15" s="240">
        <f>SUM(L16:L18)</f>
        <v>9093</v>
      </c>
      <c r="M15" s="115">
        <f>SUM(M16:M18)</f>
        <v>31746</v>
      </c>
      <c r="N15" s="242">
        <f>(L15-M15)/M15</f>
        <v>-0.71357021357021355</v>
      </c>
      <c r="O15" s="240">
        <f>SUM(O16:O18)</f>
        <v>87672</v>
      </c>
      <c r="P15" s="115">
        <f>SUM(P16:P18)</f>
        <v>262295</v>
      </c>
      <c r="Q15" s="241">
        <f>(O15-P15)/P15</f>
        <v>-0.66575039554699866</v>
      </c>
      <c r="R15" s="242">
        <f>O15/$O$70</f>
        <v>7.8612259412924098E-3</v>
      </c>
      <c r="S15" s="239" t="s">
        <v>129</v>
      </c>
      <c r="T15" s="33"/>
      <c r="U15" s="240">
        <f>SUM(U16:U18)</f>
        <v>44164</v>
      </c>
      <c r="V15" s="115">
        <f>SUM(V16:V18)</f>
        <v>40345</v>
      </c>
      <c r="W15" s="242">
        <f>(U15-V15)/V15</f>
        <v>9.4658569835171638E-2</v>
      </c>
      <c r="X15" s="240">
        <f>SUM(X16:X18)</f>
        <v>292115</v>
      </c>
      <c r="Y15" s="115">
        <f>SUM(Y16:Y18)</f>
        <v>392794</v>
      </c>
      <c r="Z15" s="241">
        <f>(X15-Y15)/Y15</f>
        <v>-0.25631501499513742</v>
      </c>
      <c r="AA15" s="242">
        <f>X15/$X$70</f>
        <v>7.1634158297720404E-3</v>
      </c>
    </row>
    <row r="16" spans="1:27" ht="14.1" customHeight="1" x14ac:dyDescent="0.2">
      <c r="A16" s="239"/>
      <c r="B16" s="296" t="s">
        <v>129</v>
      </c>
      <c r="C16" s="300">
        <f>[3]Alaska!$GX$19</f>
        <v>120</v>
      </c>
      <c r="D16" s="193">
        <f>[3]Alaska!$GJ$19</f>
        <v>234</v>
      </c>
      <c r="E16" s="302">
        <f>(C16-D16)/D16</f>
        <v>-0.48717948717948717</v>
      </c>
      <c r="F16" s="193">
        <f>SUM([3]Alaska!$GP$19:$GX$19)</f>
        <v>1028</v>
      </c>
      <c r="G16" s="193">
        <f>SUM([3]Alaska!$GB$19:$GJ$19)</f>
        <v>1745</v>
      </c>
      <c r="H16" s="301">
        <f>(F16-G16)/G16</f>
        <v>-0.41088825214899716</v>
      </c>
      <c r="I16" s="302">
        <f>F16/$F$70</f>
        <v>6.3940686926990684E-3</v>
      </c>
      <c r="J16" s="239"/>
      <c r="K16" s="296" t="s">
        <v>129</v>
      </c>
      <c r="L16" s="300">
        <f>[3]Alaska!$GX$41</f>
        <v>9093</v>
      </c>
      <c r="M16" s="193">
        <f>[3]Alaska!$GJ$41</f>
        <v>27540</v>
      </c>
      <c r="N16" s="302">
        <f>(L16-M16)/M16</f>
        <v>-0.66982570806100217</v>
      </c>
      <c r="O16" s="300">
        <f>SUM([3]Alaska!$GP$41:$GX$41)</f>
        <v>75313</v>
      </c>
      <c r="P16" s="193">
        <f>SUM([3]Alaska!$GB$41:$GJ$41)</f>
        <v>216957</v>
      </c>
      <c r="Q16" s="301">
        <f>(O16-P16)/P16</f>
        <v>-0.65286669708744127</v>
      </c>
      <c r="R16" s="302">
        <f>O16/$O$70</f>
        <v>6.7530398452933117E-3</v>
      </c>
      <c r="S16" s="239"/>
      <c r="T16" s="296" t="s">
        <v>129</v>
      </c>
      <c r="U16" s="300">
        <f>[3]Alaska!$GX$64</f>
        <v>44164</v>
      </c>
      <c r="V16" s="193">
        <f>[3]Alaska!$GJ$64</f>
        <v>38234</v>
      </c>
      <c r="W16" s="302">
        <f>(U16-V16)/V16</f>
        <v>0.15509755714808809</v>
      </c>
      <c r="X16" s="300">
        <f>SUM([3]Alaska!$GP$64:$GX$64)</f>
        <v>279208</v>
      </c>
      <c r="Y16" s="193">
        <f>SUM([3]Alaska!$GB$64:$GJ$64)</f>
        <v>351885</v>
      </c>
      <c r="Z16" s="301">
        <f>(X16-Y16)/Y16</f>
        <v>-0.20653622632394106</v>
      </c>
      <c r="AA16" s="302">
        <f>X16/$X$70</f>
        <v>6.8469027848586748E-3</v>
      </c>
    </row>
    <row r="17" spans="1:27" ht="14.1" customHeight="1" x14ac:dyDescent="0.2">
      <c r="A17" s="239"/>
      <c r="B17" s="296" t="s">
        <v>98</v>
      </c>
      <c r="C17" s="243">
        <f>'[3]Sky West_AS'!$GX$19</f>
        <v>0</v>
      </c>
      <c r="D17" s="2">
        <f>'[3]Sky West_AS'!$GJ$19</f>
        <v>60</v>
      </c>
      <c r="E17" s="58">
        <f>(C17-D17)/D17</f>
        <v>-1</v>
      </c>
      <c r="F17" s="2">
        <f>SUM('[3]Sky West_AS'!$GP$19:$GX$19)</f>
        <v>40</v>
      </c>
      <c r="G17" s="2">
        <f>SUM('[3]Sky West_AS'!$GB$19:$GJ$19)</f>
        <v>664</v>
      </c>
      <c r="H17" s="3">
        <f>(F17-G17)/G17</f>
        <v>-0.93975903614457834</v>
      </c>
      <c r="I17" s="58">
        <f>F17/$F$70</f>
        <v>2.4879644718673417E-4</v>
      </c>
      <c r="J17" s="239"/>
      <c r="K17" s="296" t="s">
        <v>98</v>
      </c>
      <c r="L17" s="243">
        <f>'[3]Sky West_AS'!$GX$41</f>
        <v>0</v>
      </c>
      <c r="M17" s="2">
        <f>'[3]Sky West_AS'!$GJ$41</f>
        <v>4206</v>
      </c>
      <c r="N17" s="58">
        <f>(L17-M17)/M17</f>
        <v>-1</v>
      </c>
      <c r="O17" s="243">
        <f>SUM('[3]Sky West_AS'!$GP$41:$GX$41)</f>
        <v>1379</v>
      </c>
      <c r="P17" s="2">
        <f>SUM('[3]Sky West_AS'!$GB$41:$GJ$41)</f>
        <v>44519</v>
      </c>
      <c r="Q17" s="3">
        <f>(O17-P17)/P17</f>
        <v>-0.96902446146589094</v>
      </c>
      <c r="R17" s="302">
        <f>O17/$O$70</f>
        <v>1.2364986053748327E-4</v>
      </c>
      <c r="S17" s="239"/>
      <c r="T17" s="296" t="s">
        <v>98</v>
      </c>
      <c r="U17" s="243">
        <f>'[3]Sky West_AS'!$GX$64</f>
        <v>0</v>
      </c>
      <c r="V17" s="2">
        <f>'[3]Sky West_AS'!$GJ$64</f>
        <v>2111</v>
      </c>
      <c r="W17" s="58">
        <f>(U17-V17)/V17</f>
        <v>-1</v>
      </c>
      <c r="X17" s="243">
        <f>SUM('[3]Sky West_AS'!$GP$64:$GX$64)</f>
        <v>286</v>
      </c>
      <c r="Y17" s="2">
        <f>SUM('[3]Sky West_AS'!$GB$64:$GJ$64)</f>
        <v>39911</v>
      </c>
      <c r="Z17" s="3">
        <f>(X17-Y17)/Y17</f>
        <v>-0.99283405577409733</v>
      </c>
      <c r="AA17" s="302">
        <f>X17/$X$70</f>
        <v>7.0134602033952506E-6</v>
      </c>
    </row>
    <row r="18" spans="1:27" ht="14.1" customHeight="1" x14ac:dyDescent="0.2">
      <c r="A18" s="239"/>
      <c r="B18" s="296" t="s">
        <v>193</v>
      </c>
      <c r="C18" s="243">
        <f>[3]Horizon_AS!$GX$19</f>
        <v>0</v>
      </c>
      <c r="D18" s="2">
        <f>[3]Horizon_AS!$GJ$19</f>
        <v>0</v>
      </c>
      <c r="E18" s="58" t="e">
        <f>(C18-D18)/D18</f>
        <v>#DIV/0!</v>
      </c>
      <c r="F18" s="2">
        <f>SUM([3]Horizon_AS!$GP$19:$GX$19)</f>
        <v>184</v>
      </c>
      <c r="G18" s="2">
        <f>SUM([3]Horizon_AS!$GB$19:$GJ$19)</f>
        <v>12</v>
      </c>
      <c r="H18" s="3">
        <f>(F18-G18)/G18</f>
        <v>14.333333333333334</v>
      </c>
      <c r="I18" s="58">
        <f>F18/$F$70</f>
        <v>1.1444636570589772E-3</v>
      </c>
      <c r="J18" s="239"/>
      <c r="K18" s="296" t="s">
        <v>193</v>
      </c>
      <c r="L18" s="243">
        <f>[3]Horizon_AS!$GX$41</f>
        <v>0</v>
      </c>
      <c r="M18" s="2">
        <f>[3]Horizon_AS!$GJ$41</f>
        <v>0</v>
      </c>
      <c r="N18" s="58" t="e">
        <f>(L18-M18)/M18</f>
        <v>#DIV/0!</v>
      </c>
      <c r="O18" s="243">
        <f>SUM([3]Horizon_AS!$GP$41:$GX$41)</f>
        <v>10980</v>
      </c>
      <c r="P18" s="2">
        <f>SUM([3]Horizon_AS!$GB$41:$GJ$41)</f>
        <v>819</v>
      </c>
      <c r="Q18" s="3">
        <f>(O18-P18)/P18</f>
        <v>12.406593406593407</v>
      </c>
      <c r="R18" s="302">
        <f>O18/$O$70</f>
        <v>9.8453623546161445E-4</v>
      </c>
      <c r="S18" s="239"/>
      <c r="T18" s="296" t="s">
        <v>193</v>
      </c>
      <c r="U18" s="243">
        <f>[3]Horizon_AS!$GX$64</f>
        <v>0</v>
      </c>
      <c r="V18" s="2">
        <f>[3]Horizon_AS!$GJ$64</f>
        <v>0</v>
      </c>
      <c r="W18" s="58" t="e">
        <f>(U18-V18)/V18</f>
        <v>#DIV/0!</v>
      </c>
      <c r="X18" s="243">
        <f>SUM([3]Horizon_AS!$GP$64:$GX$64)</f>
        <v>12621</v>
      </c>
      <c r="Y18" s="2">
        <f>SUM([3]Horizon_AS!$GB$64:$GJ$64)</f>
        <v>998</v>
      </c>
      <c r="Z18" s="3">
        <f>(X18-Y18)/Y18</f>
        <v>11.646292585170341</v>
      </c>
      <c r="AA18" s="302">
        <f>X18/$X$70</f>
        <v>3.0949958470997014E-4</v>
      </c>
    </row>
    <row r="19" spans="1:27" ht="14.1" customHeight="1" x14ac:dyDescent="0.2">
      <c r="A19" s="239"/>
      <c r="B19" s="33"/>
      <c r="C19" s="240"/>
      <c r="D19" s="125"/>
      <c r="E19" s="242"/>
      <c r="F19" s="125"/>
      <c r="G19" s="125"/>
      <c r="H19" s="241"/>
      <c r="I19" s="242"/>
      <c r="J19" s="239"/>
      <c r="K19" s="33"/>
      <c r="L19" s="108"/>
      <c r="M19" s="83"/>
      <c r="N19" s="58"/>
      <c r="O19" s="108"/>
      <c r="P19" s="83"/>
      <c r="Q19" s="3"/>
      <c r="R19" s="58"/>
      <c r="S19" s="239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9" t="s">
        <v>17</v>
      </c>
      <c r="B20" s="244"/>
      <c r="C20" s="240">
        <f>SUM(C21:C27)</f>
        <v>795</v>
      </c>
      <c r="D20" s="115">
        <f>SUM(D21:D27)</f>
        <v>1623</v>
      </c>
      <c r="E20" s="242">
        <f t="shared" ref="E20:E27" si="0">(C20-D20)/D20</f>
        <v>-0.5101663585951941</v>
      </c>
      <c r="F20" s="240">
        <f>SUM(F21:F27)</f>
        <v>8650</v>
      </c>
      <c r="G20" s="115">
        <f>SUM(G21:G27)</f>
        <v>14656</v>
      </c>
      <c r="H20" s="241">
        <f t="shared" ref="H20:H27" si="1">(F20-G20)/G20</f>
        <v>-0.40979803493449779</v>
      </c>
      <c r="I20" s="242">
        <f t="shared" ref="I20:I27" si="2">F20/$F$70</f>
        <v>5.3802231704131266E-2</v>
      </c>
      <c r="J20" s="239" t="s">
        <v>17</v>
      </c>
      <c r="K20" s="244"/>
      <c r="L20" s="240">
        <f>SUM(L21:L27)</f>
        <v>72594</v>
      </c>
      <c r="M20" s="115">
        <f>SUM(M21:M27)</f>
        <v>163613</v>
      </c>
      <c r="N20" s="242">
        <f t="shared" ref="N20:N27" si="3">(L20-M20)/M20</f>
        <v>-0.55630665044953642</v>
      </c>
      <c r="O20" s="240">
        <f>SUM(O21:O27)</f>
        <v>701552</v>
      </c>
      <c r="P20" s="115">
        <f>SUM(P21:P27)</f>
        <v>1550105</v>
      </c>
      <c r="Q20" s="241">
        <f t="shared" ref="Q20:Q27" si="4">(O20-P20)/P20</f>
        <v>-0.54741646533621913</v>
      </c>
      <c r="R20" s="242">
        <f t="shared" ref="R20:R27" si="5">O20/$O$70</f>
        <v>6.2905588803330276E-2</v>
      </c>
      <c r="S20" s="239" t="s">
        <v>17</v>
      </c>
      <c r="T20" s="244"/>
      <c r="U20" s="240">
        <f>SUM(U21:U27)</f>
        <v>163632</v>
      </c>
      <c r="V20" s="115">
        <f>SUM(V21:V27)</f>
        <v>102534</v>
      </c>
      <c r="W20" s="242">
        <f t="shared" ref="W20:W24" si="6">(U20-V20)/V20</f>
        <v>0.59588039089472755</v>
      </c>
      <c r="X20" s="240">
        <f>SUM(X21:X27)</f>
        <v>1691380</v>
      </c>
      <c r="Y20" s="115">
        <f>SUM(Y21:Y27)</f>
        <v>1190978</v>
      </c>
      <c r="Z20" s="241">
        <f t="shared" ref="Z20:Z24" si="7">(X20-Y20)/Y20</f>
        <v>0.42016057391488337</v>
      </c>
      <c r="AA20" s="242">
        <f t="shared" ref="AA20:AA27" si="8">X20/$X$70</f>
        <v>4.1477015100764542E-2</v>
      </c>
    </row>
    <row r="21" spans="1:27" ht="14.1" customHeight="1" x14ac:dyDescent="0.2">
      <c r="A21" s="31"/>
      <c r="B21" s="33" t="s">
        <v>17</v>
      </c>
      <c r="C21" s="243">
        <f>[3]American!$GX$19</f>
        <v>507</v>
      </c>
      <c r="D21" s="2">
        <f>[3]American!$GJ$19</f>
        <v>1160</v>
      </c>
      <c r="E21" s="58">
        <f t="shared" si="0"/>
        <v>-0.56293103448275861</v>
      </c>
      <c r="F21" s="2">
        <f>SUM([3]American!$GP$19:$GX$19)</f>
        <v>5386</v>
      </c>
      <c r="G21" s="2">
        <f>SUM([3]American!$GB$19:$GJ$19)</f>
        <v>10680</v>
      </c>
      <c r="H21" s="3">
        <f t="shared" si="1"/>
        <v>-0.49569288389513111</v>
      </c>
      <c r="I21" s="58">
        <f t="shared" si="2"/>
        <v>3.3500441613693754E-2</v>
      </c>
      <c r="J21" s="31"/>
      <c r="K21" s="33" t="s">
        <v>17</v>
      </c>
      <c r="L21" s="243">
        <f>[3]American!$GX$41</f>
        <v>56667</v>
      </c>
      <c r="M21" s="2">
        <f>[3]American!$GJ$41</f>
        <v>139818</v>
      </c>
      <c r="N21" s="58">
        <f t="shared" si="3"/>
        <v>-0.59470883577221811</v>
      </c>
      <c r="O21" s="243">
        <f>SUM([3]American!$GP$41:$GX$41)</f>
        <v>545617</v>
      </c>
      <c r="P21" s="2">
        <f>SUM([3]American!$GB$41:$GJ$41)</f>
        <v>1321227</v>
      </c>
      <c r="Q21" s="3">
        <f t="shared" si="4"/>
        <v>-0.58703765514934225</v>
      </c>
      <c r="R21" s="58">
        <f t="shared" si="5"/>
        <v>4.8923470599622917E-2</v>
      </c>
      <c r="S21" s="31"/>
      <c r="T21" s="33" t="s">
        <v>17</v>
      </c>
      <c r="U21" s="243">
        <f>[3]American!$GX$64</f>
        <v>162649</v>
      </c>
      <c r="V21" s="2">
        <f>[3]American!$GJ$64</f>
        <v>102181</v>
      </c>
      <c r="W21" s="58">
        <f t="shared" si="6"/>
        <v>0.59177342167330527</v>
      </c>
      <c r="X21" s="243">
        <f>SUM([3]American!$GP$64:$GX$64)</f>
        <v>1679050</v>
      </c>
      <c r="Y21" s="2">
        <f>SUM([3]American!$GB$64:$GJ$64)</f>
        <v>1186725</v>
      </c>
      <c r="Z21" s="3">
        <f t="shared" si="7"/>
        <v>0.41486022456761257</v>
      </c>
      <c r="AA21" s="58">
        <f t="shared" si="8"/>
        <v>4.1174651589198585E-2</v>
      </c>
    </row>
    <row r="22" spans="1:27" ht="14.1" customHeight="1" x14ac:dyDescent="0.2">
      <c r="A22" s="31"/>
      <c r="B22" s="296" t="s">
        <v>166</v>
      </c>
      <c r="C22" s="243">
        <f>'[3]American Eagle'!$GX$19</f>
        <v>105</v>
      </c>
      <c r="D22" s="2">
        <f>'[3]American Eagle'!$GJ$19</f>
        <v>10</v>
      </c>
      <c r="E22" s="58">
        <f t="shared" si="0"/>
        <v>9.5</v>
      </c>
      <c r="F22" s="2">
        <f>SUM('[3]American Eagle'!$GP$19:$GX$19)</f>
        <v>773</v>
      </c>
      <c r="G22" s="2">
        <f>SUM('[3]American Eagle'!$GB$19:$GJ$19)</f>
        <v>832</v>
      </c>
      <c r="H22" s="3">
        <f t="shared" si="1"/>
        <v>-7.0913461538461536E-2</v>
      </c>
      <c r="I22" s="58">
        <f t="shared" si="2"/>
        <v>4.8079913418836379E-3</v>
      </c>
      <c r="J22" s="31"/>
      <c r="K22" s="296" t="s">
        <v>166</v>
      </c>
      <c r="L22" s="243">
        <f>'[3]American Eagle'!$GX$41</f>
        <v>7079</v>
      </c>
      <c r="M22" s="2">
        <f>'[3]American Eagle'!$GJ$41</f>
        <v>530</v>
      </c>
      <c r="N22" s="58">
        <f t="shared" si="3"/>
        <v>12.356603773584906</v>
      </c>
      <c r="O22" s="243">
        <f>SUM('[3]American Eagle'!$GP$41:$GX$41)</f>
        <v>43830</v>
      </c>
      <c r="P22" s="2">
        <f>SUM('[3]American Eagle'!$GB$41:$GJ$41)</f>
        <v>54712</v>
      </c>
      <c r="Q22" s="3">
        <f t="shared" si="4"/>
        <v>-0.19889603743237316</v>
      </c>
      <c r="R22" s="58">
        <f t="shared" si="5"/>
        <v>3.9300749727033298E-3</v>
      </c>
      <c r="S22" s="31"/>
      <c r="T22" s="296" t="s">
        <v>166</v>
      </c>
      <c r="U22" s="243">
        <f>'[3]American Eagle'!$GX$64</f>
        <v>906</v>
      </c>
      <c r="V22" s="2">
        <f>'[3]American Eagle'!$GJ$64</f>
        <v>0</v>
      </c>
      <c r="W22" s="58" t="e">
        <f t="shared" si="6"/>
        <v>#DIV/0!</v>
      </c>
      <c r="X22" s="243">
        <f>SUM('[3]American Eagle'!$GP$64:$GX$64)</f>
        <v>5958</v>
      </c>
      <c r="Y22" s="2">
        <f>SUM('[3]American Eagle'!$GB$64:$GJ$64)</f>
        <v>1314</v>
      </c>
      <c r="Z22" s="3">
        <f t="shared" si="7"/>
        <v>3.5342465753424657</v>
      </c>
      <c r="AA22" s="58">
        <f t="shared" si="8"/>
        <v>1.461055800413598E-4</v>
      </c>
    </row>
    <row r="23" spans="1:27" ht="14.1" customHeight="1" x14ac:dyDescent="0.2">
      <c r="A23" s="31"/>
      <c r="B23" s="296" t="s">
        <v>52</v>
      </c>
      <c r="C23" s="243">
        <f>[3]Republic!$GX$19</f>
        <v>183</v>
      </c>
      <c r="D23" s="2">
        <f>[3]Republic!$GJ$19</f>
        <v>453</v>
      </c>
      <c r="E23" s="58">
        <f t="shared" si="0"/>
        <v>-0.59602649006622521</v>
      </c>
      <c r="F23" s="2">
        <f>SUM([3]Republic!$GP$19:$GX$19)</f>
        <v>2187</v>
      </c>
      <c r="G23" s="2">
        <f>SUM([3]Republic!$GB$19:$GJ$19)</f>
        <v>3142</v>
      </c>
      <c r="H23" s="3">
        <f t="shared" si="1"/>
        <v>-0.30394653087205603</v>
      </c>
      <c r="I23" s="58">
        <f t="shared" si="2"/>
        <v>1.3602945749934691E-2</v>
      </c>
      <c r="J23" s="31"/>
      <c r="K23" s="245" t="s">
        <v>52</v>
      </c>
      <c r="L23" s="243">
        <f>[3]Republic!$GX$41</f>
        <v>8848</v>
      </c>
      <c r="M23" s="2">
        <f>[3]Republic!$GJ$41</f>
        <v>23265</v>
      </c>
      <c r="N23" s="58">
        <f t="shared" si="3"/>
        <v>-0.61968622394154305</v>
      </c>
      <c r="O23" s="243">
        <f>SUM([3]Republic!$GP$41:$GX$41)</f>
        <v>96105</v>
      </c>
      <c r="P23" s="2">
        <f>SUM([3]Republic!$GB$41:$GJ$41)</f>
        <v>174124</v>
      </c>
      <c r="Q23" s="3">
        <f t="shared" si="4"/>
        <v>-0.448065746249799</v>
      </c>
      <c r="R23" s="58">
        <f t="shared" si="5"/>
        <v>8.6173820500035012E-3</v>
      </c>
      <c r="S23" s="31"/>
      <c r="T23" s="245" t="s">
        <v>52</v>
      </c>
      <c r="U23" s="243">
        <f>[3]Republic!$GX$64</f>
        <v>77</v>
      </c>
      <c r="V23" s="2">
        <f>[3]Republic!$GJ$64</f>
        <v>353</v>
      </c>
      <c r="W23" s="58">
        <f t="shared" si="6"/>
        <v>-0.78186968838526916</v>
      </c>
      <c r="X23" s="243">
        <f>SUM([3]Republic!$GP$64:$GX$64)</f>
        <v>5728</v>
      </c>
      <c r="Y23" s="2">
        <f>SUM([3]Republic!$GB$64:$GJ$64)</f>
        <v>2939</v>
      </c>
      <c r="Z23" s="3">
        <f t="shared" si="7"/>
        <v>0.94896223205171826</v>
      </c>
      <c r="AA23" s="58">
        <f t="shared" si="8"/>
        <v>1.404653847728951E-4</v>
      </c>
    </row>
    <row r="24" spans="1:27" ht="14.1" customHeight="1" x14ac:dyDescent="0.2">
      <c r="A24" s="31"/>
      <c r="B24" s="296" t="s">
        <v>182</v>
      </c>
      <c r="C24" s="243">
        <f>[3]PSA!$GX$19</f>
        <v>0</v>
      </c>
      <c r="D24" s="2">
        <f>[3]PSA!$GJ$19</f>
        <v>0</v>
      </c>
      <c r="E24" s="58" t="e">
        <f t="shared" si="0"/>
        <v>#DIV/0!</v>
      </c>
      <c r="F24" s="2">
        <f>SUM([3]PSA!$GP$19:$GX$19)</f>
        <v>0</v>
      </c>
      <c r="G24" s="2">
        <f>SUM([3]PSA!$GB$19:$GJ$19)</f>
        <v>0</v>
      </c>
      <c r="H24" s="3" t="e">
        <f t="shared" si="1"/>
        <v>#DIV/0!</v>
      </c>
      <c r="I24" s="58">
        <f t="shared" si="2"/>
        <v>0</v>
      </c>
      <c r="J24" s="31"/>
      <c r="K24" s="296" t="s">
        <v>182</v>
      </c>
      <c r="L24" s="243">
        <f>[3]PSA!$GX$41</f>
        <v>0</v>
      </c>
      <c r="M24" s="2">
        <f>[3]PSA!$GJ$41</f>
        <v>0</v>
      </c>
      <c r="N24" s="58" t="e">
        <f t="shared" si="3"/>
        <v>#DIV/0!</v>
      </c>
      <c r="O24" s="243">
        <f>SUM([3]PSA!$GP$41:$GX$41)</f>
        <v>0</v>
      </c>
      <c r="P24" s="2">
        <f>SUM([3]PSA!$GB$41:$GJ$41)</f>
        <v>0</v>
      </c>
      <c r="Q24" s="3" t="e">
        <f t="shared" si="4"/>
        <v>#DIV/0!</v>
      </c>
      <c r="R24" s="58">
        <f t="shared" si="5"/>
        <v>0</v>
      </c>
      <c r="S24" s="31"/>
      <c r="T24" s="296" t="s">
        <v>182</v>
      </c>
      <c r="U24" s="243">
        <f>[3]PSA!$GX$64</f>
        <v>0</v>
      </c>
      <c r="V24" s="2">
        <f>[3]PSA!$GJ$64</f>
        <v>0</v>
      </c>
      <c r="W24" s="58" t="e">
        <f t="shared" si="6"/>
        <v>#DIV/0!</v>
      </c>
      <c r="X24" s="243">
        <f>SUM([3]PSA!$GP$64:$GX$64)</f>
        <v>0</v>
      </c>
      <c r="Y24" s="2">
        <f>SUM([3]PSA!$GB$64:$GJ$64)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6" t="s">
        <v>98</v>
      </c>
      <c r="C25" s="243">
        <f>'[3]Sky West_AA'!$GX$19</f>
        <v>0</v>
      </c>
      <c r="D25" s="2">
        <f>'[3]Sky West_AA'!$GJ$19</f>
        <v>0</v>
      </c>
      <c r="E25" s="58" t="e">
        <f>(C25-D25)/D25</f>
        <v>#DIV/0!</v>
      </c>
      <c r="F25" s="2">
        <f>SUM('[3]Sky West_AA'!$GP$19:$GX$19)</f>
        <v>298</v>
      </c>
      <c r="G25" s="2">
        <f>SUM('[3]Sky West_AA'!$GB$19:$GJ$19)</f>
        <v>0</v>
      </c>
      <c r="H25" s="3" t="e">
        <f>(F25-G25)/G25</f>
        <v>#DIV/0!</v>
      </c>
      <c r="I25" s="58">
        <f t="shared" si="2"/>
        <v>1.8535335315411697E-3</v>
      </c>
      <c r="J25" s="31"/>
      <c r="K25" s="296" t="s">
        <v>98</v>
      </c>
      <c r="L25" s="243">
        <f>'[3]Sky West_AA'!$GX$41</f>
        <v>0</v>
      </c>
      <c r="M25" s="2">
        <f>'[3]Sky West_AA'!$GJ$41</f>
        <v>0</v>
      </c>
      <c r="N25" s="58" t="e">
        <f>(L25-M25)/M25</f>
        <v>#DIV/0!</v>
      </c>
      <c r="O25" s="243">
        <f>SUM('[3]Sky West_AA'!$GP$41:$GX$41)</f>
        <v>15806</v>
      </c>
      <c r="P25" s="2">
        <f>SUM('[3]Sky West_AA'!$GB$41:$GJ$41)</f>
        <v>0</v>
      </c>
      <c r="Q25" s="3" t="e">
        <f>(O25-P25)/P25</f>
        <v>#DIV/0!</v>
      </c>
      <c r="R25" s="302">
        <f t="shared" si="5"/>
        <v>1.4172659141808994E-3</v>
      </c>
      <c r="S25" s="31"/>
      <c r="T25" s="296" t="s">
        <v>98</v>
      </c>
      <c r="U25" s="243">
        <f>'[3]Sky West_AA'!$GX$64</f>
        <v>0</v>
      </c>
      <c r="V25" s="2">
        <f>'[3]Sky West_AA'!$GJ$64</f>
        <v>0</v>
      </c>
      <c r="W25" s="58" t="e">
        <f>(U25-V25)/V25</f>
        <v>#DIV/0!</v>
      </c>
      <c r="X25" s="243">
        <f>SUM('[3]Sky West_AA'!$GP$64:$GX$64)</f>
        <v>644</v>
      </c>
      <c r="Y25" s="2">
        <f>SUM('[3]Sky West_AA'!$GB$64:$GJ$64)</f>
        <v>0</v>
      </c>
      <c r="Z25" s="3" t="e">
        <f>(X25-Y25)/Y25</f>
        <v>#DIV/0!</v>
      </c>
      <c r="AA25" s="302">
        <f t="shared" si="8"/>
        <v>1.5792546751701192E-5</v>
      </c>
    </row>
    <row r="26" spans="1:27" ht="14.1" customHeight="1" x14ac:dyDescent="0.2">
      <c r="A26" s="31"/>
      <c r="B26" s="296" t="s">
        <v>51</v>
      </c>
      <c r="C26" s="243">
        <f>[3]MESA!$GX$19</f>
        <v>0</v>
      </c>
      <c r="D26" s="2">
        <f>[3]MESA!$GJ$19</f>
        <v>0</v>
      </c>
      <c r="E26" s="58" t="e">
        <f t="shared" si="0"/>
        <v>#DIV/0!</v>
      </c>
      <c r="F26" s="2">
        <f>SUM([3]MESA!$GP$19:$GX$19)</f>
        <v>0</v>
      </c>
      <c r="G26" s="2">
        <f>SUM([3]MESA!$GB$19:$GJ$19)</f>
        <v>0</v>
      </c>
      <c r="H26" s="3" t="e">
        <f t="shared" si="1"/>
        <v>#DIV/0!</v>
      </c>
      <c r="I26" s="58">
        <f t="shared" si="2"/>
        <v>0</v>
      </c>
      <c r="J26" s="31"/>
      <c r="K26" s="296" t="s">
        <v>51</v>
      </c>
      <c r="L26" s="243">
        <f>[3]MESA!$GX$41</f>
        <v>0</v>
      </c>
      <c r="M26" s="2">
        <f>[3]MESA!$GJ$41</f>
        <v>0</v>
      </c>
      <c r="N26" s="58" t="e">
        <f t="shared" si="3"/>
        <v>#DIV/0!</v>
      </c>
      <c r="O26" s="243">
        <f>SUM([3]MESA!$GP$41:$GX$41)</f>
        <v>0</v>
      </c>
      <c r="P26" s="2">
        <f>SUM([3]MESA!$GB$41:$GJ$41)</f>
        <v>0</v>
      </c>
      <c r="Q26" s="3" t="e">
        <f t="shared" si="4"/>
        <v>#DIV/0!</v>
      </c>
      <c r="R26" s="58">
        <f t="shared" si="5"/>
        <v>0</v>
      </c>
      <c r="S26" s="31"/>
      <c r="T26" s="296" t="s">
        <v>51</v>
      </c>
      <c r="U26" s="243">
        <f>[3]MESA!$GX$64</f>
        <v>0</v>
      </c>
      <c r="V26" s="2">
        <f>[3]MESA!$GJ$64</f>
        <v>0</v>
      </c>
      <c r="W26" s="58" t="e">
        <f t="shared" ref="W26:W27" si="9">(U26-V26)/V26</f>
        <v>#DIV/0!</v>
      </c>
      <c r="X26" s="243">
        <f>SUM([3]MESA!$GP$64:$GX$64)</f>
        <v>0</v>
      </c>
      <c r="Y26" s="2">
        <f>SUM([3]MESA!$GB$64:$GJ$64)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6" t="s">
        <v>50</v>
      </c>
      <c r="C27" s="243">
        <f>'[3]Air Wisconsin'!$GX$19</f>
        <v>0</v>
      </c>
      <c r="D27" s="2">
        <f>'[3]Air Wisconsin'!$GJ$19</f>
        <v>0</v>
      </c>
      <c r="E27" s="58" t="e">
        <f t="shared" si="0"/>
        <v>#DIV/0!</v>
      </c>
      <c r="F27" s="2">
        <f>SUM('[3]Air Wisconsin'!$GP$19:$GX$19)</f>
        <v>6</v>
      </c>
      <c r="G27" s="2">
        <f>SUM('[3]Air Wisconsin'!$GB$19:$GJ$19)</f>
        <v>2</v>
      </c>
      <c r="H27" s="284">
        <f t="shared" si="1"/>
        <v>2</v>
      </c>
      <c r="I27" s="58">
        <f t="shared" si="2"/>
        <v>3.7319467078010126E-5</v>
      </c>
      <c r="J27" s="31"/>
      <c r="K27" s="245" t="s">
        <v>50</v>
      </c>
      <c r="L27" s="243">
        <f>'[3]Air Wisconsin'!$GX$41</f>
        <v>0</v>
      </c>
      <c r="M27" s="2">
        <f>'[3]Air Wisconsin'!$GJ$41</f>
        <v>0</v>
      </c>
      <c r="N27" s="58" t="e">
        <f t="shared" si="3"/>
        <v>#DIV/0!</v>
      </c>
      <c r="O27" s="243">
        <f>SUM('[3]Air Wisconsin'!$GP$41:$GX$41)</f>
        <v>194</v>
      </c>
      <c r="P27" s="2">
        <f>SUM('[3]Air Wisconsin'!$GB$41:$GJ$41)</f>
        <v>42</v>
      </c>
      <c r="Q27" s="3">
        <f t="shared" si="4"/>
        <v>3.6190476190476191</v>
      </c>
      <c r="R27" s="58">
        <f t="shared" si="5"/>
        <v>1.7395266819631438E-5</v>
      </c>
      <c r="S27" s="31"/>
      <c r="T27" s="245" t="s">
        <v>50</v>
      </c>
      <c r="U27" s="243">
        <f>'[3]Air Wisconsin'!$GX$64</f>
        <v>0</v>
      </c>
      <c r="V27" s="2">
        <f>'[3]Air Wisconsin'!$GJ$64</f>
        <v>0</v>
      </c>
      <c r="W27" s="58" t="e">
        <f t="shared" si="9"/>
        <v>#DIV/0!</v>
      </c>
      <c r="X27" s="243">
        <f>SUM('[3]Air Wisconsin'!$GP$64:$GX$64)</f>
        <v>0</v>
      </c>
      <c r="Y27" s="2">
        <f>SUM('[3]Air Wisconsin'!$GB$64:$GJ$64)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3"/>
      <c r="E28" s="58"/>
      <c r="F28" s="2"/>
      <c r="I28" s="58"/>
      <c r="J28" s="31"/>
      <c r="K28" s="33"/>
      <c r="L28" s="243"/>
      <c r="N28" s="58"/>
      <c r="O28" s="243"/>
      <c r="P28" s="2"/>
      <c r="Q28" s="3"/>
      <c r="R28" s="58"/>
      <c r="S28" s="31"/>
      <c r="T28" s="33"/>
      <c r="U28" s="243"/>
      <c r="V28" s="2"/>
      <c r="W28" s="58"/>
      <c r="X28" s="243"/>
      <c r="Y28" s="2"/>
      <c r="Z28" s="3"/>
      <c r="AA28" s="58"/>
    </row>
    <row r="29" spans="1:27" ht="14.1" customHeight="1" x14ac:dyDescent="0.2">
      <c r="A29" s="239" t="s">
        <v>180</v>
      </c>
      <c r="B29" s="33"/>
      <c r="C29" s="240">
        <f>'[3]Boutique Air'!$GX$19</f>
        <v>50</v>
      </c>
      <c r="D29" s="115">
        <f>'[3]Boutique Air'!$GJ$19</f>
        <v>164</v>
      </c>
      <c r="E29" s="242">
        <f>(C29-D29)/D29</f>
        <v>-0.69512195121951215</v>
      </c>
      <c r="F29" s="115">
        <f>SUM('[3]Boutique Air'!$GP$19:$GX$19)</f>
        <v>890</v>
      </c>
      <c r="G29" s="115">
        <f>SUM('[3]Boutique Air'!$GB$19:$GJ$19)</f>
        <v>1333</v>
      </c>
      <c r="H29" s="241">
        <f>(F29-G29)/G29</f>
        <v>-0.33233308327081773</v>
      </c>
      <c r="I29" s="242">
        <f>F29/$F$70</f>
        <v>5.5357209499048354E-3</v>
      </c>
      <c r="J29" s="239" t="s">
        <v>180</v>
      </c>
      <c r="K29" s="33"/>
      <c r="L29" s="240">
        <f>'[3]Boutique Air'!$GX$41</f>
        <v>158</v>
      </c>
      <c r="M29" s="115">
        <f>'[3]Boutique Air'!$GJ$41</f>
        <v>921</v>
      </c>
      <c r="N29" s="242">
        <f>(L29-M29)/M29</f>
        <v>-0.82844733984799135</v>
      </c>
      <c r="O29" s="240">
        <f>SUM('[3]Boutique Air'!$GP$41:$GX$41)</f>
        <v>2708</v>
      </c>
      <c r="P29" s="115">
        <f>SUM('[3]Boutique Air'!$GB$41:$GJ$41)</f>
        <v>6922</v>
      </c>
      <c r="Q29" s="241">
        <f>(O29-P29)/P29</f>
        <v>-0.60878358855822012</v>
      </c>
      <c r="R29" s="242">
        <f>O29/$O$70</f>
        <v>2.4281640488433987E-4</v>
      </c>
      <c r="S29" s="239" t="s">
        <v>180</v>
      </c>
      <c r="T29" s="33"/>
      <c r="U29" s="240">
        <f>'[3]Boutique Air'!$GX$64</f>
        <v>0</v>
      </c>
      <c r="V29" s="115">
        <f>'[3]Boutique Air'!$GJ$64</f>
        <v>0</v>
      </c>
      <c r="W29" s="242" t="e">
        <f>(U29-V29)/V29</f>
        <v>#DIV/0!</v>
      </c>
      <c r="X29" s="240">
        <f>SUM('[3]Boutique Air'!$GP$64:$GX$64)</f>
        <v>0</v>
      </c>
      <c r="Y29" s="115">
        <f>SUM('[3]Boutique Air'!$GB$64:$GJ$64)</f>
        <v>0</v>
      </c>
      <c r="Z29" s="241" t="e">
        <f>(X29-Y29)/Y29</f>
        <v>#DIV/0!</v>
      </c>
      <c r="AA29" s="242">
        <f>X29/$X$70</f>
        <v>0</v>
      </c>
    </row>
    <row r="30" spans="1:27" ht="14.1" customHeight="1" x14ac:dyDescent="0.2">
      <c r="A30" s="31"/>
      <c r="B30" s="33"/>
      <c r="C30" s="243"/>
      <c r="E30" s="58"/>
      <c r="F30" s="2"/>
      <c r="I30" s="58"/>
      <c r="J30" s="31"/>
      <c r="K30" s="33"/>
      <c r="L30" s="243"/>
      <c r="N30" s="58"/>
      <c r="O30" s="243"/>
      <c r="P30" s="2"/>
      <c r="Q30" s="3"/>
      <c r="R30" s="58"/>
      <c r="S30" s="31"/>
      <c r="T30" s="33"/>
      <c r="U30" s="243"/>
      <c r="V30" s="2"/>
      <c r="W30" s="58"/>
      <c r="X30" s="243"/>
      <c r="Y30" s="2"/>
      <c r="Z30" s="3"/>
      <c r="AA30" s="58"/>
    </row>
    <row r="31" spans="1:27" ht="14.1" customHeight="1" x14ac:dyDescent="0.2">
      <c r="A31" s="239" t="s">
        <v>162</v>
      </c>
      <c r="B31" s="33"/>
      <c r="C31" s="240">
        <f>[3]Condor!$GX$19</f>
        <v>0</v>
      </c>
      <c r="D31" s="115">
        <f>[3]Condor!$GJ$19</f>
        <v>16</v>
      </c>
      <c r="E31" s="242">
        <f>(C31-D31)/D31</f>
        <v>-1</v>
      </c>
      <c r="F31" s="115">
        <f>SUM([3]Condor!$GP$19:$GX$19)</f>
        <v>0</v>
      </c>
      <c r="G31" s="115">
        <f>SUM([3]Condor!$GB$19:$GJ$19)</f>
        <v>108</v>
      </c>
      <c r="H31" s="241">
        <f>(F31-G31)/G31</f>
        <v>-1</v>
      </c>
      <c r="I31" s="242">
        <f>F31/$F$70</f>
        <v>0</v>
      </c>
      <c r="J31" s="239" t="s">
        <v>162</v>
      </c>
      <c r="K31" s="33"/>
      <c r="L31" s="240">
        <f>[3]Condor!$GX$41</f>
        <v>0</v>
      </c>
      <c r="M31" s="115">
        <f>[3]Condor!$GJ$41</f>
        <v>3616</v>
      </c>
      <c r="N31" s="242">
        <f>(L31-M31)/M31</f>
        <v>-1</v>
      </c>
      <c r="O31" s="240">
        <f>SUM([3]Condor!$GP$41:$GX$41)</f>
        <v>0</v>
      </c>
      <c r="P31" s="115">
        <f>SUM([3]Condor!$GB$41:$GJ$41)</f>
        <v>26102</v>
      </c>
      <c r="Q31" s="241">
        <f>(O31-P31)/P31</f>
        <v>-1</v>
      </c>
      <c r="R31" s="242">
        <f>O31/$O$70</f>
        <v>0</v>
      </c>
      <c r="S31" s="239" t="s">
        <v>162</v>
      </c>
      <c r="T31" s="33"/>
      <c r="U31" s="240">
        <f>[3]Condor!$GX$64</f>
        <v>0</v>
      </c>
      <c r="V31" s="115">
        <f>[3]Condor!$GJ$64</f>
        <v>73162</v>
      </c>
      <c r="W31" s="242">
        <f>(U31-V31)/V31</f>
        <v>-1</v>
      </c>
      <c r="X31" s="240">
        <f>SUM([3]Condor!$GP$64:$GX$64)</f>
        <v>0</v>
      </c>
      <c r="Y31" s="115">
        <f>SUM([3]Condor!$GB$64:$GJ$64)</f>
        <v>162690</v>
      </c>
      <c r="Z31" s="241">
        <f>(X31-Y31)/Y31</f>
        <v>-1</v>
      </c>
      <c r="AA31" s="242">
        <f>X31/$X$70</f>
        <v>0</v>
      </c>
    </row>
    <row r="32" spans="1:27" ht="14.1" customHeight="1" x14ac:dyDescent="0.2">
      <c r="A32" s="31"/>
      <c r="B32" s="33"/>
      <c r="C32" s="243"/>
      <c r="E32" s="58"/>
      <c r="F32" s="2"/>
      <c r="I32" s="58"/>
      <c r="J32" s="31"/>
      <c r="K32" s="33"/>
      <c r="L32" s="243"/>
      <c r="N32" s="58"/>
      <c r="O32" s="243"/>
      <c r="P32" s="2"/>
      <c r="Q32" s="3"/>
      <c r="R32" s="58"/>
      <c r="S32" s="31"/>
      <c r="T32" s="33"/>
      <c r="U32" s="243"/>
      <c r="V32" s="2"/>
      <c r="W32" s="58"/>
      <c r="X32" s="243"/>
      <c r="Y32" s="2"/>
      <c r="Z32" s="3"/>
      <c r="AA32" s="58"/>
    </row>
    <row r="33" spans="1:27" ht="14.1" customHeight="1" x14ac:dyDescent="0.2">
      <c r="A33" s="239" t="s">
        <v>224</v>
      </c>
      <c r="B33" s="33"/>
      <c r="C33" s="240">
        <f>'[3]Denver Air'!$GX$19</f>
        <v>104</v>
      </c>
      <c r="D33" s="115">
        <f>'[3]Denver Air'!$GJ$19</f>
        <v>0</v>
      </c>
      <c r="E33" s="242" t="e">
        <f>(C33-D33)/D33</f>
        <v>#DIV/0!</v>
      </c>
      <c r="F33" s="115">
        <f>SUM('[3]Denver Air'!$GP$19:$GX$19)</f>
        <v>424</v>
      </c>
      <c r="G33" s="115">
        <f>SUM('[3]Denver Air'!$GB$19:$GJ$19)</f>
        <v>0</v>
      </c>
      <c r="H33" s="241" t="e">
        <f>(F33-G33)/G33</f>
        <v>#DIV/0!</v>
      </c>
      <c r="I33" s="242">
        <f>F33/$F$70</f>
        <v>2.6372423401793822E-3</v>
      </c>
      <c r="J33" s="239" t="s">
        <v>224</v>
      </c>
      <c r="K33" s="33"/>
      <c r="L33" s="240">
        <f>'[3]Denver Air'!$GX$41</f>
        <v>284</v>
      </c>
      <c r="M33" s="115">
        <f>'[3]Denver Air'!$GJ$41</f>
        <v>0</v>
      </c>
      <c r="N33" s="242" t="e">
        <f>(L33-M33)/M33</f>
        <v>#DIV/0!</v>
      </c>
      <c r="O33" s="240">
        <f>SUM('[3]Denver Air'!$GP$41:$GX$41)</f>
        <v>921</v>
      </c>
      <c r="P33" s="115">
        <f>SUM('[3]Denver Air'!$GB$41:$GJ$41)</f>
        <v>0</v>
      </c>
      <c r="Q33" s="241" t="e">
        <f>(O33-P33)/P33</f>
        <v>#DIV/0!</v>
      </c>
      <c r="R33" s="242">
        <f>O33/$O$70</f>
        <v>8.2582684231343056E-5</v>
      </c>
      <c r="S33" s="239" t="s">
        <v>224</v>
      </c>
      <c r="T33" s="33"/>
      <c r="U33" s="240">
        <f>'[3]Denver Air'!$GX$64</f>
        <v>0</v>
      </c>
      <c r="V33" s="115">
        <f>'[3]Denver Air'!$GJ$64</f>
        <v>0</v>
      </c>
      <c r="W33" s="242" t="e">
        <f>(U33-V33)/V33</f>
        <v>#DIV/0!</v>
      </c>
      <c r="X33" s="240">
        <f>SUM('[3]Denver Air'!$GP$64:$GX$64)</f>
        <v>0</v>
      </c>
      <c r="Y33" s="115">
        <f>SUM('[3]Denver Air'!$GB$64:$GJ$64)</f>
        <v>0</v>
      </c>
      <c r="Z33" s="241" t="e">
        <f>(X33-Y33)/Y33</f>
        <v>#DIV/0!</v>
      </c>
      <c r="AA33" s="242">
        <f>X33/$X$70</f>
        <v>0</v>
      </c>
    </row>
    <row r="34" spans="1:27" ht="14.1" customHeight="1" x14ac:dyDescent="0.2">
      <c r="A34" s="31"/>
      <c r="B34" s="33"/>
      <c r="C34" s="243"/>
      <c r="E34" s="58"/>
      <c r="F34" s="2"/>
      <c r="I34" s="58"/>
      <c r="J34" s="31"/>
      <c r="K34" s="33"/>
      <c r="L34" s="243"/>
      <c r="N34" s="58"/>
      <c r="O34" s="243"/>
      <c r="P34" s="2"/>
      <c r="Q34" s="3"/>
      <c r="R34" s="58"/>
      <c r="S34" s="31"/>
      <c r="T34" s="33"/>
      <c r="U34" s="243"/>
      <c r="V34" s="2"/>
      <c r="W34" s="58"/>
      <c r="X34" s="243"/>
      <c r="Y34" s="2"/>
      <c r="Z34" s="3"/>
      <c r="AA34" s="58"/>
    </row>
    <row r="35" spans="1:27" ht="14.1" customHeight="1" x14ac:dyDescent="0.2">
      <c r="A35" s="239" t="s">
        <v>18</v>
      </c>
      <c r="B35" s="244"/>
      <c r="C35" s="240">
        <f>SUM(C36:C42)</f>
        <v>13964</v>
      </c>
      <c r="D35" s="115">
        <f>SUM(D36:D42)</f>
        <v>22640</v>
      </c>
      <c r="E35" s="242">
        <f t="shared" ref="E35:E42" si="11">(C35-D35)/D35</f>
        <v>-0.38321554770318023</v>
      </c>
      <c r="F35" s="125">
        <f>SUM(F36:F42)</f>
        <v>119098</v>
      </c>
      <c r="G35" s="125">
        <f>SUM(G36:G42)</f>
        <v>206890</v>
      </c>
      <c r="H35" s="241">
        <f>(F35-G35)/G35</f>
        <v>-0.4243414374788535</v>
      </c>
      <c r="I35" s="242">
        <f t="shared" ref="I35:I42" si="12">F35/$F$70</f>
        <v>0.74077898167614165</v>
      </c>
      <c r="J35" s="239" t="s">
        <v>18</v>
      </c>
      <c r="K35" s="244"/>
      <c r="L35" s="240">
        <f>SUM(L36:L42)</f>
        <v>704253</v>
      </c>
      <c r="M35" s="115">
        <f>SUM(M36:M42)</f>
        <v>2279158</v>
      </c>
      <c r="N35" s="242">
        <f t="shared" ref="N35:N42" si="13">(L35-M35)/M35</f>
        <v>-0.69100299321065062</v>
      </c>
      <c r="O35" s="240">
        <f>SUM(O36:O42)</f>
        <v>7682739</v>
      </c>
      <c r="P35" s="115">
        <f>SUM(P36:P42)</f>
        <v>20677317</v>
      </c>
      <c r="Q35" s="241">
        <f t="shared" ref="Q35:Q42" si="14">(O35-P35)/P35</f>
        <v>-0.62844604065411391</v>
      </c>
      <c r="R35" s="242">
        <f t="shared" ref="R35:R42" si="15">O35/$O$70</f>
        <v>0.68888296294117735</v>
      </c>
      <c r="S35" s="239" t="s">
        <v>18</v>
      </c>
      <c r="T35" s="244"/>
      <c r="U35" s="240">
        <f>SUM(U36:U42)</f>
        <v>3195211</v>
      </c>
      <c r="V35" s="115">
        <f>SUM(V36:V42)</f>
        <v>6512512</v>
      </c>
      <c r="W35" s="242">
        <f t="shared" ref="W35:W42" si="16">(U35-V35)/V35</f>
        <v>-0.5093734952043083</v>
      </c>
      <c r="X35" s="240">
        <f>SUM(X36:X42)</f>
        <v>32310566</v>
      </c>
      <c r="Y35" s="115">
        <f>SUM(Y36:Y42)</f>
        <v>73877698</v>
      </c>
      <c r="Z35" s="241">
        <f t="shared" ref="Z35:Z38" si="17">(X35-Y35)/Y35</f>
        <v>-0.56264790491983119</v>
      </c>
      <c r="AA35" s="242">
        <f t="shared" ref="AA35:AA42" si="18">X35/$X$70</f>
        <v>0.79233870206355128</v>
      </c>
    </row>
    <row r="36" spans="1:27" ht="14.1" customHeight="1" x14ac:dyDescent="0.2">
      <c r="A36" s="31"/>
      <c r="B36" s="33" t="s">
        <v>18</v>
      </c>
      <c r="C36" s="243">
        <f>[3]Delta!$GX$19</f>
        <v>6011</v>
      </c>
      <c r="D36" s="2">
        <f>[3]Delta!$GJ$19</f>
        <v>13154</v>
      </c>
      <c r="E36" s="58">
        <f t="shared" si="11"/>
        <v>-0.5430287365060058</v>
      </c>
      <c r="F36" s="2">
        <f>SUM([3]Delta!$GP$19:$GX$19)</f>
        <v>57043</v>
      </c>
      <c r="G36" s="2">
        <f>SUM([3]Delta!$GB$19:$GJ$19)</f>
        <v>113157</v>
      </c>
      <c r="H36" s="3">
        <f t="shared" ref="H36:H42" si="19">(F36-G36)/G36</f>
        <v>-0.49589508382159303</v>
      </c>
      <c r="I36" s="58">
        <f t="shared" si="12"/>
        <v>0.35480239342182196</v>
      </c>
      <c r="J36" s="31"/>
      <c r="K36" s="33" t="s">
        <v>18</v>
      </c>
      <c r="L36" s="243">
        <f>[3]Delta!$GX$41</f>
        <v>458577</v>
      </c>
      <c r="M36" s="2">
        <f>[3]Delta!$GJ$41</f>
        <v>1812022</v>
      </c>
      <c r="N36" s="58">
        <f t="shared" si="13"/>
        <v>-0.7469252580818555</v>
      </c>
      <c r="O36" s="243">
        <f>SUM([3]Delta!$GP$41:$GX$41)</f>
        <v>5576322</v>
      </c>
      <c r="P36" s="2">
        <f>SUM([3]Delta!$GB$41:$GJ$41)</f>
        <v>15795924</v>
      </c>
      <c r="Q36" s="3">
        <f t="shared" si="14"/>
        <v>-0.64697715689186652</v>
      </c>
      <c r="R36" s="58">
        <f t="shared" si="15"/>
        <v>0.50000829413495262</v>
      </c>
      <c r="S36" s="31"/>
      <c r="T36" s="33" t="s">
        <v>18</v>
      </c>
      <c r="U36" s="243">
        <f>[3]Delta!$GX$64</f>
        <v>3195211</v>
      </c>
      <c r="V36" s="2">
        <f>[3]Delta!$GJ$64</f>
        <v>6512462</v>
      </c>
      <c r="W36" s="58">
        <f t="shared" si="16"/>
        <v>-0.50936972837615024</v>
      </c>
      <c r="X36" s="243">
        <f>SUM([3]Delta!$GP$64:$GX$64)</f>
        <v>32310566</v>
      </c>
      <c r="Y36" s="2">
        <f>SUM([3]Delta!$GB$64:$GJ$64)</f>
        <v>73877164</v>
      </c>
      <c r="Z36" s="3">
        <f t="shared" si="17"/>
        <v>-0.56264474364500505</v>
      </c>
      <c r="AA36" s="58">
        <f t="shared" si="18"/>
        <v>0.79233870206355128</v>
      </c>
    </row>
    <row r="37" spans="1:27" ht="14.1" customHeight="1" x14ac:dyDescent="0.2">
      <c r="A37" s="31"/>
      <c r="B37" s="245" t="s">
        <v>118</v>
      </c>
      <c r="C37" s="243">
        <f>[3]Compass!$GX$19</f>
        <v>0</v>
      </c>
      <c r="D37" s="2">
        <f>[3]Compass!$GJ$19</f>
        <v>0</v>
      </c>
      <c r="E37" s="58" t="e">
        <f t="shared" si="11"/>
        <v>#DIV/0!</v>
      </c>
      <c r="F37" s="2">
        <f>SUM([3]Compass!$GP$19:$GX$19)</f>
        <v>0</v>
      </c>
      <c r="G37" s="2">
        <f>SUM([3]Compass!$GB$19:$GJ$19)</f>
        <v>0</v>
      </c>
      <c r="H37" s="3" t="e">
        <f t="shared" si="19"/>
        <v>#DIV/0!</v>
      </c>
      <c r="I37" s="58">
        <f t="shared" si="12"/>
        <v>0</v>
      </c>
      <c r="J37" s="31"/>
      <c r="K37" s="245" t="s">
        <v>118</v>
      </c>
      <c r="L37" s="243">
        <f>[3]Compass!$GX$41</f>
        <v>0</v>
      </c>
      <c r="M37" s="2">
        <f>[3]Compass!$GJ$41</f>
        <v>0</v>
      </c>
      <c r="N37" s="58" t="e">
        <f t="shared" si="13"/>
        <v>#DIV/0!</v>
      </c>
      <c r="O37" s="243">
        <f>SUM([3]Compass!$GP$41:$GX$41)</f>
        <v>0</v>
      </c>
      <c r="P37" s="2">
        <f>SUM([3]Compass!$GB$41:$GJ$41)</f>
        <v>0</v>
      </c>
      <c r="Q37" s="3" t="e">
        <f t="shared" si="14"/>
        <v>#DIV/0!</v>
      </c>
      <c r="R37" s="58">
        <f t="shared" si="15"/>
        <v>0</v>
      </c>
      <c r="S37" s="31"/>
      <c r="T37" s="245" t="s">
        <v>118</v>
      </c>
      <c r="U37" s="243">
        <f>[3]Compass!$GX$64</f>
        <v>0</v>
      </c>
      <c r="V37" s="2">
        <f>[3]Compass!$GJ$64</f>
        <v>0</v>
      </c>
      <c r="W37" s="58" t="e">
        <f t="shared" si="16"/>
        <v>#DIV/0!</v>
      </c>
      <c r="X37" s="243">
        <f>SUM([3]Compass!$GP$64:$GX$64)</f>
        <v>0</v>
      </c>
      <c r="Y37" s="2">
        <f>SUM([3]Compass!$GB$64:$GJ$64)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3">
        <f>[3]Pinnacle!$GX$19</f>
        <v>4228</v>
      </c>
      <c r="D38" s="2">
        <f>[3]Pinnacle!$GJ$19</f>
        <v>2271</v>
      </c>
      <c r="E38" s="58">
        <f t="shared" si="11"/>
        <v>0.86173491853808892</v>
      </c>
      <c r="F38" s="2">
        <f>SUM([3]Pinnacle!$GP$19:$GX$19)</f>
        <v>22569</v>
      </c>
      <c r="G38" s="2">
        <f>SUM([3]Pinnacle!$GB$19:$GJ$19)</f>
        <v>19811</v>
      </c>
      <c r="H38" s="3">
        <f t="shared" si="19"/>
        <v>0.13921558729998484</v>
      </c>
      <c r="I38" s="58">
        <f t="shared" si="12"/>
        <v>0.1403771754139351</v>
      </c>
      <c r="J38" s="31"/>
      <c r="K38" s="33" t="s">
        <v>159</v>
      </c>
      <c r="L38" s="243">
        <f>[3]Pinnacle!$GX$41</f>
        <v>134200</v>
      </c>
      <c r="M38" s="2">
        <f>[3]Pinnacle!$GJ$41</f>
        <v>133893</v>
      </c>
      <c r="N38" s="58">
        <f t="shared" si="13"/>
        <v>2.292875654440486E-3</v>
      </c>
      <c r="O38" s="243">
        <f>SUM([3]Pinnacle!$GP$41:$GX$41)</f>
        <v>791469</v>
      </c>
      <c r="P38" s="2">
        <f>SUM([3]Pinnacle!$GB$41:$GJ$41)</f>
        <v>1214440</v>
      </c>
      <c r="Q38" s="3">
        <f t="shared" si="14"/>
        <v>-0.34828480616580482</v>
      </c>
      <c r="R38" s="58">
        <f t="shared" si="15"/>
        <v>7.0968115641581828E-2</v>
      </c>
      <c r="S38" s="31"/>
      <c r="T38" s="33" t="s">
        <v>159</v>
      </c>
      <c r="U38" s="243">
        <f>[3]Pinnacle!$GX$64</f>
        <v>0</v>
      </c>
      <c r="V38" s="2">
        <f>[3]Pinnacle!$GJ$64</f>
        <v>0</v>
      </c>
      <c r="W38" s="58" t="e">
        <f t="shared" si="16"/>
        <v>#DIV/0!</v>
      </c>
      <c r="X38" s="243">
        <f>SUM([3]Pinnacle!$GP$64:$GX$64)</f>
        <v>0</v>
      </c>
      <c r="Y38" s="2">
        <f>SUM([3]Pinnacle!$GB$64:$GJ$64)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3">
        <f>'[3]Go Jet'!$GX$19</f>
        <v>0</v>
      </c>
      <c r="D39" s="2">
        <f>'[3]Go Jet'!$GJ$19</f>
        <v>144</v>
      </c>
      <c r="E39" s="58">
        <f t="shared" si="11"/>
        <v>-1</v>
      </c>
      <c r="F39" s="2">
        <f>SUM('[3]Go Jet'!$GP$19:$GX$19)</f>
        <v>44</v>
      </c>
      <c r="G39" s="2">
        <f>SUM('[3]Go Jet'!$GB$19:$GJ$19)</f>
        <v>1600</v>
      </c>
      <c r="H39" s="3">
        <f>(F39-G39)/G39</f>
        <v>-0.97250000000000003</v>
      </c>
      <c r="I39" s="58">
        <f t="shared" si="12"/>
        <v>2.7367609190540759E-4</v>
      </c>
      <c r="J39" s="31"/>
      <c r="K39" s="33" t="s">
        <v>155</v>
      </c>
      <c r="L39" s="243">
        <f>'[3]Go Jet'!$GX$41</f>
        <v>0</v>
      </c>
      <c r="M39" s="2">
        <f>'[3]Go Jet'!$GJ$41</f>
        <v>8120</v>
      </c>
      <c r="N39" s="58">
        <f t="shared" si="13"/>
        <v>-1</v>
      </c>
      <c r="O39" s="243">
        <f>SUM('[3]Go Jet'!$GP$41:$GX$41)</f>
        <v>2644</v>
      </c>
      <c r="P39" s="2">
        <f>SUM('[3]Go Jet'!$GB$41:$GJ$41)</f>
        <v>92899</v>
      </c>
      <c r="Q39" s="3">
        <f>(O39-P39)/P39</f>
        <v>-0.97153898319680509</v>
      </c>
      <c r="R39" s="58">
        <f t="shared" si="15"/>
        <v>2.3707776016033773E-4</v>
      </c>
      <c r="S39" s="31"/>
      <c r="T39" s="33" t="s">
        <v>155</v>
      </c>
      <c r="U39" s="243">
        <f>'[3]Go Jet'!$GX$64</f>
        <v>0</v>
      </c>
      <c r="V39" s="2">
        <f>'[3]Go Jet'!$GJ$64</f>
        <v>50</v>
      </c>
      <c r="W39" s="58">
        <f t="shared" si="16"/>
        <v>-1</v>
      </c>
      <c r="X39" s="243">
        <f>SUM('[3]Go Jet'!$GP$64:$GX$64)</f>
        <v>0</v>
      </c>
      <c r="Y39" s="2">
        <f>SUM('[3]Go Jet'!$GB$64:$GJ$64)</f>
        <v>397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3">
        <f>'[3]Sky West'!$GX$19</f>
        <v>3725</v>
      </c>
      <c r="D40" s="2">
        <f>'[3]Sky West'!$GJ$19</f>
        <v>7071</v>
      </c>
      <c r="E40" s="58">
        <f t="shared" si="11"/>
        <v>-0.47320039598359498</v>
      </c>
      <c r="F40" s="2">
        <f>SUM('[3]Sky West'!$GP$19:$GX$19)</f>
        <v>39442</v>
      </c>
      <c r="G40" s="2">
        <f>SUM('[3]Sky West'!$GB$19:$GJ$19)</f>
        <v>72000</v>
      </c>
      <c r="H40" s="3">
        <f t="shared" si="19"/>
        <v>-0.45219444444444445</v>
      </c>
      <c r="I40" s="58">
        <f t="shared" si="12"/>
        <v>0.24532573674847924</v>
      </c>
      <c r="J40" s="31"/>
      <c r="K40" s="33" t="s">
        <v>98</v>
      </c>
      <c r="L40" s="243">
        <f>'[3]Sky West'!$GX$41</f>
        <v>111476</v>
      </c>
      <c r="M40" s="2">
        <f>'[3]Sky West'!$GJ$41</f>
        <v>325123</v>
      </c>
      <c r="N40" s="58">
        <f t="shared" si="13"/>
        <v>-0.65712668743829261</v>
      </c>
      <c r="O40" s="243">
        <f>SUM('[3]Sky West'!$GP$41:$GX$41)</f>
        <v>1312304</v>
      </c>
      <c r="P40" s="2">
        <f>SUM('[3]Sky West'!$GB$41:$GJ$41)</f>
        <v>3557420</v>
      </c>
      <c r="Q40" s="3">
        <f t="shared" si="14"/>
        <v>-0.63110793777512919</v>
      </c>
      <c r="R40" s="58">
        <f t="shared" si="15"/>
        <v>0.11766947540448254</v>
      </c>
      <c r="S40" s="31"/>
      <c r="T40" s="33" t="s">
        <v>98</v>
      </c>
      <c r="U40" s="243">
        <f>'[3]Sky West'!$GX$64</f>
        <v>0</v>
      </c>
      <c r="V40" s="2">
        <f>'[3]Sky West'!$GJ$64</f>
        <v>0</v>
      </c>
      <c r="W40" s="58" t="e">
        <f t="shared" si="16"/>
        <v>#DIV/0!</v>
      </c>
      <c r="X40" s="243">
        <f>SUM('[3]Sky West'!$GP$64:$GX$64)</f>
        <v>0</v>
      </c>
      <c r="Y40" s="2">
        <f>SUM('[3]Sky West'!$GB$64:$GJ$64)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3">
        <f>'[3]Shuttle America_Delta'!$GX$19</f>
        <v>0</v>
      </c>
      <c r="D41" s="2">
        <f>'[3]Shuttle America_Delta'!$GJ$19</f>
        <v>0</v>
      </c>
      <c r="E41" s="58" t="e">
        <f t="shared" si="11"/>
        <v>#DIV/0!</v>
      </c>
      <c r="F41" s="2">
        <f>SUM('[3]Shuttle America_Delta'!$GP$19:$GX$19)</f>
        <v>0</v>
      </c>
      <c r="G41" s="2">
        <f>SUM('[3]Shuttle America_Delta'!$GB$19:$GJ$19)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3">
        <f>'[3]Shuttle America_Delta'!$GX$41</f>
        <v>0</v>
      </c>
      <c r="M41" s="2">
        <f>'[3]Shuttle America_Delta'!$GJ$41</f>
        <v>0</v>
      </c>
      <c r="N41" s="58" t="e">
        <f t="shared" si="13"/>
        <v>#DIV/0!</v>
      </c>
      <c r="O41" s="243">
        <f>SUM('[3]Shuttle America_Delta'!$GP$41:$GX$41)</f>
        <v>0</v>
      </c>
      <c r="P41" s="2">
        <f>SUM('[3]Shuttle America_Delta'!$GB$41:$GJ$41)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3">
        <f>'[3]Shuttle America_Delta'!$GX$64</f>
        <v>0</v>
      </c>
      <c r="V41" s="2">
        <f>'[3]Shuttle America_Delta'!$GJ$64</f>
        <v>0</v>
      </c>
      <c r="W41" s="58" t="e">
        <f t="shared" si="16"/>
        <v>#DIV/0!</v>
      </c>
      <c r="X41" s="243">
        <f>SUM('[3]Shuttle America_Delta'!$GP$64:$GX$64)</f>
        <v>0</v>
      </c>
      <c r="Y41" s="2">
        <f>SUM('[3]Shuttle America_Delta'!$GB$64:$GJ$64)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6" t="s">
        <v>167</v>
      </c>
      <c r="C42" s="243">
        <f>'[3]Atlantic Southeast'!$GX$19</f>
        <v>0</v>
      </c>
      <c r="D42" s="2">
        <f>'[3]Atlantic Southeast'!$GJ$19</f>
        <v>0</v>
      </c>
      <c r="E42" s="58" t="e">
        <f t="shared" si="11"/>
        <v>#DIV/0!</v>
      </c>
      <c r="F42" s="2">
        <f>SUM('[3]Atlantic Southeast'!$GP$19:$GX$19)</f>
        <v>0</v>
      </c>
      <c r="G42" s="2">
        <f>SUM('[3]Atlantic Southeast'!$GB$19:$GJ$19)</f>
        <v>0</v>
      </c>
      <c r="H42" s="3" t="e">
        <f t="shared" si="19"/>
        <v>#DIV/0!</v>
      </c>
      <c r="I42" s="58">
        <f t="shared" si="12"/>
        <v>0</v>
      </c>
      <c r="J42" s="31"/>
      <c r="K42" s="296" t="s">
        <v>167</v>
      </c>
      <c r="L42" s="243">
        <f>'[3]Atlantic Southeast'!$GX$41</f>
        <v>0</v>
      </c>
      <c r="M42" s="2">
        <f>'[3]Atlantic Southeast'!$GJ$41</f>
        <v>0</v>
      </c>
      <c r="N42" s="58" t="e">
        <f t="shared" si="13"/>
        <v>#DIV/0!</v>
      </c>
      <c r="O42" s="243">
        <f>SUM('[3]Atlantic Southeast'!$GP$41:$GX$41)</f>
        <v>0</v>
      </c>
      <c r="P42" s="2">
        <f>SUM('[3]Atlantic Southeast'!$GB$41:$GJ$41)</f>
        <v>0</v>
      </c>
      <c r="Q42" s="3" t="e">
        <f t="shared" si="14"/>
        <v>#DIV/0!</v>
      </c>
      <c r="R42" s="58">
        <f t="shared" si="15"/>
        <v>0</v>
      </c>
      <c r="S42" s="31"/>
      <c r="T42" s="296" t="s">
        <v>167</v>
      </c>
      <c r="U42" s="243">
        <f>'[3]Atlantic Southeast'!$GX$64</f>
        <v>0</v>
      </c>
      <c r="V42" s="2">
        <f>'[3]Atlantic Southeast'!$GJ$64</f>
        <v>0</v>
      </c>
      <c r="W42" s="58" t="e">
        <f t="shared" si="16"/>
        <v>#DIV/0!</v>
      </c>
      <c r="X42" s="243">
        <f>SUM('[3]Atlantic Southeast'!$GP$64:$GX$64)</f>
        <v>0</v>
      </c>
      <c r="Y42" s="2">
        <f>SUM('[3]Atlantic Southeast'!$GB$64:$GJ$64)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6"/>
      <c r="C43" s="243"/>
      <c r="E43" s="58"/>
      <c r="F43" s="2"/>
      <c r="I43" s="58"/>
      <c r="J43" s="31"/>
      <c r="K43" s="296"/>
      <c r="L43" s="243"/>
      <c r="N43" s="58"/>
      <c r="O43" s="243"/>
      <c r="P43" s="2"/>
      <c r="Q43" s="3"/>
      <c r="R43" s="58"/>
      <c r="S43" s="31"/>
      <c r="T43" s="296"/>
      <c r="U43" s="243"/>
      <c r="V43" s="2"/>
      <c r="W43" s="58"/>
      <c r="X43" s="243"/>
      <c r="Y43" s="2"/>
      <c r="Z43" s="3"/>
      <c r="AA43" s="58"/>
    </row>
    <row r="44" spans="1:27" ht="14.1" customHeight="1" x14ac:dyDescent="0.2">
      <c r="A44" s="239" t="s">
        <v>47</v>
      </c>
      <c r="B44" s="33"/>
      <c r="C44" s="240">
        <f>[3]Frontier!$GX$19</f>
        <v>120</v>
      </c>
      <c r="D44" s="115">
        <f>[3]Frontier!$GJ$19</f>
        <v>330</v>
      </c>
      <c r="E44" s="242">
        <f>(C44-D44)/D44</f>
        <v>-0.63636363636363635</v>
      </c>
      <c r="F44" s="115">
        <f>SUM([3]Frontier!$GP$19:$GX$19)</f>
        <v>1024</v>
      </c>
      <c r="G44" s="115">
        <f>SUM([3]Frontier!$GB$19:$GJ$19)</f>
        <v>2467</v>
      </c>
      <c r="H44" s="241">
        <f>(F44-G44)/G44</f>
        <v>-0.58492095662748278</v>
      </c>
      <c r="I44" s="242">
        <f>F44/$F$70</f>
        <v>6.3691890479803948E-3</v>
      </c>
      <c r="J44" s="239" t="s">
        <v>47</v>
      </c>
      <c r="K44" s="33"/>
      <c r="L44" s="240">
        <f>[3]Frontier!$GX$41</f>
        <v>15451</v>
      </c>
      <c r="M44" s="115">
        <f>[3]Frontier!$GJ$41</f>
        <v>44272</v>
      </c>
      <c r="N44" s="242">
        <f>(L44-M44)/M44</f>
        <v>-0.65099837368991686</v>
      </c>
      <c r="O44" s="240">
        <f>SUM([3]Frontier!$GP$41:$GX$41)</f>
        <v>139962</v>
      </c>
      <c r="P44" s="115">
        <f>SUM([3]Frontier!$GB$41:$GJ$41)</f>
        <v>392405</v>
      </c>
      <c r="Q44" s="241">
        <f>(O44-P44)/P44</f>
        <v>-0.64332258763267547</v>
      </c>
      <c r="R44" s="242">
        <f>O44/$O$70</f>
        <v>1.2549878013449769E-2</v>
      </c>
      <c r="S44" s="239" t="s">
        <v>47</v>
      </c>
      <c r="T44" s="33"/>
      <c r="U44" s="240">
        <f>[3]Frontier!$GX$64</f>
        <v>0</v>
      </c>
      <c r="V44" s="115">
        <f>[3]Frontier!$GJ$64</f>
        <v>0</v>
      </c>
      <c r="W44" s="242" t="e">
        <f>(U44-V44)/V44</f>
        <v>#DIV/0!</v>
      </c>
      <c r="X44" s="240">
        <f>SUM([3]Frontier!$GP$64:$GX$64)</f>
        <v>0</v>
      </c>
      <c r="Y44" s="115">
        <f>SUM([3]Frontier!$GB$64:$GJ$64)</f>
        <v>0</v>
      </c>
      <c r="Z44" s="241" t="e">
        <f>(X44-Y44)/Y44</f>
        <v>#DIV/0!</v>
      </c>
      <c r="AA44" s="242">
        <f>X44/$X$70</f>
        <v>0</v>
      </c>
    </row>
    <row r="45" spans="1:27" ht="14.1" customHeight="1" x14ac:dyDescent="0.2">
      <c r="A45" s="239"/>
      <c r="B45" s="33"/>
      <c r="C45" s="240"/>
      <c r="D45" s="115"/>
      <c r="E45" s="242"/>
      <c r="F45" s="115"/>
      <c r="G45" s="115"/>
      <c r="H45" s="241"/>
      <c r="I45" s="242"/>
      <c r="J45" s="239"/>
      <c r="K45" s="33"/>
      <c r="L45" s="243"/>
      <c r="N45" s="58"/>
      <c r="O45" s="243"/>
      <c r="P45" s="2"/>
      <c r="Q45" s="3"/>
      <c r="R45" s="58"/>
      <c r="S45" s="239"/>
      <c r="T45" s="33"/>
      <c r="U45" s="243"/>
      <c r="V45" s="2"/>
      <c r="W45" s="58"/>
      <c r="X45" s="243"/>
      <c r="Y45" s="2"/>
      <c r="Z45" s="3"/>
      <c r="AA45" s="58"/>
    </row>
    <row r="46" spans="1:27" ht="14.1" customHeight="1" x14ac:dyDescent="0.2">
      <c r="A46" s="239" t="s">
        <v>48</v>
      </c>
      <c r="B46" s="33"/>
      <c r="C46" s="240">
        <f>[3]Icelandair!$GX$19</f>
        <v>0</v>
      </c>
      <c r="D46" s="115">
        <f>[3]Icelandair!$GJ$19</f>
        <v>60</v>
      </c>
      <c r="E46" s="242">
        <f>(C46-D46)/D46</f>
        <v>-1</v>
      </c>
      <c r="F46" s="115">
        <f>SUM([3]Icelandair!$GP$19:$GX$19)</f>
        <v>18</v>
      </c>
      <c r="G46" s="115">
        <f>SUM([3]Icelandair!$GB$19:$GJ$19)</f>
        <v>392</v>
      </c>
      <c r="H46" s="241">
        <f>(F46-G46)/G46</f>
        <v>-0.95408163265306123</v>
      </c>
      <c r="I46" s="242">
        <f>F46/$F$70</f>
        <v>1.1195840123403038E-4</v>
      </c>
      <c r="J46" s="239" t="s">
        <v>48</v>
      </c>
      <c r="K46" s="33"/>
      <c r="L46" s="240">
        <f>[3]Icelandair!$GX$41</f>
        <v>0</v>
      </c>
      <c r="M46" s="115">
        <f>[3]Icelandair!$GJ$41</f>
        <v>10102</v>
      </c>
      <c r="N46" s="242">
        <f>(L46-M46)/M46</f>
        <v>-1</v>
      </c>
      <c r="O46" s="240">
        <f>SUM([3]Icelandair!$GP$41:$GX$41)</f>
        <v>2058</v>
      </c>
      <c r="P46" s="115">
        <f>SUM([3]Icelandair!$GB$41:$GJ$41)</f>
        <v>67943</v>
      </c>
      <c r="Q46" s="241">
        <f>(O46-P46)/P46</f>
        <v>-0.96970990389002543</v>
      </c>
      <c r="R46" s="242">
        <f>O46/$O$70</f>
        <v>1.8453329440619329E-4</v>
      </c>
      <c r="S46" s="239" t="s">
        <v>48</v>
      </c>
      <c r="T46" s="33"/>
      <c r="U46" s="240">
        <f>[3]Icelandair!$GX$64</f>
        <v>0</v>
      </c>
      <c r="V46" s="115">
        <f>[3]Icelandair!$GJ$64</f>
        <v>5533</v>
      </c>
      <c r="W46" s="242">
        <f>(U46-V46)/V46</f>
        <v>-1</v>
      </c>
      <c r="X46" s="240">
        <f>SUM([3]Icelandair!$GP$64:$GX$64)</f>
        <v>2574</v>
      </c>
      <c r="Y46" s="115">
        <f>SUM([3]Icelandair!$GB$64:$GJ$64)</f>
        <v>299088</v>
      </c>
      <c r="Z46" s="241">
        <f>(X46-Y46)/Y46</f>
        <v>-0.99139383726528651</v>
      </c>
      <c r="AA46" s="242">
        <f>X46/$X$70</f>
        <v>6.3121141830557248E-5</v>
      </c>
    </row>
    <row r="47" spans="1:27" ht="14.1" customHeight="1" x14ac:dyDescent="0.2">
      <c r="A47" s="239"/>
      <c r="B47" s="33"/>
      <c r="C47" s="240"/>
      <c r="D47" s="115"/>
      <c r="E47" s="242"/>
      <c r="F47" s="115"/>
      <c r="G47" s="115"/>
      <c r="H47" s="241"/>
      <c r="I47" s="242"/>
      <c r="J47" s="239"/>
      <c r="K47" s="33"/>
      <c r="L47" s="243"/>
      <c r="N47" s="58"/>
      <c r="O47" s="243"/>
      <c r="P47" s="2"/>
      <c r="Q47" s="3"/>
      <c r="R47" s="58"/>
      <c r="S47" s="239"/>
      <c r="T47" s="33"/>
      <c r="U47" s="243"/>
      <c r="V47" s="2"/>
      <c r="W47" s="58"/>
      <c r="X47" s="243"/>
      <c r="Y47" s="2"/>
      <c r="Z47" s="3"/>
      <c r="AA47" s="58"/>
    </row>
    <row r="48" spans="1:27" ht="14.1" customHeight="1" x14ac:dyDescent="0.2">
      <c r="A48" s="239" t="s">
        <v>201</v>
      </c>
      <c r="B48" s="33"/>
      <c r="C48" s="240">
        <f>'[3]Jet Blue'!$GX$19</f>
        <v>26</v>
      </c>
      <c r="D48" s="115">
        <f>'[3]Jet Blue'!$GJ$19</f>
        <v>164</v>
      </c>
      <c r="E48" s="242">
        <f>(C48-D48)/D48</f>
        <v>-0.84146341463414631</v>
      </c>
      <c r="F48" s="115">
        <f>SUM('[3]Jet Blue'!$GP$19:$GX$19)</f>
        <v>617</v>
      </c>
      <c r="G48" s="115">
        <f>SUM('[3]Jet Blue'!$GB$19:$GJ$19)</f>
        <v>1546</v>
      </c>
      <c r="H48" s="241">
        <f>(F48-G48)/G48</f>
        <v>-0.60090556274256146</v>
      </c>
      <c r="I48" s="242">
        <f>F48/$F$70</f>
        <v>3.8376851978553744E-3</v>
      </c>
      <c r="J48" s="239" t="s">
        <v>201</v>
      </c>
      <c r="K48" s="33"/>
      <c r="L48" s="240">
        <f>'[3]Jet Blue'!$GX$41</f>
        <v>733</v>
      </c>
      <c r="M48" s="115">
        <f>'[3]Jet Blue'!$GJ$41</f>
        <v>17793</v>
      </c>
      <c r="N48" s="242">
        <f>(L48-M48)/M48</f>
        <v>-0.95880402405440346</v>
      </c>
      <c r="O48" s="240">
        <f>SUM('[3]Jet Blue'!$GP$41:$GX$41)</f>
        <v>33209</v>
      </c>
      <c r="P48" s="115">
        <f>SUM('[3]Jet Blue'!$GB$41:$GJ$41)</f>
        <v>176345</v>
      </c>
      <c r="Q48" s="241">
        <f>(O48-P48)/P48</f>
        <v>-0.81168164677195276</v>
      </c>
      <c r="R48" s="242">
        <f>O48/$O$70</f>
        <v>2.9777289474904145E-3</v>
      </c>
      <c r="S48" s="239" t="s">
        <v>201</v>
      </c>
      <c r="T48" s="33"/>
      <c r="U48" s="240">
        <f>'[3]Jet Blue'!$GX$64</f>
        <v>0</v>
      </c>
      <c r="V48" s="115">
        <f>'[3]Jet Blue'!$GJ$64</f>
        <v>0</v>
      </c>
      <c r="W48" s="242" t="e">
        <f>(U48-V48)/V48</f>
        <v>#DIV/0!</v>
      </c>
      <c r="X48" s="240">
        <f>SUM('[3]Jet Blue'!$GP$64:$GX$64)</f>
        <v>0</v>
      </c>
      <c r="Y48" s="115">
        <f>SUM('[3]Jet Blue'!$GB$64:$GJ$64)</f>
        <v>0</v>
      </c>
      <c r="Z48" s="241" t="e">
        <f>(X48-Y48)/Y48</f>
        <v>#DIV/0!</v>
      </c>
      <c r="AA48" s="242">
        <f>X48/$X$70</f>
        <v>0</v>
      </c>
    </row>
    <row r="49" spans="1:27" ht="14.1" customHeight="1" x14ac:dyDescent="0.2">
      <c r="A49" s="239"/>
      <c r="B49" s="33"/>
      <c r="C49" s="240"/>
      <c r="D49" s="115"/>
      <c r="E49" s="242"/>
      <c r="F49" s="115"/>
      <c r="G49" s="115"/>
      <c r="H49" s="241"/>
      <c r="I49" s="242"/>
      <c r="J49" s="239"/>
      <c r="K49" s="33"/>
      <c r="L49" s="243"/>
      <c r="N49" s="58"/>
      <c r="O49" s="243"/>
      <c r="P49" s="2"/>
      <c r="Q49" s="3"/>
      <c r="R49" s="58"/>
      <c r="S49" s="239"/>
      <c r="T49" s="33"/>
      <c r="U49" s="243"/>
      <c r="V49" s="2"/>
      <c r="W49" s="58"/>
      <c r="X49" s="243"/>
      <c r="Y49" s="2"/>
      <c r="Z49" s="3"/>
      <c r="AA49" s="58"/>
    </row>
    <row r="50" spans="1:27" ht="14.1" customHeight="1" x14ac:dyDescent="0.2">
      <c r="A50" s="239" t="s">
        <v>194</v>
      </c>
      <c r="B50" s="33"/>
      <c r="C50" s="240">
        <f>[3]KLM!$GX$19</f>
        <v>0</v>
      </c>
      <c r="D50" s="115">
        <f>[3]KLM!$GJ$19</f>
        <v>34</v>
      </c>
      <c r="E50" s="242">
        <f>(C50-D50)/D50</f>
        <v>-1</v>
      </c>
      <c r="F50" s="115">
        <f>SUM([3]KLM!$GP$19:$GX$19)</f>
        <v>80</v>
      </c>
      <c r="G50" s="115">
        <f>SUM([3]KLM!$GB$19:$GJ$19)</f>
        <v>300</v>
      </c>
      <c r="H50" s="241">
        <f>(F50-G50)/G50</f>
        <v>-0.73333333333333328</v>
      </c>
      <c r="I50" s="242">
        <f>F50/$F$70</f>
        <v>4.9759289437346834E-4</v>
      </c>
      <c r="J50" s="239" t="s">
        <v>194</v>
      </c>
      <c r="K50" s="33"/>
      <c r="L50" s="240">
        <f>[3]KLM!$GX$41</f>
        <v>0</v>
      </c>
      <c r="M50" s="115">
        <f>[3]KLM!$GJ$41</f>
        <v>8756</v>
      </c>
      <c r="N50" s="242">
        <f>(L50-M50)/M50</f>
        <v>-1</v>
      </c>
      <c r="O50" s="240">
        <f>SUM([3]KLM!$GP$41:$GX$41)</f>
        <v>15968</v>
      </c>
      <c r="P50" s="115">
        <f>SUM([3]KLM!$GB$41:$GJ$41)</f>
        <v>70939</v>
      </c>
      <c r="Q50" s="241">
        <f>(O50-P50)/P50</f>
        <v>-0.77490520024246179</v>
      </c>
      <c r="R50" s="242">
        <f>O50/$O$70</f>
        <v>1.4317918586385298E-3</v>
      </c>
      <c r="S50" s="239" t="s">
        <v>194</v>
      </c>
      <c r="T50" s="33"/>
      <c r="U50" s="240">
        <f>[3]KLM!$GX$64</f>
        <v>0</v>
      </c>
      <c r="V50" s="115">
        <f>[3]KLM!$GJ$64</f>
        <v>536448</v>
      </c>
      <c r="W50" s="242">
        <f>(U50-V50)/V50</f>
        <v>-1</v>
      </c>
      <c r="X50" s="240">
        <f>SUM([3]KLM!$GP$64:$GX$64)</f>
        <v>818409</v>
      </c>
      <c r="Y50" s="115">
        <f>SUM([3]KLM!$GB$64:$GJ$64)</f>
        <v>4923828</v>
      </c>
      <c r="Z50" s="241">
        <f>(X50-Y50)/Y50</f>
        <v>-0.83378602989381434</v>
      </c>
      <c r="AA50" s="242">
        <f>X50/$X$70</f>
        <v>2.0069506823777984E-2</v>
      </c>
    </row>
    <row r="51" spans="1:27" ht="14.1" customHeight="1" x14ac:dyDescent="0.2">
      <c r="A51" s="239"/>
      <c r="B51" s="33"/>
      <c r="C51" s="240"/>
      <c r="D51" s="115"/>
      <c r="E51" s="242"/>
      <c r="F51" s="115"/>
      <c r="G51" s="115"/>
      <c r="H51" s="241"/>
      <c r="I51" s="242"/>
      <c r="J51" s="239"/>
      <c r="K51" s="33"/>
      <c r="L51" s="243"/>
      <c r="N51" s="58"/>
      <c r="O51" s="243"/>
      <c r="P51" s="2"/>
      <c r="Q51" s="3"/>
      <c r="R51" s="58"/>
      <c r="S51" s="239"/>
      <c r="T51" s="33"/>
      <c r="U51" s="243"/>
      <c r="V51" s="2"/>
      <c r="W51" s="58"/>
      <c r="X51" s="243"/>
      <c r="Y51" s="2"/>
      <c r="Z51" s="3"/>
      <c r="AA51" s="58"/>
    </row>
    <row r="52" spans="1:27" ht="14.1" customHeight="1" x14ac:dyDescent="0.2">
      <c r="A52" s="244" t="s">
        <v>130</v>
      </c>
      <c r="C52" s="240">
        <f>[3]Southwest!$GX$19</f>
        <v>536</v>
      </c>
      <c r="D52" s="115">
        <f>[3]Southwest!$GJ$19</f>
        <v>1264</v>
      </c>
      <c r="E52" s="242">
        <f>(C52-D52)/D52</f>
        <v>-0.57594936708860756</v>
      </c>
      <c r="F52" s="115">
        <f>SUM([3]Southwest!$GP$19:$GX$19)</f>
        <v>6796</v>
      </c>
      <c r="G52" s="115">
        <f>SUM([3]Southwest!$GB$19:$GJ$19)</f>
        <v>12187</v>
      </c>
      <c r="H52" s="241">
        <f>(F52-G52)/G52</f>
        <v>-0.44235660950192829</v>
      </c>
      <c r="I52" s="242">
        <f>F52/$F$70</f>
        <v>4.2270516377026134E-2</v>
      </c>
      <c r="J52" s="244" t="s">
        <v>130</v>
      </c>
      <c r="L52" s="240">
        <f>[3]Southwest!$GX$41</f>
        <v>45506</v>
      </c>
      <c r="M52" s="115">
        <f>[3]Southwest!$GJ$41</f>
        <v>150326</v>
      </c>
      <c r="N52" s="242">
        <f>(L52-M52)/M52</f>
        <v>-0.69728456820510087</v>
      </c>
      <c r="O52" s="240">
        <f>SUM([3]Southwest!$GP$41:$GX$41)</f>
        <v>531809</v>
      </c>
      <c r="P52" s="115">
        <f>SUM([3]Southwest!$GB$41:$GJ$41)</f>
        <v>1414012</v>
      </c>
      <c r="Q52" s="241">
        <f>(O52-P52)/P52</f>
        <v>-0.62390064582195903</v>
      </c>
      <c r="R52" s="242">
        <f>O52/$O$70</f>
        <v>4.768535800041946E-2</v>
      </c>
      <c r="S52" s="239" t="s">
        <v>130</v>
      </c>
      <c r="T52" s="33"/>
      <c r="U52" s="240">
        <f>[3]Southwest!$GX$64</f>
        <v>269120</v>
      </c>
      <c r="V52" s="115">
        <f>[3]Southwest!$GJ$64</f>
        <v>286373</v>
      </c>
      <c r="W52" s="242">
        <f>(U52-V52)/V52</f>
        <v>-6.0246601460333199E-2</v>
      </c>
      <c r="X52" s="240">
        <f>SUM([3]Southwest!$GP$64:$GX$64)</f>
        <v>2233743</v>
      </c>
      <c r="Y52" s="115">
        <f>SUM([3]Southwest!$GB$64:$GJ$64)</f>
        <v>2862378</v>
      </c>
      <c r="Z52" s="241">
        <f>(X52-Y52)/Y52</f>
        <v>-0.21961984056613068</v>
      </c>
      <c r="AA52" s="242">
        <f>X52/$X$70</f>
        <v>5.4777159563331179E-2</v>
      </c>
    </row>
    <row r="53" spans="1:27" ht="14.1" customHeight="1" x14ac:dyDescent="0.2">
      <c r="A53" s="239"/>
      <c r="B53" s="33"/>
      <c r="C53" s="240"/>
      <c r="D53" s="115"/>
      <c r="E53" s="242"/>
      <c r="F53" s="115"/>
      <c r="G53" s="115"/>
      <c r="H53" s="241"/>
      <c r="I53" s="242"/>
      <c r="J53" s="239"/>
      <c r="K53" s="33"/>
      <c r="L53" s="243"/>
      <c r="N53" s="58"/>
      <c r="O53" s="243"/>
      <c r="P53" s="2"/>
      <c r="Q53" s="3"/>
      <c r="R53" s="58"/>
      <c r="S53" s="239"/>
      <c r="T53" s="33"/>
      <c r="U53" s="243"/>
      <c r="V53" s="2"/>
      <c r="W53" s="58"/>
      <c r="X53" s="243"/>
      <c r="Y53" s="2"/>
      <c r="Z53" s="3"/>
      <c r="AA53" s="58"/>
    </row>
    <row r="54" spans="1:27" ht="14.1" customHeight="1" x14ac:dyDescent="0.2">
      <c r="A54" s="239" t="s">
        <v>156</v>
      </c>
      <c r="B54" s="33"/>
      <c r="C54" s="240">
        <f>[3]Spirit!$GX$19</f>
        <v>152</v>
      </c>
      <c r="D54" s="115">
        <f>[3]Spirit!$GJ$19</f>
        <v>591</v>
      </c>
      <c r="E54" s="242">
        <f>(C54-D54)/D54</f>
        <v>-0.74280879864636207</v>
      </c>
      <c r="F54" s="115">
        <f>SUM([3]Spirit!$GP$19:$GX$19)</f>
        <v>2901</v>
      </c>
      <c r="G54" s="115">
        <f>SUM([3]Spirit!$GB$19:$GJ$19)</f>
        <v>5792</v>
      </c>
      <c r="H54" s="241">
        <f>(F54-G54)/G54</f>
        <v>-0.49913674033149169</v>
      </c>
      <c r="I54" s="242">
        <f>F54/$F$70</f>
        <v>1.8043962332217896E-2</v>
      </c>
      <c r="J54" s="239" t="s">
        <v>156</v>
      </c>
      <c r="K54" s="33"/>
      <c r="L54" s="240">
        <f>[3]Spirit!$GX$41</f>
        <v>20705</v>
      </c>
      <c r="M54" s="115">
        <f>[3]Spirit!$GJ$41</f>
        <v>85493</v>
      </c>
      <c r="N54" s="242">
        <f>(L54-M54)/M54</f>
        <v>-0.75781642941527372</v>
      </c>
      <c r="O54" s="240">
        <f>SUM([3]Spirit!$GP$41:$GX$41)</f>
        <v>365928</v>
      </c>
      <c r="P54" s="115">
        <f>SUM([3]Spirit!$GB$41:$GJ$41)</f>
        <v>877558</v>
      </c>
      <c r="Q54" s="241">
        <f>(O54-P54)/P54</f>
        <v>-0.58301559555037963</v>
      </c>
      <c r="R54" s="242">
        <f>O54/$O$70</f>
        <v>3.2811418540072641E-2</v>
      </c>
      <c r="S54" s="239" t="s">
        <v>156</v>
      </c>
      <c r="T54" s="33"/>
      <c r="U54" s="240">
        <f>[3]Spirit!$GX$64</f>
        <v>0</v>
      </c>
      <c r="V54" s="115">
        <f>[3]Spirit!$GJ$64</f>
        <v>0</v>
      </c>
      <c r="W54" s="242" t="e">
        <f>(U54-V54)/V54</f>
        <v>#DIV/0!</v>
      </c>
      <c r="X54" s="240">
        <f>SUM([3]Spirit!$GP$64:$GX$64)</f>
        <v>0</v>
      </c>
      <c r="Y54" s="115">
        <f>SUM([3]Spirit!$GB$64:$GJ$64)</f>
        <v>0</v>
      </c>
      <c r="Z54" s="241" t="e">
        <f>(X54-Y54)/Y54</f>
        <v>#DIV/0!</v>
      </c>
      <c r="AA54" s="242">
        <f>X54/$X$70</f>
        <v>0</v>
      </c>
    </row>
    <row r="55" spans="1:27" ht="14.1" customHeight="1" x14ac:dyDescent="0.2">
      <c r="A55" s="239"/>
      <c r="B55" s="33"/>
      <c r="C55" s="240"/>
      <c r="D55" s="115"/>
      <c r="E55" s="242"/>
      <c r="F55" s="115"/>
      <c r="G55" s="115"/>
      <c r="H55" s="241"/>
      <c r="I55" s="242"/>
      <c r="J55" s="239"/>
      <c r="K55" s="33"/>
      <c r="L55" s="243"/>
      <c r="N55" s="58"/>
      <c r="O55" s="243"/>
      <c r="P55" s="2"/>
      <c r="Q55" s="3"/>
      <c r="R55" s="58">
        <f>O55/$O$70</f>
        <v>0</v>
      </c>
      <c r="S55" s="239"/>
      <c r="T55" s="33"/>
      <c r="U55" s="243"/>
      <c r="V55" s="2"/>
      <c r="W55" s="58"/>
      <c r="X55" s="243"/>
      <c r="Y55" s="2"/>
      <c r="Z55" s="3"/>
      <c r="AA55" s="58">
        <f>X55/$X$70</f>
        <v>0</v>
      </c>
    </row>
    <row r="56" spans="1:27" ht="14.1" customHeight="1" x14ac:dyDescent="0.2">
      <c r="A56" s="239" t="s">
        <v>49</v>
      </c>
      <c r="B56" s="33"/>
      <c r="C56" s="240">
        <f>'[3]Sun Country'!$GX$19</f>
        <v>722</v>
      </c>
      <c r="D56" s="115">
        <f>'[3]Sun Country'!$GJ$19</f>
        <v>1519</v>
      </c>
      <c r="E56" s="242">
        <f>(C56-D56)/D56</f>
        <v>-0.52468729427254768</v>
      </c>
      <c r="F56" s="115">
        <f>SUM('[3]Sun Country'!$GP$19:$GX$19)</f>
        <v>10097</v>
      </c>
      <c r="G56" s="115">
        <f>SUM('[3]Sun Country'!$GB$19:$GJ$19)</f>
        <v>15882</v>
      </c>
      <c r="H56" s="241">
        <f>(F56-G56)/G56</f>
        <v>-0.36424883515929984</v>
      </c>
      <c r="I56" s="242">
        <f>F56/$F$70</f>
        <v>6.2802443181111375E-2</v>
      </c>
      <c r="J56" s="239" t="s">
        <v>49</v>
      </c>
      <c r="K56" s="33"/>
      <c r="L56" s="240">
        <f>'[3]Sun Country'!$GX$41</f>
        <v>78126</v>
      </c>
      <c r="M56" s="115">
        <f>'[3]Sun Country'!$GJ$41</f>
        <v>186033</v>
      </c>
      <c r="N56" s="242">
        <f>(L56-M56)/M56</f>
        <v>-0.58004225056844749</v>
      </c>
      <c r="O56" s="240">
        <f>SUM('[3]Sun Country'!$GP$41:$GX$41)</f>
        <v>1123047</v>
      </c>
      <c r="P56" s="115">
        <f>SUM('[3]Sun Country'!$GB$41:$GJ$41)</f>
        <v>2142905</v>
      </c>
      <c r="Q56" s="241">
        <f>(O56-P56)/P56</f>
        <v>-0.47592310438400209</v>
      </c>
      <c r="R56" s="242">
        <f>O56/$O$70</f>
        <v>0.10069949595869396</v>
      </c>
      <c r="S56" s="239" t="s">
        <v>49</v>
      </c>
      <c r="T56" s="33"/>
      <c r="U56" s="240">
        <f>'[3]Sun Country'!$GX$64</f>
        <v>128481</v>
      </c>
      <c r="V56" s="115">
        <f>'[3]Sun Country'!$GJ$64</f>
        <v>794686</v>
      </c>
      <c r="W56" s="242">
        <f>(U56-V56)/V56</f>
        <v>-0.83832482263434871</v>
      </c>
      <c r="X56" s="240">
        <f>SUM('[3]Sun Country'!$GP$64:$GX$64)</f>
        <v>2785136</v>
      </c>
      <c r="Y56" s="115">
        <f>SUM('[3]Sun Country'!$GB$64:$GJ$64)</f>
        <v>7247111</v>
      </c>
      <c r="Z56" s="241">
        <f>(X56-Y56)/Y56</f>
        <v>-0.61569016950340627</v>
      </c>
      <c r="AA56" s="242">
        <f>X56/$X$70</f>
        <v>6.8298742996655365E-2</v>
      </c>
    </row>
    <row r="57" spans="1:27" ht="14.1" customHeight="1" x14ac:dyDescent="0.2">
      <c r="A57" s="239"/>
      <c r="B57" s="33"/>
      <c r="C57" s="240"/>
      <c r="D57" s="115"/>
      <c r="E57" s="242"/>
      <c r="F57" s="115"/>
      <c r="G57" s="115"/>
      <c r="H57" s="241"/>
      <c r="I57" s="242"/>
      <c r="J57" s="239"/>
      <c r="K57" s="33"/>
      <c r="L57" s="243"/>
      <c r="N57" s="58"/>
      <c r="O57" s="243"/>
      <c r="P57" s="2"/>
      <c r="Q57" s="3"/>
      <c r="R57" s="58"/>
      <c r="S57" s="239"/>
      <c r="T57" s="33"/>
      <c r="U57" s="243"/>
      <c r="V57" s="2"/>
      <c r="W57" s="58"/>
      <c r="X57" s="243"/>
      <c r="Y57" s="2"/>
      <c r="Z57" s="3"/>
      <c r="AA57" s="58"/>
    </row>
    <row r="58" spans="1:27" ht="14.1" customHeight="1" x14ac:dyDescent="0.2">
      <c r="A58" s="239" t="s">
        <v>19</v>
      </c>
      <c r="B58" s="244"/>
      <c r="C58" s="240">
        <f>SUM(C59:C65)</f>
        <v>736</v>
      </c>
      <c r="D58" s="115">
        <f>SUM(D59:D65)</f>
        <v>1534</v>
      </c>
      <c r="E58" s="242">
        <f t="shared" ref="E58:E65" si="21">(C58-D58)/D58</f>
        <v>-0.52020860495436771</v>
      </c>
      <c r="F58" s="115">
        <f>SUM(F59:F65)</f>
        <v>6905</v>
      </c>
      <c r="G58" s="115">
        <f>SUM(G59:G65)</f>
        <v>13244</v>
      </c>
      <c r="H58" s="241">
        <f t="shared" ref="H58:H65" si="22">(F58-G58)/G58</f>
        <v>-0.47863183328299608</v>
      </c>
      <c r="I58" s="242">
        <f t="shared" ref="I58:I65" si="23">F58/$F$70</f>
        <v>4.2948486695609987E-2</v>
      </c>
      <c r="J58" s="239" t="s">
        <v>19</v>
      </c>
      <c r="K58" s="244"/>
      <c r="L58" s="240">
        <f>SUM(L59:L65)</f>
        <v>44208</v>
      </c>
      <c r="M58" s="115">
        <f>SUM(M59:M65)</f>
        <v>136741</v>
      </c>
      <c r="N58" s="242">
        <f t="shared" ref="N58:N65" si="24">(L58-M58)/M58</f>
        <v>-0.67670267147380814</v>
      </c>
      <c r="O58" s="240">
        <f>SUM(O59:O65)</f>
        <v>435223</v>
      </c>
      <c r="P58" s="115">
        <f>SUM(P59:P65)</f>
        <v>1198889</v>
      </c>
      <c r="Q58" s="241">
        <f t="shared" ref="Q58:Q65" si="25">(O58-P58)/P58</f>
        <v>-0.63697806886208819</v>
      </c>
      <c r="R58" s="242">
        <f t="shared" ref="R58:R65" si="26">O58/$O$70</f>
        <v>3.902484644866213E-2</v>
      </c>
      <c r="S58" s="239" t="s">
        <v>19</v>
      </c>
      <c r="T58" s="244"/>
      <c r="U58" s="240">
        <f>SUM(U59:U65)</f>
        <v>70352</v>
      </c>
      <c r="V58" s="115">
        <f>SUM(V59:V65)</f>
        <v>176107</v>
      </c>
      <c r="W58" s="242">
        <f t="shared" ref="W58:W65" si="27">(U58-V58)/V58</f>
        <v>-0.60051559563220092</v>
      </c>
      <c r="X58" s="240">
        <f>SUM(X59:X65)</f>
        <v>630200</v>
      </c>
      <c r="Y58" s="115">
        <f>SUM(Y59:Y65)</f>
        <v>1336165</v>
      </c>
      <c r="Z58" s="241">
        <f t="shared" ref="Z58:Z65" si="28">(X58-Y58)/Y58</f>
        <v>-0.52835166315537374</v>
      </c>
      <c r="AA58" s="242">
        <f t="shared" ref="AA58:AA65" si="29">X58/$X$70</f>
        <v>1.545413503559331E-2</v>
      </c>
    </row>
    <row r="59" spans="1:27" ht="14.1" customHeight="1" x14ac:dyDescent="0.2">
      <c r="A59" s="31"/>
      <c r="B59" s="296" t="s">
        <v>19</v>
      </c>
      <c r="C59" s="243">
        <f>[3]United!$GX$19</f>
        <v>156</v>
      </c>
      <c r="D59" s="2">
        <f>[3]United!$GJ$19+[3]Continental!$GJ$19</f>
        <v>676</v>
      </c>
      <c r="E59" s="58">
        <f t="shared" si="21"/>
        <v>-0.76923076923076927</v>
      </c>
      <c r="F59" s="2">
        <f>SUM([3]United!$GP$19:$GX$19)</f>
        <v>2160</v>
      </c>
      <c r="G59" s="2">
        <f>SUM([3]United!$GB$19:$GJ$19)+SUM([3]Continental!$GB$19:$GJ$19)</f>
        <v>5254</v>
      </c>
      <c r="H59" s="3">
        <f t="shared" si="22"/>
        <v>-0.58888465930719447</v>
      </c>
      <c r="I59" s="58">
        <f t="shared" si="23"/>
        <v>1.3435008148083646E-2</v>
      </c>
      <c r="J59" s="31"/>
      <c r="K59" s="296" t="s">
        <v>19</v>
      </c>
      <c r="L59" s="243">
        <f>[3]United!$GX$41</f>
        <v>14938</v>
      </c>
      <c r="M59" s="2">
        <f>[3]United!$GJ$41+[3]Continental!$GJ$41</f>
        <v>84860</v>
      </c>
      <c r="N59" s="58">
        <f t="shared" si="24"/>
        <v>-0.82396888993636574</v>
      </c>
      <c r="O59" s="243">
        <f>SUM([3]United!$GP$41:$GX$41)</f>
        <v>209941</v>
      </c>
      <c r="P59" s="2">
        <f>SUM([3]United!$GB$41:$GJ$41)+SUM([3]Continental!$GB$41:$GJ$41)</f>
        <v>699071</v>
      </c>
      <c r="Q59" s="3">
        <f t="shared" si="25"/>
        <v>-0.69968572577034382</v>
      </c>
      <c r="R59" s="58">
        <f t="shared" si="26"/>
        <v>1.882463768752703E-2</v>
      </c>
      <c r="S59" s="31"/>
      <c r="T59" s="296" t="s">
        <v>19</v>
      </c>
      <c r="U59" s="243">
        <f>[3]United!$GX$64</f>
        <v>70352</v>
      </c>
      <c r="V59" s="2">
        <f>[3]United!$GJ$64+[3]Continental!$GJ$64</f>
        <v>176107</v>
      </c>
      <c r="W59" s="58">
        <f t="shared" si="27"/>
        <v>-0.60051559563220092</v>
      </c>
      <c r="X59" s="243">
        <f>SUM([3]United!$GP$64:$GX$64)</f>
        <v>630200</v>
      </c>
      <c r="Y59" s="2">
        <f>SUM([3]United!$GB$64:$GJ$64)+SUM([3]Continental!$GB$64:$GJ$64)</f>
        <v>1336165</v>
      </c>
      <c r="Z59" s="3">
        <f t="shared" si="28"/>
        <v>-0.52835166315537374</v>
      </c>
      <c r="AA59" s="58">
        <f t="shared" si="29"/>
        <v>1.545413503559331E-2</v>
      </c>
    </row>
    <row r="60" spans="1:27" ht="14.1" customHeight="1" x14ac:dyDescent="0.2">
      <c r="A60" s="31"/>
      <c r="B60" s="296" t="s">
        <v>167</v>
      </c>
      <c r="C60" s="243">
        <f>'[3]Continental Express'!$GX$19</f>
        <v>0</v>
      </c>
      <c r="D60" s="2">
        <f>'[3]Continental Express'!$GJ$19</f>
        <v>126</v>
      </c>
      <c r="E60" s="58">
        <f t="shared" si="21"/>
        <v>-1</v>
      </c>
      <c r="F60" s="2">
        <f>SUM('[3]Continental Express'!$GP$19:$GX$19)</f>
        <v>236</v>
      </c>
      <c r="G60" s="2">
        <f>SUM('[3]Continental Express'!$GB$19:$GJ$19)</f>
        <v>408</v>
      </c>
      <c r="H60" s="3">
        <f t="shared" si="22"/>
        <v>-0.42156862745098039</v>
      </c>
      <c r="I60" s="58">
        <f t="shared" si="23"/>
        <v>1.4678990384017316E-3</v>
      </c>
      <c r="J60" s="31"/>
      <c r="K60" s="296" t="s">
        <v>167</v>
      </c>
      <c r="L60" s="243">
        <f>'[3]Continental Express'!$GX$41</f>
        <v>0</v>
      </c>
      <c r="M60" s="2">
        <f>'[3]Continental Express'!$GJ$41</f>
        <v>6754</v>
      </c>
      <c r="N60" s="58">
        <f t="shared" si="24"/>
        <v>-1</v>
      </c>
      <c r="O60" s="243">
        <f>SUM('[3]Continental Express'!$GP$41:$GX$41)</f>
        <v>10983</v>
      </c>
      <c r="P60" s="2">
        <f>SUM('[3]Continental Express'!$GB$41:$GJ$41)</f>
        <v>22028</v>
      </c>
      <c r="Q60" s="3">
        <f t="shared" si="25"/>
        <v>-0.50140729980025422</v>
      </c>
      <c r="R60" s="58">
        <f t="shared" si="26"/>
        <v>9.8480523443305202E-4</v>
      </c>
      <c r="S60" s="31"/>
      <c r="T60" s="296" t="s">
        <v>167</v>
      </c>
      <c r="U60" s="243">
        <f>'[3]Continental Express'!$GX$64</f>
        <v>0</v>
      </c>
      <c r="V60" s="2">
        <f>'[3]Continental Express'!$GJ$64</f>
        <v>0</v>
      </c>
      <c r="W60" s="58" t="e">
        <f t="shared" si="27"/>
        <v>#DIV/0!</v>
      </c>
      <c r="X60" s="243">
        <f>SUM('[3]Continental Express'!$GP$64:$GX$64)</f>
        <v>0</v>
      </c>
      <c r="Y60" s="2">
        <f>SUM('[3]Continental Express'!$GB$64:$GJ$64)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3">
        <f>'[3]Go Jet_UA'!$GX$19</f>
        <v>0</v>
      </c>
      <c r="D61" s="2">
        <f>'[3]Go Jet_UA'!$GJ$19</f>
        <v>20</v>
      </c>
      <c r="E61" s="58">
        <f t="shared" si="21"/>
        <v>-1</v>
      </c>
      <c r="F61" s="2">
        <f>SUM('[3]Go Jet_UA'!$GP$19:$GX$19)</f>
        <v>2</v>
      </c>
      <c r="G61" s="2">
        <f>SUM('[3]Go Jet_UA'!$GB$19:$GJ$19)</f>
        <v>70</v>
      </c>
      <c r="H61" s="3">
        <f t="shared" si="22"/>
        <v>-0.97142857142857142</v>
      </c>
      <c r="I61" s="58">
        <f t="shared" si="23"/>
        <v>1.2439822359336709E-5</v>
      </c>
      <c r="J61" s="31"/>
      <c r="K61" s="33" t="s">
        <v>155</v>
      </c>
      <c r="L61" s="243">
        <f>'[3]Go Jet_UA'!$GX$41</f>
        <v>0</v>
      </c>
      <c r="M61" s="2">
        <f>'[3]Go Jet_UA'!$GJ$41</f>
        <v>1312</v>
      </c>
      <c r="N61" s="58">
        <f t="shared" si="24"/>
        <v>-1</v>
      </c>
      <c r="O61" s="243">
        <f>SUM('[3]Go Jet_UA'!$GP$41:$GX$41)</f>
        <v>83</v>
      </c>
      <c r="P61" s="2">
        <f>SUM('[3]Go Jet_UA'!$GB$41:$GJ$41)</f>
        <v>4313</v>
      </c>
      <c r="Q61" s="3">
        <f t="shared" si="25"/>
        <v>-0.9807558543936935</v>
      </c>
      <c r="R61" s="58">
        <f t="shared" si="26"/>
        <v>7.442304876440254E-6</v>
      </c>
      <c r="S61" s="31"/>
      <c r="T61" s="33" t="s">
        <v>155</v>
      </c>
      <c r="U61" s="243">
        <f>'[3]Go Jet_UA'!$GX$64</f>
        <v>0</v>
      </c>
      <c r="V61" s="2">
        <f>'[3]Go Jet_UA'!$GJ$64</f>
        <v>0</v>
      </c>
      <c r="W61" s="58" t="e">
        <f t="shared" si="27"/>
        <v>#DIV/0!</v>
      </c>
      <c r="X61" s="243">
        <f>SUM('[3]Go Jet_UA'!$GP$64:$GX$64)</f>
        <v>0</v>
      </c>
      <c r="Y61" s="2">
        <f>SUM('[3]Go Jet_UA'!$GB$64:$GJ$64)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3">
        <f>[3]MESA_UA!$GX$19</f>
        <v>231</v>
      </c>
      <c r="D62" s="2">
        <f>[3]MESA_UA!$GJ$19</f>
        <v>222</v>
      </c>
      <c r="E62" s="58">
        <f t="shared" si="21"/>
        <v>4.0540540540540543E-2</v>
      </c>
      <c r="F62" s="2">
        <f>SUM([3]MESA_UA!$GP$19:$GX$19)</f>
        <v>1427</v>
      </c>
      <c r="G62" s="2">
        <f>SUM([3]MESA_UA!$GB$19:$GJ$19)</f>
        <v>2080</v>
      </c>
      <c r="H62" s="3">
        <f>(F62-G62)/G62</f>
        <v>-0.31394230769230769</v>
      </c>
      <c r="I62" s="58">
        <f t="shared" si="23"/>
        <v>8.8758132533867419E-3</v>
      </c>
      <c r="J62" s="31"/>
      <c r="K62" s="33" t="s">
        <v>51</v>
      </c>
      <c r="L62" s="243">
        <f>[3]MESA_UA!$GX$41</f>
        <v>10748</v>
      </c>
      <c r="M62" s="2">
        <f>[3]MESA_UA!$GJ$41</f>
        <v>13172</v>
      </c>
      <c r="N62" s="58">
        <f t="shared" si="24"/>
        <v>-0.18402672335256606</v>
      </c>
      <c r="O62" s="243">
        <f>SUM([3]MESA_UA!$GP$41:$GX$41)</f>
        <v>67488</v>
      </c>
      <c r="P62" s="2">
        <f>SUM([3]MESA_UA!$GB$41:$GJ$41)</f>
        <v>133407</v>
      </c>
      <c r="Q62" s="3">
        <f t="shared" si="25"/>
        <v>-0.49411949897681529</v>
      </c>
      <c r="R62" s="58">
        <f t="shared" si="26"/>
        <v>6.0514008614602393E-3</v>
      </c>
      <c r="S62" s="31"/>
      <c r="T62" s="33" t="s">
        <v>51</v>
      </c>
      <c r="U62" s="243">
        <f>[3]MESA_UA!$GX$64</f>
        <v>0</v>
      </c>
      <c r="V62" s="2">
        <f>[3]MESA_UA!$GJ$64</f>
        <v>0</v>
      </c>
      <c r="W62" s="58" t="e">
        <f t="shared" si="27"/>
        <v>#DIV/0!</v>
      </c>
      <c r="X62" s="243">
        <f>SUM([3]MESA_UA!$GP$64:$GX$64)</f>
        <v>0</v>
      </c>
      <c r="Y62" s="2">
        <f>SUM([3]MESA_UA!$GB$64:$GJ$64)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6" t="s">
        <v>52</v>
      </c>
      <c r="C63" s="243">
        <f>[3]Republic_UA!$GX$19</f>
        <v>65</v>
      </c>
      <c r="D63" s="2">
        <f>[3]Republic_UA!$GJ$19</f>
        <v>376</v>
      </c>
      <c r="E63" s="58">
        <f t="shared" si="21"/>
        <v>-0.8271276595744681</v>
      </c>
      <c r="F63" s="2">
        <f>SUM([3]Republic_UA!$GP$19:$GX$19)</f>
        <v>1794</v>
      </c>
      <c r="G63" s="2">
        <f>SUM([3]Republic_UA!$GB$19:$GJ$19)</f>
        <v>4326</v>
      </c>
      <c r="H63" s="3">
        <f t="shared" ref="H63" si="30">(F63-G63)/G63</f>
        <v>-0.58529819694868235</v>
      </c>
      <c r="I63" s="58">
        <f t="shared" si="23"/>
        <v>1.1158520656325027E-2</v>
      </c>
      <c r="J63" s="31"/>
      <c r="K63" s="296" t="s">
        <v>52</v>
      </c>
      <c r="L63" s="243">
        <f>[3]Republic_UA!$GX$41</f>
        <v>2756</v>
      </c>
      <c r="M63" s="2">
        <f>[3]Republic_UA!$GJ$41</f>
        <v>23578</v>
      </c>
      <c r="N63" s="58">
        <f t="shared" si="24"/>
        <v>-0.88311137501060311</v>
      </c>
      <c r="O63" s="243">
        <f>SUM([3]Republic_UA!$GP$41:$GX$41)</f>
        <v>80969</v>
      </c>
      <c r="P63" s="2">
        <f>SUM([3]Republic_UA!$GB$41:$GJ$41)</f>
        <v>268001</v>
      </c>
      <c r="Q63" s="3">
        <f t="shared" si="25"/>
        <v>-0.69787799299256348</v>
      </c>
      <c r="R63" s="58">
        <f t="shared" si="26"/>
        <v>7.260192572776999E-3</v>
      </c>
      <c r="S63" s="31"/>
      <c r="T63" s="296" t="s">
        <v>52</v>
      </c>
      <c r="U63" s="243">
        <f>[3]Republic_UA!$GX$64</f>
        <v>0</v>
      </c>
      <c r="V63" s="2">
        <f>[3]Republic_UA!$GJ$64</f>
        <v>0</v>
      </c>
      <c r="W63" s="58" t="e">
        <f t="shared" si="27"/>
        <v>#DIV/0!</v>
      </c>
      <c r="X63" s="243">
        <f>SUM([3]Republic_UA!$GP$64:$GX$64)</f>
        <v>0</v>
      </c>
      <c r="Y63" s="2">
        <f>SUM([3]Republic_UA!$GB$64:$GJ$64)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3">
        <f>'[3]Sky West_UA'!$GX$19</f>
        <v>284</v>
      </c>
      <c r="D64" s="2">
        <f>'[3]Sky West_UA'!$GJ$19+'[3]Sky West_CO'!$GJ$19</f>
        <v>114</v>
      </c>
      <c r="E64" s="58">
        <f t="shared" si="21"/>
        <v>1.4912280701754386</v>
      </c>
      <c r="F64" s="2">
        <f>SUM('[3]Sky West_UA'!$GP$19:$GX$19)</f>
        <v>1286</v>
      </c>
      <c r="G64" s="2">
        <f>SUM('[3]Sky West_UA'!$GB$19:$GJ$19)+SUM('[3]Sky West_CO'!$GB$19:$GJ$19)</f>
        <v>1106</v>
      </c>
      <c r="H64" s="3">
        <f t="shared" si="22"/>
        <v>0.16274864376130199</v>
      </c>
      <c r="I64" s="58">
        <f t="shared" si="23"/>
        <v>7.9988057770535043E-3</v>
      </c>
      <c r="J64" s="31"/>
      <c r="K64" s="33" t="s">
        <v>98</v>
      </c>
      <c r="L64" s="243">
        <f>'[3]Sky West_UA'!$GX$41</f>
        <v>15766</v>
      </c>
      <c r="M64" s="2">
        <f>'[3]Sky West_UA'!$GJ$41+'[3]Sky West_CO'!$GJ$41</f>
        <v>7065</v>
      </c>
      <c r="N64" s="58">
        <f t="shared" si="24"/>
        <v>1.2315640481245578</v>
      </c>
      <c r="O64" s="243">
        <f>SUM('[3]Sky West_UA'!$GP$41:$GX$41)</f>
        <v>65759</v>
      </c>
      <c r="P64" s="2">
        <f>SUM('[3]Sky West_UA'!$GB$41:$GJ$41)+SUM('[3]Sky West_CO'!$GB$41:$GJ$41)</f>
        <v>72069</v>
      </c>
      <c r="Q64" s="3">
        <f t="shared" si="25"/>
        <v>-8.7554982031109077E-2</v>
      </c>
      <c r="R64" s="58">
        <f t="shared" si="26"/>
        <v>5.8963677875883691E-3</v>
      </c>
      <c r="S64" s="31"/>
      <c r="T64" s="33" t="s">
        <v>98</v>
      </c>
      <c r="U64" s="243">
        <f>'[3]Sky West_UA'!$GX$64</f>
        <v>0</v>
      </c>
      <c r="V64" s="2">
        <f>'[3]Sky West_UA'!$GJ$64+'[3]Sky West_CO'!$GJ$64</f>
        <v>0</v>
      </c>
      <c r="W64" s="58" t="e">
        <f t="shared" si="27"/>
        <v>#DIV/0!</v>
      </c>
      <c r="X64" s="243">
        <f>SUM('[3]Sky West_UA'!$GP$64:$GX$64)</f>
        <v>0</v>
      </c>
      <c r="Y64" s="2">
        <f>SUM('[3]Sky West_UA'!$GB$64:$GJ$64)+SUM('[3]Sky West_CO'!$GB$64:$GJ$64)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5" t="s">
        <v>132</v>
      </c>
      <c r="C65" s="243">
        <f>'[3]Shuttle America'!$GX$19</f>
        <v>0</v>
      </c>
      <c r="D65" s="2">
        <f>'[3]Shuttle America'!$GJ$19</f>
        <v>0</v>
      </c>
      <c r="E65" s="58" t="e">
        <f t="shared" si="21"/>
        <v>#DIV/0!</v>
      </c>
      <c r="F65" s="2">
        <f>SUM('[3]Shuttle America'!$GP$19:$GX$19)</f>
        <v>0</v>
      </c>
      <c r="G65" s="2">
        <f>SUM('[3]Shuttle America'!$GB$19:$GJ$19)</f>
        <v>0</v>
      </c>
      <c r="H65" s="3" t="e">
        <f t="shared" si="22"/>
        <v>#DIV/0!</v>
      </c>
      <c r="I65" s="58">
        <f t="shared" si="23"/>
        <v>0</v>
      </c>
      <c r="J65" s="31"/>
      <c r="K65" s="245" t="s">
        <v>132</v>
      </c>
      <c r="L65" s="243">
        <f>'[3]Shuttle America'!$GX$41</f>
        <v>0</v>
      </c>
      <c r="M65" s="2">
        <f>'[3]Shuttle America'!$GJ$41</f>
        <v>0</v>
      </c>
      <c r="N65" s="58" t="e">
        <f t="shared" si="24"/>
        <v>#DIV/0!</v>
      </c>
      <c r="O65" s="243">
        <f>SUM('[3]Shuttle America'!$GP$41:$GX$41)</f>
        <v>0</v>
      </c>
      <c r="P65" s="2">
        <f>SUM('[3]Shuttle America'!$GB$41:$GJ$41)</f>
        <v>0</v>
      </c>
      <c r="Q65" s="3" t="e">
        <f t="shared" si="25"/>
        <v>#DIV/0!</v>
      </c>
      <c r="R65" s="58">
        <f t="shared" si="26"/>
        <v>0</v>
      </c>
      <c r="S65" s="31"/>
      <c r="T65" s="245" t="s">
        <v>132</v>
      </c>
      <c r="U65" s="243">
        <f>'[3]Shuttle America'!$GX$64</f>
        <v>0</v>
      </c>
      <c r="V65" s="2">
        <f>'[3]Shuttle America'!$GJ$64</f>
        <v>0</v>
      </c>
      <c r="W65" s="58" t="e">
        <f t="shared" si="27"/>
        <v>#DIV/0!</v>
      </c>
      <c r="X65" s="243">
        <f>SUM('[3]Shuttle America'!$GP$64:$GX$64)</f>
        <v>0</v>
      </c>
      <c r="Y65" s="2">
        <f>SUM('[3]Shuttle America'!$GB$64:$GJ$64)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8"/>
      <c r="B66" s="299"/>
      <c r="C66" s="246"/>
      <c r="D66" s="248"/>
      <c r="E66" s="249"/>
      <c r="F66" s="248"/>
      <c r="G66" s="248"/>
      <c r="H66" s="247"/>
      <c r="I66" s="249"/>
      <c r="J66" s="298"/>
      <c r="K66" s="299"/>
      <c r="L66" s="246"/>
      <c r="M66" s="248"/>
      <c r="N66" s="249"/>
      <c r="O66" s="246"/>
      <c r="P66" s="248"/>
      <c r="Q66" s="247"/>
      <c r="R66" s="326"/>
      <c r="S66" s="298"/>
      <c r="T66" s="299"/>
      <c r="U66" s="246"/>
      <c r="V66" s="248"/>
      <c r="W66" s="249"/>
      <c r="X66" s="246"/>
      <c r="Y66" s="248"/>
      <c r="Z66" s="247"/>
      <c r="AA66" s="326"/>
    </row>
    <row r="67" spans="1:27" s="142" customFormat="1" ht="14.1" customHeight="1" thickBot="1" x14ac:dyDescent="0.25">
      <c r="B67" s="141"/>
      <c r="C67" s="115"/>
      <c r="D67" s="115"/>
      <c r="E67" s="241"/>
      <c r="F67" s="297"/>
      <c r="G67" s="115"/>
      <c r="H67" s="241"/>
      <c r="I67" s="241"/>
      <c r="J67" s="250"/>
      <c r="K67" s="141"/>
      <c r="L67" s="251"/>
      <c r="M67" s="252"/>
      <c r="N67" s="250"/>
      <c r="S67" s="250"/>
      <c r="T67" s="141"/>
      <c r="U67" s="251"/>
      <c r="V67" s="252"/>
      <c r="W67" s="250"/>
    </row>
    <row r="68" spans="1:27" ht="14.1" customHeight="1" x14ac:dyDescent="0.2">
      <c r="B68" s="253" t="s">
        <v>134</v>
      </c>
      <c r="C68" s="306">
        <f>+C70-C69</f>
        <v>8652</v>
      </c>
      <c r="D68" s="306">
        <f>+D70-D69</f>
        <v>19672</v>
      </c>
      <c r="E68" s="307">
        <f>(C68-D68)/D68</f>
        <v>-0.56018706791378614</v>
      </c>
      <c r="F68" s="306">
        <f>+F70-F69</f>
        <v>90096</v>
      </c>
      <c r="G68" s="306">
        <f>+G70-G69</f>
        <v>173097</v>
      </c>
      <c r="H68" s="307">
        <f>(F68-G68)/G68</f>
        <v>-0.47950571067089554</v>
      </c>
      <c r="I68" s="348">
        <f>F68/$F$70</f>
        <v>0.56038911764340005</v>
      </c>
      <c r="K68" s="253" t="s">
        <v>134</v>
      </c>
      <c r="L68" s="306">
        <f>+L70-L69</f>
        <v>700457</v>
      </c>
      <c r="M68" s="306">
        <f>+M70-M69</f>
        <v>2591794</v>
      </c>
      <c r="N68" s="307">
        <f>(L68-M68)/M68</f>
        <v>-0.72974048091785071</v>
      </c>
      <c r="O68" s="306">
        <f>+O70-O69</f>
        <v>8635525</v>
      </c>
      <c r="P68" s="306">
        <f>+P70-P69</f>
        <v>23312219</v>
      </c>
      <c r="Q68" s="339">
        <f>(O68-P68)/P68</f>
        <v>-0.62957087010893298</v>
      </c>
      <c r="R68" s="343">
        <f>+O68/O70</f>
        <v>0.77431578094122566</v>
      </c>
      <c r="S68" s="3"/>
      <c r="T68" s="253" t="s">
        <v>134</v>
      </c>
      <c r="U68" s="306">
        <f>+U70-U69</f>
        <v>3869977</v>
      </c>
      <c r="V68" s="306">
        <f>+V70-V69</f>
        <v>8750518</v>
      </c>
      <c r="W68" s="307">
        <f>(U68-V68)/V68</f>
        <v>-0.55774309589443738</v>
      </c>
      <c r="X68" s="306">
        <f>+X70-X69</f>
        <v>40749227</v>
      </c>
      <c r="Y68" s="306">
        <f>+Y70-Y69</f>
        <v>93657106</v>
      </c>
      <c r="Z68" s="339">
        <f>(X68-Y68)/Y68</f>
        <v>-0.56491046178599624</v>
      </c>
      <c r="AA68" s="343">
        <f>+X68/X70</f>
        <v>0.99927651008258467</v>
      </c>
    </row>
    <row r="69" spans="1:27" ht="14.1" customHeight="1" x14ac:dyDescent="0.2">
      <c r="B69" s="141" t="s">
        <v>135</v>
      </c>
      <c r="C69" s="308">
        <f>C65+C42+C40+C38+C37+C41+C22+C64+C61+C39+C60+C62+C27+C26+C23+C17+C8+C63+C24+C25+C9+C18</f>
        <v>8821</v>
      </c>
      <c r="D69" s="308">
        <f>D65+D42+D40+D38+D37+D41+D22+D64+D61+D39+D60+D62+D27+D26+D23+D17+D8+D63+D24+D25+D9+D18</f>
        <v>11095</v>
      </c>
      <c r="E69" s="254">
        <f>(C69-D69)/D69</f>
        <v>-0.2049571879224876</v>
      </c>
      <c r="F69" s="308">
        <f>F65+F42+F40+F38+F37+F41+F22+F64+F61+F39+F60+F62+F27+F26+F23+F17+F8+F63+F24+F25+F9+F18</f>
        <v>70678</v>
      </c>
      <c r="G69" s="308">
        <f>G65+G42+G40+G38+G37+G41+G22+G64+G61+G39+G60+G62+G27+G26+G23+G17+G8+G63+G24+G25+G9+G18</f>
        <v>107953</v>
      </c>
      <c r="H69" s="254">
        <f>(F69-G69)/G69</f>
        <v>-0.34528915361314644</v>
      </c>
      <c r="I69" s="349">
        <f>F69/$F$70</f>
        <v>0.43961088235659995</v>
      </c>
      <c r="K69" s="141" t="s">
        <v>135</v>
      </c>
      <c r="L69" s="308">
        <f>L65+L42+L40+L38+L37+L41+L22+L64+L61+L39+L60+L62+L27+L26+L23+L17+L8+L63+L24+L25+L9+L18</f>
        <v>290873</v>
      </c>
      <c r="M69" s="308">
        <f>M65+M42+M40+M38+M37+M41+M22+M64+M61+M39+M60+M62+M27+M26+M23+M17+M8+M63+M24+M25+M9+M18</f>
        <v>559275</v>
      </c>
      <c r="N69" s="254">
        <f>(L69-M69)/M69</f>
        <v>-0.47991059854275625</v>
      </c>
      <c r="O69" s="308">
        <f>O65+O42+O40+O38+O37+O41+O22+O64+O61+O39+O60+O62+O27+O26+O23+O17+O8+O63+O24+O25+O9+O18</f>
        <v>2516934</v>
      </c>
      <c r="P69" s="308">
        <f>P65+P42+P40+P38+P37+P41+P22+P64+P61+P39+P60+P62+P27+P26+P23+P17+P8+P63+P24+P25+P9+P18</f>
        <v>5745671</v>
      </c>
      <c r="Q69" s="337">
        <f>(O69-P69)/P69</f>
        <v>-0.56194254770243546</v>
      </c>
      <c r="R69" s="344">
        <f>+O69/O70</f>
        <v>0.22568421905877439</v>
      </c>
      <c r="S69" s="3"/>
      <c r="T69" s="141" t="s">
        <v>135</v>
      </c>
      <c r="U69" s="308">
        <f>U65+U42+U40+U38+U37+U41+U22+U64+U61+U39+U60+U62+U27+U26+U23+U17+U8+U63+U24+U25+U9+U18</f>
        <v>983</v>
      </c>
      <c r="V69" s="308">
        <f>V65+V42+V40+V38+V37+V41+V22+V64+V61+V39+V60+V62+V27+V26+V23+V17+V8+V63+V24+V25+V9+V18</f>
        <v>6620</v>
      </c>
      <c r="W69" s="254">
        <f>(U69-V69)/V69</f>
        <v>-0.85151057401812691</v>
      </c>
      <c r="X69" s="308">
        <f>X65+X42+X40+X38+X37+X41+X22+X64+X61+X39+X60+X62+X27+X26+X23+X17+X8+X63+X24+X25+X9+X18</f>
        <v>29503</v>
      </c>
      <c r="Y69" s="308">
        <f>Y65+Y42+Y40+Y38+Y37+Y41+Y22+Y64+Y61+Y39+Y60+Y62+Y27+Y26+Y23+Y17+Y8+Y63+Y24+Y25+Y9+Y18</f>
        <v>88419</v>
      </c>
      <c r="Z69" s="337">
        <f>(X69-Y69)/Y69</f>
        <v>-0.6663273730759226</v>
      </c>
      <c r="AA69" s="344">
        <f>+X69/X70</f>
        <v>7.2348991741527993E-4</v>
      </c>
    </row>
    <row r="70" spans="1:27" ht="14.1" customHeight="1" thickBot="1" x14ac:dyDescent="0.25">
      <c r="B70" s="141" t="s">
        <v>136</v>
      </c>
      <c r="C70" s="309">
        <f>C58+C56+C52+C46+C44+C35+C20+C15+C6+C54+C31+C29+C11+C50+C13+C48+C4+C33</f>
        <v>17473</v>
      </c>
      <c r="D70" s="309">
        <f>D58+D56+D52+D46+D44+D35+D20+D15+D6+D54+D31+D29+D11+D50+D13+D48+D4+D33</f>
        <v>30767</v>
      </c>
      <c r="E70" s="310">
        <f>(C70-D70)/D70</f>
        <v>-0.43208632625865373</v>
      </c>
      <c r="F70" s="309">
        <f>F58+F56+F52+F46+F44+F35+F20+F15+F6+F54+F31+F29+F11+F50+F13+F48+F4+F33</f>
        <v>160774</v>
      </c>
      <c r="G70" s="309">
        <f>G58+G56+G52+G46+G44+G35+G20+G15+G6+G54+G31+G29+G11+G50+G13+G48+G4+G33</f>
        <v>281050</v>
      </c>
      <c r="H70" s="310">
        <f>(F70-G70)/G70</f>
        <v>-0.42795232165095176</v>
      </c>
      <c r="I70" s="350">
        <f>+H70/H70</f>
        <v>1</v>
      </c>
      <c r="K70" s="141" t="s">
        <v>136</v>
      </c>
      <c r="L70" s="309">
        <f>L58+L56+L52+L46+L44+L35+L20+L15+L6+L54+L31+L29+L11+L50+L13+L48+L4+L33</f>
        <v>991330</v>
      </c>
      <c r="M70" s="309">
        <f>M58+M56+M52+M46+M44+M35+M20+M15+M6+M54+M31+M29+M11+M50+M13+M48+M4+M33</f>
        <v>3151069</v>
      </c>
      <c r="N70" s="310">
        <f>(L70-M70)/M70</f>
        <v>-0.68539882814371889</v>
      </c>
      <c r="O70" s="309">
        <f>O58+O56+O52+O46+O44+O35+O20+O15+O6+O54+O31+O29+O11+O50+O13+O48+O4+O33</f>
        <v>11152459</v>
      </c>
      <c r="P70" s="309">
        <f>P58+P56+P52+P46+P44+P35+P20+P15+P6+P54+P31+P29+P11+P50+P13+P48+P4+P33</f>
        <v>29057890</v>
      </c>
      <c r="Q70" s="340">
        <f>(O70-P70)/P70</f>
        <v>-0.61619859528685672</v>
      </c>
      <c r="R70" s="345">
        <f>+O70/O70</f>
        <v>1</v>
      </c>
      <c r="S70" s="3"/>
      <c r="T70" s="141" t="s">
        <v>136</v>
      </c>
      <c r="U70" s="309">
        <f>U58+U56+U52+U46+U44+U35+U20+U15+U6+U54+U31+U29+U11+U50+U13+U48+U4+U33</f>
        <v>3870960</v>
      </c>
      <c r="V70" s="309">
        <f>V58+V56+V52+V46+V44+V35+V20+V15+V6+V54+V31+V29+V11+V50+V13+V48+V4+V33</f>
        <v>8757138</v>
      </c>
      <c r="W70" s="310">
        <f>(U70-V70)/V70</f>
        <v>-0.55796517081265595</v>
      </c>
      <c r="X70" s="309">
        <f>X58+X56+X52+X46+X44+X35+X20+X15+X6+X54+X31+X29+X11+X50+X13+X48+X4+X33</f>
        <v>40778730</v>
      </c>
      <c r="Y70" s="309">
        <f>Y58+Y56+Y52+Y46+Y44+Y35+Y20+Y15+Y6+Y54+Y31+Y29+Y11+Y50+Y13+Y48+Y4+Y33</f>
        <v>93745525</v>
      </c>
      <c r="Z70" s="340">
        <f>(X70-Y70)/Y70</f>
        <v>-0.56500611629195097</v>
      </c>
      <c r="AA70" s="345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3"/>
      <c r="K142"/>
    </row>
    <row r="143" spans="4:14" x14ac:dyDescent="0.2">
      <c r="F143" s="143"/>
      <c r="K143"/>
    </row>
    <row r="144" spans="4:14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  <row r="4671" spans="6:11" x14ac:dyDescent="0.2">
      <c r="F4671" s="143"/>
      <c r="K4671"/>
    </row>
    <row r="4672" spans="6:11" x14ac:dyDescent="0.2">
      <c r="F4672" s="143"/>
      <c r="K4672"/>
    </row>
    <row r="4673" spans="6:11" x14ac:dyDescent="0.2">
      <c r="F4673" s="143"/>
      <c r="K4673"/>
    </row>
    <row r="4674" spans="6:11" x14ac:dyDescent="0.2">
      <c r="F4674" s="143"/>
      <c r="K4674"/>
    </row>
    <row r="4675" spans="6:11" x14ac:dyDescent="0.2">
      <c r="F4675" s="143"/>
      <c r="K4675"/>
    </row>
    <row r="4676" spans="6:11" x14ac:dyDescent="0.2">
      <c r="F4676" s="143"/>
      <c r="K4676"/>
    </row>
    <row r="4677" spans="6:11" x14ac:dyDescent="0.2">
      <c r="F4677" s="143"/>
      <c r="K4677"/>
    </row>
    <row r="4678" spans="6:11" x14ac:dyDescent="0.2">
      <c r="F4678" s="143"/>
      <c r="K4678"/>
    </row>
    <row r="4679" spans="6:11" x14ac:dyDescent="0.2">
      <c r="F4679" s="143"/>
      <c r="K4679"/>
    </row>
    <row r="4680" spans="6:11" x14ac:dyDescent="0.2">
      <c r="F4680" s="143"/>
      <c r="K4680"/>
    </row>
    <row r="4681" spans="6:11" x14ac:dyDescent="0.2">
      <c r="F4681" s="143"/>
      <c r="K4681"/>
    </row>
    <row r="4682" spans="6:11" x14ac:dyDescent="0.2">
      <c r="F4682" s="143"/>
      <c r="K4682"/>
    </row>
    <row r="4683" spans="6:11" x14ac:dyDescent="0.2">
      <c r="F4683" s="143"/>
      <c r="K4683"/>
    </row>
    <row r="4684" spans="6:11" x14ac:dyDescent="0.2">
      <c r="F4684" s="143"/>
      <c r="K4684"/>
    </row>
    <row r="4685" spans="6:11" x14ac:dyDescent="0.2">
      <c r="F4685" s="143"/>
      <c r="K4685"/>
    </row>
    <row r="4686" spans="6:11" x14ac:dyDescent="0.2">
      <c r="F4686" s="143"/>
      <c r="K4686"/>
    </row>
    <row r="4687" spans="6:11" x14ac:dyDescent="0.2">
      <c r="F4687" s="143"/>
      <c r="K4687"/>
    </row>
    <row r="4688" spans="6:11" x14ac:dyDescent="0.2">
      <c r="F4688" s="143"/>
      <c r="K4688"/>
    </row>
    <row r="4689" spans="6:11" x14ac:dyDescent="0.2">
      <c r="F4689" s="143"/>
      <c r="K4689"/>
    </row>
    <row r="4690" spans="6:11" x14ac:dyDescent="0.2">
      <c r="F4690" s="143"/>
      <c r="K4690"/>
    </row>
    <row r="4691" spans="6:11" x14ac:dyDescent="0.2">
      <c r="F4691" s="143"/>
      <c r="K4691"/>
    </row>
    <row r="4692" spans="6:11" x14ac:dyDescent="0.2">
      <c r="F4692" s="143"/>
      <c r="K4692"/>
    </row>
    <row r="4693" spans="6:11" x14ac:dyDescent="0.2">
      <c r="F4693" s="143"/>
      <c r="K4693"/>
    </row>
    <row r="4694" spans="6:11" x14ac:dyDescent="0.2">
      <c r="F4694" s="143"/>
      <c r="K4694"/>
    </row>
    <row r="4695" spans="6:11" x14ac:dyDescent="0.2">
      <c r="F4695" s="143"/>
      <c r="K4695"/>
    </row>
    <row r="4696" spans="6:11" x14ac:dyDescent="0.2">
      <c r="F4696" s="143"/>
      <c r="K4696"/>
    </row>
    <row r="4697" spans="6:11" x14ac:dyDescent="0.2">
      <c r="F4697" s="143"/>
      <c r="K4697"/>
    </row>
    <row r="4698" spans="6:11" x14ac:dyDescent="0.2">
      <c r="F4698" s="143"/>
      <c r="K4698"/>
    </row>
    <row r="4699" spans="6:11" x14ac:dyDescent="0.2">
      <c r="F4699" s="143"/>
      <c r="K4699"/>
    </row>
    <row r="4700" spans="6:11" x14ac:dyDescent="0.2">
      <c r="F4700" s="143"/>
      <c r="K4700"/>
    </row>
    <row r="4701" spans="6:11" x14ac:dyDescent="0.2">
      <c r="F4701" s="143"/>
      <c r="K4701"/>
    </row>
    <row r="4702" spans="6:11" x14ac:dyDescent="0.2">
      <c r="F4702" s="143"/>
      <c r="K4702"/>
    </row>
    <row r="4703" spans="6:11" x14ac:dyDescent="0.2">
      <c r="F4703" s="143"/>
      <c r="K4703"/>
    </row>
    <row r="4704" spans="6:11" x14ac:dyDescent="0.2">
      <c r="F4704" s="143"/>
      <c r="K4704"/>
    </row>
    <row r="4705" spans="6:11" x14ac:dyDescent="0.2">
      <c r="F4705" s="143"/>
      <c r="K4705"/>
    </row>
    <row r="4706" spans="6:11" x14ac:dyDescent="0.2">
      <c r="F4706" s="143"/>
      <c r="K4706"/>
    </row>
    <row r="4707" spans="6:11" x14ac:dyDescent="0.2">
      <c r="F4707" s="143"/>
      <c r="K4707"/>
    </row>
    <row r="4708" spans="6:11" x14ac:dyDescent="0.2">
      <c r="F4708" s="143"/>
      <c r="K4708"/>
    </row>
    <row r="4709" spans="6:11" x14ac:dyDescent="0.2">
      <c r="F4709" s="143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September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54" sqref="E5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8">
        <v>44075</v>
      </c>
      <c r="B1" s="429" t="s">
        <v>17</v>
      </c>
      <c r="C1" s="429" t="s">
        <v>18</v>
      </c>
      <c r="D1" s="429" t="s">
        <v>19</v>
      </c>
      <c r="E1" s="429" t="s">
        <v>156</v>
      </c>
      <c r="F1" s="305" t="s">
        <v>162</v>
      </c>
      <c r="G1" s="305" t="s">
        <v>157</v>
      </c>
      <c r="H1" s="430" t="s">
        <v>201</v>
      </c>
      <c r="I1" s="352" t="s">
        <v>194</v>
      </c>
      <c r="J1" s="305" t="s">
        <v>20</v>
      </c>
      <c r="K1" s="304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2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[3]American!$GX$22</f>
        <v>28117</v>
      </c>
      <c r="C4" s="12">
        <f>[3]Delta!$GX$22+[3]Delta!$GX$32</f>
        <v>227862</v>
      </c>
      <c r="D4" s="12">
        <f>[3]United!$GX$22</f>
        <v>7281</v>
      </c>
      <c r="E4" s="12">
        <f>[3]Spirit!$GX$22</f>
        <v>10209</v>
      </c>
      <c r="F4" s="12">
        <f>[3]Condor!$GX$22</f>
        <v>0</v>
      </c>
      <c r="G4" s="12">
        <f>'[3]Air France'!$GX$22</f>
        <v>0</v>
      </c>
      <c r="H4" s="12">
        <f>'[3]Jet Blue'!$GX$22</f>
        <v>345</v>
      </c>
      <c r="I4" s="12">
        <f>[3]KLM!$GX$22+[3]KLM!$GX$32</f>
        <v>0</v>
      </c>
      <c r="J4" s="12">
        <f>'Other Major Airline Stats'!K5</f>
        <v>74654</v>
      </c>
      <c r="K4" s="373">
        <f>SUM(B4:J4)</f>
        <v>348468</v>
      </c>
    </row>
    <row r="5" spans="1:20" x14ac:dyDescent="0.2">
      <c r="A5" s="38" t="s">
        <v>31</v>
      </c>
      <c r="B5" s="7">
        <f>[3]American!$GX$23</f>
        <v>28550</v>
      </c>
      <c r="C5" s="7">
        <f>[3]Delta!$GX$23+[3]Delta!$GX$33</f>
        <v>230715</v>
      </c>
      <c r="D5" s="7">
        <f>[3]United!$GX$23</f>
        <v>7657</v>
      </c>
      <c r="E5" s="7">
        <f>[3]Spirit!$GX$23</f>
        <v>10496</v>
      </c>
      <c r="F5" s="7">
        <f>[3]Condor!$GX$23</f>
        <v>0</v>
      </c>
      <c r="G5" s="7">
        <f>'[3]Air France'!$GX$23</f>
        <v>0</v>
      </c>
      <c r="H5" s="7">
        <f>'[3]Jet Blue'!$GX$23</f>
        <v>388</v>
      </c>
      <c r="I5" s="7">
        <f>[3]KLM!$GX$23+[3]KLM!$GX$33</f>
        <v>0</v>
      </c>
      <c r="J5" s="7">
        <f>'Other Major Airline Stats'!K6</f>
        <v>74183</v>
      </c>
      <c r="K5" s="374">
        <f>SUM(B5:J5)</f>
        <v>351989</v>
      </c>
      <c r="M5" s="204"/>
      <c r="N5" s="204"/>
      <c r="O5" s="204"/>
      <c r="P5" s="204"/>
      <c r="Q5" s="204"/>
      <c r="R5" s="204"/>
      <c r="S5" s="204"/>
      <c r="T5" s="204"/>
    </row>
    <row r="6" spans="1:20" ht="15" x14ac:dyDescent="0.25">
      <c r="A6" s="36" t="s">
        <v>7</v>
      </c>
      <c r="B6" s="18">
        <f t="shared" ref="B6:J6" si="0">SUM(B4:B5)</f>
        <v>56667</v>
      </c>
      <c r="C6" s="18">
        <f t="shared" si="0"/>
        <v>458577</v>
      </c>
      <c r="D6" s="18">
        <f t="shared" si="0"/>
        <v>14938</v>
      </c>
      <c r="E6" s="18">
        <f t="shared" si="0"/>
        <v>20705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733</v>
      </c>
      <c r="I6" s="18">
        <f t="shared" si="1"/>
        <v>0</v>
      </c>
      <c r="J6" s="18">
        <f t="shared" si="0"/>
        <v>148837</v>
      </c>
      <c r="K6" s="375">
        <f>SUM(B6:J6)</f>
        <v>700457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3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3">
        <f>SUM(B8:J8)</f>
        <v>0</v>
      </c>
    </row>
    <row r="9" spans="1:20" x14ac:dyDescent="0.2">
      <c r="A9" s="38" t="s">
        <v>30</v>
      </c>
      <c r="B9" s="12">
        <f>[3]American!$GX$27</f>
        <v>1208</v>
      </c>
      <c r="C9" s="12">
        <f>[3]Delta!$GX$27+[3]Delta!$GX$37</f>
        <v>11547</v>
      </c>
      <c r="D9" s="12">
        <f>[3]United!$GX$27</f>
        <v>530</v>
      </c>
      <c r="E9" s="12">
        <f>[3]Spirit!$GX$27</f>
        <v>87</v>
      </c>
      <c r="F9" s="12">
        <f>[3]Condor!$GX$27</f>
        <v>0</v>
      </c>
      <c r="G9" s="12">
        <f>'[3]Air France'!$GX$27</f>
        <v>0</v>
      </c>
      <c r="H9" s="12">
        <f>'[3]Jet Blue'!$GX$27</f>
        <v>45</v>
      </c>
      <c r="I9" s="12">
        <f>[3]KLM!$GX$27+[3]KLM!$GX$37</f>
        <v>0</v>
      </c>
      <c r="J9" s="12">
        <f>'Other Major Airline Stats'!K10</f>
        <v>2098</v>
      </c>
      <c r="K9" s="373">
        <f>SUM(B9:J9)</f>
        <v>15515</v>
      </c>
    </row>
    <row r="10" spans="1:20" x14ac:dyDescent="0.2">
      <c r="A10" s="38" t="s">
        <v>33</v>
      </c>
      <c r="B10" s="7">
        <f>[3]American!$GX$28</f>
        <v>1281</v>
      </c>
      <c r="C10" s="7">
        <f>[3]Delta!$GX$28+[3]Delta!$GX$38</f>
        <v>11412</v>
      </c>
      <c r="D10" s="7">
        <f>[3]United!$GX$28</f>
        <v>515</v>
      </c>
      <c r="E10" s="7">
        <f>[3]Spirit!$GX$28</f>
        <v>106</v>
      </c>
      <c r="F10" s="7">
        <f>[3]Condor!$GX$28</f>
        <v>0</v>
      </c>
      <c r="G10" s="7">
        <f>'[3]Air France'!$GX$28</f>
        <v>0</v>
      </c>
      <c r="H10" s="7">
        <f>'[3]Jet Blue'!$GX$28</f>
        <v>51</v>
      </c>
      <c r="I10" s="7">
        <f>[3]KLM!$GX$28+[3]KLM!$GX$38</f>
        <v>0</v>
      </c>
      <c r="J10" s="7">
        <f>'Other Major Airline Stats'!K11</f>
        <v>2221</v>
      </c>
      <c r="K10" s="374">
        <f>SUM(B10:J10)</f>
        <v>15586</v>
      </c>
    </row>
    <row r="11" spans="1:20" ht="15.75" thickBot="1" x14ac:dyDescent="0.3">
      <c r="A11" s="39" t="s">
        <v>34</v>
      </c>
      <c r="B11" s="187">
        <f t="shared" ref="B11:J11" si="3">SUM(B9:B10)</f>
        <v>2489</v>
      </c>
      <c r="C11" s="187">
        <f t="shared" si="3"/>
        <v>22959</v>
      </c>
      <c r="D11" s="187">
        <f t="shared" si="3"/>
        <v>1045</v>
      </c>
      <c r="E11" s="187">
        <f t="shared" si="3"/>
        <v>193</v>
      </c>
      <c r="F11" s="187">
        <f t="shared" ref="F11:I11" si="4">SUM(F9:F10)</f>
        <v>0</v>
      </c>
      <c r="G11" s="187">
        <f t="shared" si="4"/>
        <v>0</v>
      </c>
      <c r="H11" s="187">
        <f t="shared" ref="H11" si="5">SUM(H9:H10)</f>
        <v>96</v>
      </c>
      <c r="I11" s="187">
        <f t="shared" si="4"/>
        <v>0</v>
      </c>
      <c r="J11" s="187">
        <f t="shared" si="3"/>
        <v>4319</v>
      </c>
      <c r="K11" s="376">
        <f>SUM(B11:J11)</f>
        <v>31101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7"/>
    </row>
    <row r="15" spans="1:20" x14ac:dyDescent="0.2">
      <c r="A15" s="38" t="s">
        <v>22</v>
      </c>
      <c r="B15" s="12">
        <f>[3]American!$GX$4</f>
        <v>253</v>
      </c>
      <c r="C15" s="12">
        <f>[3]Delta!$GX$4+[3]Delta!$GX$15</f>
        <v>3003</v>
      </c>
      <c r="D15" s="12">
        <f>[3]United!$GX$4</f>
        <v>78</v>
      </c>
      <c r="E15" s="12">
        <f>[3]Spirit!$GX$4</f>
        <v>76</v>
      </c>
      <c r="F15" s="12">
        <f>[3]Condor!$GX$4</f>
        <v>0</v>
      </c>
      <c r="G15" s="12">
        <f>'[3]Air France'!$GX$4</f>
        <v>0</v>
      </c>
      <c r="H15" s="12">
        <f>'[3]Jet Blue'!$GX$4</f>
        <v>13</v>
      </c>
      <c r="I15" s="12">
        <f>[3]KLM!$GX$4+[3]KLM!$GX$15</f>
        <v>0</v>
      </c>
      <c r="J15" s="12">
        <f>'Other Major Airline Stats'!K16</f>
        <v>843</v>
      </c>
      <c r="K15" s="373">
        <f>SUM(B15:J15)</f>
        <v>4266</v>
      </c>
    </row>
    <row r="16" spans="1:20" x14ac:dyDescent="0.2">
      <c r="A16" s="38" t="s">
        <v>23</v>
      </c>
      <c r="B16" s="7">
        <f>[3]American!$GX$5</f>
        <v>254</v>
      </c>
      <c r="C16" s="7">
        <f>[3]Delta!$GX$5+[3]Delta!$GX$16</f>
        <v>3005</v>
      </c>
      <c r="D16" s="7">
        <f>[3]United!$GX$5</f>
        <v>78</v>
      </c>
      <c r="E16" s="7">
        <f>[3]Spirit!$GX$5</f>
        <v>76</v>
      </c>
      <c r="F16" s="7">
        <f>[3]Condor!$GX$5</f>
        <v>0</v>
      </c>
      <c r="G16" s="7">
        <f>'[3]Air France'!$GX$5</f>
        <v>0</v>
      </c>
      <c r="H16" s="7">
        <f>'[3]Jet Blue'!$GX$5</f>
        <v>13</v>
      </c>
      <c r="I16" s="7">
        <f>[3]KLM!$GX$5+[3]KLM!$GX$16</f>
        <v>0</v>
      </c>
      <c r="J16" s="7">
        <f>'Other Major Airline Stats'!K17</f>
        <v>843</v>
      </c>
      <c r="K16" s="374">
        <f>SUM(B16:J16)</f>
        <v>4269</v>
      </c>
    </row>
    <row r="17" spans="1:11" x14ac:dyDescent="0.2">
      <c r="A17" s="38" t="s">
        <v>24</v>
      </c>
      <c r="B17" s="189">
        <f t="shared" ref="B17:J17" si="6">SUM(B15:B16)</f>
        <v>507</v>
      </c>
      <c r="C17" s="188">
        <f t="shared" si="6"/>
        <v>6008</v>
      </c>
      <c r="D17" s="188">
        <f t="shared" si="6"/>
        <v>156</v>
      </c>
      <c r="E17" s="188">
        <f t="shared" si="6"/>
        <v>152</v>
      </c>
      <c r="F17" s="188">
        <f t="shared" ref="F17:I17" si="7">SUM(F15:F16)</f>
        <v>0</v>
      </c>
      <c r="G17" s="188">
        <f t="shared" si="7"/>
        <v>0</v>
      </c>
      <c r="H17" s="188">
        <f t="shared" ref="H17" si="8">SUM(H15:H16)</f>
        <v>26</v>
      </c>
      <c r="I17" s="188">
        <f t="shared" si="7"/>
        <v>0</v>
      </c>
      <c r="J17" s="188">
        <f t="shared" si="6"/>
        <v>1686</v>
      </c>
      <c r="K17" s="378">
        <f>SUM(B17:J17)</f>
        <v>8535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3"/>
    </row>
    <row r="19" spans="1:11" x14ac:dyDescent="0.2">
      <c r="A19" s="38" t="s">
        <v>25</v>
      </c>
      <c r="B19" s="12">
        <f>[3]American!$GX$8</f>
        <v>0</v>
      </c>
      <c r="C19" s="12">
        <f>[3]Delta!$GX$8</f>
        <v>1</v>
      </c>
      <c r="D19" s="12">
        <f>[3]United!$GX$8</f>
        <v>0</v>
      </c>
      <c r="E19" s="12">
        <f>[3]Spirit!$GX$8</f>
        <v>0</v>
      </c>
      <c r="F19" s="12">
        <f>[3]Condor!$GX$8</f>
        <v>0</v>
      </c>
      <c r="G19" s="12">
        <f>'[3]Air France'!$GX$8</f>
        <v>0</v>
      </c>
      <c r="H19" s="12">
        <f>'[3]Jet Blue'!$GX$8</f>
        <v>0</v>
      </c>
      <c r="I19" s="12">
        <f>[3]KLM!$GX$8</f>
        <v>0</v>
      </c>
      <c r="J19" s="12">
        <f>'Other Major Airline Stats'!K20</f>
        <v>59</v>
      </c>
      <c r="K19" s="373">
        <f>SUM(B19:J19)</f>
        <v>60</v>
      </c>
    </row>
    <row r="20" spans="1:11" x14ac:dyDescent="0.2">
      <c r="A20" s="38" t="s">
        <v>26</v>
      </c>
      <c r="B20" s="7">
        <f>[3]American!$GX$9</f>
        <v>0</v>
      </c>
      <c r="C20" s="7">
        <f>[3]Delta!$GX$9</f>
        <v>2</v>
      </c>
      <c r="D20" s="7">
        <f>[3]United!$GX$9</f>
        <v>0</v>
      </c>
      <c r="E20" s="7">
        <f>[3]Spirit!$GX$9</f>
        <v>0</v>
      </c>
      <c r="F20" s="7">
        <f>[3]Condor!$GX$9</f>
        <v>0</v>
      </c>
      <c r="G20" s="7">
        <f>'[3]Air France'!$GX$9</f>
        <v>0</v>
      </c>
      <c r="H20" s="7">
        <f>'[3]Jet Blue'!$GX$9</f>
        <v>0</v>
      </c>
      <c r="I20" s="7">
        <f>[3]KLM!$GX$9</f>
        <v>0</v>
      </c>
      <c r="J20" s="7">
        <f>'Other Major Airline Stats'!K21</f>
        <v>55</v>
      </c>
      <c r="K20" s="374">
        <f>SUM(B20:J20)</f>
        <v>57</v>
      </c>
    </row>
    <row r="21" spans="1:11" x14ac:dyDescent="0.2">
      <c r="A21" s="38" t="s">
        <v>27</v>
      </c>
      <c r="B21" s="189">
        <f t="shared" ref="B21:J21" si="9">SUM(B19:B20)</f>
        <v>0</v>
      </c>
      <c r="C21" s="188">
        <f t="shared" si="9"/>
        <v>3</v>
      </c>
      <c r="D21" s="188">
        <f t="shared" si="9"/>
        <v>0</v>
      </c>
      <c r="E21" s="188">
        <f t="shared" si="9"/>
        <v>0</v>
      </c>
      <c r="F21" s="188">
        <f t="shared" ref="F21:I21" si="10">SUM(F19:F20)</f>
        <v>0</v>
      </c>
      <c r="G21" s="188">
        <f t="shared" si="10"/>
        <v>0</v>
      </c>
      <c r="H21" s="188">
        <f t="shared" ref="H21" si="11">SUM(H19:H20)</f>
        <v>0</v>
      </c>
      <c r="I21" s="188">
        <f t="shared" si="10"/>
        <v>0</v>
      </c>
      <c r="J21" s="188">
        <f t="shared" si="9"/>
        <v>114</v>
      </c>
      <c r="K21" s="379">
        <f>SUM(B21:J21)</f>
        <v>117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3"/>
    </row>
    <row r="23" spans="1:11" ht="15.75" thickBot="1" x14ac:dyDescent="0.3">
      <c r="A23" s="39" t="s">
        <v>28</v>
      </c>
      <c r="B23" s="16">
        <f t="shared" ref="B23:J23" si="12">B17+B21</f>
        <v>507</v>
      </c>
      <c r="C23" s="16">
        <f t="shared" si="12"/>
        <v>6011</v>
      </c>
      <c r="D23" s="16">
        <f t="shared" si="12"/>
        <v>156</v>
      </c>
      <c r="E23" s="16">
        <f>E17+E21</f>
        <v>152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26</v>
      </c>
      <c r="I23" s="16">
        <f t="shared" si="13"/>
        <v>0</v>
      </c>
      <c r="J23" s="16">
        <f t="shared" si="12"/>
        <v>1800</v>
      </c>
      <c r="K23" s="376">
        <f>SUM(B23:J23)</f>
        <v>8652</v>
      </c>
    </row>
    <row r="25" spans="1:11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0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[3]American!$GX$47</f>
        <v>29183</v>
      </c>
      <c r="C28" s="12">
        <f>[3]Delta!$GX$47</f>
        <v>496166</v>
      </c>
      <c r="D28" s="12">
        <f>[3]United!$GX$47</f>
        <v>36187</v>
      </c>
      <c r="E28" s="12">
        <f>[3]Spirit!$GX$47</f>
        <v>0</v>
      </c>
      <c r="F28" s="12">
        <f>[3]Condor!$GX$47</f>
        <v>0</v>
      </c>
      <c r="G28" s="12">
        <f>'[3]Air France'!$GX$47</f>
        <v>0</v>
      </c>
      <c r="H28" s="12">
        <f>'[3]Jet Blue'!$GX$47</f>
        <v>0</v>
      </c>
      <c r="I28" s="12">
        <f>[3]KLM!$GX$47</f>
        <v>0</v>
      </c>
      <c r="J28" s="12">
        <f>'Other Major Airline Stats'!K28</f>
        <v>263276</v>
      </c>
      <c r="K28" s="373">
        <f>SUM(B28:J28)</f>
        <v>824812</v>
      </c>
    </row>
    <row r="29" spans="1:11" x14ac:dyDescent="0.2">
      <c r="A29" s="38" t="s">
        <v>38</v>
      </c>
      <c r="B29" s="7">
        <f>[3]American!$GX$48</f>
        <v>65167</v>
      </c>
      <c r="C29" s="7">
        <f>[3]Delta!$GX$48</f>
        <v>1256494</v>
      </c>
      <c r="D29" s="7">
        <f>[3]United!$GX$48</f>
        <v>3320</v>
      </c>
      <c r="E29" s="7">
        <f>[3]Spirit!$GX$48</f>
        <v>0</v>
      </c>
      <c r="F29" s="7">
        <f>[3]Condor!$GX$48</f>
        <v>0</v>
      </c>
      <c r="G29" s="7">
        <f>'[3]Air France'!$GX$48</f>
        <v>0</v>
      </c>
      <c r="H29" s="7">
        <f>'[3]Jet Blue'!$GX$48</f>
        <v>0</v>
      </c>
      <c r="I29" s="7">
        <f>[3]KLM!$GX$48</f>
        <v>0</v>
      </c>
      <c r="J29" s="7">
        <f>'Other Major Airline Stats'!K29</f>
        <v>113099</v>
      </c>
      <c r="K29" s="374">
        <f>SUM(B29:J29)</f>
        <v>1438080</v>
      </c>
    </row>
    <row r="30" spans="1:11" x14ac:dyDescent="0.2">
      <c r="A30" s="42" t="s">
        <v>39</v>
      </c>
      <c r="B30" s="189">
        <f t="shared" ref="B30:J30" si="15">SUM(B28:B29)</f>
        <v>94350</v>
      </c>
      <c r="C30" s="189">
        <f t="shared" si="15"/>
        <v>1752660</v>
      </c>
      <c r="D30" s="189">
        <f t="shared" si="15"/>
        <v>39507</v>
      </c>
      <c r="E30" s="189">
        <f t="shared" si="15"/>
        <v>0</v>
      </c>
      <c r="F30" s="189">
        <f t="shared" ref="F30:I30" si="16">SUM(F28:F29)</f>
        <v>0</v>
      </c>
      <c r="G30" s="189">
        <f t="shared" si="16"/>
        <v>0</v>
      </c>
      <c r="H30" s="189">
        <f t="shared" ref="H30" si="17">SUM(H28:H29)</f>
        <v>0</v>
      </c>
      <c r="I30" s="189">
        <f t="shared" si="16"/>
        <v>0</v>
      </c>
      <c r="J30" s="189">
        <f t="shared" si="15"/>
        <v>376375</v>
      </c>
      <c r="K30" s="373">
        <f>SUM(B30:J30)</f>
        <v>2262892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3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3">
        <f t="shared" ref="K32:K40" si="18">SUM(B32:J32)</f>
        <v>0</v>
      </c>
    </row>
    <row r="33" spans="1:11" x14ac:dyDescent="0.2">
      <c r="A33" s="38" t="s">
        <v>37</v>
      </c>
      <c r="B33" s="12">
        <f>[3]American!$GX$52</f>
        <v>3839</v>
      </c>
      <c r="C33" s="12">
        <f>[3]Delta!$GX$52</f>
        <v>239480</v>
      </c>
      <c r="D33" s="12">
        <f>[3]United!$GX$52</f>
        <v>21307</v>
      </c>
      <c r="E33" s="12">
        <f>[3]Spirit!$GX$52</f>
        <v>0</v>
      </c>
      <c r="F33" s="12">
        <f>[3]Condor!$GX$52</f>
        <v>0</v>
      </c>
      <c r="G33" s="12">
        <f>'[3]Air France'!$GX$52</f>
        <v>0</v>
      </c>
      <c r="H33" s="12">
        <f>'[3]Jet Blue'!$GX$52</f>
        <v>0</v>
      </c>
      <c r="I33" s="12">
        <f>[3]KLM!$GX$52</f>
        <v>0</v>
      </c>
      <c r="J33" s="12">
        <f>'Other Major Airline Stats'!K33</f>
        <v>65172</v>
      </c>
      <c r="K33" s="373">
        <f t="shared" si="18"/>
        <v>329798</v>
      </c>
    </row>
    <row r="34" spans="1:11" x14ac:dyDescent="0.2">
      <c r="A34" s="38" t="s">
        <v>38</v>
      </c>
      <c r="B34" s="7">
        <f>[3]American!$GX$53</f>
        <v>64460</v>
      </c>
      <c r="C34" s="7">
        <f>[3]Delta!$GX$53</f>
        <v>1203071</v>
      </c>
      <c r="D34" s="7">
        <f>[3]United!$GX$53</f>
        <v>9538</v>
      </c>
      <c r="E34" s="7">
        <f>[3]Spirit!$GX$53</f>
        <v>0</v>
      </c>
      <c r="F34" s="7">
        <f>[3]Condor!$GX$53</f>
        <v>0</v>
      </c>
      <c r="G34" s="7">
        <f>'[3]Air France'!$GX$53</f>
        <v>0</v>
      </c>
      <c r="H34" s="7">
        <f>'[3]Jet Blue'!$GX$53</f>
        <v>0</v>
      </c>
      <c r="I34" s="7">
        <f>[3]KLM!$GX$53</f>
        <v>0</v>
      </c>
      <c r="J34" s="7">
        <f>'Other Major Airline Stats'!K34</f>
        <v>218</v>
      </c>
      <c r="K34" s="374">
        <f t="shared" si="18"/>
        <v>1277287</v>
      </c>
    </row>
    <row r="35" spans="1:11" x14ac:dyDescent="0.2">
      <c r="A35" s="42" t="s">
        <v>41</v>
      </c>
      <c r="B35" s="189">
        <f t="shared" ref="B35:J35" si="19">SUM(B33:B34)</f>
        <v>68299</v>
      </c>
      <c r="C35" s="189">
        <f t="shared" si="19"/>
        <v>1442551</v>
      </c>
      <c r="D35" s="189">
        <f t="shared" si="19"/>
        <v>30845</v>
      </c>
      <c r="E35" s="189">
        <f t="shared" si="19"/>
        <v>0</v>
      </c>
      <c r="F35" s="189">
        <f t="shared" ref="F35:I35" si="20">SUM(F33:F34)</f>
        <v>0</v>
      </c>
      <c r="G35" s="189">
        <f t="shared" si="20"/>
        <v>0</v>
      </c>
      <c r="H35" s="189">
        <f t="shared" ref="H35" si="21">SUM(H33:H34)</f>
        <v>0</v>
      </c>
      <c r="I35" s="189">
        <f t="shared" si="20"/>
        <v>0</v>
      </c>
      <c r="J35" s="189">
        <f t="shared" si="19"/>
        <v>65390</v>
      </c>
      <c r="K35" s="373">
        <f t="shared" si="18"/>
        <v>1607085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3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3">
        <f t="shared" si="18"/>
        <v>0</v>
      </c>
    </row>
    <row r="38" spans="1:11" hidden="1" x14ac:dyDescent="0.2">
      <c r="A38" s="38" t="s">
        <v>37</v>
      </c>
      <c r="B38" s="12">
        <f>[3]American!$GX$57</f>
        <v>0</v>
      </c>
      <c r="C38" s="12">
        <f>[3]Delta!$GX$57</f>
        <v>0</v>
      </c>
      <c r="D38" s="12">
        <f>[3]United!$GX$57</f>
        <v>0</v>
      </c>
      <c r="E38" s="12">
        <f>[3]Spirit!$GX$57</f>
        <v>0</v>
      </c>
      <c r="F38" s="12">
        <f>[3]Condor!$GX$57</f>
        <v>0</v>
      </c>
      <c r="G38" s="12">
        <f>'[3]Air France'!$GX$57</f>
        <v>0</v>
      </c>
      <c r="H38" s="12">
        <f>'[3]Jet Blue'!$GX$57</f>
        <v>0</v>
      </c>
      <c r="I38" s="12">
        <f>[3]KLM!$GX$57</f>
        <v>0</v>
      </c>
      <c r="J38" s="12">
        <f>'Other Major Airline Stats'!K38</f>
        <v>0</v>
      </c>
      <c r="K38" s="373">
        <f t="shared" si="18"/>
        <v>0</v>
      </c>
    </row>
    <row r="39" spans="1:11" hidden="1" x14ac:dyDescent="0.2">
      <c r="A39" s="38" t="s">
        <v>38</v>
      </c>
      <c r="B39" s="7">
        <f>[3]American!$GX$58</f>
        <v>0</v>
      </c>
      <c r="C39" s="7">
        <f>[3]Delta!$GX$58</f>
        <v>0</v>
      </c>
      <c r="D39" s="7">
        <f>[3]United!$GX$58</f>
        <v>0</v>
      </c>
      <c r="E39" s="7">
        <f>[3]Spirit!$GX$58</f>
        <v>0</v>
      </c>
      <c r="F39" s="7">
        <f>[3]Condor!$GX$58</f>
        <v>0</v>
      </c>
      <c r="G39" s="7">
        <f>'[3]Air France'!$GX$58</f>
        <v>0</v>
      </c>
      <c r="H39" s="7">
        <f>'[3]Jet Blue'!$GX$58</f>
        <v>0</v>
      </c>
      <c r="I39" s="7">
        <f>[3]KLM!$GX$58</f>
        <v>0</v>
      </c>
      <c r="J39" s="7">
        <f>'Other Major Airline Stats'!K39</f>
        <v>0</v>
      </c>
      <c r="K39" s="374">
        <f t="shared" si="18"/>
        <v>0</v>
      </c>
    </row>
    <row r="40" spans="1:11" hidden="1" x14ac:dyDescent="0.2">
      <c r="A40" s="42" t="s">
        <v>43</v>
      </c>
      <c r="B40" s="189">
        <f t="shared" ref="B40:J40" si="22">SUM(B38:B39)</f>
        <v>0</v>
      </c>
      <c r="C40" s="189">
        <f t="shared" si="22"/>
        <v>0</v>
      </c>
      <c r="D40" s="189">
        <f t="shared" si="22"/>
        <v>0</v>
      </c>
      <c r="E40" s="189">
        <f t="shared" si="22"/>
        <v>0</v>
      </c>
      <c r="F40" s="189">
        <f t="shared" ref="F40:I40" si="23">SUM(F38:F39)</f>
        <v>0</v>
      </c>
      <c r="G40" s="189">
        <f t="shared" si="23"/>
        <v>0</v>
      </c>
      <c r="H40" s="189">
        <f t="shared" ref="H40" si="24">SUM(H38:H39)</f>
        <v>0</v>
      </c>
      <c r="I40" s="189">
        <f t="shared" si="23"/>
        <v>0</v>
      </c>
      <c r="J40" s="189">
        <f t="shared" si="22"/>
        <v>0</v>
      </c>
      <c r="K40" s="373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3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3">
        <f>SUM(B42:J42)</f>
        <v>0</v>
      </c>
    </row>
    <row r="43" spans="1:11" x14ac:dyDescent="0.2">
      <c r="A43" s="38" t="s">
        <v>45</v>
      </c>
      <c r="B43" s="12">
        <f t="shared" ref="B43:J44" si="25">B28+B33+B38</f>
        <v>33022</v>
      </c>
      <c r="C43" s="12">
        <f t="shared" si="25"/>
        <v>735646</v>
      </c>
      <c r="D43" s="12">
        <f t="shared" si="25"/>
        <v>57494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328448</v>
      </c>
      <c r="K43" s="373">
        <f>SUM(B43:J43)</f>
        <v>1154610</v>
      </c>
    </row>
    <row r="44" spans="1:11" x14ac:dyDescent="0.2">
      <c r="A44" s="38" t="s">
        <v>38</v>
      </c>
      <c r="B44" s="7">
        <f t="shared" si="25"/>
        <v>129627</v>
      </c>
      <c r="C44" s="7">
        <f t="shared" si="25"/>
        <v>2459565</v>
      </c>
      <c r="D44" s="7">
        <f t="shared" si="25"/>
        <v>12858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113317</v>
      </c>
      <c r="K44" s="373">
        <f>SUM(B44:J44)</f>
        <v>2715367</v>
      </c>
    </row>
    <row r="45" spans="1:11" ht="15.75" thickBot="1" x14ac:dyDescent="0.3">
      <c r="A45" s="39" t="s">
        <v>46</v>
      </c>
      <c r="B45" s="190">
        <f t="shared" ref="B45:J45" si="30">SUM(B43:B44)</f>
        <v>162649</v>
      </c>
      <c r="C45" s="190">
        <f t="shared" si="30"/>
        <v>3195211</v>
      </c>
      <c r="D45" s="190">
        <f t="shared" si="30"/>
        <v>70352</v>
      </c>
      <c r="E45" s="190">
        <f t="shared" si="30"/>
        <v>0</v>
      </c>
      <c r="F45" s="190">
        <f t="shared" ref="F45:I45" si="31">SUM(F43:F44)</f>
        <v>0</v>
      </c>
      <c r="G45" s="190">
        <f t="shared" si="31"/>
        <v>0</v>
      </c>
      <c r="H45" s="190">
        <f t="shared" ref="H45" si="32">SUM(H43:H44)</f>
        <v>0</v>
      </c>
      <c r="I45" s="190">
        <f t="shared" si="31"/>
        <v>0</v>
      </c>
      <c r="J45" s="190">
        <f t="shared" si="30"/>
        <v>441765</v>
      </c>
      <c r="K45" s="381">
        <f>SUM(B45:J45)</f>
        <v>3869977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5" t="s">
        <v>122</v>
      </c>
      <c r="C47" s="213">
        <f>[3]Delta!$GX$70+[3]Delta!$GX$73</f>
        <v>110634</v>
      </c>
      <c r="D47" s="201"/>
      <c r="E47" s="201"/>
      <c r="F47" s="201"/>
      <c r="G47" s="201"/>
      <c r="H47" s="201"/>
      <c r="I47" s="201"/>
      <c r="J47" s="201"/>
      <c r="K47" s="202">
        <f>SUM(B47:J47)</f>
        <v>110634</v>
      </c>
    </row>
    <row r="48" spans="1:11" hidden="1" x14ac:dyDescent="0.2">
      <c r="A48" s="256" t="s">
        <v>123</v>
      </c>
      <c r="C48" s="213">
        <f>[3]Delta!$GX$71+[3]Delta!$GX$74</f>
        <v>120081</v>
      </c>
      <c r="D48" s="201"/>
      <c r="E48" s="201"/>
      <c r="F48" s="201"/>
      <c r="G48" s="201"/>
      <c r="H48" s="201"/>
      <c r="I48" s="201"/>
      <c r="J48" s="201"/>
      <c r="K48" s="202">
        <f>SUM(B48:J48)</f>
        <v>120081</v>
      </c>
    </row>
    <row r="49" spans="1:11" hidden="1" x14ac:dyDescent="0.2">
      <c r="A49" s="257" t="s">
        <v>124</v>
      </c>
      <c r="C49" s="214">
        <f>SUM(C47:C48)</f>
        <v>230715</v>
      </c>
      <c r="K49" s="202">
        <f>SUM(B49:J49)</f>
        <v>230715</v>
      </c>
    </row>
    <row r="50" spans="1:11" x14ac:dyDescent="0.2">
      <c r="A50" s="255" t="s">
        <v>122</v>
      </c>
      <c r="B50" s="265"/>
      <c r="C50" s="216">
        <f>[3]Delta!$GX$70+[3]Delta!$GX$73</f>
        <v>110634</v>
      </c>
      <c r="D50" s="265"/>
      <c r="E50" s="216">
        <f>[3]Spirit!$GX$70+[3]Spirit!$GX$73</f>
        <v>0</v>
      </c>
      <c r="F50" s="265"/>
      <c r="G50" s="265"/>
      <c r="H50" s="265"/>
      <c r="I50" s="265"/>
      <c r="J50" s="215">
        <f>'Other Major Airline Stats'!K48</f>
        <v>61706</v>
      </c>
      <c r="K50" s="205">
        <f>SUM(B50:J50)</f>
        <v>172340</v>
      </c>
    </row>
    <row r="51" spans="1:11" x14ac:dyDescent="0.2">
      <c r="A51" s="267" t="s">
        <v>123</v>
      </c>
      <c r="B51" s="265"/>
      <c r="C51" s="216">
        <f>[3]Delta!$GX$71+[3]Delta!$GX$74</f>
        <v>120081</v>
      </c>
      <c r="D51" s="265"/>
      <c r="E51" s="216">
        <f>[3]Spirit!$GX$71+[3]Spirit!$GX$74</f>
        <v>0</v>
      </c>
      <c r="F51" s="265"/>
      <c r="G51" s="265"/>
      <c r="H51" s="265"/>
      <c r="I51" s="265"/>
      <c r="J51" s="215">
        <f>+'Other Major Airline Stats'!K49</f>
        <v>18</v>
      </c>
      <c r="K51" s="205">
        <f>SUM(B51:J51)</f>
        <v>120099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P23" sqref="P23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258">
        <v>44075</v>
      </c>
      <c r="B2" s="429" t="s">
        <v>47</v>
      </c>
      <c r="C2" s="431" t="s">
        <v>179</v>
      </c>
      <c r="D2" s="431" t="s">
        <v>242</v>
      </c>
      <c r="E2" s="431" t="s">
        <v>211</v>
      </c>
      <c r="F2" s="431" t="s">
        <v>224</v>
      </c>
      <c r="G2" s="429" t="s">
        <v>48</v>
      </c>
      <c r="H2" s="431" t="s">
        <v>130</v>
      </c>
      <c r="I2" s="431" t="s">
        <v>49</v>
      </c>
      <c r="J2" s="431" t="s">
        <v>129</v>
      </c>
      <c r="K2" s="113" t="s">
        <v>61</v>
      </c>
    </row>
    <row r="3" spans="1:14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382"/>
    </row>
    <row r="4" spans="1:14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383"/>
    </row>
    <row r="5" spans="1:14" x14ac:dyDescent="0.2">
      <c r="A5" s="38" t="s">
        <v>30</v>
      </c>
      <c r="B5" s="83">
        <f>[3]Frontier!$GX$22</f>
        <v>7738</v>
      </c>
      <c r="C5" s="83">
        <f>'[3]Air Choice One'!$GX$22</f>
        <v>105</v>
      </c>
      <c r="D5" s="83">
        <f>'[3]Boutique Air'!$GX$22</f>
        <v>90</v>
      </c>
      <c r="E5" s="83">
        <f>'[3]Aer Lingus'!$GX$32</f>
        <v>0</v>
      </c>
      <c r="F5" s="83">
        <f>'[3]Denver Air'!$GX$22</f>
        <v>173</v>
      </c>
      <c r="G5" s="83">
        <f>[3]Icelandair!$GX$32</f>
        <v>0</v>
      </c>
      <c r="H5" s="83">
        <f>[3]Southwest!$GX$22</f>
        <v>22855</v>
      </c>
      <c r="I5" s="83">
        <f>'[3]Sun Country'!$GX$22+'[3]Sun Country'!$GX$32</f>
        <v>39053</v>
      </c>
      <c r="J5" s="83">
        <f>[3]Alaska!$GX$22</f>
        <v>4640</v>
      </c>
      <c r="K5" s="384">
        <f>SUM(B5:J5)</f>
        <v>74654</v>
      </c>
      <c r="N5" s="83"/>
    </row>
    <row r="6" spans="1:14" x14ac:dyDescent="0.2">
      <c r="A6" s="38" t="s">
        <v>31</v>
      </c>
      <c r="B6" s="83">
        <f>[3]Frontier!$GX$23</f>
        <v>7713</v>
      </c>
      <c r="C6" s="83">
        <f>'[3]Air Choice One'!$GX$23</f>
        <v>114</v>
      </c>
      <c r="D6" s="83">
        <f>'[3]Boutique Air'!$GX$23</f>
        <v>68</v>
      </c>
      <c r="E6" s="83">
        <f>'[3]Aer Lingus'!$GX$33</f>
        <v>0</v>
      </c>
      <c r="F6" s="83">
        <f>'[3]Denver Air'!$GX$23</f>
        <v>111</v>
      </c>
      <c r="G6" s="83">
        <f>[3]Icelandair!$GX$33</f>
        <v>0</v>
      </c>
      <c r="H6" s="83">
        <f>[3]Southwest!$GX$23</f>
        <v>22651</v>
      </c>
      <c r="I6" s="83">
        <f>'[3]Sun Country'!$GX$23+'[3]Sun Country'!$GX$33</f>
        <v>39073</v>
      </c>
      <c r="J6" s="83">
        <f>[3]Alaska!$GX$23</f>
        <v>4453</v>
      </c>
      <c r="K6" s="384">
        <f>SUM(B6:J6)</f>
        <v>74183</v>
      </c>
    </row>
    <row r="7" spans="1:14" ht="15" x14ac:dyDescent="0.25">
      <c r="A7" s="36" t="s">
        <v>7</v>
      </c>
      <c r="B7" s="101">
        <f t="shared" ref="B7:J7" si="0">SUM(B5:B6)</f>
        <v>15451</v>
      </c>
      <c r="C7" s="101">
        <f t="shared" ref="C7:F7" si="1">SUM(C5:C6)</f>
        <v>219</v>
      </c>
      <c r="D7" s="101">
        <f t="shared" ref="D7" si="2">SUM(D5:D6)</f>
        <v>158</v>
      </c>
      <c r="E7" s="101">
        <f t="shared" si="1"/>
        <v>0</v>
      </c>
      <c r="F7" s="101">
        <f t="shared" si="1"/>
        <v>284</v>
      </c>
      <c r="G7" s="101">
        <f t="shared" si="0"/>
        <v>0</v>
      </c>
      <c r="H7" s="101">
        <f t="shared" si="0"/>
        <v>45506</v>
      </c>
      <c r="I7" s="101">
        <f>SUM(I5:I6)</f>
        <v>78126</v>
      </c>
      <c r="J7" s="101">
        <f t="shared" si="0"/>
        <v>9093</v>
      </c>
      <c r="K7" s="385">
        <f>SUM(B7:J7)</f>
        <v>148837</v>
      </c>
    </row>
    <row r="8" spans="1:14" x14ac:dyDescent="0.2">
      <c r="A8" s="38"/>
      <c r="B8" s="100"/>
      <c r="C8" s="100"/>
      <c r="D8" s="100"/>
      <c r="E8" s="100"/>
      <c r="F8" s="100"/>
      <c r="G8" s="100"/>
      <c r="H8" s="100"/>
      <c r="I8" s="100"/>
      <c r="J8" s="100"/>
      <c r="K8" s="384"/>
    </row>
    <row r="9" spans="1:14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100"/>
      <c r="K9" s="384"/>
    </row>
    <row r="10" spans="1:14" x14ac:dyDescent="0.2">
      <c r="A10" s="38" t="s">
        <v>30</v>
      </c>
      <c r="B10" s="100">
        <f>[3]Frontier!$GX$27</f>
        <v>98</v>
      </c>
      <c r="C10" s="100">
        <f>'[3]Air Choice One'!$GX$27</f>
        <v>0</v>
      </c>
      <c r="D10" s="100">
        <f>'[3]Boutique Air'!$GX$27</f>
        <v>0</v>
      </c>
      <c r="E10" s="100">
        <f>'[3]Aer Lingus'!$GX$37</f>
        <v>0</v>
      </c>
      <c r="F10" s="100">
        <f>'[3]Denver Air'!$GX$27</f>
        <v>15</v>
      </c>
      <c r="G10" s="100">
        <f>[3]Icelandair!$GX$37</f>
        <v>0</v>
      </c>
      <c r="H10" s="100">
        <f>[3]Southwest!$GX$27</f>
        <v>793</v>
      </c>
      <c r="I10" s="100">
        <f>'[3]Sun Country'!$GX$27+'[3]Sun Country'!$GX$37</f>
        <v>960</v>
      </c>
      <c r="J10" s="100">
        <f>[3]Alaska!$GX$27</f>
        <v>232</v>
      </c>
      <c r="K10" s="384">
        <f>SUM(B10:J10)</f>
        <v>2098</v>
      </c>
    </row>
    <row r="11" spans="1:14" x14ac:dyDescent="0.2">
      <c r="A11" s="38" t="s">
        <v>33</v>
      </c>
      <c r="B11" s="102">
        <f>[3]Frontier!$GX$28</f>
        <v>114</v>
      </c>
      <c r="C11" s="102">
        <f>'[3]Air Choice One'!$GX$28</f>
        <v>0</v>
      </c>
      <c r="D11" s="102">
        <f>'[3]Boutique Air'!$GX$28</f>
        <v>0</v>
      </c>
      <c r="E11" s="102">
        <f>'[3]Aer Lingus'!$GX$38</f>
        <v>0</v>
      </c>
      <c r="F11" s="102">
        <f>'[3]Denver Air'!$GX$28</f>
        <v>14</v>
      </c>
      <c r="G11" s="102">
        <f>[3]Icelandair!$GX$38</f>
        <v>0</v>
      </c>
      <c r="H11" s="102">
        <f>[3]Southwest!$GX$28</f>
        <v>862</v>
      </c>
      <c r="I11" s="102">
        <f>'[3]Sun Country'!$GX$28+'[3]Sun Country'!$GX$38</f>
        <v>1007</v>
      </c>
      <c r="J11" s="102">
        <f>[3]Alaska!$GX$28</f>
        <v>224</v>
      </c>
      <c r="K11" s="384">
        <f>SUM(B11:J11)</f>
        <v>2221</v>
      </c>
    </row>
    <row r="12" spans="1:14" ht="15.75" thickBot="1" x14ac:dyDescent="0.3">
      <c r="A12" s="39" t="s">
        <v>34</v>
      </c>
      <c r="B12" s="99">
        <f t="shared" ref="B12:J12" si="3">SUM(B10:B11)</f>
        <v>212</v>
      </c>
      <c r="C12" s="99">
        <f t="shared" ref="C12:F12" si="4">SUM(C10:C11)</f>
        <v>0</v>
      </c>
      <c r="D12" s="99">
        <f t="shared" ref="D12" si="5">SUM(D10:D11)</f>
        <v>0</v>
      </c>
      <c r="E12" s="99">
        <f t="shared" si="4"/>
        <v>0</v>
      </c>
      <c r="F12" s="99">
        <f t="shared" si="4"/>
        <v>29</v>
      </c>
      <c r="G12" s="99">
        <f t="shared" si="3"/>
        <v>0</v>
      </c>
      <c r="H12" s="99">
        <f t="shared" si="3"/>
        <v>1655</v>
      </c>
      <c r="I12" s="99">
        <f>SUM(I10:I11)</f>
        <v>1967</v>
      </c>
      <c r="J12" s="99">
        <f t="shared" si="3"/>
        <v>456</v>
      </c>
      <c r="K12" s="386">
        <f>SUM(B12:J12)</f>
        <v>4319</v>
      </c>
      <c r="N12" s="83"/>
    </row>
    <row r="13" spans="1:14" ht="15" x14ac:dyDescent="0.25">
      <c r="A13" s="35"/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4" ht="13.5" thickBot="1" x14ac:dyDescent="0.25"/>
    <row r="15" spans="1:14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387"/>
    </row>
    <row r="16" spans="1:14" x14ac:dyDescent="0.2">
      <c r="A16" s="38" t="s">
        <v>22</v>
      </c>
      <c r="B16" s="83">
        <f>[3]Frontier!$GX$4</f>
        <v>60</v>
      </c>
      <c r="C16" s="76">
        <f>'[3]Air Choice One'!$GX$4</f>
        <v>74</v>
      </c>
      <c r="D16" s="76">
        <f>'[3]Boutique Air'!$GX$4</f>
        <v>25</v>
      </c>
      <c r="E16" s="83">
        <f>'[3]Aer Lingus'!$GX$15</f>
        <v>0</v>
      </c>
      <c r="F16" s="76">
        <f>'[3]Denver Air'!$GX$4</f>
        <v>52</v>
      </c>
      <c r="G16" s="83">
        <f>[3]Icelandair!$GX$15</f>
        <v>0</v>
      </c>
      <c r="H16" s="76">
        <f>[3]Southwest!$GX$4</f>
        <v>268</v>
      </c>
      <c r="I16" s="83">
        <f>'[3]Sun Country'!$GX$4+'[3]Sun Country'!$GX$15</f>
        <v>304</v>
      </c>
      <c r="J16" s="83">
        <f>[3]Alaska!$GX$4</f>
        <v>60</v>
      </c>
      <c r="K16" s="384">
        <f>SUM(B16:J16)</f>
        <v>843</v>
      </c>
    </row>
    <row r="17" spans="1:258" x14ac:dyDescent="0.2">
      <c r="A17" s="38" t="s">
        <v>23</v>
      </c>
      <c r="B17" s="83">
        <f>[3]Frontier!$GX$5</f>
        <v>60</v>
      </c>
      <c r="C17" s="76">
        <f>'[3]Air Choice One'!$GX$5</f>
        <v>74</v>
      </c>
      <c r="D17" s="76">
        <f>'[3]Boutique Air'!$GX$5</f>
        <v>25</v>
      </c>
      <c r="E17" s="83">
        <f>'[3]Aer Lingus'!$GX$16</f>
        <v>0</v>
      </c>
      <c r="F17" s="76">
        <f>'[3]Denver Air'!$GX$5</f>
        <v>52</v>
      </c>
      <c r="G17" s="83">
        <f>[3]Icelandair!$GX$16</f>
        <v>0</v>
      </c>
      <c r="H17" s="76">
        <f>[3]Southwest!$GX$5</f>
        <v>268</v>
      </c>
      <c r="I17" s="83">
        <f>'[3]Sun Country'!$GX$5+'[3]Sun Country'!$GX$16</f>
        <v>304</v>
      </c>
      <c r="J17" s="83">
        <f>[3]Alaska!$GX$5</f>
        <v>60</v>
      </c>
      <c r="K17" s="384">
        <f>SUM(B17:J17)</f>
        <v>843</v>
      </c>
    </row>
    <row r="18" spans="1:258" x14ac:dyDescent="0.2">
      <c r="A18" s="42" t="s">
        <v>24</v>
      </c>
      <c r="B18" s="98">
        <f t="shared" ref="B18:J18" si="6">SUM(B16:B17)</f>
        <v>120</v>
      </c>
      <c r="C18" s="98">
        <f t="shared" ref="C18:F18" si="7">SUM(C16:C17)</f>
        <v>148</v>
      </c>
      <c r="D18" s="98">
        <f t="shared" ref="D18" si="8">SUM(D16:D17)</f>
        <v>50</v>
      </c>
      <c r="E18" s="98">
        <f t="shared" si="7"/>
        <v>0</v>
      </c>
      <c r="F18" s="98">
        <f t="shared" si="7"/>
        <v>104</v>
      </c>
      <c r="G18" s="98">
        <f t="shared" si="6"/>
        <v>0</v>
      </c>
      <c r="H18" s="98">
        <f t="shared" si="6"/>
        <v>536</v>
      </c>
      <c r="I18" s="98">
        <f t="shared" si="6"/>
        <v>608</v>
      </c>
      <c r="J18" s="98">
        <f t="shared" si="6"/>
        <v>120</v>
      </c>
      <c r="K18" s="388">
        <f>SUM(B18:J18)</f>
        <v>1686</v>
      </c>
    </row>
    <row r="19" spans="1:258" x14ac:dyDescent="0.2">
      <c r="A19" s="42"/>
      <c r="B19" s="82"/>
      <c r="C19" s="82"/>
      <c r="D19" s="82"/>
      <c r="E19" s="82"/>
      <c r="F19" s="82"/>
      <c r="G19" s="82"/>
      <c r="H19" s="82"/>
      <c r="I19" s="82"/>
      <c r="J19" s="82"/>
      <c r="K19" s="384"/>
    </row>
    <row r="20" spans="1:258" x14ac:dyDescent="0.2">
      <c r="A20" s="38" t="s">
        <v>25</v>
      </c>
      <c r="B20" s="83">
        <f>[3]Frontier!$GX$8</f>
        <v>0</v>
      </c>
      <c r="C20" s="83">
        <f>'[3]Air Choice One'!$GX$8</f>
        <v>0</v>
      </c>
      <c r="D20" s="83">
        <f>'[3]Boutique Air'!$GX$8</f>
        <v>0</v>
      </c>
      <c r="E20" s="83">
        <f>'[3]Aer Lingus'!$GX$8</f>
        <v>0</v>
      </c>
      <c r="F20" s="83">
        <f>'[3]Denver Air'!$GX$8</f>
        <v>0</v>
      </c>
      <c r="G20" s="83">
        <f>[3]Icelandair!$GX$8</f>
        <v>0</v>
      </c>
      <c r="H20" s="83">
        <f>[3]Southwest!$GX$8</f>
        <v>0</v>
      </c>
      <c r="I20" s="83">
        <f>'[3]Sun Country'!$GX$8</f>
        <v>59</v>
      </c>
      <c r="J20" s="83">
        <f>[3]Alaska!$GX$8</f>
        <v>0</v>
      </c>
      <c r="K20" s="384">
        <f>SUM(B20:J20)</f>
        <v>59</v>
      </c>
    </row>
    <row r="21" spans="1:258" x14ac:dyDescent="0.2">
      <c r="A21" s="38" t="s">
        <v>26</v>
      </c>
      <c r="B21" s="83">
        <f>[3]Frontier!$GX$9</f>
        <v>0</v>
      </c>
      <c r="C21" s="83">
        <f>'[3]Air Choice One'!$GX$9</f>
        <v>0</v>
      </c>
      <c r="D21" s="83">
        <f>'[3]Boutique Air'!$GX$9</f>
        <v>0</v>
      </c>
      <c r="E21" s="83">
        <f>'[3]Aer Lingus'!$GX$9</f>
        <v>0</v>
      </c>
      <c r="F21" s="83">
        <f>'[3]Denver Air'!$GX$9</f>
        <v>0</v>
      </c>
      <c r="G21" s="83">
        <f>[3]Icelandair!$GX$9</f>
        <v>0</v>
      </c>
      <c r="H21" s="83">
        <f>[3]Southwest!$GX$9</f>
        <v>0</v>
      </c>
      <c r="I21" s="83">
        <f>'[3]Sun Country'!$GX$9</f>
        <v>55</v>
      </c>
      <c r="J21" s="83">
        <f>[3]Alaska!$GX$9</f>
        <v>0</v>
      </c>
      <c r="K21" s="384">
        <f>SUM(B21:J21)</f>
        <v>55</v>
      </c>
    </row>
    <row r="22" spans="1:258" x14ac:dyDescent="0.2">
      <c r="A22" s="42" t="s">
        <v>27</v>
      </c>
      <c r="B22" s="98">
        <f t="shared" ref="B22:J22" si="9">SUM(B20:B21)</f>
        <v>0</v>
      </c>
      <c r="C22" s="98">
        <f t="shared" ref="C22:F22" si="10">SUM(C20:C21)</f>
        <v>0</v>
      </c>
      <c r="D22" s="98">
        <f t="shared" ref="D22" si="11">SUM(D20:D21)</f>
        <v>0</v>
      </c>
      <c r="E22" s="98">
        <f t="shared" si="10"/>
        <v>0</v>
      </c>
      <c r="F22" s="98">
        <f t="shared" si="10"/>
        <v>0</v>
      </c>
      <c r="G22" s="98">
        <f t="shared" si="9"/>
        <v>0</v>
      </c>
      <c r="H22" s="98">
        <f t="shared" si="9"/>
        <v>0</v>
      </c>
      <c r="I22" s="98">
        <f t="shared" si="9"/>
        <v>114</v>
      </c>
      <c r="J22" s="98">
        <f t="shared" si="9"/>
        <v>0</v>
      </c>
      <c r="K22" s="388">
        <f>SUM(B22:J22)</f>
        <v>114</v>
      </c>
    </row>
    <row r="23" spans="1:258" ht="15.75" thickBot="1" x14ac:dyDescent="0.3">
      <c r="A23" s="39" t="s">
        <v>28</v>
      </c>
      <c r="B23" s="99">
        <f t="shared" ref="B23:J23" si="12">B22+B18</f>
        <v>120</v>
      </c>
      <c r="C23" s="99">
        <f t="shared" ref="C23:F23" si="13">C22+C18</f>
        <v>148</v>
      </c>
      <c r="D23" s="99">
        <f t="shared" ref="D23" si="14">D22+D18</f>
        <v>50</v>
      </c>
      <c r="E23" s="99">
        <f t="shared" si="13"/>
        <v>0</v>
      </c>
      <c r="F23" s="99">
        <f t="shared" si="13"/>
        <v>104</v>
      </c>
      <c r="G23" s="99">
        <f t="shared" si="12"/>
        <v>0</v>
      </c>
      <c r="H23" s="99">
        <f t="shared" si="12"/>
        <v>536</v>
      </c>
      <c r="I23" s="99">
        <f t="shared" si="12"/>
        <v>722</v>
      </c>
      <c r="J23" s="99">
        <f t="shared" si="12"/>
        <v>120</v>
      </c>
      <c r="K23" s="389">
        <f>SUM(B23:J23)</f>
        <v>1800</v>
      </c>
    </row>
    <row r="24" spans="1:25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  <c r="K25" s="83"/>
    </row>
    <row r="26" spans="1:258" ht="15.75" thickTop="1" x14ac:dyDescent="0.25">
      <c r="A26" s="41" t="s">
        <v>35</v>
      </c>
      <c r="B26" s="103"/>
      <c r="C26" s="103"/>
      <c r="D26" s="434"/>
      <c r="E26" s="103"/>
      <c r="F26" s="434"/>
      <c r="G26" s="103"/>
      <c r="H26" s="103"/>
      <c r="I26" s="103"/>
      <c r="J26" s="103"/>
      <c r="K26" s="390"/>
    </row>
    <row r="27" spans="1:258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383"/>
    </row>
    <row r="28" spans="1:258" x14ac:dyDescent="0.2">
      <c r="A28" s="38" t="s">
        <v>37</v>
      </c>
      <c r="B28" s="83">
        <f>[3]Frontier!$GX$47</f>
        <v>0</v>
      </c>
      <c r="C28" s="83">
        <f>'[3]Air Choice One'!$GX$47</f>
        <v>0</v>
      </c>
      <c r="D28" s="83">
        <f>'[3]Boutique Air'!$GX$47</f>
        <v>0</v>
      </c>
      <c r="E28" s="83">
        <f>'[3]Aer Lingus'!$GX$47</f>
        <v>0</v>
      </c>
      <c r="F28" s="83">
        <f>'[3]Denver Air'!$GX$47</f>
        <v>0</v>
      </c>
      <c r="G28" s="83">
        <f>[3]Icelandair!$GX$47</f>
        <v>0</v>
      </c>
      <c r="H28" s="83">
        <f>[3]Southwest!$GX$47</f>
        <v>207992</v>
      </c>
      <c r="I28" s="83">
        <f>'[3]Sun Country'!$GX$47</f>
        <v>15710</v>
      </c>
      <c r="J28" s="83">
        <f>[3]Alaska!$GX$47</f>
        <v>39574</v>
      </c>
      <c r="K28" s="384">
        <f>SUM(B28:J28)</f>
        <v>263276</v>
      </c>
    </row>
    <row r="29" spans="1:258" x14ac:dyDescent="0.2">
      <c r="A29" s="38" t="s">
        <v>38</v>
      </c>
      <c r="B29" s="83">
        <f>[3]Frontier!$GX$48</f>
        <v>0</v>
      </c>
      <c r="C29" s="83">
        <f>'[3]Air Choice One'!$GX$48</f>
        <v>0</v>
      </c>
      <c r="D29" s="83">
        <f>'[3]Boutique Air'!$GX$48</f>
        <v>0</v>
      </c>
      <c r="E29" s="83">
        <f>'[3]Aer Lingus'!$GX$48</f>
        <v>0</v>
      </c>
      <c r="F29" s="83">
        <f>'[3]Denver Air'!$GX$48</f>
        <v>0</v>
      </c>
      <c r="G29" s="83">
        <f>[3]Icelandair!$GX$48</f>
        <v>0</v>
      </c>
      <c r="H29" s="83">
        <f>[3]Southwest!$GX$48</f>
        <v>0</v>
      </c>
      <c r="I29" s="83">
        <f>'[3]Sun Country'!$GX$48</f>
        <v>112553</v>
      </c>
      <c r="J29" s="83">
        <f>[3]Alaska!$GX$48</f>
        <v>546</v>
      </c>
      <c r="K29" s="384">
        <f>SUM(B29:J29)</f>
        <v>113099</v>
      </c>
    </row>
    <row r="30" spans="1:258" x14ac:dyDescent="0.2">
      <c r="A30" s="42" t="s">
        <v>39</v>
      </c>
      <c r="B30" s="105">
        <f t="shared" ref="B30:J30" si="15">SUM(B28:B29)</f>
        <v>0</v>
      </c>
      <c r="C30" s="105">
        <f t="shared" ref="C30:F30" si="16">SUM(C28:C29)</f>
        <v>0</v>
      </c>
      <c r="D30" s="105">
        <f t="shared" ref="D30" si="17">SUM(D28:D29)</f>
        <v>0</v>
      </c>
      <c r="E30" s="105">
        <f t="shared" si="16"/>
        <v>0</v>
      </c>
      <c r="F30" s="105">
        <f t="shared" si="16"/>
        <v>0</v>
      </c>
      <c r="G30" s="105">
        <f t="shared" si="15"/>
        <v>0</v>
      </c>
      <c r="H30" s="105">
        <f t="shared" si="15"/>
        <v>207992</v>
      </c>
      <c r="I30" s="105">
        <f t="shared" si="15"/>
        <v>128263</v>
      </c>
      <c r="J30" s="105">
        <f t="shared" si="15"/>
        <v>40120</v>
      </c>
      <c r="K30" s="391">
        <f>SUM(B30:J30)</f>
        <v>376375</v>
      </c>
    </row>
    <row r="31" spans="1:258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100"/>
      <c r="K31" s="384"/>
    </row>
    <row r="32" spans="1:258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83"/>
      <c r="K32" s="384"/>
    </row>
    <row r="33" spans="1:11" x14ac:dyDescent="0.2">
      <c r="A33" s="38" t="s">
        <v>37</v>
      </c>
      <c r="B33" s="83">
        <f>[3]Frontier!$GX$52</f>
        <v>0</v>
      </c>
      <c r="C33" s="83">
        <f>'[3]Air Choice One'!$GX$52</f>
        <v>0</v>
      </c>
      <c r="D33" s="83">
        <f>'[3]Boutique Air'!$GX$52</f>
        <v>0</v>
      </c>
      <c r="E33" s="83">
        <f>'[3]Aer Lingus'!$GX$52</f>
        <v>0</v>
      </c>
      <c r="F33" s="83">
        <f>'[3]Denver Air'!$GX$52</f>
        <v>0</v>
      </c>
      <c r="G33" s="83">
        <f>[3]Icelandair!$GX$52</f>
        <v>0</v>
      </c>
      <c r="H33" s="83">
        <f>[3]Southwest!$GX$52</f>
        <v>61128</v>
      </c>
      <c r="I33" s="83">
        <f>'[3]Sun Country'!$GX$52</f>
        <v>0</v>
      </c>
      <c r="J33" s="83">
        <f>[3]Alaska!$GX$52</f>
        <v>4044</v>
      </c>
      <c r="K33" s="384">
        <f>SUM(B33:J33)</f>
        <v>65172</v>
      </c>
    </row>
    <row r="34" spans="1:11" x14ac:dyDescent="0.2">
      <c r="A34" s="38" t="s">
        <v>38</v>
      </c>
      <c r="B34" s="83">
        <f>[3]Frontier!$GX$53</f>
        <v>0</v>
      </c>
      <c r="C34" s="83">
        <f>'[3]Air Choice One'!$GX$53</f>
        <v>0</v>
      </c>
      <c r="D34" s="83">
        <f>'[3]Boutique Air'!$GX$53</f>
        <v>0</v>
      </c>
      <c r="E34" s="83">
        <f>'[3]Aer Lingus'!$GX$53</f>
        <v>0</v>
      </c>
      <c r="F34" s="83">
        <f>'[3]Denver Air'!$GX$53</f>
        <v>0</v>
      </c>
      <c r="G34" s="83">
        <f>[3]Icelandair!$GX$53</f>
        <v>0</v>
      </c>
      <c r="H34" s="83">
        <f>[3]Southwest!$GX$53</f>
        <v>0</v>
      </c>
      <c r="I34" s="83">
        <f>'[3]Sun Country'!$GX$53</f>
        <v>218</v>
      </c>
      <c r="J34" s="83">
        <f>[3]Alaska!$GX$53</f>
        <v>0</v>
      </c>
      <c r="K34" s="392">
        <f>SUM(B34:J34)</f>
        <v>218</v>
      </c>
    </row>
    <row r="35" spans="1:11" x14ac:dyDescent="0.2">
      <c r="A35" s="42" t="s">
        <v>41</v>
      </c>
      <c r="B35" s="98">
        <f t="shared" ref="B35:J35" si="18">SUM(B33:B34)</f>
        <v>0</v>
      </c>
      <c r="C35" s="98">
        <f t="shared" ref="C35:F35" si="19">SUM(C33:C34)</f>
        <v>0</v>
      </c>
      <c r="D35" s="98">
        <f t="shared" ref="D35" si="20">SUM(D33:D34)</f>
        <v>0</v>
      </c>
      <c r="E35" s="98">
        <f t="shared" si="19"/>
        <v>0</v>
      </c>
      <c r="F35" s="98">
        <f t="shared" si="19"/>
        <v>0</v>
      </c>
      <c r="G35" s="98">
        <f t="shared" si="18"/>
        <v>0</v>
      </c>
      <c r="H35" s="98">
        <f t="shared" si="18"/>
        <v>61128</v>
      </c>
      <c r="I35" s="98">
        <f t="shared" si="18"/>
        <v>218</v>
      </c>
      <c r="J35" s="98">
        <f t="shared" si="18"/>
        <v>4044</v>
      </c>
      <c r="K35" s="391">
        <f>SUM(B35:J35)</f>
        <v>65390</v>
      </c>
    </row>
    <row r="36" spans="1:11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100"/>
      <c r="K36" s="384"/>
    </row>
    <row r="37" spans="1:11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384"/>
    </row>
    <row r="38" spans="1:11" hidden="1" x14ac:dyDescent="0.2">
      <c r="A38" s="38" t="s">
        <v>37</v>
      </c>
      <c r="B38" s="100">
        <f>[3]Frontier!$GX$57</f>
        <v>0</v>
      </c>
      <c r="C38" s="100">
        <f>'[3]Air Choice One'!$GX$57</f>
        <v>0</v>
      </c>
      <c r="D38" s="100">
        <f>'[3]Boutique Air'!$GX$57</f>
        <v>0</v>
      </c>
      <c r="E38" s="100">
        <f>'[3]Aer Lingus'!$GX$57</f>
        <v>0</v>
      </c>
      <c r="F38" s="100">
        <f>'[3]Denver Air'!$GX$57</f>
        <v>0</v>
      </c>
      <c r="G38" s="100">
        <f>[3]Icelandair!$GX$57</f>
        <v>0</v>
      </c>
      <c r="H38" s="100">
        <f>[3]Southwest!$GX$57</f>
        <v>0</v>
      </c>
      <c r="I38" s="100">
        <f>'[3]Sun Country'!$GX$57</f>
        <v>0</v>
      </c>
      <c r="J38" s="100">
        <f>[3]Alaska!$GX$57</f>
        <v>0</v>
      </c>
      <c r="K38" s="384">
        <f>SUM(B38:I38)</f>
        <v>0</v>
      </c>
    </row>
    <row r="39" spans="1:11" hidden="1" x14ac:dyDescent="0.2">
      <c r="A39" s="38" t="s">
        <v>38</v>
      </c>
      <c r="B39" s="102">
        <f>[3]Frontier!$GX$58</f>
        <v>0</v>
      </c>
      <c r="C39" s="102">
        <f>'[3]Air Choice One'!$GX$58</f>
        <v>0</v>
      </c>
      <c r="D39" s="102">
        <f>'[3]Boutique Air'!$GX$58</f>
        <v>0</v>
      </c>
      <c r="E39" s="102">
        <f>'[3]Aer Lingus'!$GX$58</f>
        <v>0</v>
      </c>
      <c r="F39" s="102">
        <f>'[3]Denver Air'!$GX$58</f>
        <v>0</v>
      </c>
      <c r="G39" s="102">
        <f>[3]Icelandair!$GX$58</f>
        <v>0</v>
      </c>
      <c r="H39" s="102">
        <f>[3]Southwest!$GX$58</f>
        <v>0</v>
      </c>
      <c r="I39" s="102">
        <f>'[3]Sun Country'!$GX$58</f>
        <v>0</v>
      </c>
      <c r="J39" s="102">
        <f>[3]Alaska!$GX$58</f>
        <v>0</v>
      </c>
      <c r="K39" s="392">
        <f>SUM(B39:I39)</f>
        <v>0</v>
      </c>
    </row>
    <row r="40" spans="1:11" hidden="1" x14ac:dyDescent="0.2">
      <c r="A40" s="42" t="s">
        <v>43</v>
      </c>
      <c r="B40" s="106">
        <f t="shared" ref="B40:J40" si="21">SUM(B38:B39)</f>
        <v>0</v>
      </c>
      <c r="C40" s="106">
        <f t="shared" ref="C40:F40" si="22">SUM(C38:C39)</f>
        <v>0</v>
      </c>
      <c r="D40" s="106">
        <f t="shared" ref="D40" si="23">SUM(D38:D39)</f>
        <v>0</v>
      </c>
      <c r="E40" s="106">
        <f t="shared" si="22"/>
        <v>0</v>
      </c>
      <c r="F40" s="106">
        <f t="shared" si="22"/>
        <v>0</v>
      </c>
      <c r="G40" s="106">
        <f t="shared" si="21"/>
        <v>0</v>
      </c>
      <c r="H40" s="106">
        <f t="shared" si="21"/>
        <v>0</v>
      </c>
      <c r="I40" s="106">
        <f t="shared" si="21"/>
        <v>0</v>
      </c>
      <c r="J40" s="106">
        <f t="shared" si="21"/>
        <v>0</v>
      </c>
      <c r="K40" s="384">
        <f>SUM(B40:I40)</f>
        <v>0</v>
      </c>
    </row>
    <row r="41" spans="1:11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100"/>
      <c r="K41" s="384"/>
    </row>
    <row r="42" spans="1:11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384"/>
    </row>
    <row r="43" spans="1:11" x14ac:dyDescent="0.2">
      <c r="A43" s="38" t="s">
        <v>45</v>
      </c>
      <c r="B43" s="100">
        <f t="shared" ref="B43:J43" si="24">B28+B33+B38</f>
        <v>0</v>
      </c>
      <c r="C43" s="100">
        <f t="shared" ref="C43:F43" si="25">C28+C33+C38</f>
        <v>0</v>
      </c>
      <c r="D43" s="100">
        <f t="shared" ref="D43" si="26">D28+D33+D38</f>
        <v>0</v>
      </c>
      <c r="E43" s="100">
        <f t="shared" si="25"/>
        <v>0</v>
      </c>
      <c r="F43" s="100">
        <f t="shared" si="25"/>
        <v>0</v>
      </c>
      <c r="G43" s="100">
        <f t="shared" si="24"/>
        <v>0</v>
      </c>
      <c r="H43" s="100">
        <f t="shared" si="24"/>
        <v>269120</v>
      </c>
      <c r="I43" s="100">
        <f t="shared" si="24"/>
        <v>15710</v>
      </c>
      <c r="J43" s="100">
        <f t="shared" si="24"/>
        <v>43618</v>
      </c>
      <c r="K43" s="384">
        <f>SUM(B43:J43)</f>
        <v>328448</v>
      </c>
    </row>
    <row r="44" spans="1:11" x14ac:dyDescent="0.2">
      <c r="A44" s="38" t="s">
        <v>38</v>
      </c>
      <c r="B44" s="102">
        <f t="shared" ref="B44:J44" si="27">+B39+B34+B29</f>
        <v>0</v>
      </c>
      <c r="C44" s="102">
        <f t="shared" ref="C44:F44" si="28">+C39+C34+C29</f>
        <v>0</v>
      </c>
      <c r="D44" s="102">
        <f t="shared" ref="D44" si="29">+D39+D34+D29</f>
        <v>0</v>
      </c>
      <c r="E44" s="102">
        <f t="shared" si="28"/>
        <v>0</v>
      </c>
      <c r="F44" s="102">
        <f t="shared" si="28"/>
        <v>0</v>
      </c>
      <c r="G44" s="102">
        <f t="shared" si="27"/>
        <v>0</v>
      </c>
      <c r="H44" s="102">
        <f t="shared" si="27"/>
        <v>0</v>
      </c>
      <c r="I44" s="102">
        <f t="shared" si="27"/>
        <v>112771</v>
      </c>
      <c r="J44" s="102">
        <f t="shared" si="27"/>
        <v>546</v>
      </c>
      <c r="K44" s="384">
        <f>SUM(B44:J44)</f>
        <v>113317</v>
      </c>
    </row>
    <row r="45" spans="1:11" ht="15.75" thickBot="1" x14ac:dyDescent="0.3">
      <c r="A45" s="39" t="s">
        <v>46</v>
      </c>
      <c r="B45" s="107">
        <f t="shared" ref="B45:J45" si="30">B43+B44</f>
        <v>0</v>
      </c>
      <c r="C45" s="107">
        <f t="shared" ref="C45:F45" si="31">C43+C44</f>
        <v>0</v>
      </c>
      <c r="D45" s="107">
        <f t="shared" ref="D45" si="32">D43+D44</f>
        <v>0</v>
      </c>
      <c r="E45" s="107">
        <f t="shared" si="31"/>
        <v>0</v>
      </c>
      <c r="F45" s="107">
        <f t="shared" si="31"/>
        <v>0</v>
      </c>
      <c r="G45" s="107">
        <f t="shared" si="30"/>
        <v>0</v>
      </c>
      <c r="H45" s="107">
        <f t="shared" si="30"/>
        <v>269120</v>
      </c>
      <c r="I45" s="107">
        <f t="shared" si="30"/>
        <v>128481</v>
      </c>
      <c r="J45" s="107">
        <f t="shared" si="30"/>
        <v>44164</v>
      </c>
      <c r="K45" s="393">
        <f>SUM(B45:J45)</f>
        <v>441765</v>
      </c>
    </row>
    <row r="48" spans="1:11" x14ac:dyDescent="0.2">
      <c r="A48" s="255" t="s">
        <v>122</v>
      </c>
      <c r="B48" s="265"/>
      <c r="C48" s="265"/>
      <c r="D48" s="265"/>
      <c r="E48" s="265"/>
      <c r="F48" s="265"/>
      <c r="H48" s="216">
        <f>[3]Southwest!$GX$70+[3]Southwest!$GX$73</f>
        <v>22633</v>
      </c>
      <c r="I48" s="216">
        <f>'[3]Sun Country'!$GX$70+'[3]Sun Country'!$GX$73</f>
        <v>39073</v>
      </c>
      <c r="J48" s="265"/>
      <c r="K48" s="205">
        <f>SUM(B48:J48)</f>
        <v>61706</v>
      </c>
    </row>
    <row r="49" spans="1:11" x14ac:dyDescent="0.2">
      <c r="A49" s="267" t="s">
        <v>123</v>
      </c>
      <c r="B49" s="265"/>
      <c r="C49" s="265"/>
      <c r="D49" s="265"/>
      <c r="E49" s="265"/>
      <c r="F49" s="265"/>
      <c r="H49" s="216">
        <f>[3]Southwest!$GX$71+[3]Southwest!$GX$74</f>
        <v>18</v>
      </c>
      <c r="I49" s="216">
        <f>'[3]Sun Country'!$GX$71+'[3]Sun Country'!$GX$74</f>
        <v>0</v>
      </c>
      <c r="J49" s="265"/>
      <c r="K49" s="205">
        <f>SUM(B49:J49)</f>
        <v>18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September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G4" sqref="G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3"/>
    </row>
    <row r="2" spans="1:13" ht="51.75" thickBot="1" x14ac:dyDescent="0.25">
      <c r="A2" s="258">
        <v>44075</v>
      </c>
      <c r="B2" s="432" t="s">
        <v>158</v>
      </c>
      <c r="C2" s="432" t="s">
        <v>161</v>
      </c>
      <c r="D2" s="432" t="s">
        <v>169</v>
      </c>
      <c r="E2" s="432" t="s">
        <v>168</v>
      </c>
      <c r="F2" s="432" t="s">
        <v>170</v>
      </c>
      <c r="G2" s="432" t="s">
        <v>198</v>
      </c>
      <c r="H2" s="432" t="s">
        <v>174</v>
      </c>
      <c r="I2" s="432" t="s">
        <v>181</v>
      </c>
      <c r="J2" s="432" t="s">
        <v>196</v>
      </c>
      <c r="K2" s="432" t="s">
        <v>173</v>
      </c>
      <c r="L2" s="303" t="s">
        <v>116</v>
      </c>
      <c r="M2" s="400" t="s">
        <v>21</v>
      </c>
    </row>
    <row r="3" spans="1:13" ht="15.75" thickTop="1" x14ac:dyDescent="0.25">
      <c r="A3" s="186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4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5"/>
    </row>
    <row r="5" spans="1:13" x14ac:dyDescent="0.2">
      <c r="A5" s="38" t="s">
        <v>30</v>
      </c>
      <c r="B5" s="78">
        <f>[3]Pinnacle!$GX$22+[3]Pinnacle!$GX$32</f>
        <v>66880</v>
      </c>
      <c r="C5" s="78">
        <f>[3]MESA_UA!$GX$22</f>
        <v>5343</v>
      </c>
      <c r="D5" s="83">
        <f>'[3]Sky West'!$GX$22+'[3]Sky West'!$GX$32</f>
        <v>56579</v>
      </c>
      <c r="E5" s="83">
        <f>'[3]Sky West_UA'!$GX$22</f>
        <v>7881</v>
      </c>
      <c r="F5" s="83">
        <f>'[3]Sky West_AS'!$GX$22</f>
        <v>0</v>
      </c>
      <c r="G5" s="83">
        <f>'[3]Sky West_AA'!$GX$22</f>
        <v>0</v>
      </c>
      <c r="H5" s="83">
        <f>[3]Republic!$GX$22</f>
        <v>4442</v>
      </c>
      <c r="I5" s="83">
        <f>[3]Republic_UA!$GX$22</f>
        <v>1348</v>
      </c>
      <c r="J5" s="83">
        <f>'[3]Sky Regional'!$GX$32</f>
        <v>0</v>
      </c>
      <c r="K5" s="83">
        <f>'[3]American Eagle'!$GX$22</f>
        <v>3575</v>
      </c>
      <c r="L5" s="83">
        <f>'Other Regional'!J5</f>
        <v>0</v>
      </c>
      <c r="M5" s="395">
        <f>SUM(B5:L5)</f>
        <v>146048</v>
      </c>
    </row>
    <row r="6" spans="1:13" s="6" customFormat="1" x14ac:dyDescent="0.2">
      <c r="A6" s="38" t="s">
        <v>31</v>
      </c>
      <c r="B6" s="78">
        <f>[3]Pinnacle!$GX$23+[3]Pinnacle!$GX$33</f>
        <v>67320</v>
      </c>
      <c r="C6" s="78">
        <f>[3]MESA_UA!$GX$23</f>
        <v>5405</v>
      </c>
      <c r="D6" s="83">
        <f>'[3]Sky West'!$GX$23+'[3]Sky West'!$GX$33</f>
        <v>54897</v>
      </c>
      <c r="E6" s="83">
        <f>'[3]Sky West_UA'!$GX$23</f>
        <v>7885</v>
      </c>
      <c r="F6" s="83">
        <f>'[3]Sky West_AS'!$GX$23</f>
        <v>0</v>
      </c>
      <c r="G6" s="83">
        <f>'[3]Sky West_AA'!$GX$23</f>
        <v>0</v>
      </c>
      <c r="H6" s="83">
        <f>[3]Republic!$GX$23</f>
        <v>4406</v>
      </c>
      <c r="I6" s="83">
        <f>[3]Republic_UA!$GX$23</f>
        <v>1408</v>
      </c>
      <c r="J6" s="83">
        <f>'[3]Sky Regional'!$GX$33</f>
        <v>0</v>
      </c>
      <c r="K6" s="83">
        <f>'[3]American Eagle'!$GX$23</f>
        <v>3504</v>
      </c>
      <c r="L6" s="83">
        <f>'Other Regional'!J6</f>
        <v>0</v>
      </c>
      <c r="M6" s="396">
        <f>SUM(B6:L6)</f>
        <v>144825</v>
      </c>
    </row>
    <row r="7" spans="1:13" ht="15" thickBot="1" x14ac:dyDescent="0.25">
      <c r="A7" s="47" t="s">
        <v>7</v>
      </c>
      <c r="B7" s="91">
        <f>SUM(B5:B6)</f>
        <v>134200</v>
      </c>
      <c r="C7" s="91">
        <f t="shared" ref="C7:L7" si="0">SUM(C5:C6)</f>
        <v>10748</v>
      </c>
      <c r="D7" s="91">
        <f t="shared" si="0"/>
        <v>111476</v>
      </c>
      <c r="E7" s="91">
        <f t="shared" si="0"/>
        <v>15766</v>
      </c>
      <c r="F7" s="91">
        <f t="shared" ref="F7:G7" si="1">SUM(F5:F6)</f>
        <v>0</v>
      </c>
      <c r="G7" s="91">
        <f t="shared" si="1"/>
        <v>0</v>
      </c>
      <c r="H7" s="91">
        <f t="shared" si="0"/>
        <v>8848</v>
      </c>
      <c r="I7" s="91">
        <f t="shared" si="0"/>
        <v>2756</v>
      </c>
      <c r="J7" s="91">
        <f t="shared" si="0"/>
        <v>0</v>
      </c>
      <c r="K7" s="91">
        <f t="shared" si="0"/>
        <v>7079</v>
      </c>
      <c r="L7" s="91">
        <f t="shared" si="0"/>
        <v>0</v>
      </c>
      <c r="M7" s="397">
        <f>SUM(B7:L7)</f>
        <v>290873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8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5"/>
    </row>
    <row r="10" spans="1:13" x14ac:dyDescent="0.2">
      <c r="A10" s="38" t="s">
        <v>30</v>
      </c>
      <c r="B10" s="78">
        <f>[3]Pinnacle!$GX$27+[3]Pinnacle!$GX$37</f>
        <v>2470</v>
      </c>
      <c r="C10" s="78">
        <f>[3]MESA_UA!$GX$27</f>
        <v>401</v>
      </c>
      <c r="D10" s="83">
        <f>'[3]Sky West'!$GX$27+'[3]Sky West'!$GX$37</f>
        <v>2345</v>
      </c>
      <c r="E10" s="83">
        <f>'[3]Sky West_UA'!$GX$27</f>
        <v>646</v>
      </c>
      <c r="F10" s="83">
        <f>'[3]Sky West_AS'!$GX$27</f>
        <v>0</v>
      </c>
      <c r="G10" s="83">
        <f>'[3]Sky West_AA'!$GX$27</f>
        <v>0</v>
      </c>
      <c r="H10" s="83">
        <f>[3]Republic!$GX$27</f>
        <v>321</v>
      </c>
      <c r="I10" s="83">
        <f>[3]Republic_UA!$GX$27</f>
        <v>86</v>
      </c>
      <c r="J10" s="83">
        <f>'[3]Sky Regional'!$GX$37</f>
        <v>0</v>
      </c>
      <c r="K10" s="83">
        <f>'[3]American Eagle'!$GX$27</f>
        <v>214</v>
      </c>
      <c r="L10" s="83">
        <f>'Other Regional'!J10</f>
        <v>0</v>
      </c>
      <c r="M10" s="395">
        <f>SUM(B10:L10)</f>
        <v>6483</v>
      </c>
    </row>
    <row r="11" spans="1:13" x14ac:dyDescent="0.2">
      <c r="A11" s="38" t="s">
        <v>33</v>
      </c>
      <c r="B11" s="78">
        <f>[3]Pinnacle!$GX$28+[3]Pinnacle!$GX$38</f>
        <v>2522</v>
      </c>
      <c r="C11" s="78">
        <f>[3]MESA_UA!$GX$28</f>
        <v>398</v>
      </c>
      <c r="D11" s="83">
        <f>'[3]Sky West'!$GX$28+'[3]Sky West'!$GX$38</f>
        <v>2408</v>
      </c>
      <c r="E11" s="83">
        <f>'[3]Sky West_UA'!$GX$28</f>
        <v>619</v>
      </c>
      <c r="F11" s="83">
        <f>'[3]Sky West_AS'!$GX$28</f>
        <v>0</v>
      </c>
      <c r="G11" s="83">
        <f>'[3]Sky West_AA'!$GX$28</f>
        <v>0</v>
      </c>
      <c r="H11" s="83">
        <f>[3]Republic!$GX$28</f>
        <v>363</v>
      </c>
      <c r="I11" s="83">
        <f>[3]Republic_UA!$GX$28</f>
        <v>107</v>
      </c>
      <c r="J11" s="83">
        <f>'[3]Sky Regional'!$GX$38</f>
        <v>0</v>
      </c>
      <c r="K11" s="83">
        <f>'[3]American Eagle'!$GX$28</f>
        <v>214</v>
      </c>
      <c r="L11" s="83">
        <f>'Other Regional'!J11</f>
        <v>0</v>
      </c>
      <c r="M11" s="396">
        <f>SUM(B11:L11)</f>
        <v>6631</v>
      </c>
    </row>
    <row r="12" spans="1:13" ht="15" thickBot="1" x14ac:dyDescent="0.25">
      <c r="A12" s="48" t="s">
        <v>34</v>
      </c>
      <c r="B12" s="92">
        <f t="shared" ref="B12:L12" si="2">SUM(B10:B11)</f>
        <v>4992</v>
      </c>
      <c r="C12" s="92">
        <f t="shared" si="2"/>
        <v>799</v>
      </c>
      <c r="D12" s="92">
        <f t="shared" si="2"/>
        <v>4753</v>
      </c>
      <c r="E12" s="92">
        <f t="shared" si="2"/>
        <v>1265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684</v>
      </c>
      <c r="I12" s="92">
        <f t="shared" si="2"/>
        <v>193</v>
      </c>
      <c r="J12" s="92">
        <f t="shared" si="2"/>
        <v>0</v>
      </c>
      <c r="K12" s="92">
        <f t="shared" si="2"/>
        <v>428</v>
      </c>
      <c r="L12" s="92">
        <f t="shared" si="2"/>
        <v>0</v>
      </c>
      <c r="M12" s="399">
        <f>SUM(B12:L12)</f>
        <v>13114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1">
        <f t="shared" ref="M14" si="4">SUM(B14:L14)</f>
        <v>0</v>
      </c>
    </row>
    <row r="15" spans="1:13" x14ac:dyDescent="0.2">
      <c r="A15" s="38" t="s">
        <v>53</v>
      </c>
      <c r="B15" s="12">
        <f>[3]Pinnacle!$GX$4+[3]Pinnacle!$GX$15</f>
        <v>2114</v>
      </c>
      <c r="C15" s="77">
        <f>[3]MESA_UA!$GX$4</f>
        <v>115</v>
      </c>
      <c r="D15" s="76">
        <f>'[3]Sky West'!$GX$4+'[3]Sky West'!$GX$15</f>
        <v>1866</v>
      </c>
      <c r="E15" s="76">
        <f>'[3]Sky West_UA'!$GX$4</f>
        <v>142</v>
      </c>
      <c r="F15" s="76">
        <f>'[3]Sky West_AS'!$GX$4</f>
        <v>0</v>
      </c>
      <c r="G15" s="76">
        <f>'[3]Sky West_AA'!$GX$4</f>
        <v>0</v>
      </c>
      <c r="H15" s="78">
        <f>[3]Republic!$GX$4</f>
        <v>90</v>
      </c>
      <c r="I15" s="312">
        <f>[3]Republic_UA!$GX$4</f>
        <v>32</v>
      </c>
      <c r="J15" s="312">
        <f>'[3]Sky Regional'!$GX$15</f>
        <v>0</v>
      </c>
      <c r="K15" s="312">
        <f>'[3]American Eagle'!$GX$4</f>
        <v>53</v>
      </c>
      <c r="L15" s="77">
        <f>'Other Regional'!J15</f>
        <v>0</v>
      </c>
      <c r="M15" s="395">
        <f t="shared" ref="M15:M21" si="5">SUM(B15:L15)</f>
        <v>4412</v>
      </c>
    </row>
    <row r="16" spans="1:13" x14ac:dyDescent="0.2">
      <c r="A16" s="38" t="s">
        <v>54</v>
      </c>
      <c r="B16" s="7">
        <f>[3]Pinnacle!$GX$5+[3]Pinnacle!$GX$16</f>
        <v>2114</v>
      </c>
      <c r="C16" s="80">
        <f>[3]MESA_UA!$GX$5</f>
        <v>116</v>
      </c>
      <c r="D16" s="79">
        <f>'[3]Sky West'!$GX$5+'[3]Sky West'!$GX$16</f>
        <v>1858</v>
      </c>
      <c r="E16" s="79">
        <f>'[3]Sky West_UA'!$GX$5</f>
        <v>142</v>
      </c>
      <c r="F16" s="79">
        <f>'[3]Sky West_AS'!$GX$5</f>
        <v>0</v>
      </c>
      <c r="G16" s="79">
        <f>'[3]Sky West_AA'!$GX$5</f>
        <v>0</v>
      </c>
      <c r="H16" s="81">
        <f>[3]Republic!$GX$5</f>
        <v>93</v>
      </c>
      <c r="I16" s="194">
        <f>[3]Republic_UA!$GX$5</f>
        <v>33</v>
      </c>
      <c r="J16" s="194">
        <f>'[3]Sky Regional'!$GX$16</f>
        <v>0</v>
      </c>
      <c r="K16" s="194">
        <f>'[3]American Eagle'!$GX$5</f>
        <v>52</v>
      </c>
      <c r="L16" s="80">
        <f>'Other Regional'!J16</f>
        <v>0</v>
      </c>
      <c r="M16" s="396">
        <f t="shared" si="5"/>
        <v>4408</v>
      </c>
    </row>
    <row r="17" spans="1:13" x14ac:dyDescent="0.2">
      <c r="A17" s="42" t="s">
        <v>55</v>
      </c>
      <c r="B17" s="82">
        <f t="shared" ref="B17:K17" si="6">SUM(B15:B16)</f>
        <v>4228</v>
      </c>
      <c r="C17" s="82">
        <f t="shared" si="6"/>
        <v>231</v>
      </c>
      <c r="D17" s="82">
        <f t="shared" si="6"/>
        <v>3724</v>
      </c>
      <c r="E17" s="82">
        <f>SUM(E15:E16)</f>
        <v>284</v>
      </c>
      <c r="F17" s="82">
        <f>SUM(F15:F16)</f>
        <v>0</v>
      </c>
      <c r="G17" s="82">
        <f>SUM(G15:G16)</f>
        <v>0</v>
      </c>
      <c r="H17" s="82">
        <f>SUM(H15:H16)</f>
        <v>183</v>
      </c>
      <c r="I17" s="82">
        <f t="shared" ref="I17" si="7">SUM(I15:I16)</f>
        <v>65</v>
      </c>
      <c r="J17" s="82">
        <f>SUM(J15:J16)</f>
        <v>0</v>
      </c>
      <c r="K17" s="82">
        <f t="shared" si="6"/>
        <v>105</v>
      </c>
      <c r="L17" s="82">
        <f>SUM(L15:L16)</f>
        <v>0</v>
      </c>
      <c r="M17" s="402">
        <f t="shared" si="5"/>
        <v>8820</v>
      </c>
    </row>
    <row r="18" spans="1:13" x14ac:dyDescent="0.2">
      <c r="A18" s="38" t="s">
        <v>56</v>
      </c>
      <c r="B18" s="83">
        <f>[3]Pinnacle!$GX$8</f>
        <v>0</v>
      </c>
      <c r="C18" s="78">
        <f>[3]MESA_UA!$GX$8</f>
        <v>0</v>
      </c>
      <c r="D18" s="83">
        <f>'[3]Sky West'!$GX$8</f>
        <v>0</v>
      </c>
      <c r="E18" s="83">
        <f>'[3]Sky West_UA'!$GX$8</f>
        <v>0</v>
      </c>
      <c r="F18" s="83">
        <f>'[3]Sky West_AS'!$GX$8</f>
        <v>0</v>
      </c>
      <c r="G18" s="83">
        <f>'[3]Sky West_AA'!$GX$8</f>
        <v>0</v>
      </c>
      <c r="H18" s="83">
        <f>[3]Republic!$GX$8</f>
        <v>0</v>
      </c>
      <c r="I18" s="83">
        <f>[3]Republic_UA!$GX$8</f>
        <v>0</v>
      </c>
      <c r="J18" s="83">
        <f>'[3]Sky Regional'!$GX$8</f>
        <v>0</v>
      </c>
      <c r="K18" s="83">
        <f>'[3]American Eagle'!$GX$8</f>
        <v>0</v>
      </c>
      <c r="L18" s="83">
        <f>'Other Regional'!J18</f>
        <v>0</v>
      </c>
      <c r="M18" s="395">
        <f t="shared" si="5"/>
        <v>0</v>
      </c>
    </row>
    <row r="19" spans="1:13" x14ac:dyDescent="0.2">
      <c r="A19" s="38" t="s">
        <v>57</v>
      </c>
      <c r="B19" s="84">
        <f>[3]Pinnacle!$GX$9</f>
        <v>0</v>
      </c>
      <c r="C19" s="81">
        <f>[3]MESA_UA!$GX$9</f>
        <v>0</v>
      </c>
      <c r="D19" s="84">
        <f>'[3]Sky West'!$GX$9</f>
        <v>1</v>
      </c>
      <c r="E19" s="84">
        <f>'[3]Sky West_UA'!$GX$9</f>
        <v>0</v>
      </c>
      <c r="F19" s="84">
        <f>'[3]Sky West_AS'!$GX$9</f>
        <v>0</v>
      </c>
      <c r="G19" s="84">
        <f>'[3]Sky West_AA'!$GX$9</f>
        <v>0</v>
      </c>
      <c r="H19" s="84">
        <f>[3]Republic!$GX$9</f>
        <v>0</v>
      </c>
      <c r="I19" s="84">
        <f>[3]Republic_UA!$GX$9</f>
        <v>0</v>
      </c>
      <c r="J19" s="84">
        <f>'[3]Sky Regional'!$GX$9</f>
        <v>0</v>
      </c>
      <c r="K19" s="84">
        <f>'[3]American Eagle'!$GX$9</f>
        <v>0</v>
      </c>
      <c r="L19" s="84">
        <f>'Other Regional'!J19</f>
        <v>0</v>
      </c>
      <c r="M19" s="396">
        <f t="shared" si="5"/>
        <v>1</v>
      </c>
    </row>
    <row r="20" spans="1:13" x14ac:dyDescent="0.2">
      <c r="A20" s="42" t="s">
        <v>58</v>
      </c>
      <c r="B20" s="82">
        <f t="shared" ref="B20:L20" si="8">SUM(B18:B19)</f>
        <v>0</v>
      </c>
      <c r="C20" s="82">
        <f t="shared" si="8"/>
        <v>0</v>
      </c>
      <c r="D20" s="82">
        <f t="shared" si="8"/>
        <v>1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2">
        <f t="shared" si="5"/>
        <v>1</v>
      </c>
    </row>
    <row r="21" spans="1:13" ht="15.75" thickBot="1" x14ac:dyDescent="0.3">
      <c r="A21" s="46" t="s">
        <v>28</v>
      </c>
      <c r="B21" s="85">
        <f t="shared" ref="B21:K21" si="10">SUM(B20,B17)</f>
        <v>4228</v>
      </c>
      <c r="C21" s="85">
        <f t="shared" si="10"/>
        <v>231</v>
      </c>
      <c r="D21" s="85">
        <f t="shared" si="10"/>
        <v>3725</v>
      </c>
      <c r="E21" s="85">
        <f t="shared" si="10"/>
        <v>284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183</v>
      </c>
      <c r="I21" s="85">
        <f t="shared" si="10"/>
        <v>65</v>
      </c>
      <c r="J21" s="85">
        <f t="shared" si="10"/>
        <v>0</v>
      </c>
      <c r="K21" s="85">
        <f t="shared" si="10"/>
        <v>105</v>
      </c>
      <c r="L21" s="85">
        <f>SUM(L20,L17)</f>
        <v>0</v>
      </c>
      <c r="M21" s="403">
        <f t="shared" si="5"/>
        <v>8821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4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5"/>
    </row>
    <row r="25" spans="1:13" x14ac:dyDescent="0.2">
      <c r="A25" s="38" t="s">
        <v>37</v>
      </c>
      <c r="B25" s="83">
        <f>[3]Pinnacle!$GX$47</f>
        <v>0</v>
      </c>
      <c r="C25" s="78">
        <f>[3]MESA_UA!$GX$47</f>
        <v>0</v>
      </c>
      <c r="D25" s="83">
        <f>'[3]Sky West'!$GX$47</f>
        <v>0</v>
      </c>
      <c r="E25" s="83">
        <f>'[3]Sky West_UA'!$GX$47</f>
        <v>0</v>
      </c>
      <c r="F25" s="83">
        <f>'[3]Sky West_AS'!$GX$47</f>
        <v>0</v>
      </c>
      <c r="G25" s="83">
        <f>'[3]Sky West_AA'!$GX$47</f>
        <v>0</v>
      </c>
      <c r="H25" s="83">
        <f>[3]Republic!$GX$47</f>
        <v>77</v>
      </c>
      <c r="I25" s="83">
        <f>[3]Republic_UA!$GX$47</f>
        <v>0</v>
      </c>
      <c r="J25" s="83">
        <f>'[3]Sky Regional'!$GX$47</f>
        <v>0</v>
      </c>
      <c r="K25" s="83">
        <f>'[3]American Eagle'!$GX$47</f>
        <v>390</v>
      </c>
      <c r="L25" s="83">
        <f>'Other Regional'!J25</f>
        <v>0</v>
      </c>
      <c r="M25" s="395">
        <f>SUM(B25:L25)</f>
        <v>467</v>
      </c>
    </row>
    <row r="26" spans="1:13" x14ac:dyDescent="0.2">
      <c r="A26" s="38" t="s">
        <v>38</v>
      </c>
      <c r="B26" s="83">
        <f>[3]Pinnacle!$GX$48</f>
        <v>0</v>
      </c>
      <c r="C26" s="78">
        <f>[3]MESA_UA!$GX$48</f>
        <v>0</v>
      </c>
      <c r="D26" s="83">
        <f>'[3]Sky West'!$GX$48</f>
        <v>0</v>
      </c>
      <c r="E26" s="83">
        <f>'[3]Sky West_UA'!$GX$48</f>
        <v>0</v>
      </c>
      <c r="F26" s="83">
        <f>'[3]Sky West_AS'!$GX$48</f>
        <v>0</v>
      </c>
      <c r="G26" s="83">
        <f>'[3]Sky West_AA'!$GX$48</f>
        <v>0</v>
      </c>
      <c r="H26" s="83">
        <f>[3]Republic!$GX$48</f>
        <v>0</v>
      </c>
      <c r="I26" s="83">
        <f>[3]Republic_UA!$GX$48</f>
        <v>0</v>
      </c>
      <c r="J26" s="83">
        <f>'[3]Sky Regional'!$GX$48</f>
        <v>0</v>
      </c>
      <c r="K26" s="83">
        <f>'[3]American Eagle'!$GX$48</f>
        <v>0</v>
      </c>
      <c r="L26" s="83">
        <f>'Other Regional'!J26</f>
        <v>0</v>
      </c>
      <c r="M26" s="395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77</v>
      </c>
      <c r="I27" s="91">
        <f t="shared" si="12"/>
        <v>0</v>
      </c>
      <c r="J27" s="91">
        <f t="shared" si="12"/>
        <v>0</v>
      </c>
      <c r="K27" s="91">
        <f t="shared" si="12"/>
        <v>390</v>
      </c>
      <c r="L27" s="91">
        <f t="shared" si="12"/>
        <v>0</v>
      </c>
      <c r="M27" s="397">
        <f>SUM(B27:L27)</f>
        <v>467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5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5"/>
    </row>
    <row r="30" spans="1:13" x14ac:dyDescent="0.2">
      <c r="A30" s="38" t="s">
        <v>59</v>
      </c>
      <c r="B30" s="83">
        <f>[3]Pinnacle!$GX$52</f>
        <v>0</v>
      </c>
      <c r="C30" s="78">
        <f>[3]MESA_UA!$GX$52</f>
        <v>0</v>
      </c>
      <c r="D30" s="83">
        <f>'[3]Sky West'!$GX$52</f>
        <v>0</v>
      </c>
      <c r="E30" s="83">
        <f>'[3]Sky West_UA'!$GX$52</f>
        <v>0</v>
      </c>
      <c r="F30" s="83">
        <f>'[3]Sky West_AS'!$GX$52</f>
        <v>0</v>
      </c>
      <c r="G30" s="83">
        <f>'[3]Sky West_AA'!$GX$52</f>
        <v>0</v>
      </c>
      <c r="H30" s="83">
        <f>[3]Republic!$GX$52</f>
        <v>0</v>
      </c>
      <c r="I30" s="83">
        <f>[3]Republic_UA!$GX$52</f>
        <v>0</v>
      </c>
      <c r="J30" s="83">
        <f>'[3]Sky Regional'!$GX$52</f>
        <v>0</v>
      </c>
      <c r="K30" s="83">
        <f>'[3]American Eagle'!$GX$52</f>
        <v>516</v>
      </c>
      <c r="L30" s="83">
        <f>'Other Regional'!J30</f>
        <v>0</v>
      </c>
      <c r="M30" s="395">
        <f t="shared" ref="M30:M37" si="14">SUM(B30:L30)</f>
        <v>516</v>
      </c>
    </row>
    <row r="31" spans="1:13" x14ac:dyDescent="0.2">
      <c r="A31" s="38" t="s">
        <v>60</v>
      </c>
      <c r="B31" s="83">
        <f>[3]Pinnacle!$GX$53</f>
        <v>0</v>
      </c>
      <c r="C31" s="78">
        <f>[3]MESA_UA!$GX$53</f>
        <v>0</v>
      </c>
      <c r="D31" s="83">
        <f>'[3]Sky West'!$GX$53</f>
        <v>0</v>
      </c>
      <c r="E31" s="83">
        <f>'[3]Sky West_UA'!$GX$53</f>
        <v>0</v>
      </c>
      <c r="F31" s="83">
        <f>'[3]Sky West_AS'!$GX$53</f>
        <v>0</v>
      </c>
      <c r="G31" s="83">
        <f>'[3]Sky West_AA'!$GX$53</f>
        <v>0</v>
      </c>
      <c r="H31" s="83">
        <f>[3]Republic!$GX$53</f>
        <v>0</v>
      </c>
      <c r="I31" s="83">
        <f>[3]Republic_UA!$GX$53</f>
        <v>0</v>
      </c>
      <c r="J31" s="83">
        <f>'[3]Sky Regional'!$GX$53</f>
        <v>0</v>
      </c>
      <c r="K31" s="83">
        <f>'[3]American Eagle'!$GX$53</f>
        <v>0</v>
      </c>
      <c r="L31" s="83">
        <f>'Other Regional'!J31</f>
        <v>0</v>
      </c>
      <c r="M31" s="395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0</v>
      </c>
      <c r="I32" s="91">
        <f t="shared" si="15"/>
        <v>0</v>
      </c>
      <c r="J32" s="91">
        <f t="shared" si="15"/>
        <v>0</v>
      </c>
      <c r="K32" s="91">
        <f t="shared" si="15"/>
        <v>516</v>
      </c>
      <c r="L32" s="91">
        <f>SUM(L30:L31)</f>
        <v>0</v>
      </c>
      <c r="M32" s="397">
        <f t="shared" si="14"/>
        <v>516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5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5">
        <f t="shared" si="14"/>
        <v>0</v>
      </c>
    </row>
    <row r="35" spans="1:13" ht="13.5" hidden="1" thickTop="1" x14ac:dyDescent="0.2">
      <c r="A35" s="38" t="s">
        <v>37</v>
      </c>
      <c r="B35" s="83">
        <f>[3]Pinnacle!$GX$57</f>
        <v>0</v>
      </c>
      <c r="C35" s="78">
        <f>[3]MESA_UA!$GX$57</f>
        <v>0</v>
      </c>
      <c r="D35" s="83">
        <f>'[3]Sky West'!$GX$57</f>
        <v>0</v>
      </c>
      <c r="E35" s="83">
        <f>'[3]Sky West_UA'!$GX$57</f>
        <v>0</v>
      </c>
      <c r="F35" s="83">
        <f>'[3]Sky West_AS'!$GX$57</f>
        <v>0</v>
      </c>
      <c r="G35" s="83">
        <f>'[3]Sky West_AA'!$GX$57</f>
        <v>0</v>
      </c>
      <c r="H35" s="83">
        <f>[3]Republic!$GX$57</f>
        <v>0</v>
      </c>
      <c r="I35" s="83">
        <f>[3]Republic!$GX$57</f>
        <v>0</v>
      </c>
      <c r="J35" s="83">
        <f>[3]Republic!$GX$57</f>
        <v>0</v>
      </c>
      <c r="K35" s="83">
        <f>'[3]American Eagle'!$GX$57</f>
        <v>0</v>
      </c>
      <c r="L35" s="83">
        <f>'Other Regional'!J35</f>
        <v>0</v>
      </c>
      <c r="M35" s="395">
        <f t="shared" si="14"/>
        <v>0</v>
      </c>
    </row>
    <row r="36" spans="1:13" ht="13.5" hidden="1" thickTop="1" x14ac:dyDescent="0.2">
      <c r="A36" s="38" t="s">
        <v>38</v>
      </c>
      <c r="B36" s="83">
        <f>[3]Pinnacle!$GX$58</f>
        <v>0</v>
      </c>
      <c r="C36" s="78">
        <f>[3]MESA_UA!$GX$58</f>
        <v>0</v>
      </c>
      <c r="D36" s="83">
        <f>'[3]Sky West'!$GX$58</f>
        <v>0</v>
      </c>
      <c r="E36" s="83">
        <f>'[3]Sky West_UA'!$GX$58</f>
        <v>0</v>
      </c>
      <c r="F36" s="83">
        <f>'[3]Sky West_AS'!$GX$58</f>
        <v>0</v>
      </c>
      <c r="G36" s="83">
        <f>'[3]Sky West_AA'!$GX$58</f>
        <v>0</v>
      </c>
      <c r="H36" s="83">
        <f>[3]Republic!$GX$58</f>
        <v>0</v>
      </c>
      <c r="I36" s="83">
        <f>[3]Republic!$GX$58</f>
        <v>0</v>
      </c>
      <c r="J36" s="83">
        <f>[3]Republic!$GX$58</f>
        <v>0</v>
      </c>
      <c r="K36" s="83">
        <f>'[3]American Eagle'!$GX$58</f>
        <v>0</v>
      </c>
      <c r="L36" s="83">
        <f>'Other Regional'!J36</f>
        <v>0</v>
      </c>
      <c r="M36" s="395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5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5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5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77</v>
      </c>
      <c r="I40" s="83">
        <f t="shared" si="19"/>
        <v>0</v>
      </c>
      <c r="J40" s="83">
        <f t="shared" si="19"/>
        <v>0</v>
      </c>
      <c r="K40" s="83">
        <f>SUM(K35,K30,K25)</f>
        <v>906</v>
      </c>
      <c r="L40" s="83">
        <f>L35+L30+L25</f>
        <v>0</v>
      </c>
      <c r="M40" s="395">
        <f>SUM(B40:L40)</f>
        <v>983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5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77</v>
      </c>
      <c r="I42" s="92">
        <f t="shared" si="19"/>
        <v>0</v>
      </c>
      <c r="J42" s="92">
        <f t="shared" si="19"/>
        <v>0</v>
      </c>
      <c r="K42" s="92">
        <f>SUM(K37,K32,K27)</f>
        <v>906</v>
      </c>
      <c r="L42" s="92">
        <f>SUM(L37,L32,L27)</f>
        <v>0</v>
      </c>
      <c r="M42" s="399">
        <f>SUM(B42:L42)</f>
        <v>983</v>
      </c>
    </row>
    <row r="44" spans="1:13" x14ac:dyDescent="0.2">
      <c r="A44" s="255" t="s">
        <v>122</v>
      </c>
      <c r="B44" s="215">
        <f>[3]Pinnacle!$GX$70+[3]Pinnacle!$GX$73</f>
        <v>17139</v>
      </c>
      <c r="D44" s="216">
        <f>'[3]Sky West'!$GX$70+'[3]Sky West'!$GX$73</f>
        <v>16822</v>
      </c>
      <c r="E44" s="2"/>
      <c r="F44" s="2"/>
      <c r="G44" s="2"/>
      <c r="L44" s="216">
        <f>+'Other Regional'!J46</f>
        <v>0</v>
      </c>
      <c r="M44" s="205">
        <f>SUM(B44:L44)</f>
        <v>33961</v>
      </c>
    </row>
    <row r="45" spans="1:13" x14ac:dyDescent="0.2">
      <c r="A45" s="267" t="s">
        <v>123</v>
      </c>
      <c r="B45" s="215">
        <f>[3]Pinnacle!$GX$71+[3]Pinnacle!$GX$74</f>
        <v>50181</v>
      </c>
      <c r="D45" s="216">
        <f>'[3]Sky West'!$GX$71+'[3]Sky West'!$GX$74</f>
        <v>38075</v>
      </c>
      <c r="E45" s="2"/>
      <c r="F45" s="2"/>
      <c r="G45" s="2"/>
      <c r="L45" s="216">
        <f>+'Other Regional'!J47</f>
        <v>0</v>
      </c>
      <c r="M45" s="205">
        <f>SUM(B45:L45)</f>
        <v>88256</v>
      </c>
    </row>
    <row r="46" spans="1:13" x14ac:dyDescent="0.2">
      <c r="A46" s="206" t="s">
        <v>124</v>
      </c>
      <c r="B46" s="207">
        <f>SUM(B44:B45)</f>
        <v>67320</v>
      </c>
      <c r="L46" s="2"/>
      <c r="M46" s="193"/>
    </row>
    <row r="47" spans="1:13" x14ac:dyDescent="0.2">
      <c r="A47" s="208"/>
      <c r="B47" s="20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September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M16" sqref="M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x14ac:dyDescent="0.2">
      <c r="A1" s="263"/>
    </row>
    <row r="2" spans="1:10" ht="55.5" customHeight="1" thickBot="1" x14ac:dyDescent="0.25">
      <c r="A2" s="258">
        <v>44075</v>
      </c>
      <c r="B2" s="353" t="s">
        <v>172</v>
      </c>
      <c r="C2" s="353" t="s">
        <v>171</v>
      </c>
      <c r="D2" s="433" t="s">
        <v>197</v>
      </c>
      <c r="E2" s="433" t="s">
        <v>226</v>
      </c>
      <c r="F2" s="433" t="s">
        <v>176</v>
      </c>
      <c r="G2" s="43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6" t="s">
        <v>3</v>
      </c>
      <c r="B3" s="279"/>
      <c r="C3" s="279"/>
      <c r="D3" s="279"/>
      <c r="E3" s="279"/>
      <c r="F3" s="280"/>
      <c r="G3" s="280"/>
      <c r="H3" s="280"/>
      <c r="I3" s="280"/>
      <c r="J3" s="394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5"/>
    </row>
    <row r="5" spans="1:10" x14ac:dyDescent="0.2">
      <c r="A5" s="38" t="s">
        <v>30</v>
      </c>
      <c r="B5" s="78">
        <f>'[3]Shuttle America'!$GX$22</f>
        <v>0</v>
      </c>
      <c r="C5" s="78">
        <f>'[3]Shuttle America_Delta'!$GX$22</f>
        <v>0</v>
      </c>
      <c r="D5" s="312">
        <f>[3]Horizon_AS!$GX$22</f>
        <v>0</v>
      </c>
      <c r="E5" s="312">
        <f>'[3]Air Wisconsin'!$GX$22</f>
        <v>0</v>
      </c>
      <c r="F5" s="78">
        <f>'[3]Atlantic Southeast'!$GX$22+'[3]Atlantic Southeast'!$GX$32</f>
        <v>0</v>
      </c>
      <c r="G5" s="78">
        <f>'[3]Continental Express'!$GX$22</f>
        <v>0</v>
      </c>
      <c r="H5" s="83">
        <f>'[3]Go Jet_UA'!$GX$22</f>
        <v>0</v>
      </c>
      <c r="I5" s="12">
        <f>'[3]Go Jet'!$GX$22+'[3]Go Jet'!$GX$32</f>
        <v>0</v>
      </c>
      <c r="J5" s="395">
        <f>SUM(B5:I5)</f>
        <v>0</v>
      </c>
    </row>
    <row r="6" spans="1:10" s="6" customFormat="1" x14ac:dyDescent="0.2">
      <c r="A6" s="38" t="s">
        <v>31</v>
      </c>
      <c r="B6" s="78">
        <f>'[3]Shuttle America'!$GX$23</f>
        <v>0</v>
      </c>
      <c r="C6" s="78">
        <f>'[3]Shuttle America_Delta'!$GX$23</f>
        <v>0</v>
      </c>
      <c r="D6" s="312">
        <f>[3]Horizon_AS!$GX$23</f>
        <v>0</v>
      </c>
      <c r="E6" s="312">
        <f>'[3]Air Wisconsin'!$GX$23</f>
        <v>0</v>
      </c>
      <c r="F6" s="78">
        <f>'[3]Atlantic Southeast'!$GX$23+'[3]Atlantic Southeast'!$GX$33</f>
        <v>0</v>
      </c>
      <c r="G6" s="78">
        <f>'[3]Continental Express'!$GX$23</f>
        <v>0</v>
      </c>
      <c r="H6" s="83">
        <f>'[3]Go Jet_UA'!$GX$23</f>
        <v>0</v>
      </c>
      <c r="I6" s="7">
        <f>'[3]Go Jet'!$GX$23+'[3]Go Jet'!$GX$33</f>
        <v>0</v>
      </c>
      <c r="J6" s="396">
        <f>SUM(B6:I6)</f>
        <v>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7">
        <f>SUM(B7:I7)</f>
        <v>0</v>
      </c>
    </row>
    <row r="8" spans="1:10" ht="13.5" thickTop="1" x14ac:dyDescent="0.2">
      <c r="A8" s="38"/>
      <c r="B8" s="78"/>
      <c r="C8" s="78"/>
      <c r="D8" s="312"/>
      <c r="E8" s="312"/>
      <c r="F8" s="78"/>
      <c r="G8" s="78"/>
      <c r="H8" s="83"/>
      <c r="I8" s="230"/>
      <c r="J8" s="398"/>
    </row>
    <row r="9" spans="1:10" s="6" customFormat="1" x14ac:dyDescent="0.2">
      <c r="A9" s="38" t="s">
        <v>32</v>
      </c>
      <c r="B9" s="78"/>
      <c r="C9" s="78"/>
      <c r="D9" s="312"/>
      <c r="E9" s="312"/>
      <c r="F9" s="78"/>
      <c r="G9" s="78"/>
      <c r="H9" s="83"/>
      <c r="I9" s="12"/>
      <c r="J9" s="395"/>
    </row>
    <row r="10" spans="1:10" x14ac:dyDescent="0.2">
      <c r="A10" s="38" t="s">
        <v>30</v>
      </c>
      <c r="B10" s="78">
        <f>'[3]Shuttle America'!$GX$27</f>
        <v>0</v>
      </c>
      <c r="C10" s="78">
        <f>'[3]Shuttle America_Delta'!$GX$27</f>
        <v>0</v>
      </c>
      <c r="D10" s="312">
        <f>[3]Horizon_AS!$GX$27</f>
        <v>0</v>
      </c>
      <c r="E10" s="312">
        <f>'[3]Air Wisconsin'!$GX$27</f>
        <v>0</v>
      </c>
      <c r="F10" s="12">
        <f>'[3]Atlantic Southeast'!$GX$27+'[3]Atlantic Southeast'!$GX$37</f>
        <v>0</v>
      </c>
      <c r="G10" s="78">
        <f>'[3]Continental Express'!$GX$27</f>
        <v>0</v>
      </c>
      <c r="H10" s="83">
        <f>'[3]Go Jet_UA'!$GX$27</f>
        <v>0</v>
      </c>
      <c r="I10" s="12">
        <f>'[3]Go Jet'!$GX$27+'[3]Go Jet'!$GX$37</f>
        <v>0</v>
      </c>
      <c r="J10" s="395">
        <f>SUM(B10:I10)</f>
        <v>0</v>
      </c>
    </row>
    <row r="11" spans="1:10" x14ac:dyDescent="0.2">
      <c r="A11" s="38" t="s">
        <v>33</v>
      </c>
      <c r="B11" s="78">
        <f>'[3]Shuttle America'!$GX$28</f>
        <v>0</v>
      </c>
      <c r="C11" s="78">
        <f>'[3]Shuttle America_Delta'!$GX$28</f>
        <v>0</v>
      </c>
      <c r="D11" s="312">
        <f>[3]Horizon_AS!$GX$28</f>
        <v>0</v>
      </c>
      <c r="E11" s="312">
        <f>'[3]Air Wisconsin'!$GX$28</f>
        <v>0</v>
      </c>
      <c r="F11" s="7">
        <f>'[3]Atlantic Southeast'!$GX$28+'[3]Atlantic Southeast'!$GX$38</f>
        <v>0</v>
      </c>
      <c r="G11" s="78">
        <f>'[3]Continental Express'!$GX$28</f>
        <v>0</v>
      </c>
      <c r="H11" s="83">
        <f>'[3]Go Jet_UA'!$GX$28</f>
        <v>0</v>
      </c>
      <c r="I11" s="7">
        <f>'[3]Go Jet'!$GX$28+'[3]Go Jet'!$GX$38</f>
        <v>0</v>
      </c>
      <c r="J11" s="396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9">
        <f>SUM(B12:I12)</f>
        <v>0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1"/>
    </row>
    <row r="15" spans="1:10" x14ac:dyDescent="0.2">
      <c r="A15" s="38" t="s">
        <v>53</v>
      </c>
      <c r="B15" s="76">
        <f>'[3]Shuttle America'!$GX$4</f>
        <v>0</v>
      </c>
      <c r="C15" s="76">
        <f>'[3]Shuttle America_Delta'!$GX$4</f>
        <v>0</v>
      </c>
      <c r="D15" s="313">
        <f>[3]Horizon_AS!$GX$4</f>
        <v>0</v>
      </c>
      <c r="E15" s="313">
        <f>'[3]Air Wisconsin'!$GX$4</f>
        <v>0</v>
      </c>
      <c r="F15" s="77">
        <f>'[3]Atlantic Southeast'!$GX$4+'[3]Atlantic Southeast'!$GX$15</f>
        <v>0</v>
      </c>
      <c r="G15" s="77">
        <f>'[3]Continental Express'!$GX$4</f>
        <v>0</v>
      </c>
      <c r="H15" s="76">
        <f>'[3]Go Jet_UA'!$GX$4</f>
        <v>0</v>
      </c>
      <c r="I15" s="12">
        <f>'[3]Go Jet'!$GX$4+'[3]Go Jet'!$GX$15</f>
        <v>0</v>
      </c>
      <c r="J15" s="395">
        <f t="shared" ref="J15:J21" si="5">SUM(B15:I15)</f>
        <v>0</v>
      </c>
    </row>
    <row r="16" spans="1:10" x14ac:dyDescent="0.2">
      <c r="A16" s="38" t="s">
        <v>54</v>
      </c>
      <c r="B16" s="79">
        <f>'[3]Shuttle America'!$GX$5</f>
        <v>0</v>
      </c>
      <c r="C16" s="79">
        <f>'[3]Shuttle America_Delta'!$GX$5</f>
        <v>0</v>
      </c>
      <c r="D16" s="314">
        <f>[3]Horizon_AS!$GX$5</f>
        <v>0</v>
      </c>
      <c r="E16" s="314">
        <f>'[3]Air Wisconsin'!$GX$5</f>
        <v>0</v>
      </c>
      <c r="F16" s="80">
        <f>'[3]Atlantic Southeast'!$GX$5+'[3]Atlantic Southeast'!$GX$16</f>
        <v>0</v>
      </c>
      <c r="G16" s="80">
        <f>'[3]Continental Express'!$GX$5</f>
        <v>0</v>
      </c>
      <c r="H16" s="79">
        <f>'[3]Go Jet_UA'!$GX$5</f>
        <v>0</v>
      </c>
      <c r="I16" s="7">
        <f>'[3]Go Jet'!$GX$5+'[3]Go Jet'!$GX$16</f>
        <v>0</v>
      </c>
      <c r="J16" s="396">
        <f t="shared" si="5"/>
        <v>0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8">
        <f>SUM(I15:I16)</f>
        <v>0</v>
      </c>
      <c r="J17" s="402">
        <f t="shared" si="5"/>
        <v>0</v>
      </c>
    </row>
    <row r="18" spans="1:10" x14ac:dyDescent="0.2">
      <c r="A18" s="38" t="s">
        <v>56</v>
      </c>
      <c r="B18" s="83">
        <f>'[3]Shuttle America'!$GX$8</f>
        <v>0</v>
      </c>
      <c r="C18" s="83">
        <f>'[3]Shuttle America_Delta'!$GX$8</f>
        <v>0</v>
      </c>
      <c r="D18" s="83">
        <f>[3]Horizon_AS!$GX$8</f>
        <v>0</v>
      </c>
      <c r="E18" s="83">
        <f>'[3]Air Wisconsin'!$GX$8</f>
        <v>0</v>
      </c>
      <c r="F18" s="78">
        <f>'[3]Atlantic Southeast'!$GX$8</f>
        <v>0</v>
      </c>
      <c r="G18" s="78">
        <f>'[3]Continental Express'!$GX$8</f>
        <v>0</v>
      </c>
      <c r="H18" s="83">
        <f>'[3]Go Jet_UA'!$GX$8</f>
        <v>0</v>
      </c>
      <c r="I18" s="12">
        <f>'[3]Go Jet'!$GX$8</f>
        <v>0</v>
      </c>
      <c r="J18" s="395">
        <f t="shared" si="5"/>
        <v>0</v>
      </c>
    </row>
    <row r="19" spans="1:10" x14ac:dyDescent="0.2">
      <c r="A19" s="38" t="s">
        <v>57</v>
      </c>
      <c r="B19" s="84">
        <f>'[3]Shuttle America'!$GX$9</f>
        <v>0</v>
      </c>
      <c r="C19" s="84">
        <f>'[3]Shuttle America_Delta'!$GX$9</f>
        <v>0</v>
      </c>
      <c r="D19" s="84">
        <f>[3]Horizon_AS!$GX$9</f>
        <v>0</v>
      </c>
      <c r="E19" s="84">
        <f>'[3]Air Wisconsin'!$GX$9</f>
        <v>0</v>
      </c>
      <c r="F19" s="81">
        <f>'[3]Atlantic Southeast'!$GX$9</f>
        <v>0</v>
      </c>
      <c r="G19" s="81">
        <f>'[3]Continental Express'!$GX$9</f>
        <v>0</v>
      </c>
      <c r="H19" s="84">
        <f>'[3]Go Jet_UA'!$GX$9</f>
        <v>0</v>
      </c>
      <c r="I19" s="7">
        <f>'[3]Go Jet'!$GX$9</f>
        <v>0</v>
      </c>
      <c r="J19" s="396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8">
        <f>SUM(I18:I19)</f>
        <v>0</v>
      </c>
      <c r="J20" s="402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3">
        <f t="shared" si="5"/>
        <v>0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4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5"/>
    </row>
    <row r="25" spans="1:10" x14ac:dyDescent="0.2">
      <c r="A25" s="38" t="s">
        <v>37</v>
      </c>
      <c r="B25" s="83">
        <f>'[3]Shuttle America'!$GX$47</f>
        <v>0</v>
      </c>
      <c r="C25" s="83">
        <f>'[3]Shuttle America_Delta'!$GX$47</f>
        <v>0</v>
      </c>
      <c r="D25" s="83">
        <f>[3]Horizon_AS!$GX$47</f>
        <v>0</v>
      </c>
      <c r="E25" s="83">
        <f>'[3]Air Wisconsin'!$GX$47</f>
        <v>0</v>
      </c>
      <c r="F25" s="78">
        <f>'[3]Atlantic Southeast'!$GX$47</f>
        <v>0</v>
      </c>
      <c r="G25" s="78">
        <f>'[3]Continental Express'!$GX$47</f>
        <v>0</v>
      </c>
      <c r="H25" s="83">
        <f>'[3]Go Jet_UA'!$GX$47</f>
        <v>0</v>
      </c>
      <c r="I25" s="83">
        <f>'[3]Go Jet'!$GX$47</f>
        <v>0</v>
      </c>
      <c r="J25" s="395">
        <f>SUM(B25:I25)</f>
        <v>0</v>
      </c>
    </row>
    <row r="26" spans="1:10" x14ac:dyDescent="0.2">
      <c r="A26" s="38" t="s">
        <v>38</v>
      </c>
      <c r="B26" s="83">
        <f>'[3]Shuttle America'!$GX$48</f>
        <v>0</v>
      </c>
      <c r="C26" s="83">
        <f>'[3]Shuttle America_Delta'!$GX$48</f>
        <v>0</v>
      </c>
      <c r="D26" s="83">
        <f>[3]Horizon_AS!$GX$48</f>
        <v>0</v>
      </c>
      <c r="E26" s="83">
        <f>'[3]Air Wisconsin'!$GX$48</f>
        <v>0</v>
      </c>
      <c r="F26" s="78">
        <f>'[3]Atlantic Southeast'!$GX$48</f>
        <v>0</v>
      </c>
      <c r="G26" s="78">
        <f>'[3]Continental Express'!$GX$48</f>
        <v>0</v>
      </c>
      <c r="H26" s="83">
        <f>'[3]Go Jet_UA'!$GX$48</f>
        <v>0</v>
      </c>
      <c r="I26" s="83">
        <f>'[3]Go Jet'!$GX$48</f>
        <v>0</v>
      </c>
      <c r="J26" s="395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7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5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5"/>
    </row>
    <row r="30" spans="1:10" x14ac:dyDescent="0.2">
      <c r="A30" s="38" t="s">
        <v>59</v>
      </c>
      <c r="B30" s="83">
        <f>'[3]Shuttle America'!$GX$52</f>
        <v>0</v>
      </c>
      <c r="C30" s="83">
        <f>'[3]Shuttle America_Delta'!$GX$52</f>
        <v>0</v>
      </c>
      <c r="D30" s="83">
        <f>[3]Horizon_AS!$GX$52</f>
        <v>0</v>
      </c>
      <c r="E30" s="83">
        <f>'[3]Air Wisconsin'!$GX$52</f>
        <v>0</v>
      </c>
      <c r="F30" s="78">
        <f>'[3]Atlantic Southeast'!$GX$52</f>
        <v>0</v>
      </c>
      <c r="G30" s="78">
        <f>'[3]Continental Express'!$GX$52</f>
        <v>0</v>
      </c>
      <c r="H30" s="83">
        <f>'[3]Go Jet_UA'!$GX$52</f>
        <v>0</v>
      </c>
      <c r="I30" s="83">
        <f>'[3]Go Jet'!$GX$52</f>
        <v>0</v>
      </c>
      <c r="J30" s="395">
        <f>SUM(B30:I30)</f>
        <v>0</v>
      </c>
    </row>
    <row r="31" spans="1:10" x14ac:dyDescent="0.2">
      <c r="A31" s="38" t="s">
        <v>60</v>
      </c>
      <c r="B31" s="83">
        <f>'[3]Shuttle America'!$GX$53</f>
        <v>0</v>
      </c>
      <c r="C31" s="83">
        <f>'[3]Shuttle America_Delta'!$GX$53</f>
        <v>0</v>
      </c>
      <c r="D31" s="83">
        <f>[3]Horizon_AS!$GX$53</f>
        <v>0</v>
      </c>
      <c r="E31" s="83">
        <f>'[3]Air Wisconsin'!$GX$53</f>
        <v>0</v>
      </c>
      <c r="F31" s="78">
        <f>'[3]Atlantic Southeast'!$GX$53</f>
        <v>0</v>
      </c>
      <c r="G31" s="78">
        <f>'[3]Continental Express'!$GX$53</f>
        <v>0</v>
      </c>
      <c r="H31" s="83">
        <f>'[3]Go Jet_UA'!$GX$53</f>
        <v>0</v>
      </c>
      <c r="I31" s="83">
        <f>'[3]Go Jet'!$GX$53</f>
        <v>0</v>
      </c>
      <c r="J31" s="395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7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5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5"/>
    </row>
    <row r="35" spans="1:10" ht="13.5" hidden="1" thickTop="1" x14ac:dyDescent="0.2">
      <c r="A35" s="38" t="s">
        <v>37</v>
      </c>
      <c r="B35" s="83">
        <f>'[3]Shuttle America'!$GX$57</f>
        <v>0</v>
      </c>
      <c r="C35" s="83">
        <f>'[3]Shuttle America_Delta'!$GX$57</f>
        <v>0</v>
      </c>
      <c r="D35" s="83">
        <f>[3]Horizon_AS!$GX$57</f>
        <v>0</v>
      </c>
      <c r="E35" s="83">
        <f>'[3]Air Wisconsin'!$GX$57</f>
        <v>0</v>
      </c>
      <c r="F35" s="78">
        <f>'[3]Atlantic Southeast'!$GX$57</f>
        <v>0</v>
      </c>
      <c r="G35" s="78">
        <f>'[3]Continental Express'!$GX$57</f>
        <v>0</v>
      </c>
      <c r="H35" s="83">
        <f>'[3]Go Jet_UA'!$AJ$57</f>
        <v>0</v>
      </c>
      <c r="I35" s="83">
        <f>'[3]Go Jet'!$GX$57</f>
        <v>0</v>
      </c>
      <c r="J35" s="395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5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5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5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5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5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5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9">
        <f>SUM(B42:I42)</f>
        <v>0</v>
      </c>
    </row>
    <row r="43" spans="1:10" ht="4.5" customHeight="1" x14ac:dyDescent="0.2"/>
    <row r="44" spans="1:10" hidden="1" x14ac:dyDescent="0.2">
      <c r="A44" s="217" t="s">
        <v>125</v>
      </c>
      <c r="F44" s="203"/>
      <c r="I44" s="216">
        <f>'[3]Go Jet'!BK$70+'[3]Go Jet'!BK$73</f>
        <v>0</v>
      </c>
      <c r="J44" s="205" t="e">
        <f>SUM(#REF!)</f>
        <v>#REF!</v>
      </c>
    </row>
    <row r="45" spans="1:10" hidden="1" x14ac:dyDescent="0.2">
      <c r="A45" s="217" t="s">
        <v>126</v>
      </c>
      <c r="F45" s="220"/>
      <c r="I45" s="216">
        <f>'[3]Go Jet'!BK$71+'[3]Go Jet'!BK$74</f>
        <v>0</v>
      </c>
      <c r="J45" s="205" t="e">
        <f>SUM(#REF!)</f>
        <v>#REF!</v>
      </c>
    </row>
    <row r="46" spans="1:10" x14ac:dyDescent="0.2">
      <c r="A46" s="255" t="s">
        <v>122</v>
      </c>
      <c r="C46" s="216">
        <f>'[3]Shuttle America_Delta'!$GX$70+'[3]Shuttle America_Delta'!$GX$73</f>
        <v>0</v>
      </c>
      <c r="D46" s="2"/>
      <c r="F46" s="216">
        <f>'[3]Atlantic Southeast'!$GX$70+'[3]Atlantic Southeast'!$GX$73</f>
        <v>0</v>
      </c>
      <c r="I46" s="216">
        <f>'[3]Go Jet'!$GX$70+'[3]Go Jet'!$GX$73</f>
        <v>0</v>
      </c>
      <c r="J46" s="266">
        <f>SUM(B46:I46)</f>
        <v>0</v>
      </c>
    </row>
    <row r="47" spans="1:10" x14ac:dyDescent="0.2">
      <c r="A47" s="267" t="s">
        <v>123</v>
      </c>
      <c r="C47" s="216">
        <f>'[3]Shuttle America_Delta'!$GX$71+'[3]Shuttle America_Delta'!$GX$74</f>
        <v>0</v>
      </c>
      <c r="D47" s="2"/>
      <c r="F47" s="216">
        <f>'[3]Atlantic Southeast'!$GX$71+'[3]Atlantic Southeast'!$GX$74</f>
        <v>0</v>
      </c>
      <c r="I47" s="216">
        <f>'[3]Go Jet'!$GX$71+'[3]Go Jet'!$GX$74</f>
        <v>0</v>
      </c>
      <c r="J47" s="266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September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A32" sqref="A3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8">
        <v>44075</v>
      </c>
      <c r="B2" s="359" t="s">
        <v>117</v>
      </c>
      <c r="C2" s="359" t="s">
        <v>153</v>
      </c>
      <c r="D2" s="360" t="s">
        <v>78</v>
      </c>
      <c r="E2" s="360" t="s">
        <v>154</v>
      </c>
      <c r="F2" s="359" t="s">
        <v>131</v>
      </c>
      <c r="G2" s="304" t="s">
        <v>79</v>
      </c>
    </row>
    <row r="3" spans="1:17" x14ac:dyDescent="0.2">
      <c r="A3" s="185" t="s">
        <v>3</v>
      </c>
      <c r="B3" s="121"/>
      <c r="C3" s="120"/>
      <c r="D3" s="120"/>
      <c r="E3" s="120"/>
      <c r="F3" s="120"/>
      <c r="G3" s="406"/>
    </row>
    <row r="4" spans="1:17" x14ac:dyDescent="0.2">
      <c r="A4" s="38" t="s">
        <v>29</v>
      </c>
      <c r="B4" s="291"/>
      <c r="C4" s="119"/>
      <c r="D4" s="119"/>
      <c r="E4" s="119"/>
      <c r="F4" s="119"/>
      <c r="G4" s="407"/>
    </row>
    <row r="5" spans="1:17" x14ac:dyDescent="0.2">
      <c r="A5" s="38" t="s">
        <v>30</v>
      </c>
      <c r="B5" s="291">
        <f>'[3]Charter Misc'!$GX$22</f>
        <v>0</v>
      </c>
      <c r="C5" s="119">
        <f>[3]Ryan!$GX$22</f>
        <v>0</v>
      </c>
      <c r="D5" s="119">
        <f>'[3]Charter Misc'!$GX$32</f>
        <v>0</v>
      </c>
      <c r="E5" s="119">
        <f>[3]Omni!$GX$32</f>
        <v>19</v>
      </c>
      <c r="F5" s="119">
        <f>[3]Xtra!$GX$32+[3]Xtra!$GX$22</f>
        <v>0</v>
      </c>
      <c r="G5" s="408">
        <f>SUM(B5:F5)</f>
        <v>19</v>
      </c>
    </row>
    <row r="6" spans="1:17" x14ac:dyDescent="0.2">
      <c r="A6" s="38" t="s">
        <v>31</v>
      </c>
      <c r="B6" s="292">
        <f>'[3]Charter Misc'!$GX$23</f>
        <v>0</v>
      </c>
      <c r="C6" s="122">
        <f>[3]Ryan!$GX$23</f>
        <v>0</v>
      </c>
      <c r="D6" s="122">
        <f>'[3]Charter Misc'!$GX$33</f>
        <v>0</v>
      </c>
      <c r="E6" s="122">
        <f>[3]Omni!$GX$33+[3]Omni!$GX$23</f>
        <v>138</v>
      </c>
      <c r="F6" s="122">
        <f>[3]Xtra!$GX$33+[3]Xtra!$GX$23</f>
        <v>0</v>
      </c>
      <c r="G6" s="409">
        <f>SUM(B6:F6)</f>
        <v>138</v>
      </c>
    </row>
    <row r="7" spans="1:17" ht="15.75" thickBot="1" x14ac:dyDescent="0.3">
      <c r="A7" s="118" t="s">
        <v>7</v>
      </c>
      <c r="B7" s="293">
        <f>SUM(B5:B6)</f>
        <v>0</v>
      </c>
      <c r="C7" s="195">
        <f>SUM(C5:C6)</f>
        <v>0</v>
      </c>
      <c r="D7" s="195">
        <f>SUM(D5:D6)</f>
        <v>0</v>
      </c>
      <c r="E7" s="195">
        <f>SUM(E5:E6)</f>
        <v>157</v>
      </c>
      <c r="F7" s="195">
        <f>SUM(F5:F6)</f>
        <v>0</v>
      </c>
      <c r="G7" s="410">
        <f>SUM(B7:F7)</f>
        <v>157</v>
      </c>
    </row>
    <row r="8" spans="1:17" ht="13.5" thickBot="1" x14ac:dyDescent="0.25">
      <c r="G8" s="38"/>
    </row>
    <row r="9" spans="1:17" x14ac:dyDescent="0.2">
      <c r="A9" s="116" t="s">
        <v>9</v>
      </c>
      <c r="B9" s="294"/>
      <c r="C9" s="23"/>
      <c r="D9" s="23"/>
      <c r="E9" s="23"/>
      <c r="F9" s="23"/>
      <c r="G9" s="411"/>
    </row>
    <row r="10" spans="1:17" x14ac:dyDescent="0.2">
      <c r="A10" s="117" t="s">
        <v>80</v>
      </c>
      <c r="B10" s="291">
        <f>'[3]Charter Misc'!$GX$4</f>
        <v>0</v>
      </c>
      <c r="C10" s="119">
        <f>[3]Ryan!$GX$4</f>
        <v>0</v>
      </c>
      <c r="D10" s="119">
        <f>'[3]Charter Misc'!$GX$15</f>
        <v>0</v>
      </c>
      <c r="E10" s="119">
        <f>[3]Omni!$GX$15+[3]Omni!$GX$4+[3]Omni!$GX$8</f>
        <v>1</v>
      </c>
      <c r="F10" s="119">
        <f>[3]Xtra!$GX$15+[3]Xtra!$GX$4+[3]Omni!$GX$8</f>
        <v>0</v>
      </c>
      <c r="G10" s="409">
        <f>SUM(B10:F10)</f>
        <v>1</v>
      </c>
    </row>
    <row r="11" spans="1:17" x14ac:dyDescent="0.2">
      <c r="A11" s="117" t="s">
        <v>81</v>
      </c>
      <c r="B11" s="291">
        <f>'[3]Charter Misc'!$GX$5</f>
        <v>0</v>
      </c>
      <c r="C11" s="119">
        <f>[3]Ryan!$GX$5</f>
        <v>0</v>
      </c>
      <c r="D11" s="119">
        <f>'[3]Charter Misc'!$GX$16</f>
        <v>0</v>
      </c>
      <c r="E11" s="119">
        <f>[3]Omni!$GX$16+[3]Omni!$GX$5+[3]Omni!$GX$9</f>
        <v>1</v>
      </c>
      <c r="F11" s="119">
        <f>[3]Xtra!$GX$16+[3]Xtra!$GX$5+[3]Omni!$GX$9</f>
        <v>0</v>
      </c>
      <c r="G11" s="409">
        <f>SUM(B11:F11)</f>
        <v>1</v>
      </c>
    </row>
    <row r="12" spans="1:17" ht="15.75" thickBot="1" x14ac:dyDescent="0.3">
      <c r="A12" s="184" t="s">
        <v>28</v>
      </c>
      <c r="B12" s="295">
        <f>SUM(B10:B11)</f>
        <v>0</v>
      </c>
      <c r="C12" s="196">
        <f>SUM(C10:C11)</f>
        <v>0</v>
      </c>
      <c r="D12" s="196">
        <f>SUM(D10:D11)</f>
        <v>0</v>
      </c>
      <c r="E12" s="196">
        <f>SUM(E10:E11)</f>
        <v>2</v>
      </c>
      <c r="F12" s="196">
        <f>SUM(F10:F11)</f>
        <v>0</v>
      </c>
      <c r="G12" s="412">
        <f>SUM(B12:F12)</f>
        <v>2</v>
      </c>
      <c r="Q12" s="83"/>
    </row>
    <row r="17" spans="1:16" x14ac:dyDescent="0.2">
      <c r="B17" s="464" t="s">
        <v>151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6"/>
    </row>
    <row r="18" spans="1:16" ht="13.5" thickBot="1" x14ac:dyDescent="0.25">
      <c r="A18" s="211"/>
      <c r="E18" s="141"/>
      <c r="G18" s="141"/>
      <c r="H18" s="141"/>
      <c r="L18" s="145"/>
      <c r="N18" s="4"/>
    </row>
    <row r="19" spans="1:16" ht="13.5" customHeight="1" thickBot="1" x14ac:dyDescent="0.25">
      <c r="A19" s="281"/>
      <c r="B19" s="467" t="s">
        <v>119</v>
      </c>
      <c r="C19" s="468"/>
      <c r="D19" s="468"/>
      <c r="E19" s="469"/>
      <c r="G19" s="467" t="s">
        <v>120</v>
      </c>
      <c r="H19" s="470"/>
      <c r="I19" s="470"/>
      <c r="J19" s="471"/>
      <c r="L19" s="472" t="s">
        <v>121</v>
      </c>
      <c r="M19" s="473"/>
      <c r="N19" s="473"/>
      <c r="O19" s="474"/>
    </row>
    <row r="20" spans="1:16" ht="13.5" thickBot="1" x14ac:dyDescent="0.25">
      <c r="A20" s="148" t="s">
        <v>100</v>
      </c>
      <c r="B20" s="420" t="s">
        <v>101</v>
      </c>
      <c r="C20" s="428" t="s">
        <v>102</v>
      </c>
      <c r="D20" s="5" t="s">
        <v>215</v>
      </c>
      <c r="E20" s="5" t="s">
        <v>202</v>
      </c>
      <c r="F20" s="154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4" t="s">
        <v>97</v>
      </c>
      <c r="L20" s="153" t="s">
        <v>101</v>
      </c>
      <c r="M20" s="147" t="s">
        <v>102</v>
      </c>
      <c r="N20" s="5" t="s">
        <v>215</v>
      </c>
      <c r="O20" s="5" t="s">
        <v>202</v>
      </c>
      <c r="P20" s="154" t="s">
        <v>97</v>
      </c>
    </row>
    <row r="21" spans="1:16" ht="14.1" customHeight="1" x14ac:dyDescent="0.2">
      <c r="A21" s="157" t="s">
        <v>103</v>
      </c>
      <c r="B21" s="421">
        <f>+[4]Charter!$B$21</f>
        <v>154018</v>
      </c>
      <c r="C21" s="422">
        <f>+[4]Charter!$C$21</f>
        <v>145053</v>
      </c>
      <c r="D21" s="357">
        <f t="shared" ref="D21:D32" si="0">SUM(B21:C21)</f>
        <v>299071</v>
      </c>
      <c r="E21" s="358">
        <f>[5]Charter!$D$21</f>
        <v>266711</v>
      </c>
      <c r="F21" s="229">
        <f t="shared" ref="F21:F32" si="1">(D21-E21)/E21</f>
        <v>0.12132982891594273</v>
      </c>
      <c r="G21" s="225">
        <f t="shared" ref="G21:H23" si="2">L21-B21</f>
        <v>1288852</v>
      </c>
      <c r="H21" s="226">
        <f t="shared" si="2"/>
        <v>1327520</v>
      </c>
      <c r="I21" s="226">
        <f t="shared" ref="I21:I26" si="3">SUM(G21:H21)</f>
        <v>2616372</v>
      </c>
      <c r="J21" s="227">
        <f>[5]Charter!$I$21</f>
        <v>2470130</v>
      </c>
      <c r="K21" s="158">
        <f t="shared" ref="K21:K32" si="4">(I21-J21)/J21</f>
        <v>5.9204171440369532E-2</v>
      </c>
      <c r="L21" s="225">
        <f>+[4]Charter!$L$21</f>
        <v>1442870</v>
      </c>
      <c r="M21" s="226">
        <f>+[4]Charter!$M$21</f>
        <v>1472573</v>
      </c>
      <c r="N21" s="226">
        <f t="shared" ref="N21:N32" si="5">SUM(L21:M21)</f>
        <v>2915443</v>
      </c>
      <c r="O21" s="227">
        <f>[5]Charter!$N$21</f>
        <v>2736841</v>
      </c>
      <c r="P21" s="158">
        <f>(N21-O21)/O21</f>
        <v>6.5258449431296883E-2</v>
      </c>
    </row>
    <row r="22" spans="1:16" ht="14.1" customHeight="1" x14ac:dyDescent="0.2">
      <c r="A22" s="159" t="s">
        <v>104</v>
      </c>
      <c r="B22" s="423">
        <f>+[6]Charter!$B$22</f>
        <v>152114</v>
      </c>
      <c r="C22" s="424">
        <f>+[6]Charter!$C$22</f>
        <v>153672</v>
      </c>
      <c r="D22" s="425">
        <f t="shared" ref="D22" si="6">SUM(B22:C22)</f>
        <v>305786</v>
      </c>
      <c r="E22" s="354">
        <f>[7]Charter!$D22</f>
        <v>274882</v>
      </c>
      <c r="F22" s="224">
        <f t="shared" si="1"/>
        <v>0.11242642297422166</v>
      </c>
      <c r="G22" s="355">
        <f t="shared" si="2"/>
        <v>1270024</v>
      </c>
      <c r="H22" s="356">
        <f t="shared" si="2"/>
        <v>1284803</v>
      </c>
      <c r="I22" s="356">
        <f t="shared" si="3"/>
        <v>2554827</v>
      </c>
      <c r="J22" s="228">
        <f>[7]Charter!$I22</f>
        <v>2350129</v>
      </c>
      <c r="K22" s="161">
        <f t="shared" si="4"/>
        <v>8.7100750639645744E-2</v>
      </c>
      <c r="L22" s="355">
        <f>+[6]Charter!$L$22</f>
        <v>1422138</v>
      </c>
      <c r="M22" s="356">
        <f>+[6]Charter!$M$22</f>
        <v>1438475</v>
      </c>
      <c r="N22" s="356">
        <f t="shared" ref="N22" si="7">SUM(L22:M22)</f>
        <v>2860613</v>
      </c>
      <c r="O22" s="228">
        <f>[7]Charter!$N22</f>
        <v>2625011</v>
      </c>
      <c r="P22" s="160">
        <f t="shared" ref="P22:P32" si="8">(N22-O22)/O22</f>
        <v>8.9752766750310756E-2</v>
      </c>
    </row>
    <row r="23" spans="1:16" ht="14.1" customHeight="1" x14ac:dyDescent="0.2">
      <c r="A23" s="159" t="s">
        <v>105</v>
      </c>
      <c r="B23" s="423">
        <f>+[8]Charter!$B$23</f>
        <v>102884</v>
      </c>
      <c r="C23" s="424">
        <f>+[8]Charter!$C$23</f>
        <v>82442</v>
      </c>
      <c r="D23" s="425">
        <f t="shared" ref="D23" si="9">SUM(B23:C23)</f>
        <v>185326</v>
      </c>
      <c r="E23" s="354">
        <f>[9]Charter!$D23</f>
        <v>366937</v>
      </c>
      <c r="F23" s="160">
        <f t="shared" si="1"/>
        <v>-0.49493782311404955</v>
      </c>
      <c r="G23" s="355">
        <f t="shared" si="2"/>
        <v>853906</v>
      </c>
      <c r="H23" s="356">
        <f t="shared" si="2"/>
        <v>748879</v>
      </c>
      <c r="I23" s="356">
        <f t="shared" si="3"/>
        <v>1602785</v>
      </c>
      <c r="J23" s="228">
        <f>[9]Charter!$I23</f>
        <v>3170467</v>
      </c>
      <c r="K23" s="161">
        <f t="shared" si="4"/>
        <v>-0.49446406475765242</v>
      </c>
      <c r="L23" s="355">
        <f>+[8]Charter!$L$23</f>
        <v>956790</v>
      </c>
      <c r="M23" s="356">
        <f>+[8]Charter!$M$23</f>
        <v>831321</v>
      </c>
      <c r="N23" s="356">
        <f t="shared" ref="N23" si="10">SUM(L23:M23)</f>
        <v>1788111</v>
      </c>
      <c r="O23" s="228">
        <f>[9]Charter!$N23</f>
        <v>3537404</v>
      </c>
      <c r="P23" s="160">
        <f t="shared" si="8"/>
        <v>-0.49451320799094478</v>
      </c>
    </row>
    <row r="24" spans="1:16" ht="14.1" customHeight="1" x14ac:dyDescent="0.2">
      <c r="A24" s="159" t="s">
        <v>106</v>
      </c>
      <c r="B24" s="423">
        <f>+[10]Charter!$B$24</f>
        <v>347</v>
      </c>
      <c r="C24" s="424">
        <f>+[10]Charter!$C$24</f>
        <v>541</v>
      </c>
      <c r="D24" s="425">
        <f t="shared" ref="D24" si="11">SUM(B24:C24)</f>
        <v>888</v>
      </c>
      <c r="E24" s="354">
        <f>[11]Charter!$D24</f>
        <v>249952</v>
      </c>
      <c r="F24" s="160">
        <f t="shared" si="1"/>
        <v>-0.99644731788503393</v>
      </c>
      <c r="G24" s="355">
        <f t="shared" ref="G24" si="12">L24-B24</f>
        <v>80644</v>
      </c>
      <c r="H24" s="356">
        <f t="shared" ref="H24" si="13">M24-C24</f>
        <v>69951</v>
      </c>
      <c r="I24" s="356">
        <f t="shared" si="3"/>
        <v>150595</v>
      </c>
      <c r="J24" s="228">
        <f>[11]Charter!$I24</f>
        <v>2886078</v>
      </c>
      <c r="K24" s="161">
        <f t="shared" si="4"/>
        <v>-0.94782019058389966</v>
      </c>
      <c r="L24" s="355">
        <f>+[10]Charter!$L$24</f>
        <v>80991</v>
      </c>
      <c r="M24" s="356">
        <f>+[10]Charter!$M$24</f>
        <v>70492</v>
      </c>
      <c r="N24" s="356">
        <f t="shared" ref="N24" si="14">SUM(L24:M24)</f>
        <v>151483</v>
      </c>
      <c r="O24" s="228">
        <f>[11]Charter!$N24</f>
        <v>3136030</v>
      </c>
      <c r="P24" s="160">
        <f t="shared" si="8"/>
        <v>-0.95169593403124331</v>
      </c>
    </row>
    <row r="25" spans="1:16" ht="14.1" customHeight="1" x14ac:dyDescent="0.2">
      <c r="A25" s="146" t="s">
        <v>76</v>
      </c>
      <c r="B25" s="423">
        <f>+[12]Charter!$B$25</f>
        <v>965</v>
      </c>
      <c r="C25" s="424">
        <f>+[12]Charter!$C$25</f>
        <v>487</v>
      </c>
      <c r="D25" s="425">
        <f t="shared" ref="D25" si="15">SUM(B25:C25)</f>
        <v>1452</v>
      </c>
      <c r="E25" s="354">
        <f>[13]Charter!$D25</f>
        <v>253273</v>
      </c>
      <c r="F25" s="149">
        <f t="shared" si="1"/>
        <v>-0.99426705570668805</v>
      </c>
      <c r="G25" s="355">
        <f t="shared" ref="G25" si="16">L25-B25</f>
        <v>144345</v>
      </c>
      <c r="H25" s="356">
        <f t="shared" ref="H25" si="17">M25-C25</f>
        <v>138273</v>
      </c>
      <c r="I25" s="356">
        <f t="shared" si="3"/>
        <v>282618</v>
      </c>
      <c r="J25" s="228">
        <f>[13]Charter!$I25</f>
        <v>3087539</v>
      </c>
      <c r="K25" s="155">
        <f t="shared" si="4"/>
        <v>-0.90846496190007642</v>
      </c>
      <c r="L25" s="355">
        <f>+[12]Charter!$L$25</f>
        <v>145310</v>
      </c>
      <c r="M25" s="356">
        <f>+[12]Charter!$M$25</f>
        <v>138760</v>
      </c>
      <c r="N25" s="356">
        <f t="shared" ref="N25" si="18">SUM(L25:M25)</f>
        <v>284070</v>
      </c>
      <c r="O25" s="228">
        <f>[13]Charter!$N25</f>
        <v>3340812</v>
      </c>
      <c r="P25" s="149">
        <f t="shared" si="8"/>
        <v>-0.91496977381546762</v>
      </c>
    </row>
    <row r="26" spans="1:16" ht="14.1" customHeight="1" x14ac:dyDescent="0.2">
      <c r="A26" s="159" t="s">
        <v>107</v>
      </c>
      <c r="B26" s="423">
        <f>+[14]Charter!$B$26</f>
        <v>1529</v>
      </c>
      <c r="C26" s="424">
        <f>+[14]Charter!$C$26</f>
        <v>780</v>
      </c>
      <c r="D26" s="425">
        <f t="shared" ref="D26" si="19">SUM(B26:C26)</f>
        <v>2309</v>
      </c>
      <c r="E26" s="354">
        <f>[15]Charter!$D26</f>
        <v>288101</v>
      </c>
      <c r="F26" s="160">
        <f t="shared" si="1"/>
        <v>-0.99198544954720735</v>
      </c>
      <c r="G26" s="355">
        <f t="shared" ref="G26" si="20">L26-B26</f>
        <v>257876</v>
      </c>
      <c r="H26" s="356">
        <f t="shared" ref="H26" si="21">M26-C26</f>
        <v>253532</v>
      </c>
      <c r="I26" s="356">
        <f t="shared" si="3"/>
        <v>511408</v>
      </c>
      <c r="J26" s="228">
        <f>[15]Charter!$I26</f>
        <v>3379244</v>
      </c>
      <c r="K26" s="161">
        <f t="shared" si="4"/>
        <v>-0.84866200842555317</v>
      </c>
      <c r="L26" s="355">
        <f>+[14]Charter!$L$26</f>
        <v>259405</v>
      </c>
      <c r="M26" s="356">
        <f>+[14]Charter!$M$26</f>
        <v>254312</v>
      </c>
      <c r="N26" s="356">
        <f t="shared" ref="N26" si="22">SUM(L26:M26)</f>
        <v>513717</v>
      </c>
      <c r="O26" s="228">
        <f>[15]Charter!$N26</f>
        <v>3667345</v>
      </c>
      <c r="P26" s="160">
        <f t="shared" si="8"/>
        <v>-0.85992127819989661</v>
      </c>
    </row>
    <row r="27" spans="1:16" ht="14.1" customHeight="1" x14ac:dyDescent="0.2">
      <c r="A27" s="146" t="s">
        <v>108</v>
      </c>
      <c r="B27" s="423">
        <f>+[16]Charter!$B$27</f>
        <v>1298</v>
      </c>
      <c r="C27" s="424">
        <f>+[16]Charter!$C$27</f>
        <v>972</v>
      </c>
      <c r="D27" s="425">
        <f t="shared" ref="D27" si="23">SUM(B27:C27)</f>
        <v>2270</v>
      </c>
      <c r="E27" s="354">
        <f>[17]Charter!$D27</f>
        <v>296768</v>
      </c>
      <c r="F27" s="149">
        <f t="shared" si="1"/>
        <v>-0.99235092732370067</v>
      </c>
      <c r="G27" s="355">
        <f t="shared" ref="G27" si="24">L27-B27</f>
        <v>467454</v>
      </c>
      <c r="H27" s="356">
        <f t="shared" ref="H27" si="25">M27-C27</f>
        <v>475001</v>
      </c>
      <c r="I27" s="356">
        <f t="shared" ref="I27" si="26">SUM(G27:H27)</f>
        <v>942455</v>
      </c>
      <c r="J27" s="228">
        <f>[17]Charter!$I27</f>
        <v>3548261</v>
      </c>
      <c r="K27" s="155">
        <f t="shared" si="4"/>
        <v>-0.73438960662702091</v>
      </c>
      <c r="L27" s="355">
        <f>+[16]Charter!$L$27</f>
        <v>468752</v>
      </c>
      <c r="M27" s="356">
        <f>+[16]Charter!$M$27</f>
        <v>475973</v>
      </c>
      <c r="N27" s="356">
        <f t="shared" ref="N27" si="27">SUM(L27:M27)</f>
        <v>944725</v>
      </c>
      <c r="O27" s="228">
        <f>[17]Charter!$N27</f>
        <v>3845029</v>
      </c>
      <c r="P27" s="149">
        <f t="shared" si="8"/>
        <v>-0.75429964247343784</v>
      </c>
    </row>
    <row r="28" spans="1:16" ht="14.1" customHeight="1" x14ac:dyDescent="0.2">
      <c r="A28" s="159" t="s">
        <v>109</v>
      </c>
      <c r="B28" s="423">
        <f>+[2]Charter!$B$28</f>
        <v>1482</v>
      </c>
      <c r="C28" s="424">
        <f>+[2]Charter!$C$28</f>
        <v>1488</v>
      </c>
      <c r="D28" s="425">
        <f>SUM(B28:C28)</f>
        <v>2970</v>
      </c>
      <c r="E28" s="354">
        <f>[18]Charter!$D28</f>
        <v>306857</v>
      </c>
      <c r="F28" s="160">
        <f t="shared" si="1"/>
        <v>-0.99032122454433169</v>
      </c>
      <c r="G28" s="355">
        <f t="shared" ref="G28" si="28">L28-B28</f>
        <v>563349</v>
      </c>
      <c r="H28" s="356">
        <f t="shared" ref="H28" si="29">M28-C28</f>
        <v>566075</v>
      </c>
      <c r="I28" s="356">
        <f t="shared" ref="I28" si="30">SUM(G28:H28)</f>
        <v>1129424</v>
      </c>
      <c r="J28" s="228">
        <f>[18]Charter!$I28</f>
        <v>3538740</v>
      </c>
      <c r="K28" s="161">
        <f t="shared" si="4"/>
        <v>-0.68084007302034055</v>
      </c>
      <c r="L28" s="355">
        <f>+[2]Charter!$L$28</f>
        <v>564831</v>
      </c>
      <c r="M28" s="356">
        <f>+[2]Charter!$M$28</f>
        <v>567563</v>
      </c>
      <c r="N28" s="356">
        <f t="shared" ref="N28" si="31">SUM(L28:M28)</f>
        <v>1132394</v>
      </c>
      <c r="O28" s="228">
        <f>[18]Charter!$N28</f>
        <v>3845597</v>
      </c>
      <c r="P28" s="160">
        <f t="shared" si="8"/>
        <v>-0.70553492734678125</v>
      </c>
    </row>
    <row r="29" spans="1:16" ht="14.1" customHeight="1" x14ac:dyDescent="0.2">
      <c r="A29" s="146" t="s">
        <v>110</v>
      </c>
      <c r="B29" s="426">
        <f>'Intl Detail'!$P$4+'Intl Detail'!$P$9</f>
        <v>1310</v>
      </c>
      <c r="C29" s="427">
        <f>'Intl Detail'!$P$5+'Intl Detail'!$P$10</f>
        <v>1152</v>
      </c>
      <c r="D29" s="425">
        <f>SUM(B29:C29)</f>
        <v>2462</v>
      </c>
      <c r="E29" s="354">
        <f>[1]Charter!$D29</f>
        <v>270210</v>
      </c>
      <c r="F29" s="149">
        <f t="shared" si="1"/>
        <v>-0.99088856815069759</v>
      </c>
      <c r="G29" s="355">
        <f t="shared" ref="G29" si="32">L29-B29</f>
        <v>515223</v>
      </c>
      <c r="H29" s="356">
        <f t="shared" ref="H29" si="33">M29-C29</f>
        <v>518017</v>
      </c>
      <c r="I29" s="356">
        <f t="shared" ref="I29" si="34">SUM(G29:H29)</f>
        <v>1033240</v>
      </c>
      <c r="J29" s="228">
        <f>[1]Charter!$I29</f>
        <v>2978352</v>
      </c>
      <c r="K29" s="155">
        <f t="shared" si="4"/>
        <v>-0.65308331587401358</v>
      </c>
      <c r="L29" s="355">
        <f>'Monthly Summary'!$B$11</f>
        <v>516533</v>
      </c>
      <c r="M29" s="356">
        <f>'Monthly Summary'!$C$11</f>
        <v>519169</v>
      </c>
      <c r="N29" s="356">
        <f t="shared" ref="N29" si="35">SUM(L29:M29)</f>
        <v>1035702</v>
      </c>
      <c r="O29" s="228">
        <f>[1]Charter!$N29</f>
        <v>3248562</v>
      </c>
      <c r="P29" s="149">
        <f t="shared" si="8"/>
        <v>-0.68118139656869714</v>
      </c>
    </row>
    <row r="30" spans="1:16" ht="14.1" customHeight="1" x14ac:dyDescent="0.2">
      <c r="A30" s="159" t="s">
        <v>111</v>
      </c>
      <c r="B30" s="221"/>
      <c r="C30" s="223"/>
      <c r="D30" s="222">
        <f>SUM(B30:C30)</f>
        <v>0</v>
      </c>
      <c r="E30" s="228"/>
      <c r="F30" s="160" t="e">
        <f t="shared" si="1"/>
        <v>#DIV/0!</v>
      </c>
      <c r="G30" s="221"/>
      <c r="H30" s="223"/>
      <c r="I30" s="222">
        <f>SUM(G30:H30)</f>
        <v>0</v>
      </c>
      <c r="J30" s="228"/>
      <c r="K30" s="161" t="e">
        <f t="shared" si="4"/>
        <v>#DIV/0!</v>
      </c>
      <c r="L30" s="221"/>
      <c r="M30" s="223"/>
      <c r="N30" s="222">
        <f>SUM(L30:M30)</f>
        <v>0</v>
      </c>
      <c r="O30" s="228"/>
      <c r="P30" s="160" t="e">
        <f t="shared" si="8"/>
        <v>#DIV/0!</v>
      </c>
    </row>
    <row r="31" spans="1:16" ht="14.1" customHeight="1" x14ac:dyDescent="0.2">
      <c r="A31" s="146" t="s">
        <v>112</v>
      </c>
      <c r="B31" s="221"/>
      <c r="C31" s="223"/>
      <c r="D31" s="222">
        <f>SUM(B31:C31)</f>
        <v>0</v>
      </c>
      <c r="E31" s="228"/>
      <c r="F31" s="149" t="e">
        <f t="shared" si="1"/>
        <v>#DIV/0!</v>
      </c>
      <c r="G31" s="221"/>
      <c r="H31" s="223"/>
      <c r="I31" s="222">
        <f t="shared" ref="I31:I32" si="36">SUM(G31:H31)</f>
        <v>0</v>
      </c>
      <c r="J31" s="228"/>
      <c r="K31" s="155" t="e">
        <f t="shared" si="4"/>
        <v>#DIV/0!</v>
      </c>
      <c r="L31" s="221"/>
      <c r="M31" s="223"/>
      <c r="N31" s="222">
        <f>SUM(L31:M31)</f>
        <v>0</v>
      </c>
      <c r="O31" s="228"/>
      <c r="P31" s="149" t="e">
        <f t="shared" si="8"/>
        <v>#DIV/0!</v>
      </c>
    </row>
    <row r="32" spans="1:16" ht="14.1" customHeight="1" x14ac:dyDescent="0.2">
      <c r="A32" s="162" t="s">
        <v>113</v>
      </c>
      <c r="B32" s="221"/>
      <c r="C32" s="223"/>
      <c r="D32" s="104">
        <f t="shared" si="0"/>
        <v>0</v>
      </c>
      <c r="E32" s="228"/>
      <c r="F32" s="163" t="e">
        <f t="shared" si="1"/>
        <v>#DIV/0!</v>
      </c>
      <c r="G32" s="164"/>
      <c r="H32" s="104"/>
      <c r="I32" s="104">
        <f t="shared" si="36"/>
        <v>0</v>
      </c>
      <c r="J32" s="228"/>
      <c r="K32" s="163" t="e">
        <f t="shared" si="4"/>
        <v>#DIV/0!</v>
      </c>
      <c r="L32" s="221"/>
      <c r="M32" s="223"/>
      <c r="N32" s="104">
        <f t="shared" si="5"/>
        <v>0</v>
      </c>
      <c r="O32" s="228"/>
      <c r="P32" s="163" t="e">
        <f t="shared" si="8"/>
        <v>#DIV/0!</v>
      </c>
    </row>
    <row r="33" spans="1:16" ht="13.5" thickBot="1" x14ac:dyDescent="0.25">
      <c r="A33" s="156" t="s">
        <v>77</v>
      </c>
      <c r="B33" s="165">
        <f>SUM(B21:B32)</f>
        <v>415947</v>
      </c>
      <c r="C33" s="166">
        <f>SUM(C21:C32)</f>
        <v>386587</v>
      </c>
      <c r="D33" s="166">
        <f>SUM(D21:D32)</f>
        <v>802534</v>
      </c>
      <c r="E33" s="167">
        <f>SUM(E21:E32)</f>
        <v>2573691</v>
      </c>
      <c r="F33" s="151">
        <f>(D33-E33)/E33</f>
        <v>-0.6881777960135852</v>
      </c>
      <c r="G33" s="168">
        <f>SUM(G21:G32)</f>
        <v>5441673</v>
      </c>
      <c r="H33" s="166">
        <f>SUM(H21:H32)</f>
        <v>5382051</v>
      </c>
      <c r="I33" s="166">
        <f>SUM(I21:I32)</f>
        <v>10823724</v>
      </c>
      <c r="J33" s="169">
        <f>SUM(J21:J32)</f>
        <v>27408940</v>
      </c>
      <c r="K33" s="152">
        <f>(I33-J33)/J33</f>
        <v>-0.60510242278614201</v>
      </c>
      <c r="L33" s="168">
        <f>SUM(L21:L32)</f>
        <v>5857620</v>
      </c>
      <c r="M33" s="166">
        <f>SUM(M21:M32)</f>
        <v>5768638</v>
      </c>
      <c r="N33" s="166">
        <f>SUM(N21:N32)</f>
        <v>11626258</v>
      </c>
      <c r="O33" s="167">
        <f>SUM(O21:O32)</f>
        <v>29982631</v>
      </c>
      <c r="P33" s="150">
        <f>(N33-O33)/O33</f>
        <v>-0.61223356282509034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September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S23" sqref="S23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8" t="s">
        <v>227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1:20" s="21" customFormat="1" ht="39" customHeight="1" thickBot="1" x14ac:dyDescent="0.25">
      <c r="A2" s="258">
        <v>44075</v>
      </c>
      <c r="B2" s="304" t="s">
        <v>204</v>
      </c>
      <c r="C2" s="304" t="s">
        <v>177</v>
      </c>
      <c r="D2" s="360" t="s">
        <v>84</v>
      </c>
      <c r="E2" s="304" t="s">
        <v>228</v>
      </c>
      <c r="F2" s="359" t="s">
        <v>209</v>
      </c>
      <c r="G2" s="305" t="s">
        <v>82</v>
      </c>
      <c r="H2" s="359" t="s">
        <v>178</v>
      </c>
      <c r="I2" s="304" t="s">
        <v>229</v>
      </c>
      <c r="J2" s="359" t="s">
        <v>86</v>
      </c>
      <c r="K2" s="304" t="s">
        <v>230</v>
      </c>
      <c r="L2" s="304" t="s">
        <v>231</v>
      </c>
      <c r="M2" s="304" t="s">
        <v>225</v>
      </c>
      <c r="N2" s="305" t="s">
        <v>83</v>
      </c>
      <c r="O2" s="359" t="s">
        <v>128</v>
      </c>
      <c r="P2" s="359" t="s">
        <v>21</v>
      </c>
    </row>
    <row r="3" spans="1:20" ht="15" x14ac:dyDescent="0.25">
      <c r="A3" s="127" t="s">
        <v>9</v>
      </c>
      <c r="B3" s="442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3"/>
      <c r="R3" s="324"/>
      <c r="S3" s="324"/>
      <c r="T3" s="324"/>
    </row>
    <row r="4" spans="1:20" x14ac:dyDescent="0.2">
      <c r="A4" s="31" t="s">
        <v>53</v>
      </c>
      <c r="B4" s="164">
        <f>'[3]Atlas Air'!$GX$4</f>
        <v>1</v>
      </c>
      <c r="C4" s="104">
        <f>[3]DHL!$GX$4+[3]DHL_Atlas!$GX$4+[3]DHL_Atlas!$GX$8+[3]DHL_Atlas!$GX$15</f>
        <v>0</v>
      </c>
      <c r="D4" s="83">
        <f>[3]Bemidji!$GX$4</f>
        <v>201</v>
      </c>
      <c r="E4" s="104">
        <f>[3]DHL_Encore!$GX$4+[3]DHL_Encore!$GX$15</f>
        <v>45</v>
      </c>
      <c r="F4" s="104">
        <f>[3]Encore!$GX$4+[3]Encore!$GX$15</f>
        <v>0</v>
      </c>
      <c r="G4" s="104">
        <f>[3]FedEx!$GX$4+[3]FedEx!$GX$15</f>
        <v>142</v>
      </c>
      <c r="H4" s="104">
        <f>[3]IFL!$GX$4+[3]IFL!$GX$15</f>
        <v>18</v>
      </c>
      <c r="I4" s="104">
        <f>[3]DHL_Kalitta!$GX$4+[3]DHL_Kalitta!$GX$15</f>
        <v>0</v>
      </c>
      <c r="J4" s="83">
        <f>'[3]Mountain Cargo'!$GX$4</f>
        <v>21</v>
      </c>
      <c r="K4" s="104">
        <f>[3]DHL_Southair!$GX$4+[3]DHL_Southair!$GX$15</f>
        <v>0</v>
      </c>
      <c r="L4" s="104">
        <f>[3]DHL_Swift!$GX$4+[3]DHL_Swift!$GX$15</f>
        <v>22</v>
      </c>
      <c r="M4" s="104">
        <f>+'[3]Sun Country Cargo'!$GX$4+'[3]Sun Country Cargo'!$GX$8+'[3]Sun Country Cargo'!$GX$15</f>
        <v>60</v>
      </c>
      <c r="N4" s="104">
        <f>[3]UPS!$GX$4+[3]UPS!$GX$15</f>
        <v>143</v>
      </c>
      <c r="O4" s="83">
        <f>'[3]Misc Cargo'!$GX$4</f>
        <v>0</v>
      </c>
      <c r="P4" s="414">
        <f>SUM(B4:O4)</f>
        <v>653</v>
      </c>
      <c r="R4" s="324"/>
      <c r="S4" s="324"/>
      <c r="T4" s="193"/>
    </row>
    <row r="5" spans="1:20" x14ac:dyDescent="0.2">
      <c r="A5" s="31" t="s">
        <v>54</v>
      </c>
      <c r="B5" s="443">
        <f>'[3]Atlas Air'!$GX$5</f>
        <v>1</v>
      </c>
      <c r="C5" s="126">
        <f>[3]DHL!$GX$5+[3]DHL_Atlas!$GX$5+[3]DHL_Atlas!$GX$9+[3]DHL_Atlas!$GX$16</f>
        <v>0</v>
      </c>
      <c r="D5" s="84">
        <f>[3]Bemidji!$GX$5</f>
        <v>201</v>
      </c>
      <c r="E5" s="126">
        <f>[3]DHL_Encore!$GX$5</f>
        <v>45</v>
      </c>
      <c r="F5" s="126">
        <f>[3]Encore!$GX$5</f>
        <v>0</v>
      </c>
      <c r="G5" s="126">
        <f>[3]FedEx!$GX$5</f>
        <v>142</v>
      </c>
      <c r="H5" s="126">
        <f>[3]IFL!$GX$5</f>
        <v>18</v>
      </c>
      <c r="I5" s="126">
        <f>[3]DHL_Kalitta!$GX$5</f>
        <v>0</v>
      </c>
      <c r="J5" s="84">
        <f>'[3]Mountain Cargo'!$GX$5</f>
        <v>21</v>
      </c>
      <c r="K5" s="126">
        <f>[3]DHL_Southair!$GX$5</f>
        <v>0</v>
      </c>
      <c r="L5" s="126">
        <f>[3]DHL_Swift!$GX$5</f>
        <v>22</v>
      </c>
      <c r="M5" s="126">
        <f>+'[3]Sun Country Cargo'!$GX$5+'[3]Sun Country Cargo'!$GX$9+'[3]Sun Country Cargo'!$GX$16</f>
        <v>61</v>
      </c>
      <c r="N5" s="126">
        <f>[3]UPS!$GX$5+[3]UPS!$GX$16</f>
        <v>144</v>
      </c>
      <c r="O5" s="84">
        <f>'[3]Misc Cargo'!$GX$5</f>
        <v>0</v>
      </c>
      <c r="P5" s="414">
        <f t="shared" ref="P5:P10" si="0">SUM(B5:O5)</f>
        <v>655</v>
      </c>
      <c r="R5" s="324"/>
      <c r="S5" s="324"/>
      <c r="T5" s="193"/>
    </row>
    <row r="6" spans="1:20" s="123" customFormat="1" x14ac:dyDescent="0.2">
      <c r="A6" s="129" t="s">
        <v>55</v>
      </c>
      <c r="B6" s="444">
        <f t="shared" ref="B6:N6" si="1">SUM(B4:B5)</f>
        <v>2</v>
      </c>
      <c r="C6" s="130">
        <f t="shared" si="1"/>
        <v>0</v>
      </c>
      <c r="D6" s="82">
        <f t="shared" si="1"/>
        <v>402</v>
      </c>
      <c r="E6" s="130">
        <f t="shared" si="1"/>
        <v>90</v>
      </c>
      <c r="F6" s="130">
        <f t="shared" si="1"/>
        <v>0</v>
      </c>
      <c r="G6" s="130">
        <f t="shared" si="1"/>
        <v>284</v>
      </c>
      <c r="H6" s="130">
        <f t="shared" si="1"/>
        <v>36</v>
      </c>
      <c r="I6" s="130">
        <f t="shared" si="1"/>
        <v>0</v>
      </c>
      <c r="J6" s="82">
        <f t="shared" si="1"/>
        <v>42</v>
      </c>
      <c r="K6" s="130">
        <f t="shared" si="1"/>
        <v>0</v>
      </c>
      <c r="L6" s="130">
        <f t="shared" si="1"/>
        <v>44</v>
      </c>
      <c r="M6" s="130">
        <f t="shared" si="1"/>
        <v>121</v>
      </c>
      <c r="N6" s="130">
        <f t="shared" si="1"/>
        <v>287</v>
      </c>
      <c r="O6" s="82">
        <f t="shared" ref="O6" si="2">SUM(O4:O5)</f>
        <v>0</v>
      </c>
      <c r="P6" s="414">
        <f t="shared" si="0"/>
        <v>1308</v>
      </c>
      <c r="T6" s="265"/>
    </row>
    <row r="7" spans="1:20" x14ac:dyDescent="0.2">
      <c r="A7" s="31"/>
      <c r="B7" s="164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4"/>
      <c r="R7" s="301"/>
      <c r="S7" s="324"/>
      <c r="T7" s="193"/>
    </row>
    <row r="8" spans="1:20" x14ac:dyDescent="0.2">
      <c r="A8" s="31" t="s">
        <v>56</v>
      </c>
      <c r="B8" s="164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Cargo'!$GX$8</f>
        <v>0</v>
      </c>
      <c r="P8" s="414">
        <f t="shared" si="0"/>
        <v>0</v>
      </c>
      <c r="R8" s="324"/>
      <c r="S8" s="324"/>
      <c r="T8" s="193"/>
    </row>
    <row r="9" spans="1:20" ht="15" x14ac:dyDescent="0.25">
      <c r="A9" s="31" t="s">
        <v>57</v>
      </c>
      <c r="B9" s="443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Cargo'!$GX$9</f>
        <v>0</v>
      </c>
      <c r="P9" s="414">
        <f t="shared" si="0"/>
        <v>0</v>
      </c>
      <c r="R9" s="324"/>
      <c r="S9" s="8"/>
      <c r="T9" s="193"/>
    </row>
    <row r="10" spans="1:20" s="123" customFormat="1" x14ac:dyDescent="0.2">
      <c r="A10" s="129" t="s">
        <v>58</v>
      </c>
      <c r="B10" s="444">
        <f t="shared" ref="B10:N10" si="3">SUM(B8:B9)</f>
        <v>0</v>
      </c>
      <c r="C10" s="130">
        <f t="shared" si="3"/>
        <v>0</v>
      </c>
      <c r="D10" s="82">
        <f t="shared" si="3"/>
        <v>0</v>
      </c>
      <c r="E10" s="130">
        <f t="shared" si="3"/>
        <v>0</v>
      </c>
      <c r="F10" s="130">
        <f t="shared" si="3"/>
        <v>0</v>
      </c>
      <c r="G10" s="130">
        <f t="shared" si="3"/>
        <v>0</v>
      </c>
      <c r="H10" s="130">
        <f t="shared" si="3"/>
        <v>0</v>
      </c>
      <c r="I10" s="130">
        <f t="shared" si="3"/>
        <v>0</v>
      </c>
      <c r="J10" s="82">
        <f t="shared" si="3"/>
        <v>0</v>
      </c>
      <c r="K10" s="130">
        <f t="shared" si="3"/>
        <v>0</v>
      </c>
      <c r="L10" s="130">
        <f t="shared" si="3"/>
        <v>0</v>
      </c>
      <c r="M10" s="130">
        <f t="shared" si="3"/>
        <v>0</v>
      </c>
      <c r="N10" s="130">
        <f t="shared" si="3"/>
        <v>0</v>
      </c>
      <c r="O10" s="82">
        <f t="shared" ref="O10" si="4">SUM(O8:O9)</f>
        <v>0</v>
      </c>
      <c r="P10" s="414">
        <f t="shared" si="0"/>
        <v>0</v>
      </c>
      <c r="T10" s="265"/>
    </row>
    <row r="11" spans="1:20" x14ac:dyDescent="0.2">
      <c r="A11" s="31"/>
      <c r="B11" s="164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3"/>
      <c r="R11" s="324"/>
      <c r="S11" s="324"/>
      <c r="T11" s="193"/>
    </row>
    <row r="12" spans="1:20" ht="18" customHeight="1" thickBot="1" x14ac:dyDescent="0.25">
      <c r="A12" s="131" t="s">
        <v>28</v>
      </c>
      <c r="B12" s="445">
        <f t="shared" ref="B12:N12" si="5">B6+B10</f>
        <v>2</v>
      </c>
      <c r="C12" s="132">
        <f t="shared" si="5"/>
        <v>0</v>
      </c>
      <c r="D12" s="133">
        <f t="shared" si="5"/>
        <v>402</v>
      </c>
      <c r="E12" s="132">
        <f t="shared" si="5"/>
        <v>90</v>
      </c>
      <c r="F12" s="132">
        <f t="shared" si="5"/>
        <v>0</v>
      </c>
      <c r="G12" s="132">
        <f t="shared" si="5"/>
        <v>284</v>
      </c>
      <c r="H12" s="132">
        <f t="shared" si="5"/>
        <v>36</v>
      </c>
      <c r="I12" s="132">
        <f t="shared" si="5"/>
        <v>0</v>
      </c>
      <c r="J12" s="133">
        <f t="shared" si="5"/>
        <v>42</v>
      </c>
      <c r="K12" s="132">
        <f t="shared" si="5"/>
        <v>0</v>
      </c>
      <c r="L12" s="132">
        <f t="shared" si="5"/>
        <v>44</v>
      </c>
      <c r="M12" s="132">
        <f t="shared" si="5"/>
        <v>121</v>
      </c>
      <c r="N12" s="132">
        <f t="shared" si="5"/>
        <v>287</v>
      </c>
      <c r="O12" s="133">
        <f t="shared" ref="O12" si="6">O6+O10</f>
        <v>0</v>
      </c>
      <c r="P12" s="416">
        <f>SUM(B12:O12)</f>
        <v>1308</v>
      </c>
      <c r="R12" s="324"/>
      <c r="S12" s="324"/>
      <c r="T12" s="193"/>
    </row>
    <row r="13" spans="1:20" ht="18" customHeight="1" thickBot="1" x14ac:dyDescent="0.25">
      <c r="A13" s="114"/>
      <c r="B13" s="446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3"/>
    </row>
    <row r="14" spans="1:20" ht="15" x14ac:dyDescent="0.25">
      <c r="A14" s="134" t="s">
        <v>93</v>
      </c>
      <c r="B14" s="447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7"/>
      <c r="R14" s="324"/>
      <c r="S14" s="324"/>
      <c r="T14" s="193"/>
    </row>
    <row r="15" spans="1:20" x14ac:dyDescent="0.2">
      <c r="A15" s="136" t="s">
        <v>94</v>
      </c>
      <c r="B15" s="164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3"/>
    </row>
    <row r="16" spans="1:20" x14ac:dyDescent="0.2">
      <c r="A16" s="31" t="s">
        <v>37</v>
      </c>
      <c r="B16" s="164">
        <f>'[3]Atlas Air'!$GX$47</f>
        <v>32387</v>
      </c>
      <c r="C16" s="104">
        <f>[3]DHL!$GX$47+[3]DHL_Atlas!$GX$47</f>
        <v>0</v>
      </c>
      <c r="D16" s="475" t="s">
        <v>87</v>
      </c>
      <c r="E16" s="104">
        <f>[3]DHL_Encore!$GX$47</f>
        <v>68146</v>
      </c>
      <c r="F16" s="104">
        <f>[3]Encore!$GX$47</f>
        <v>0</v>
      </c>
      <c r="G16" s="104">
        <f>[3]FedEx!$GX$47</f>
        <v>8748074</v>
      </c>
      <c r="H16" s="104">
        <f>[3]IFL!$GX$47</f>
        <v>68724</v>
      </c>
      <c r="I16" s="104">
        <f>[3]DHL_Kalitta!$GX$47</f>
        <v>0</v>
      </c>
      <c r="J16" s="83">
        <f>'[3]Mountain Cargo'!$GX$47</f>
        <v>0</v>
      </c>
      <c r="K16" s="104">
        <f>[3]DHL_Southair!$GX$47</f>
        <v>0</v>
      </c>
      <c r="L16" s="104">
        <f>[3]DHL_Swift!$GX$47</f>
        <v>621056</v>
      </c>
      <c r="M16" s="104">
        <f>+'[3]Sun Country Cargo'!$GX$47</f>
        <v>1455863</v>
      </c>
      <c r="N16" s="104">
        <f>[3]UPS!$GX$47</f>
        <v>7489628</v>
      </c>
      <c r="O16" s="83">
        <f>'[3]Misc Cargo'!$GX$47</f>
        <v>0</v>
      </c>
      <c r="P16" s="414">
        <f>SUM(B16:C16)+SUM(E16:O16)</f>
        <v>18483878</v>
      </c>
      <c r="R16" s="324"/>
      <c r="S16" s="324"/>
      <c r="T16" s="193"/>
    </row>
    <row r="17" spans="1:20" x14ac:dyDescent="0.2">
      <c r="A17" s="31" t="s">
        <v>38</v>
      </c>
      <c r="B17" s="164">
        <f>'[3]Atlas Air'!$GX$48</f>
        <v>0</v>
      </c>
      <c r="C17" s="104">
        <f>[3]DHL!$GX$48</f>
        <v>0</v>
      </c>
      <c r="D17" s="476"/>
      <c r="E17" s="104">
        <f>[3]DHL_Encore!$GX$48</f>
        <v>0</v>
      </c>
      <c r="F17" s="104">
        <f>[3]Encore!$GX$48</f>
        <v>0</v>
      </c>
      <c r="G17" s="104">
        <f>[3]FedEx!$GX$48</f>
        <v>0</v>
      </c>
      <c r="H17" s="104">
        <f>[3]IFL!$GX$48</f>
        <v>0</v>
      </c>
      <c r="I17" s="104">
        <f>[3]DHL_Kalitta!$GX$48</f>
        <v>0</v>
      </c>
      <c r="J17" s="83">
        <f>'[3]Mountain Cargo'!$GX$48</f>
        <v>57480</v>
      </c>
      <c r="K17" s="104">
        <f>[3]DHL_Southair!$GX$48</f>
        <v>0</v>
      </c>
      <c r="L17" s="104">
        <f>[3]DHL_Swift!$GX$48</f>
        <v>0</v>
      </c>
      <c r="M17" s="104">
        <f>+'[3]Sun Country Cargo'!$GX$48</f>
        <v>0</v>
      </c>
      <c r="N17" s="104">
        <f>[3]UPS!$GX$48</f>
        <v>247112</v>
      </c>
      <c r="O17" s="83">
        <f>'[3]Misc Cargo'!$GX$48</f>
        <v>0</v>
      </c>
      <c r="P17" s="414">
        <f>SUM(B17:C17)+SUM(E17:O17)</f>
        <v>304592</v>
      </c>
      <c r="R17" s="324"/>
      <c r="S17" s="324"/>
      <c r="T17" s="193"/>
    </row>
    <row r="18" spans="1:20" ht="18" customHeight="1" x14ac:dyDescent="0.2">
      <c r="A18" s="137" t="s">
        <v>39</v>
      </c>
      <c r="B18" s="448">
        <f>SUM(B16:B17)</f>
        <v>32387</v>
      </c>
      <c r="C18" s="197">
        <f>SUM(C16:C17)</f>
        <v>0</v>
      </c>
      <c r="D18" s="476"/>
      <c r="E18" s="197">
        <f>SUM(E16:E17)</f>
        <v>68146</v>
      </c>
      <c r="F18" s="197">
        <f>SUM(F16:F17)</f>
        <v>0</v>
      </c>
      <c r="G18" s="197">
        <f>SUM(G16:G17)</f>
        <v>8748074</v>
      </c>
      <c r="H18" s="197">
        <f>SUM(H16:H17)</f>
        <v>68724</v>
      </c>
      <c r="I18" s="197">
        <f t="shared" ref="I18:O18" si="7">SUM(I16:I17)</f>
        <v>0</v>
      </c>
      <c r="J18" s="198">
        <f t="shared" si="7"/>
        <v>57480</v>
      </c>
      <c r="K18" s="197">
        <f t="shared" si="7"/>
        <v>0</v>
      </c>
      <c r="L18" s="197">
        <f t="shared" si="7"/>
        <v>621056</v>
      </c>
      <c r="M18" s="197">
        <f t="shared" si="7"/>
        <v>1455863</v>
      </c>
      <c r="N18" s="197">
        <f t="shared" si="7"/>
        <v>7736740</v>
      </c>
      <c r="O18" s="198">
        <f t="shared" si="7"/>
        <v>0</v>
      </c>
      <c r="P18" s="418">
        <f>SUM(B18:C18)+SUM(E18:O18)</f>
        <v>18788470</v>
      </c>
      <c r="R18" s="324"/>
      <c r="S18" s="324"/>
      <c r="T18" s="193"/>
    </row>
    <row r="19" spans="1:20" x14ac:dyDescent="0.2">
      <c r="A19" s="31"/>
      <c r="B19" s="164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4"/>
      <c r="R19" s="301"/>
      <c r="S19" s="324"/>
      <c r="T19" s="193"/>
    </row>
    <row r="20" spans="1:20" x14ac:dyDescent="0.2">
      <c r="A20" s="138" t="s">
        <v>88</v>
      </c>
      <c r="B20" s="164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4"/>
      <c r="R20" s="301"/>
      <c r="S20" s="324"/>
      <c r="T20" s="193"/>
    </row>
    <row r="21" spans="1:20" x14ac:dyDescent="0.2">
      <c r="A21" s="31" t="s">
        <v>59</v>
      </c>
      <c r="B21" s="164">
        <f>'[3]Atlas Air'!$GX$52</f>
        <v>17790</v>
      </c>
      <c r="C21" s="104">
        <f>[3]DHL!$GX$52+[3]DHL_Atlas!$GX$52</f>
        <v>0</v>
      </c>
      <c r="D21" s="476"/>
      <c r="E21" s="104">
        <f>[3]DHL_Encore!$GX$52</f>
        <v>47066</v>
      </c>
      <c r="F21" s="104">
        <f>[3]Encore!$GX$52</f>
        <v>0</v>
      </c>
      <c r="G21" s="104">
        <f>[3]FedEx!$GX$52</f>
        <v>7837375</v>
      </c>
      <c r="H21" s="104">
        <f>[3]IFL!$GX$52</f>
        <v>0</v>
      </c>
      <c r="I21" s="104">
        <f>[3]DHL_Kalitta!$GX$52</f>
        <v>0</v>
      </c>
      <c r="J21" s="83">
        <f>'[3]Mountain Cargo'!$GX$52</f>
        <v>0</v>
      </c>
      <c r="K21" s="104">
        <f>[3]DHL_Southair!$GX$52</f>
        <v>0</v>
      </c>
      <c r="L21" s="104">
        <f>[3]DHL_Swift!$GX$52</f>
        <v>388814</v>
      </c>
      <c r="M21" s="104">
        <f>+'[3]Sun Country Cargo'!$GX$52</f>
        <v>590521</v>
      </c>
      <c r="N21" s="104">
        <f>[3]UPS!$GX$52</f>
        <v>5931283</v>
      </c>
      <c r="O21" s="83">
        <f>'[3]Misc Cargo'!$GX$52</f>
        <v>0</v>
      </c>
      <c r="P21" s="414">
        <f t="shared" ref="P21:P23" si="8">SUM(B21:C21)+SUM(E21:O21)</f>
        <v>14812849</v>
      </c>
      <c r="R21" s="324"/>
      <c r="S21" s="324"/>
      <c r="T21" s="193"/>
    </row>
    <row r="22" spans="1:20" x14ac:dyDescent="0.2">
      <c r="A22" s="31" t="s">
        <v>60</v>
      </c>
      <c r="B22" s="164">
        <f>'[3]Atlas Air'!$GX$53</f>
        <v>0</v>
      </c>
      <c r="C22" s="104">
        <f>[3]DHL!$GX$53</f>
        <v>0</v>
      </c>
      <c r="D22" s="476"/>
      <c r="E22" s="104">
        <f>[3]DHL_Encore!$GX$53</f>
        <v>0</v>
      </c>
      <c r="F22" s="104">
        <f>[3]Encore!$GX$53</f>
        <v>0</v>
      </c>
      <c r="G22" s="104">
        <f>[3]FedEx!$GX$53</f>
        <v>0</v>
      </c>
      <c r="H22" s="104">
        <f>[3]IFL!$GX$53</f>
        <v>0</v>
      </c>
      <c r="I22" s="104">
        <f>[3]DHL_Kalitta!$GX$53</f>
        <v>0</v>
      </c>
      <c r="J22" s="83">
        <f>'[3]Mountain Cargo'!$GX$53</f>
        <v>103350</v>
      </c>
      <c r="K22" s="104">
        <f>[3]DHL_Southair!$GX$53</f>
        <v>0</v>
      </c>
      <c r="L22" s="104">
        <f>[3]DHL_Swift!$GX$53</f>
        <v>0</v>
      </c>
      <c r="M22" s="104">
        <f>+'[3]Sun Country Cargo'!$GX$53</f>
        <v>0</v>
      </c>
      <c r="N22" s="104">
        <f>[3]UPS!$GX$53</f>
        <v>781545</v>
      </c>
      <c r="O22" s="83">
        <f>'[3]Misc Cargo'!$GX$53</f>
        <v>0</v>
      </c>
      <c r="P22" s="414">
        <f t="shared" si="8"/>
        <v>884895</v>
      </c>
      <c r="R22" s="324"/>
      <c r="S22" s="324"/>
      <c r="T22" s="193"/>
    </row>
    <row r="23" spans="1:20" ht="18" customHeight="1" x14ac:dyDescent="0.2">
      <c r="A23" s="137" t="s">
        <v>41</v>
      </c>
      <c r="B23" s="448">
        <f>SUM(B21:B22)</f>
        <v>17790</v>
      </c>
      <c r="C23" s="197">
        <f>SUM(C21:C22)</f>
        <v>0</v>
      </c>
      <c r="D23" s="476"/>
      <c r="E23" s="197">
        <f t="shared" ref="E23:O23" si="9">SUM(E21:E22)</f>
        <v>47066</v>
      </c>
      <c r="F23" s="197">
        <f t="shared" si="9"/>
        <v>0</v>
      </c>
      <c r="G23" s="197">
        <f t="shared" si="9"/>
        <v>7837375</v>
      </c>
      <c r="H23" s="197">
        <f t="shared" si="9"/>
        <v>0</v>
      </c>
      <c r="I23" s="197">
        <f t="shared" si="9"/>
        <v>0</v>
      </c>
      <c r="J23" s="198">
        <f t="shared" si="9"/>
        <v>103350</v>
      </c>
      <c r="K23" s="197">
        <f t="shared" si="9"/>
        <v>0</v>
      </c>
      <c r="L23" s="197">
        <f t="shared" si="9"/>
        <v>388814</v>
      </c>
      <c r="M23" s="197">
        <f t="shared" si="9"/>
        <v>590521</v>
      </c>
      <c r="N23" s="197">
        <f t="shared" si="9"/>
        <v>6712828</v>
      </c>
      <c r="O23" s="198">
        <f t="shared" si="9"/>
        <v>0</v>
      </c>
      <c r="P23" s="418">
        <f t="shared" si="8"/>
        <v>15697744</v>
      </c>
      <c r="R23" s="324"/>
      <c r="S23" s="324"/>
      <c r="T23" s="193"/>
    </row>
    <row r="24" spans="1:20" x14ac:dyDescent="0.2">
      <c r="A24" s="31"/>
      <c r="B24" s="164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4"/>
      <c r="R24" s="324"/>
      <c r="S24" s="324"/>
      <c r="T24" s="193"/>
    </row>
    <row r="25" spans="1:20" x14ac:dyDescent="0.2">
      <c r="A25" s="138" t="s">
        <v>95</v>
      </c>
      <c r="B25" s="164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4"/>
      <c r="R25" s="324"/>
      <c r="S25" s="324"/>
      <c r="T25" s="193"/>
    </row>
    <row r="26" spans="1:20" x14ac:dyDescent="0.2">
      <c r="A26" s="31" t="s">
        <v>59</v>
      </c>
      <c r="B26" s="164">
        <f>'[3]Atlas Air'!$GX$57</f>
        <v>0</v>
      </c>
      <c r="C26" s="104">
        <f>[3]DHL!$GX$57</f>
        <v>0</v>
      </c>
      <c r="D26" s="476"/>
      <c r="E26" s="104">
        <f>[3]DHL_Encore!$GX$57</f>
        <v>0</v>
      </c>
      <c r="F26" s="104">
        <f>[3]Encore!$GX$57</f>
        <v>0</v>
      </c>
      <c r="G26" s="104">
        <f>[3]FedEx!$GX$57</f>
        <v>0</v>
      </c>
      <c r="H26" s="104">
        <f>[3]IFL!$GX$57</f>
        <v>0</v>
      </c>
      <c r="I26" s="104">
        <f>[3]DHL_Kalitta!$GX$57</f>
        <v>0</v>
      </c>
      <c r="J26" s="83">
        <f>'[3]Mountain Cargo'!$GX$57</f>
        <v>0</v>
      </c>
      <c r="K26" s="104">
        <f>[3]DHL_Southair!$GX$57</f>
        <v>0</v>
      </c>
      <c r="L26" s="104">
        <f>[3]DHL_Swift!$GX$57</f>
        <v>0</v>
      </c>
      <c r="M26" s="104">
        <f>+'[3]Sun Country Cargo'!$GX$57</f>
        <v>0</v>
      </c>
      <c r="N26" s="104">
        <f>[3]UPS!$GX$57</f>
        <v>0</v>
      </c>
      <c r="O26" s="83">
        <f>'[3]Misc Cargo'!$GX$57</f>
        <v>0</v>
      </c>
      <c r="P26" s="414">
        <f t="shared" ref="P26:P28" si="10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4">
        <f>'[3]Atlas Air'!$GX$58</f>
        <v>0</v>
      </c>
      <c r="C27" s="104">
        <f>[3]DHL!$GX$58</f>
        <v>0</v>
      </c>
      <c r="D27" s="476"/>
      <c r="E27" s="104">
        <f>[3]DHL_Encore!$GX$58</f>
        <v>0</v>
      </c>
      <c r="F27" s="104">
        <f>[3]Encore!$GX$58</f>
        <v>0</v>
      </c>
      <c r="G27" s="104">
        <f>[3]FedEx!$GX$58</f>
        <v>0</v>
      </c>
      <c r="H27" s="104">
        <f>[3]IFL!$GX$58</f>
        <v>0</v>
      </c>
      <c r="I27" s="104">
        <f>[3]DHL_Kalitta!$GX$58</f>
        <v>0</v>
      </c>
      <c r="J27" s="83">
        <f>'[3]Mountain Cargo'!$GX$58</f>
        <v>0</v>
      </c>
      <c r="K27" s="104">
        <f>[3]DHL_Southair!$GX$58</f>
        <v>0</v>
      </c>
      <c r="L27" s="104">
        <f>[3]DHL_Swift!$GX$58</f>
        <v>0</v>
      </c>
      <c r="M27" s="104">
        <f>+'[3]Sun Country Cargo'!$GX$58</f>
        <v>0</v>
      </c>
      <c r="N27" s="104">
        <f>[3]UPS!$GX$58</f>
        <v>0</v>
      </c>
      <c r="O27" s="83">
        <f>'[3]Misc Cargo'!$GX$58</f>
        <v>0</v>
      </c>
      <c r="P27" s="414">
        <f t="shared" si="10"/>
        <v>0</v>
      </c>
      <c r="R27" s="324"/>
      <c r="S27" s="324"/>
      <c r="T27" s="193"/>
    </row>
    <row r="28" spans="1:20" ht="18" customHeight="1" x14ac:dyDescent="0.2">
      <c r="A28" s="137" t="s">
        <v>43</v>
      </c>
      <c r="B28" s="448">
        <f>SUM(B26:B27)</f>
        <v>0</v>
      </c>
      <c r="C28" s="197">
        <f>SUM(C26:C27)</f>
        <v>0</v>
      </c>
      <c r="D28" s="476"/>
      <c r="E28" s="197">
        <f t="shared" ref="E28:O28" si="11">SUM(E26:E27)</f>
        <v>0</v>
      </c>
      <c r="F28" s="197">
        <f t="shared" si="11"/>
        <v>0</v>
      </c>
      <c r="G28" s="197">
        <f t="shared" si="11"/>
        <v>0</v>
      </c>
      <c r="H28" s="197">
        <f t="shared" si="11"/>
        <v>0</v>
      </c>
      <c r="I28" s="197">
        <f t="shared" si="11"/>
        <v>0</v>
      </c>
      <c r="J28" s="198">
        <f t="shared" si="11"/>
        <v>0</v>
      </c>
      <c r="K28" s="197">
        <f t="shared" si="11"/>
        <v>0</v>
      </c>
      <c r="L28" s="197">
        <f t="shared" si="11"/>
        <v>0</v>
      </c>
      <c r="M28" s="197">
        <f t="shared" si="11"/>
        <v>0</v>
      </c>
      <c r="N28" s="197">
        <f t="shared" si="11"/>
        <v>0</v>
      </c>
      <c r="O28" s="198">
        <f t="shared" si="11"/>
        <v>0</v>
      </c>
      <c r="P28" s="418">
        <f t="shared" si="10"/>
        <v>0</v>
      </c>
      <c r="R28" s="324"/>
      <c r="S28" s="324"/>
      <c r="T28" s="324"/>
    </row>
    <row r="29" spans="1:20" x14ac:dyDescent="0.2">
      <c r="A29" s="31"/>
      <c r="B29" s="164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4"/>
      <c r="R29" s="324"/>
      <c r="S29" s="324"/>
      <c r="T29" s="324"/>
    </row>
    <row r="30" spans="1:20" x14ac:dyDescent="0.2">
      <c r="A30" s="139" t="s">
        <v>44</v>
      </c>
      <c r="B30" s="164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4"/>
      <c r="R30" s="324"/>
      <c r="S30" s="324"/>
      <c r="T30" s="324"/>
    </row>
    <row r="31" spans="1:20" x14ac:dyDescent="0.2">
      <c r="A31" s="31" t="s">
        <v>89</v>
      </c>
      <c r="B31" s="164">
        <f>B26+B21+B16</f>
        <v>50177</v>
      </c>
      <c r="C31" s="104">
        <f t="shared" ref="C31:N33" si="12">C26+C21+C16</f>
        <v>0</v>
      </c>
      <c r="D31" s="476"/>
      <c r="E31" s="104">
        <f t="shared" ref="E31:L31" si="13">E26+E21+E16</f>
        <v>115212</v>
      </c>
      <c r="F31" s="104">
        <f t="shared" ref="F31" si="14">F26+F21+F16</f>
        <v>0</v>
      </c>
      <c r="G31" s="104">
        <f t="shared" ref="G31:H33" si="15">G26+G21+G16</f>
        <v>16585449</v>
      </c>
      <c r="H31" s="104">
        <f t="shared" si="15"/>
        <v>68724</v>
      </c>
      <c r="I31" s="104">
        <f t="shared" si="13"/>
        <v>0</v>
      </c>
      <c r="J31" s="83">
        <f>J26+J21+J16</f>
        <v>0</v>
      </c>
      <c r="K31" s="104">
        <f t="shared" si="13"/>
        <v>0</v>
      </c>
      <c r="L31" s="104">
        <f t="shared" si="13"/>
        <v>1009870</v>
      </c>
      <c r="M31" s="104">
        <f t="shared" ref="M31" si="16">M26+M21+M16</f>
        <v>2046384</v>
      </c>
      <c r="N31" s="104">
        <f t="shared" si="12"/>
        <v>13420911</v>
      </c>
      <c r="O31" s="83">
        <f>O26+O21+O16</f>
        <v>0</v>
      </c>
      <c r="P31" s="414">
        <f t="shared" ref="P31:P32" si="17">SUM(B31:C31)+SUM(E31:O31)</f>
        <v>33296727</v>
      </c>
    </row>
    <row r="32" spans="1:20" x14ac:dyDescent="0.2">
      <c r="A32" s="31" t="s">
        <v>60</v>
      </c>
      <c r="B32" s="164">
        <f>B27+B22+B17</f>
        <v>0</v>
      </c>
      <c r="C32" s="104">
        <f t="shared" si="12"/>
        <v>0</v>
      </c>
      <c r="D32" s="477"/>
      <c r="E32" s="104">
        <f t="shared" ref="E32:L32" si="18">E27+E22+E17</f>
        <v>0</v>
      </c>
      <c r="F32" s="104">
        <f t="shared" ref="F32" si="19">F27+F22+F17</f>
        <v>0</v>
      </c>
      <c r="G32" s="104">
        <f t="shared" si="15"/>
        <v>0</v>
      </c>
      <c r="H32" s="104">
        <f t="shared" si="15"/>
        <v>0</v>
      </c>
      <c r="I32" s="104">
        <f t="shared" si="18"/>
        <v>0</v>
      </c>
      <c r="J32" s="83">
        <f>J27+J22+J17</f>
        <v>160830</v>
      </c>
      <c r="K32" s="104">
        <f t="shared" si="18"/>
        <v>0</v>
      </c>
      <c r="L32" s="104">
        <f t="shared" si="18"/>
        <v>0</v>
      </c>
      <c r="M32" s="104">
        <f t="shared" ref="M32" si="20">M27+M22+M17</f>
        <v>0</v>
      </c>
      <c r="N32" s="104">
        <f t="shared" si="12"/>
        <v>1028657</v>
      </c>
      <c r="O32" s="83">
        <f>O27+O22+O17</f>
        <v>0</v>
      </c>
      <c r="P32" s="415">
        <f t="shared" si="17"/>
        <v>1189487</v>
      </c>
    </row>
    <row r="33" spans="1:16" ht="18" customHeight="1" thickBot="1" x14ac:dyDescent="0.25">
      <c r="A33" s="131" t="s">
        <v>46</v>
      </c>
      <c r="B33" s="445">
        <f>B28+B23+B18</f>
        <v>50177</v>
      </c>
      <c r="C33" s="132">
        <f>C28+C23+C18</f>
        <v>0</v>
      </c>
      <c r="D33" s="199">
        <f>D28+D23+D18</f>
        <v>0</v>
      </c>
      <c r="E33" s="132">
        <f>E28+E23+E18</f>
        <v>115212</v>
      </c>
      <c r="F33" s="132">
        <f>F28+F23+F18</f>
        <v>0</v>
      </c>
      <c r="G33" s="132">
        <f t="shared" si="15"/>
        <v>16585449</v>
      </c>
      <c r="H33" s="132">
        <f t="shared" si="15"/>
        <v>68724</v>
      </c>
      <c r="I33" s="132">
        <f t="shared" ref="I33:L33" si="21">I28+I23+I18</f>
        <v>0</v>
      </c>
      <c r="J33" s="133">
        <f>J28+J23+J18</f>
        <v>160830</v>
      </c>
      <c r="K33" s="132">
        <f t="shared" si="21"/>
        <v>0</v>
      </c>
      <c r="L33" s="132">
        <f t="shared" si="21"/>
        <v>1009870</v>
      </c>
      <c r="M33" s="132">
        <f t="shared" si="12"/>
        <v>2046384</v>
      </c>
      <c r="N33" s="132">
        <f t="shared" si="12"/>
        <v>14449568</v>
      </c>
      <c r="O33" s="133">
        <f t="shared" ref="O33" si="22">O28+O23+O18</f>
        <v>0</v>
      </c>
      <c r="P33" s="416">
        <f>SUM(B33:C33)+SUM(E33:O33)</f>
        <v>34486214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D16:D32"/>
    <mergeCell ref="B1:O1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7
&amp;CMinneapolis-St. Paul International Airport
&amp;"Arial,Bold"Cargo
September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Normal="100" workbookViewId="0">
      <selection activeCell="B29" sqref="B29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8">
        <v>44075</v>
      </c>
      <c r="B2" s="50" t="s">
        <v>63</v>
      </c>
      <c r="C2" s="50" t="s">
        <v>64</v>
      </c>
      <c r="D2" s="50" t="s">
        <v>65</v>
      </c>
      <c r="E2" s="210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824812</v>
      </c>
      <c r="C5" s="83">
        <f>'Regional Major'!M25</f>
        <v>467</v>
      </c>
      <c r="D5" s="83">
        <f>Cargo!P16</f>
        <v>18483878</v>
      </c>
      <c r="E5" s="83">
        <f>SUM(B5:D5)</f>
        <v>19309157</v>
      </c>
      <c r="F5" s="83">
        <f>E5*0.00045359237</f>
        <v>8758.4862863320905</v>
      </c>
      <c r="G5" s="83">
        <f>'[1]Cargo Summary'!F5</f>
        <v>9647.3862643050197</v>
      </c>
      <c r="H5" s="70">
        <f>(F5-G5)/G5</f>
        <v>-9.213894350450412E-2</v>
      </c>
      <c r="I5" s="83">
        <f>+F5+'[2]Cargo Summary'!I5</f>
        <v>75571.012176354299</v>
      </c>
      <c r="J5" s="83">
        <f>'[1]Cargo Summary'!I5</f>
        <v>82376.325635135072</v>
      </c>
      <c r="K5" s="58">
        <f>(I5-J5)/J5</f>
        <v>-8.2612490983431E-2</v>
      </c>
      <c r="M5" s="19"/>
    </row>
    <row r="6" spans="1:18" x14ac:dyDescent="0.2">
      <c r="A6" s="38" t="s">
        <v>16</v>
      </c>
      <c r="B6" s="108">
        <f>'Major Airline Stats'!K29</f>
        <v>1438080</v>
      </c>
      <c r="C6" s="83">
        <f>'Regional Major'!M26</f>
        <v>0</v>
      </c>
      <c r="D6" s="83">
        <f>Cargo!P17</f>
        <v>304592</v>
      </c>
      <c r="E6" s="83">
        <f>SUM(B6:D6)</f>
        <v>1742672</v>
      </c>
      <c r="F6" s="83">
        <f>E6*0.00045359237</f>
        <v>790.46272261263994</v>
      </c>
      <c r="G6" s="83">
        <f>'[1]Cargo Summary'!F6</f>
        <v>921.34226505243998</v>
      </c>
      <c r="H6" s="3">
        <f>(F6-G6)/G6</f>
        <v>-0.14205311902450365</v>
      </c>
      <c r="I6" s="83">
        <f>+F6+'[2]Cargo Summary'!I6</f>
        <v>4806.89116358297</v>
      </c>
      <c r="J6" s="83">
        <f>'[1]Cargo Summary'!I6</f>
        <v>7652.2112368840608</v>
      </c>
      <c r="K6" s="58">
        <f>(I6-J6)/J6</f>
        <v>-0.37182978687081958</v>
      </c>
      <c r="M6" s="19"/>
    </row>
    <row r="7" spans="1:18" ht="18" customHeight="1" thickBot="1" x14ac:dyDescent="0.25">
      <c r="A7" s="47" t="s">
        <v>72</v>
      </c>
      <c r="B7" s="110">
        <f>SUM(B5:B6)</f>
        <v>2262892</v>
      </c>
      <c r="C7" s="91">
        <f t="shared" ref="C7:J7" si="0">SUM(C5:C6)</f>
        <v>467</v>
      </c>
      <c r="D7" s="91">
        <f t="shared" si="0"/>
        <v>18788470</v>
      </c>
      <c r="E7" s="91">
        <f t="shared" si="0"/>
        <v>21051829</v>
      </c>
      <c r="F7" s="91">
        <f t="shared" si="0"/>
        <v>9548.9490089447299</v>
      </c>
      <c r="G7" s="91">
        <f t="shared" si="0"/>
        <v>10568.728529357461</v>
      </c>
      <c r="H7" s="22">
        <f>(F7-G7)/G7</f>
        <v>-9.649027483107557E-2</v>
      </c>
      <c r="I7" s="91">
        <f t="shared" si="0"/>
        <v>80377.903339937271</v>
      </c>
      <c r="J7" s="91">
        <f t="shared" si="0"/>
        <v>90028.536872019133</v>
      </c>
      <c r="K7" s="212">
        <f>(I7-J7)/J7</f>
        <v>-0.10719527238125402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329798</v>
      </c>
      <c r="C10" s="83">
        <f>'Regional Major'!M30</f>
        <v>516</v>
      </c>
      <c r="D10" s="83">
        <f>Cargo!P21</f>
        <v>14812849</v>
      </c>
      <c r="E10" s="83">
        <f>SUM(B10:D10)</f>
        <v>15143163</v>
      </c>
      <c r="F10" s="83">
        <f>E10*0.00045359237</f>
        <v>6868.8231944663103</v>
      </c>
      <c r="G10" s="83">
        <f>'[1]Cargo Summary'!F10</f>
        <v>6772.7192182572999</v>
      </c>
      <c r="H10" s="3">
        <f>(F10-G10)/G10</f>
        <v>1.4189865711536034E-2</v>
      </c>
      <c r="I10" s="83">
        <f>+F10+'[2]Cargo Summary'!I10</f>
        <v>60484.18476636074</v>
      </c>
      <c r="J10" s="83">
        <f>'[1]Cargo Summary'!I10</f>
        <v>67293.967924355471</v>
      </c>
      <c r="K10" s="58">
        <f>(I10-J10)/J10</f>
        <v>-0.10119455529282424</v>
      </c>
      <c r="M10" s="19"/>
    </row>
    <row r="11" spans="1:18" x14ac:dyDescent="0.2">
      <c r="A11" s="38" t="s">
        <v>16</v>
      </c>
      <c r="B11" s="108">
        <f>'Major Airline Stats'!K34</f>
        <v>1277287</v>
      </c>
      <c r="C11" s="83">
        <f>'Regional Major'!M31</f>
        <v>0</v>
      </c>
      <c r="D11" s="83">
        <f>Cargo!P22</f>
        <v>884895</v>
      </c>
      <c r="E11" s="83">
        <f>SUM(B11:D11)</f>
        <v>2162182</v>
      </c>
      <c r="F11" s="83">
        <f>E11*0.00045359237</f>
        <v>980.74925775134</v>
      </c>
      <c r="G11" s="83">
        <f>'[1]Cargo Summary'!F11</f>
        <v>1142.3537865578301</v>
      </c>
      <c r="H11" s="19">
        <f>(F11-G11)/G11</f>
        <v>-0.14146626965140197</v>
      </c>
      <c r="I11" s="83">
        <f>+F11+'[2]Cargo Summary'!I11</f>
        <v>7735.134272413241</v>
      </c>
      <c r="J11" s="83">
        <f>'[1]Cargo Summary'!I11</f>
        <v>10742.968327222668</v>
      </c>
      <c r="K11" s="58">
        <f>(I11-J11)/J11</f>
        <v>-0.27998165527376451</v>
      </c>
      <c r="M11" s="19"/>
    </row>
    <row r="12" spans="1:18" ht="18" customHeight="1" thickBot="1" x14ac:dyDescent="0.25">
      <c r="A12" s="47" t="s">
        <v>73</v>
      </c>
      <c r="B12" s="110">
        <f>SUM(B10:B11)</f>
        <v>1607085</v>
      </c>
      <c r="C12" s="91">
        <f t="shared" ref="C12:J12" si="1">SUM(C10:C11)</f>
        <v>516</v>
      </c>
      <c r="D12" s="91">
        <f t="shared" si="1"/>
        <v>15697744</v>
      </c>
      <c r="E12" s="91">
        <f t="shared" si="1"/>
        <v>17305345</v>
      </c>
      <c r="F12" s="91">
        <f t="shared" si="1"/>
        <v>7849.5724522176506</v>
      </c>
      <c r="G12" s="91">
        <f t="shared" si="1"/>
        <v>7915.0730048151299</v>
      </c>
      <c r="H12" s="22">
        <f>(F12-G12)/G12</f>
        <v>-8.2754198928591191E-3</v>
      </c>
      <c r="I12" s="91">
        <f t="shared" si="1"/>
        <v>68219.319038773974</v>
      </c>
      <c r="J12" s="91">
        <f t="shared" si="1"/>
        <v>78036.936251578139</v>
      </c>
      <c r="K12" s="212">
        <f>(I12-J12)/J12</f>
        <v>-0.12580731233673495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2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>B15+B10+B5</f>
        <v>1154610</v>
      </c>
      <c r="C20" s="83">
        <f t="shared" ref="B20:D21" si="3">C15+C10+C5</f>
        <v>983</v>
      </c>
      <c r="D20" s="83">
        <f t="shared" si="3"/>
        <v>33296727</v>
      </c>
      <c r="E20" s="83">
        <f>SUM(B20:D20)</f>
        <v>34452320</v>
      </c>
      <c r="F20" s="83">
        <f>E20*0.00045359237</f>
        <v>15627.3094807984</v>
      </c>
      <c r="G20" s="83">
        <f>'[1]Cargo Summary'!F20</f>
        <v>16420.105482562318</v>
      </c>
      <c r="H20" s="3">
        <f>(F20-G20)/G20</f>
        <v>-4.828202855370476E-2</v>
      </c>
      <c r="I20" s="83">
        <f>+I5+I10+I15</f>
        <v>136055.19694271503</v>
      </c>
      <c r="J20" s="83">
        <f>+J5+J10+J15</f>
        <v>149670.29355949053</v>
      </c>
      <c r="K20" s="58">
        <f>(I20-J20)/J20</f>
        <v>-9.0967260723410062E-2</v>
      </c>
      <c r="M20" s="19"/>
    </row>
    <row r="21" spans="1:13" x14ac:dyDescent="0.2">
      <c r="A21" s="38" t="s">
        <v>16</v>
      </c>
      <c r="B21" s="108">
        <f t="shared" si="3"/>
        <v>2715367</v>
      </c>
      <c r="C21" s="84">
        <f t="shared" si="3"/>
        <v>0</v>
      </c>
      <c r="D21" s="84">
        <f t="shared" si="3"/>
        <v>1189487</v>
      </c>
      <c r="E21" s="83">
        <f>SUM(B21:D21)</f>
        <v>3904854</v>
      </c>
      <c r="F21" s="83">
        <f>E21*0.00045359237</f>
        <v>1771.21198036398</v>
      </c>
      <c r="G21" s="83">
        <f>'[1]Cargo Summary'!F21</f>
        <v>2063.6960516102699</v>
      </c>
      <c r="H21" s="3">
        <f>(F21-G21)/G21</f>
        <v>-0.14172827002216198</v>
      </c>
      <c r="I21" s="83">
        <f>+I6+I11+I16</f>
        <v>12542.025435996211</v>
      </c>
      <c r="J21" s="83">
        <f>+J6+J11+J16</f>
        <v>18395.179564106729</v>
      </c>
      <c r="K21" s="58">
        <f>(I21-J21)/J21</f>
        <v>-0.31818956198347648</v>
      </c>
      <c r="M21" s="19"/>
    </row>
    <row r="22" spans="1:13" ht="18" customHeight="1" thickBot="1" x14ac:dyDescent="0.25">
      <c r="A22" s="60" t="s">
        <v>62</v>
      </c>
      <c r="B22" s="111">
        <f>SUM(B20:B21)</f>
        <v>3869977</v>
      </c>
      <c r="C22" s="112">
        <f t="shared" ref="C22:J22" si="4">SUM(C20:C21)</f>
        <v>983</v>
      </c>
      <c r="D22" s="112">
        <f t="shared" si="4"/>
        <v>34486214</v>
      </c>
      <c r="E22" s="112">
        <f t="shared" si="4"/>
        <v>38357174</v>
      </c>
      <c r="F22" s="112">
        <f t="shared" si="4"/>
        <v>17398.521461162381</v>
      </c>
      <c r="G22" s="112">
        <f t="shared" si="4"/>
        <v>18483.801534172588</v>
      </c>
      <c r="H22" s="218">
        <f>(F22-G22)/G22</f>
        <v>-5.8715198332104791E-2</v>
      </c>
      <c r="I22" s="112">
        <f t="shared" si="4"/>
        <v>148597.22237871125</v>
      </c>
      <c r="J22" s="112">
        <f t="shared" si="4"/>
        <v>168065.47312359727</v>
      </c>
      <c r="K22" s="219">
        <f>(I22-J22)/J22</f>
        <v>-0.11583730068441156</v>
      </c>
      <c r="M22" s="19"/>
    </row>
    <row r="23" spans="1:13" x14ac:dyDescent="0.2">
      <c r="G23" s="2"/>
    </row>
    <row r="26" spans="1:13" x14ac:dyDescent="0.2">
      <c r="A26" s="20"/>
    </row>
    <row r="29" spans="1:13" x14ac:dyDescent="0.2">
      <c r="B29" s="28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September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topLeftCell="A10" zoomScaleNormal="100" workbookViewId="0">
      <selection activeCell="E36" sqref="E36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40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3"/>
      <c r="K1"/>
    </row>
    <row r="2" spans="1:18" s="9" customFormat="1" ht="26.25" thickBot="1" x14ac:dyDescent="0.25">
      <c r="A2" s="487" t="s">
        <v>187</v>
      </c>
      <c r="B2" s="488"/>
      <c r="C2" s="315" t="s">
        <v>217</v>
      </c>
      <c r="D2" s="317" t="s">
        <v>205</v>
      </c>
      <c r="E2" s="318" t="s">
        <v>96</v>
      </c>
      <c r="F2" s="319" t="s">
        <v>218</v>
      </c>
      <c r="G2" s="317" t="s">
        <v>206</v>
      </c>
      <c r="H2" s="316" t="s">
        <v>97</v>
      </c>
      <c r="I2" s="318" t="s">
        <v>138</v>
      </c>
      <c r="J2" s="487" t="s">
        <v>183</v>
      </c>
      <c r="K2" s="488"/>
      <c r="L2" s="315" t="s">
        <v>219</v>
      </c>
      <c r="M2" s="317" t="s">
        <v>207</v>
      </c>
      <c r="N2" s="320" t="s">
        <v>97</v>
      </c>
      <c r="O2" s="321" t="s">
        <v>220</v>
      </c>
      <c r="P2" s="321" t="s">
        <v>208</v>
      </c>
      <c r="Q2" s="347" t="s">
        <v>97</v>
      </c>
      <c r="R2" s="318" t="s">
        <v>138</v>
      </c>
    </row>
    <row r="3" spans="1:18" s="9" customFormat="1" ht="13.5" customHeight="1" thickBot="1" x14ac:dyDescent="0.25">
      <c r="A3" s="489">
        <v>44075</v>
      </c>
      <c r="B3" s="490"/>
      <c r="C3" s="491" t="s">
        <v>9</v>
      </c>
      <c r="D3" s="492"/>
      <c r="E3" s="492"/>
      <c r="F3" s="492"/>
      <c r="G3" s="492"/>
      <c r="H3" s="493"/>
      <c r="I3" s="322"/>
      <c r="J3" s="489">
        <f>+A3</f>
        <v>44075</v>
      </c>
      <c r="K3" s="490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2"/>
      <c r="B4" s="233"/>
      <c r="C4" s="234"/>
      <c r="D4" s="235"/>
      <c r="E4" s="236"/>
      <c r="F4" s="323"/>
      <c r="G4" s="235"/>
      <c r="H4" s="336"/>
      <c r="I4" s="236"/>
      <c r="J4" s="237"/>
      <c r="K4" s="233"/>
      <c r="L4" s="243"/>
      <c r="N4" s="58"/>
      <c r="O4" s="31"/>
      <c r="R4" s="33"/>
    </row>
    <row r="5" spans="1:18" x14ac:dyDescent="0.2">
      <c r="A5" s="239" t="s">
        <v>238</v>
      </c>
      <c r="B5" s="33"/>
      <c r="C5" s="451">
        <f>SUM(C6:C7)</f>
        <v>123</v>
      </c>
      <c r="D5" s="451">
        <f>SUM(D6:D7)</f>
        <v>62</v>
      </c>
      <c r="E5" s="452">
        <f>(C5-D5)/D5</f>
        <v>0.9838709677419355</v>
      </c>
      <c r="F5" s="451">
        <f>SUM(F6:F7)</f>
        <v>809</v>
      </c>
      <c r="G5" s="451">
        <f>SUM(G6:G7)</f>
        <v>548</v>
      </c>
      <c r="H5" s="453">
        <f>(F5-G5)/G5</f>
        <v>0.47627737226277372</v>
      </c>
      <c r="I5" s="452">
        <f>+F5/$F$33</f>
        <v>7.457595870206489E-2</v>
      </c>
      <c r="J5" s="239" t="s">
        <v>238</v>
      </c>
      <c r="K5" s="33"/>
      <c r="L5" s="451">
        <f>SUM(L6:L7)</f>
        <v>2096561</v>
      </c>
      <c r="M5" s="451">
        <f>SUM(M6:M7)</f>
        <v>2932075</v>
      </c>
      <c r="N5" s="452">
        <f>(L5-M5)/M5</f>
        <v>-0.28495655806894432</v>
      </c>
      <c r="O5" s="451">
        <f>SUM(O6:O7)</f>
        <v>21702647</v>
      </c>
      <c r="P5" s="451">
        <f>SUM(P6:P7)</f>
        <v>21396353</v>
      </c>
      <c r="Q5" s="453">
        <f>(O5-P5)/P5</f>
        <v>1.4315243350116724E-2</v>
      </c>
      <c r="R5" s="452">
        <f>O5/$O$33</f>
        <v>7.5665889836621633E-2</v>
      </c>
    </row>
    <row r="6" spans="1:18" x14ac:dyDescent="0.2">
      <c r="A6" s="31"/>
      <c r="B6" s="296" t="s">
        <v>233</v>
      </c>
      <c r="C6" s="300">
        <f>+'[3]Atlas Air'!$GX$19</f>
        <v>2</v>
      </c>
      <c r="D6" s="457">
        <f>+'[3]Atlas Air'!$GJ$19</f>
        <v>62</v>
      </c>
      <c r="E6" s="302">
        <f>(C6-D6)/D6</f>
        <v>-0.967741935483871</v>
      </c>
      <c r="F6" s="300">
        <f>+SUM('[3]Atlas Air'!$GP$19:$GX$19)</f>
        <v>280</v>
      </c>
      <c r="G6" s="193">
        <f>+SUM('[3]Atlas Air'!$GB$19:$GJ$19)</f>
        <v>548</v>
      </c>
      <c r="H6" s="301">
        <f>(F6-G6)/G6</f>
        <v>-0.48905109489051096</v>
      </c>
      <c r="I6" s="302">
        <f>+F6/$F$33</f>
        <v>2.5811209439528023E-2</v>
      </c>
      <c r="J6" s="31"/>
      <c r="K6" s="296" t="s">
        <v>233</v>
      </c>
      <c r="L6" s="300">
        <f>+'[3]Atlas Air'!$GX$64</f>
        <v>50177</v>
      </c>
      <c r="M6" s="457">
        <f>+'[3]Atlas Air'!$GJ$64</f>
        <v>2932075</v>
      </c>
      <c r="N6" s="302">
        <f>(L6-M6)/M6</f>
        <v>-0.9828868633987875</v>
      </c>
      <c r="O6" s="450">
        <f>+SUM('[3]Atlas Air'!$GP$64:$GX$64)</f>
        <v>12408613</v>
      </c>
      <c r="P6" s="193">
        <f>+SUM('[3]Atlas Air'!$GB$64:$GJ$64)</f>
        <v>21396353</v>
      </c>
      <c r="Q6" s="301">
        <f>(O6-P6)/P6</f>
        <v>-0.42005943723213018</v>
      </c>
      <c r="R6" s="302">
        <f>O6/$O$33</f>
        <v>4.3262406852181259E-2</v>
      </c>
    </row>
    <row r="7" spans="1:18" x14ac:dyDescent="0.2">
      <c r="A7" s="31"/>
      <c r="B7" s="296" t="s">
        <v>49</v>
      </c>
      <c r="C7" s="300">
        <f>+'[3]Sun Country Cargo'!$GX$19</f>
        <v>121</v>
      </c>
      <c r="D7" s="193">
        <f>+'[3]Sun Country Cargo'!$GJ$19</f>
        <v>0</v>
      </c>
      <c r="E7" s="302" t="e">
        <f>(C7-D7)/D7</f>
        <v>#DIV/0!</v>
      </c>
      <c r="F7" s="300">
        <f>+SUM('[3]Sun Country Cargo'!$GP$19:$GX$19)</f>
        <v>529</v>
      </c>
      <c r="G7" s="193">
        <f>+SUM('[3]Sun Country Cargo'!$GB$19:$GJ$19)</f>
        <v>0</v>
      </c>
      <c r="H7" s="301" t="e">
        <f>(F7-G7)/G7</f>
        <v>#DIV/0!</v>
      </c>
      <c r="I7" s="302">
        <f>+F7/$F$33</f>
        <v>4.876474926253687E-2</v>
      </c>
      <c r="J7" s="31"/>
      <c r="K7" s="296" t="s">
        <v>49</v>
      </c>
      <c r="L7" s="300">
        <f>+'[3]Sun Country Cargo'!$GX$64</f>
        <v>2046384</v>
      </c>
      <c r="M7" s="193">
        <f>+'[3]Sun Country Cargo'!$GJ$64</f>
        <v>0</v>
      </c>
      <c r="N7" s="302" t="e">
        <f>(L7-M7)/M7</f>
        <v>#DIV/0!</v>
      </c>
      <c r="O7" s="450">
        <f>+SUM('[3]Sun Country Cargo'!$GP$64:$GX$64)</f>
        <v>9294034</v>
      </c>
      <c r="P7" s="193">
        <f>+SUM('[3]Sun Country Cargo'!$GB$64:$GJ$64)</f>
        <v>0</v>
      </c>
      <c r="Q7" s="301" t="e">
        <f>(O7-P7)/P7</f>
        <v>#DIV/0!</v>
      </c>
      <c r="R7" s="302">
        <f>O7/$O$33</f>
        <v>3.2403482984440374E-2</v>
      </c>
    </row>
    <row r="8" spans="1:18" x14ac:dyDescent="0.2">
      <c r="A8" s="31"/>
      <c r="B8" s="33"/>
      <c r="C8" s="366"/>
      <c r="D8" s="366"/>
      <c r="E8" s="368"/>
      <c r="F8" s="449"/>
      <c r="G8" s="366"/>
      <c r="H8" s="368"/>
      <c r="I8" s="58"/>
      <c r="J8" s="369"/>
      <c r="K8" s="33"/>
      <c r="L8" s="366"/>
      <c r="N8" s="58"/>
      <c r="O8" s="370"/>
      <c r="R8" s="33"/>
    </row>
    <row r="9" spans="1:18" ht="14.1" customHeight="1" x14ac:dyDescent="0.2">
      <c r="A9" s="239" t="s">
        <v>232</v>
      </c>
      <c r="B9" s="33"/>
      <c r="C9" s="455">
        <f>SUM(C10:C16)</f>
        <v>134</v>
      </c>
      <c r="D9" s="455">
        <f>SUM(D10:D16)</f>
        <v>122</v>
      </c>
      <c r="E9" s="452">
        <f>(C9-D9)/D9</f>
        <v>9.8360655737704916E-2</v>
      </c>
      <c r="F9" s="455">
        <f>SUM(F10:F16)</f>
        <v>1187</v>
      </c>
      <c r="G9" s="455">
        <f>SUM(G10:G16)</f>
        <v>1146</v>
      </c>
      <c r="H9" s="456">
        <f>(F9-G9)/G9</f>
        <v>3.5776614310645723E-2</v>
      </c>
      <c r="I9" s="452">
        <f>+F9/$F$33</f>
        <v>0.10942109144542773</v>
      </c>
      <c r="J9" s="239" t="s">
        <v>232</v>
      </c>
      <c r="K9" s="33"/>
      <c r="L9" s="455">
        <f>SUM(L10:L16)</f>
        <v>1125082</v>
      </c>
      <c r="M9" s="455">
        <f>SUM(M10:M16)</f>
        <v>1381525</v>
      </c>
      <c r="N9" s="452">
        <f t="shared" ref="N9:N16" si="0">(L9-M9)/M9</f>
        <v>-0.18562313385570295</v>
      </c>
      <c r="O9" s="451">
        <f>SUM(O10:O16)</f>
        <v>12933049</v>
      </c>
      <c r="P9" s="451">
        <f>SUM(P10:P16)</f>
        <v>12604410</v>
      </c>
      <c r="Q9" s="453">
        <f t="shared" ref="Q9:Q16" si="1">(O9-P9)/P9</f>
        <v>2.6073334650332701E-2</v>
      </c>
      <c r="R9" s="452">
        <f t="shared" ref="R9:R16" si="2">O9/$O$33</f>
        <v>4.5090843567866613E-2</v>
      </c>
    </row>
    <row r="10" spans="1:18" ht="14.1" customHeight="1" x14ac:dyDescent="0.2">
      <c r="A10" s="239"/>
      <c r="B10" s="296" t="s">
        <v>240</v>
      </c>
      <c r="C10" s="300">
        <f>+[3]Airborne!$GX$19</f>
        <v>0</v>
      </c>
      <c r="D10" s="193">
        <f>+[3]Airborne!$GJ$19</f>
        <v>0</v>
      </c>
      <c r="E10" s="302" t="e">
        <f>(C10-D10)/D10</f>
        <v>#DIV/0!</v>
      </c>
      <c r="F10" s="300">
        <f>+SUM([3]Airborne!$GP$19:$GX$19)</f>
        <v>0</v>
      </c>
      <c r="G10" s="193">
        <f>+SUM([3]Airborne!$GB$19:$GJ$19)</f>
        <v>3</v>
      </c>
      <c r="H10" s="301">
        <f>(F10-G10)/G10</f>
        <v>-1</v>
      </c>
      <c r="I10" s="302">
        <f t="shared" ref="I10" si="3">+F10/$F$33</f>
        <v>0</v>
      </c>
      <c r="J10" s="239"/>
      <c r="K10" s="296" t="s">
        <v>240</v>
      </c>
      <c r="L10" s="300">
        <f>+[3]Airborne!$GX$64</f>
        <v>0</v>
      </c>
      <c r="M10" s="193">
        <f>+[3]Airborne!$GJ$64</f>
        <v>0</v>
      </c>
      <c r="N10" s="302" t="e">
        <f t="shared" si="0"/>
        <v>#DIV/0!</v>
      </c>
      <c r="O10" s="300">
        <f>+SUM([3]Airborne!$GP$64:$GX$64)</f>
        <v>0</v>
      </c>
      <c r="P10" s="193">
        <f>+SUM([3]Airborne!$GB$64:$GJ$64)</f>
        <v>43352</v>
      </c>
      <c r="Q10" s="301">
        <f t="shared" si="1"/>
        <v>-1</v>
      </c>
      <c r="R10" s="302">
        <f t="shared" si="2"/>
        <v>0</v>
      </c>
    </row>
    <row r="11" spans="1:18" ht="14.1" customHeight="1" x14ac:dyDescent="0.2">
      <c r="A11" s="239"/>
      <c r="B11" s="33" t="s">
        <v>233</v>
      </c>
      <c r="C11" s="300">
        <f>+[3]DHL_Atlas!$GX$19</f>
        <v>0</v>
      </c>
      <c r="D11" s="457">
        <f>+[3]DHL_Atlas!$GJ$19</f>
        <v>6</v>
      </c>
      <c r="E11" s="302">
        <f t="shared" ref="E11" si="4">(C11-D11)/D11</f>
        <v>-1</v>
      </c>
      <c r="F11" s="300">
        <f>+SUM([3]DHL_Atlas!$GP$19:$GX$19)</f>
        <v>6</v>
      </c>
      <c r="G11" s="193">
        <f>+SUM([3]DHL_Atlas!$GB$19:$GJ$19)</f>
        <v>12</v>
      </c>
      <c r="H11" s="301">
        <f t="shared" ref="H11" si="5">(F11-G11)/G11</f>
        <v>-0.5</v>
      </c>
      <c r="I11" s="302">
        <f>+F11/$F$33</f>
        <v>5.5309734513274336E-4</v>
      </c>
      <c r="J11" s="239"/>
      <c r="K11" s="33" t="s">
        <v>233</v>
      </c>
      <c r="L11" s="300">
        <f>+[3]DHL_Atlas!$GX$64</f>
        <v>0</v>
      </c>
      <c r="M11" s="193">
        <f>+[3]DHL_Atlas!$GJ$64</f>
        <v>152367</v>
      </c>
      <c r="N11" s="302">
        <f t="shared" si="0"/>
        <v>-1</v>
      </c>
      <c r="O11" s="300">
        <f>+SUM([3]DHL_Atlas!$GP$64:$GX$64)</f>
        <v>186366</v>
      </c>
      <c r="P11" s="193">
        <f>+SUM([3]DHL_Atlas!$GB$64:$GJ$64)</f>
        <v>237035</v>
      </c>
      <c r="Q11" s="301">
        <f t="shared" si="1"/>
        <v>-0.21376168076444407</v>
      </c>
      <c r="R11" s="302">
        <f t="shared" si="2"/>
        <v>6.49761719171483E-4</v>
      </c>
    </row>
    <row r="12" spans="1:18" ht="14.1" customHeight="1" x14ac:dyDescent="0.2">
      <c r="A12" s="239"/>
      <c r="B12" s="33" t="s">
        <v>237</v>
      </c>
      <c r="C12" s="300">
        <f>+[3]DHL!$GX$19</f>
        <v>0</v>
      </c>
      <c r="D12" s="193">
        <f>+[3]DHL!$GJ$19</f>
        <v>0</v>
      </c>
      <c r="E12" s="302" t="e">
        <f t="shared" ref="E12:E13" si="6">(C12-D12)/D12</f>
        <v>#DIV/0!</v>
      </c>
      <c r="F12" s="300">
        <f>+SUM([3]DHL!$GP$19:$GX$19)</f>
        <v>163</v>
      </c>
      <c r="G12" s="193">
        <f>+SUM([3]DHL!$GB$19:$GJ$19)</f>
        <v>0</v>
      </c>
      <c r="H12" s="301" t="e">
        <f t="shared" ref="H12:H13" si="7">(F12-G12)/G12</f>
        <v>#DIV/0!</v>
      </c>
      <c r="I12" s="302">
        <f>+F12/$F$33</f>
        <v>1.5025811209439528E-2</v>
      </c>
      <c r="J12" s="239"/>
      <c r="K12" s="33" t="s">
        <v>237</v>
      </c>
      <c r="L12" s="300">
        <f>+[3]DHL!$GX$64</f>
        <v>0</v>
      </c>
      <c r="M12" s="193">
        <f>+[3]DHL!$GJ$64</f>
        <v>0</v>
      </c>
      <c r="N12" s="302" t="e">
        <f t="shared" si="0"/>
        <v>#DIV/0!</v>
      </c>
      <c r="O12" s="300">
        <f>+SUM([3]DHL!$GP$64:$GX$64)</f>
        <v>5299897</v>
      </c>
      <c r="P12" s="193">
        <f>+SUM([3]DHL!$GB$64:$GJ$64)</f>
        <v>0</v>
      </c>
      <c r="Q12" s="301" t="e">
        <f t="shared" si="1"/>
        <v>#DIV/0!</v>
      </c>
      <c r="R12" s="302">
        <f t="shared" si="2"/>
        <v>1.8477995912085817E-2</v>
      </c>
    </row>
    <row r="13" spans="1:18" ht="14.1" customHeight="1" x14ac:dyDescent="0.2">
      <c r="A13" s="239"/>
      <c r="B13" s="33" t="s">
        <v>210</v>
      </c>
      <c r="C13" s="300">
        <f>+[3]Encore!$GX$19+[3]DHL_Encore!$GX$12</f>
        <v>90</v>
      </c>
      <c r="D13" s="457">
        <f>+[3]Encore!$GJ$19+[3]DHL_Encore!$GJ$19</f>
        <v>80</v>
      </c>
      <c r="E13" s="302">
        <f t="shared" si="6"/>
        <v>0.125</v>
      </c>
      <c r="F13" s="300">
        <f>+SUM([3]Encore!$GP$19:$GX$19)+SUM([3]DHL_Encore!$GP$19:$GX$19)</f>
        <v>774</v>
      </c>
      <c r="G13" s="193">
        <f>+SUM([3]Encore!$GB$19:$GJ$19)+SUM([3]DHL_Encore!$GB$19:$GJ$19)</f>
        <v>763</v>
      </c>
      <c r="H13" s="301">
        <f t="shared" si="7"/>
        <v>1.4416775884665793E-2</v>
      </c>
      <c r="I13" s="302">
        <f t="shared" ref="I13:I16" si="8">+F13/$F$33</f>
        <v>7.1349557522123894E-2</v>
      </c>
      <c r="J13" s="239"/>
      <c r="K13" s="33" t="s">
        <v>210</v>
      </c>
      <c r="L13" s="300">
        <f>+[3]Encore!$GX$64+[3]DHL_Encore!$GX$64</f>
        <v>115212</v>
      </c>
      <c r="M13" s="457">
        <f>+[3]Encore!$GJ$64+[3]DHL_Encore!$GJ$64</f>
        <v>92990</v>
      </c>
      <c r="N13" s="302">
        <f t="shared" si="0"/>
        <v>0.23897193246585655</v>
      </c>
      <c r="O13" s="300">
        <f>+SUM([3]Encore!$GP$64:$GX$64)+SUM([3]DHL_Encore!$GP$64:$GX$64)</f>
        <v>1076679</v>
      </c>
      <c r="P13" s="193">
        <f>+SUM([3]Encore!$GB$64:$GJ$64)+SUM([3]DHL_Encore!$GB$64:$GJ$64)</f>
        <v>911718</v>
      </c>
      <c r="Q13" s="301">
        <f t="shared" si="1"/>
        <v>0.18093423624410179</v>
      </c>
      <c r="R13" s="302">
        <f t="shared" si="2"/>
        <v>3.7538220385469083E-3</v>
      </c>
    </row>
    <row r="14" spans="1:18" ht="14.1" customHeight="1" x14ac:dyDescent="0.2">
      <c r="A14" s="239"/>
      <c r="B14" s="33" t="s">
        <v>234</v>
      </c>
      <c r="C14" s="300">
        <f>+[3]DHL_Kalitta!$GX$19</f>
        <v>0</v>
      </c>
      <c r="D14" s="457">
        <f>+[3]DHL_Kalitta!$GJ$19</f>
        <v>36</v>
      </c>
      <c r="E14" s="302">
        <f t="shared" ref="E14:E16" si="9">(C14-D14)/D14</f>
        <v>-1</v>
      </c>
      <c r="F14" s="300">
        <f>+SUM([3]DHL_Kalitta!$GP$19:$GX$19)</f>
        <v>36</v>
      </c>
      <c r="G14" s="193">
        <f>+SUM([3]DHL_Kalitta!$GB$19:$GJ$19)</f>
        <v>368</v>
      </c>
      <c r="H14" s="301">
        <f t="shared" ref="H14:H16" si="10">(F14-G14)/G14</f>
        <v>-0.90217391304347827</v>
      </c>
      <c r="I14" s="302">
        <f>+F14/$F$33</f>
        <v>3.3185840707964601E-3</v>
      </c>
      <c r="J14" s="239"/>
      <c r="K14" s="33" t="s">
        <v>234</v>
      </c>
      <c r="L14" s="300">
        <f>+[3]DHL_Kalitta!$GX$64</f>
        <v>0</v>
      </c>
      <c r="M14" s="193">
        <f>+[3]DHL_Kalitta!$GJ$64</f>
        <v>1136168</v>
      </c>
      <c r="N14" s="302">
        <f t="shared" si="0"/>
        <v>-1</v>
      </c>
      <c r="O14" s="300">
        <f>+SUM([3]DHL_Kalitta!$GP$64:$GX$64)</f>
        <v>872820</v>
      </c>
      <c r="P14" s="193">
        <f>+SUM([3]DHL_Kalitta!$GB$64:$GJ$64)</f>
        <v>11412305</v>
      </c>
      <c r="Q14" s="301">
        <f t="shared" si="1"/>
        <v>-0.92351939419775408</v>
      </c>
      <c r="R14" s="302">
        <f t="shared" si="2"/>
        <v>3.0430712883640458E-3</v>
      </c>
    </row>
    <row r="15" spans="1:18" ht="14.1" customHeight="1" x14ac:dyDescent="0.2">
      <c r="A15" s="239"/>
      <c r="B15" s="33" t="s">
        <v>235</v>
      </c>
      <c r="C15" s="300">
        <f>+[3]DHL_Southair!$GX$19</f>
        <v>0</v>
      </c>
      <c r="D15" s="193">
        <f>+[3]DHL_Southair!$GJ$19</f>
        <v>0</v>
      </c>
      <c r="E15" s="302" t="e">
        <f t="shared" si="9"/>
        <v>#DIV/0!</v>
      </c>
      <c r="F15" s="300">
        <f>+SUM([3]DHL_Southair!$GP$19:$GX$19)</f>
        <v>4</v>
      </c>
      <c r="G15" s="193">
        <f>+SUM([3]DHL_Southair!$GB$19:$GJ$19)</f>
        <v>0</v>
      </c>
      <c r="H15" s="301" t="e">
        <f t="shared" si="10"/>
        <v>#DIV/0!</v>
      </c>
      <c r="I15" s="302">
        <f>+F15/$F$33</f>
        <v>3.687315634218289E-4</v>
      </c>
      <c r="J15" s="239"/>
      <c r="K15" s="33" t="s">
        <v>235</v>
      </c>
      <c r="L15" s="300">
        <f>+[3]DHL_Southair!$GX$64</f>
        <v>0</v>
      </c>
      <c r="M15" s="193">
        <f>+[3]DHL_Southair!$GJ$64</f>
        <v>0</v>
      </c>
      <c r="N15" s="302" t="e">
        <f t="shared" si="0"/>
        <v>#DIV/0!</v>
      </c>
      <c r="O15" s="300">
        <f>+SUM([3]DHL_Southair!$GP$64:$GX$64)</f>
        <v>46833</v>
      </c>
      <c r="P15" s="193">
        <f>+SUM([3]DHL_Southair!$GB$64:$GJ$64)</f>
        <v>0</v>
      </c>
      <c r="Q15" s="301" t="e">
        <f t="shared" si="1"/>
        <v>#DIV/0!</v>
      </c>
      <c r="R15" s="302">
        <f t="shared" si="2"/>
        <v>1.6328241521499664E-4</v>
      </c>
    </row>
    <row r="16" spans="1:18" ht="14.1" customHeight="1" x14ac:dyDescent="0.2">
      <c r="A16" s="239"/>
      <c r="B16" s="33" t="s">
        <v>236</v>
      </c>
      <c r="C16" s="300">
        <f>+[3]DHL_Swift!$GX$19</f>
        <v>44</v>
      </c>
      <c r="D16" s="193">
        <f>+[3]DHL_Swift!$GJ$19</f>
        <v>0</v>
      </c>
      <c r="E16" s="302" t="e">
        <f t="shared" si="9"/>
        <v>#DIV/0!</v>
      </c>
      <c r="F16" s="300">
        <f>+SUM([3]DHL_Swift!$GP$19:$GX$19)</f>
        <v>204</v>
      </c>
      <c r="G16" s="193">
        <f>+SUM([3]DHL_Swift!$GB$19:$GJ$19)</f>
        <v>0</v>
      </c>
      <c r="H16" s="301" t="e">
        <f t="shared" si="10"/>
        <v>#DIV/0!</v>
      </c>
      <c r="I16" s="302">
        <f t="shared" si="8"/>
        <v>1.8805309734513276E-2</v>
      </c>
      <c r="J16" s="239"/>
      <c r="K16" s="33" t="s">
        <v>236</v>
      </c>
      <c r="L16" s="300">
        <f>+[3]DHL_Swift!$GX$64</f>
        <v>1009870</v>
      </c>
      <c r="M16" s="193">
        <f>+[3]DHL_Swift!$GJ$64</f>
        <v>0</v>
      </c>
      <c r="N16" s="302" t="e">
        <f t="shared" si="0"/>
        <v>#DIV/0!</v>
      </c>
      <c r="O16" s="300">
        <f>+SUM([3]DHL_Swift!$GP$64:$GX$64)</f>
        <v>5450454</v>
      </c>
      <c r="P16" s="193">
        <f>+SUM([3]DHL_Swift!$GB$64:$GJ$64)</f>
        <v>0</v>
      </c>
      <c r="Q16" s="301" t="e">
        <f t="shared" si="1"/>
        <v>#DIV/0!</v>
      </c>
      <c r="R16" s="302">
        <f t="shared" si="2"/>
        <v>1.9002910194483361E-2</v>
      </c>
    </row>
    <row r="17" spans="1:19" ht="14.1" customHeight="1" x14ac:dyDescent="0.2">
      <c r="A17" s="239"/>
      <c r="B17" s="33"/>
      <c r="C17" s="240"/>
      <c r="D17" s="115"/>
      <c r="E17" s="242"/>
      <c r="F17" s="240"/>
      <c r="G17" s="115"/>
      <c r="H17" s="241"/>
      <c r="I17" s="242"/>
      <c r="J17" s="239"/>
      <c r="K17" s="33"/>
      <c r="L17" s="243"/>
      <c r="N17" s="58"/>
      <c r="O17" s="243"/>
      <c r="P17" s="115"/>
      <c r="Q17" s="3"/>
      <c r="R17" s="58"/>
    </row>
    <row r="18" spans="1:19" ht="14.1" customHeight="1" x14ac:dyDescent="0.2">
      <c r="A18" s="239" t="s">
        <v>185</v>
      </c>
      <c r="B18" s="33"/>
      <c r="C18" s="454">
        <f>SUM(C19:C22)</f>
        <v>362</v>
      </c>
      <c r="D18" s="455">
        <f>SUM(D19:D22)</f>
        <v>308</v>
      </c>
      <c r="E18" s="452">
        <f>(C18-D18)/D18</f>
        <v>0.17532467532467533</v>
      </c>
      <c r="F18" s="454">
        <f>SUM(F19:F22)</f>
        <v>2845</v>
      </c>
      <c r="G18" s="455">
        <f>SUM(G19:G22)</f>
        <v>2922</v>
      </c>
      <c r="H18" s="453">
        <f t="shared" ref="H18" si="11">(F18-G18)/G18</f>
        <v>-2.6351813826146476E-2</v>
      </c>
      <c r="I18" s="452">
        <f>+F18/$F$33</f>
        <v>0.26226032448377579</v>
      </c>
      <c r="J18" s="239" t="s">
        <v>185</v>
      </c>
      <c r="K18" s="33"/>
      <c r="L18" s="454">
        <f>SUM(L19:L22)</f>
        <v>16815003</v>
      </c>
      <c r="M18" s="455">
        <f>SUM(M19:M22)</f>
        <v>15261707</v>
      </c>
      <c r="N18" s="452">
        <f>(L18-M18)/M18</f>
        <v>0.10177734377943437</v>
      </c>
      <c r="O18" s="454">
        <f>SUM(O19:O22)</f>
        <v>143434027</v>
      </c>
      <c r="P18" s="455">
        <f>SUM(P19:P22)</f>
        <v>134454133</v>
      </c>
      <c r="Q18" s="453">
        <f t="shared" ref="Q18" si="12">(O18-P18)/P18</f>
        <v>6.6787787029201989E-2</v>
      </c>
      <c r="R18" s="452">
        <f>O18/$O$33</f>
        <v>0.50008016468244698</v>
      </c>
    </row>
    <row r="19" spans="1:19" x14ac:dyDescent="0.2">
      <c r="A19" s="31"/>
      <c r="B19" s="296" t="s">
        <v>185</v>
      </c>
      <c r="C19" s="300">
        <f>+[3]FedEx!$GX$19</f>
        <v>284</v>
      </c>
      <c r="D19" s="457">
        <f>+[3]FedEx!$GJ$19</f>
        <v>244</v>
      </c>
      <c r="E19" s="302">
        <f>(C19-D19)/D19</f>
        <v>0.16393442622950818</v>
      </c>
      <c r="F19" s="300">
        <f>+SUM([3]FedEx!$GP$19:$GX$19)</f>
        <v>2168</v>
      </c>
      <c r="G19" s="193">
        <f>+SUM([3]FedEx!$GB$19:$GJ$19)</f>
        <v>2298</v>
      </c>
      <c r="H19" s="301">
        <f t="shared" ref="H19" si="13">(F19-G19)/G19</f>
        <v>-5.6570931244560488E-2</v>
      </c>
      <c r="I19" s="302">
        <f>+F19/$F$33</f>
        <v>0.19985250737463126</v>
      </c>
      <c r="J19" s="239"/>
      <c r="K19" s="296" t="s">
        <v>185</v>
      </c>
      <c r="L19" s="300">
        <f>+[3]FedEx!$GX$64</f>
        <v>16585449</v>
      </c>
      <c r="M19" s="457">
        <f>+[3]FedEx!$GJ$64</f>
        <v>15110168</v>
      </c>
      <c r="N19" s="302">
        <f>(L19-M19)/M19</f>
        <v>9.7634983277485723E-2</v>
      </c>
      <c r="O19" s="300">
        <f>+SUM([3]FedEx!$GP$64:$GX$64)</f>
        <v>140937756</v>
      </c>
      <c r="P19" s="193">
        <f>+SUM([3]FedEx!$GB$64:$GJ$64)</f>
        <v>132939881</v>
      </c>
      <c r="Q19" s="301">
        <f t="shared" ref="Q19:Q20" si="14">(O19-P19)/P19</f>
        <v>6.0161592893256767E-2</v>
      </c>
      <c r="R19" s="302">
        <f>O19/$O$33</f>
        <v>0.49137696057612973</v>
      </c>
    </row>
    <row r="20" spans="1:19" x14ac:dyDescent="0.2">
      <c r="A20" s="31"/>
      <c r="B20" s="296" t="s">
        <v>239</v>
      </c>
      <c r="C20" s="300">
        <f>+'[3]Mountain Cargo'!$GX$19</f>
        <v>42</v>
      </c>
      <c r="D20" s="457">
        <f>+'[3]Mountain Cargo'!$GJ$19</f>
        <v>34</v>
      </c>
      <c r="E20" s="302">
        <f>(C20-D20)/D20</f>
        <v>0.23529411764705882</v>
      </c>
      <c r="F20" s="300">
        <f>+SUM('[3]Mountain Cargo'!$GP$19:$GX$19)</f>
        <v>386</v>
      </c>
      <c r="G20" s="193">
        <f>+SUM('[3]Mountain Cargo'!$GB$19:$GJ$19)</f>
        <v>324</v>
      </c>
      <c r="H20" s="301">
        <f>(F20-G20)/G20</f>
        <v>0.19135802469135801</v>
      </c>
      <c r="I20" s="302">
        <f>+F20/$F$33</f>
        <v>3.5582595870206492E-2</v>
      </c>
      <c r="J20" s="369"/>
      <c r="K20" s="296" t="s">
        <v>239</v>
      </c>
      <c r="L20" s="300">
        <f>+'[3]Mountain Cargo'!$GX$64</f>
        <v>160830</v>
      </c>
      <c r="M20" s="457">
        <f>+'[3]Mountain Cargo'!$GJ$64</f>
        <v>114655</v>
      </c>
      <c r="N20" s="302">
        <f>(L20-M20)/M20</f>
        <v>0.40272992891718634</v>
      </c>
      <c r="O20" s="300">
        <f>+SUM('[3]Mountain Cargo'!$GP$64:$GX$64)</f>
        <v>2022412</v>
      </c>
      <c r="P20" s="193">
        <f>+SUM('[3]Mountain Cargo'!$GB$64:$GJ$64)</f>
        <v>1278014</v>
      </c>
      <c r="Q20" s="301">
        <f t="shared" si="14"/>
        <v>0.58246466783618955</v>
      </c>
      <c r="R20" s="302">
        <f>O20/$O$33</f>
        <v>7.0511031947513882E-3</v>
      </c>
    </row>
    <row r="21" spans="1:19" x14ac:dyDescent="0.2">
      <c r="A21" s="31"/>
      <c r="B21" s="296" t="s">
        <v>178</v>
      </c>
      <c r="C21" s="300">
        <f>+[3]IFL!$GX$19</f>
        <v>36</v>
      </c>
      <c r="D21" s="457">
        <f>+[3]IFL!$GJ$19</f>
        <v>30</v>
      </c>
      <c r="E21" s="302">
        <f>(C21-D21)/D21</f>
        <v>0.2</v>
      </c>
      <c r="F21" s="300">
        <f>+SUM([3]IFL!$GP$19:$GX$19)</f>
        <v>291</v>
      </c>
      <c r="G21" s="193">
        <f>+SUM([3]IFL!$GB$19:$GJ$19)</f>
        <v>291</v>
      </c>
      <c r="H21" s="301">
        <f>(F21-G21)/G21</f>
        <v>0</v>
      </c>
      <c r="I21" s="302">
        <f>+F21/$F$33</f>
        <v>2.6825221238938053E-2</v>
      </c>
      <c r="J21" s="369"/>
      <c r="K21" s="296" t="s">
        <v>178</v>
      </c>
      <c r="L21" s="300">
        <f>+[3]IFL!$GX$64</f>
        <v>68724</v>
      </c>
      <c r="M21" s="457">
        <f>+[3]IFL!$GJ$64</f>
        <v>36884</v>
      </c>
      <c r="N21" s="302">
        <f>(L21-M21)/M21</f>
        <v>0.86324693634096084</v>
      </c>
      <c r="O21" s="300">
        <f>+SUM([3]IFL!$GP$64:$GX$64)</f>
        <v>473859</v>
      </c>
      <c r="P21" s="193">
        <f>+SUM([3]IFL!$GB$64:$GJ$64)</f>
        <v>226552</v>
      </c>
      <c r="Q21" s="301">
        <f>(O21-P21)/P21</f>
        <v>1.0916125216285886</v>
      </c>
      <c r="R21" s="302">
        <f>O21/$O$33</f>
        <v>1.6521009115658422E-3</v>
      </c>
    </row>
    <row r="22" spans="1:19" ht="14.1" customHeight="1" x14ac:dyDescent="0.2">
      <c r="A22" s="239"/>
      <c r="B22" s="296" t="s">
        <v>85</v>
      </c>
      <c r="C22" s="300">
        <f>+'[3]CSA Air'!$GX$19</f>
        <v>0</v>
      </c>
      <c r="D22" s="193">
        <f>+'[3]CSA Air'!$GJ$19</f>
        <v>0</v>
      </c>
      <c r="E22" s="302" t="e">
        <f>(C22-D22)/D22</f>
        <v>#DIV/0!</v>
      </c>
      <c r="F22" s="300">
        <f>+SUM('[3]CSA Air'!$GP$19:$GX$19)</f>
        <v>0</v>
      </c>
      <c r="G22" s="193">
        <f>+SUM('[3]CSA Air'!$GB$19:$GJ$19)</f>
        <v>9</v>
      </c>
      <c r="H22" s="301">
        <f t="shared" ref="H22" si="15">(F22-G22)/G22</f>
        <v>-1</v>
      </c>
      <c r="I22" s="302">
        <f>+F22/$F$33</f>
        <v>0</v>
      </c>
      <c r="J22" s="239"/>
      <c r="K22" s="296" t="s">
        <v>85</v>
      </c>
      <c r="L22" s="300">
        <f>+'[3]CSA Air'!$GX$64</f>
        <v>0</v>
      </c>
      <c r="M22" s="193">
        <f>+'[3]CSA Air'!$GJ$64</f>
        <v>0</v>
      </c>
      <c r="N22" s="302" t="e">
        <f>(L22-M22)/M22</f>
        <v>#DIV/0!</v>
      </c>
      <c r="O22" s="300">
        <f>+SUM('[3]CSA Air'!$GP$64:$GX$64)</f>
        <v>0</v>
      </c>
      <c r="P22" s="193">
        <f>+SUM('[3]CSA Air'!$GB$64:$GJ$64)</f>
        <v>9686</v>
      </c>
      <c r="Q22" s="301">
        <f t="shared" ref="Q22" si="16">(O22-P22)/P22</f>
        <v>-1</v>
      </c>
      <c r="R22" s="302">
        <f>O22/$O$33</f>
        <v>0</v>
      </c>
    </row>
    <row r="23" spans="1:19" ht="14.1" customHeight="1" x14ac:dyDescent="0.2">
      <c r="A23" s="239"/>
      <c r="B23" s="33"/>
      <c r="C23" s="240"/>
      <c r="D23" s="115"/>
      <c r="E23" s="242"/>
      <c r="F23" s="240"/>
      <c r="G23" s="115"/>
      <c r="H23" s="241"/>
      <c r="I23" s="242"/>
      <c r="J23" s="239"/>
      <c r="K23" s="33"/>
      <c r="L23" s="243"/>
      <c r="N23" s="58"/>
      <c r="O23" s="243"/>
      <c r="P23" s="115"/>
      <c r="Q23" s="3"/>
      <c r="R23" s="58"/>
    </row>
    <row r="24" spans="1:19" ht="14.1" customHeight="1" x14ac:dyDescent="0.2">
      <c r="A24" s="239"/>
      <c r="B24" s="33"/>
      <c r="C24" s="240"/>
      <c r="D24" s="115"/>
      <c r="E24" s="242"/>
      <c r="F24" s="240"/>
      <c r="G24" s="115"/>
      <c r="H24" s="241"/>
      <c r="I24" s="242"/>
      <c r="J24" s="239"/>
      <c r="K24" s="33"/>
      <c r="L24" s="243"/>
      <c r="N24" s="58"/>
      <c r="O24" s="243"/>
      <c r="P24" s="2"/>
      <c r="Q24" s="3"/>
      <c r="R24" s="58"/>
    </row>
    <row r="25" spans="1:19" ht="14.1" customHeight="1" x14ac:dyDescent="0.2">
      <c r="A25" s="239" t="s">
        <v>83</v>
      </c>
      <c r="B25" s="33"/>
      <c r="C25" s="451">
        <f>SUM(C26:C27)</f>
        <v>689</v>
      </c>
      <c r="D25" s="451">
        <f>SUM(D26:D27)</f>
        <v>616</v>
      </c>
      <c r="E25" s="452">
        <f>(C25-D25)/D25</f>
        <v>0.1185064935064935</v>
      </c>
      <c r="F25" s="451">
        <f>SUM(F26:F27)</f>
        <v>5994</v>
      </c>
      <c r="G25" s="451">
        <f>SUM(G26:G27)</f>
        <v>5938</v>
      </c>
      <c r="H25" s="453">
        <f>(F25-G25)/G25</f>
        <v>9.4307847760188614E-3</v>
      </c>
      <c r="I25" s="452">
        <f>+F25/$F$33</f>
        <v>0.55254424778761058</v>
      </c>
      <c r="J25" s="239" t="s">
        <v>83</v>
      </c>
      <c r="K25" s="33"/>
      <c r="L25" s="451">
        <f>SUM(L26:L27)</f>
        <v>14449568</v>
      </c>
      <c r="M25" s="451">
        <f>SUM(M26:M27)</f>
        <v>12417362</v>
      </c>
      <c r="N25" s="452">
        <f>(L25-M25)/M25</f>
        <v>0.16365843244321943</v>
      </c>
      <c r="O25" s="451">
        <f>SUM(O26:O27)</f>
        <v>108483790</v>
      </c>
      <c r="P25" s="451">
        <f>SUM(P26:P27)</f>
        <v>108280964</v>
      </c>
      <c r="Q25" s="453">
        <f>(O25-P25)/P25</f>
        <v>1.8731454958232547E-3</v>
      </c>
      <c r="R25" s="452">
        <f>O25/$O$33</f>
        <v>0.37822678971828627</v>
      </c>
    </row>
    <row r="26" spans="1:19" ht="14.1" customHeight="1" x14ac:dyDescent="0.2">
      <c r="A26" s="239"/>
      <c r="B26" s="296" t="s">
        <v>83</v>
      </c>
      <c r="C26" s="300">
        <f>+[3]UPS!$GX$19</f>
        <v>287</v>
      </c>
      <c r="D26" s="457">
        <f>+[3]UPS!$GJ$19</f>
        <v>244</v>
      </c>
      <c r="E26" s="302">
        <f>(C26-D26)/D26</f>
        <v>0.17622950819672131</v>
      </c>
      <c r="F26" s="300">
        <f>+SUM([3]UPS!$GP$19:$GX$19)</f>
        <v>2454</v>
      </c>
      <c r="G26" s="193">
        <f>+SUM([3]UPS!$GB$19:$GJ$19)</f>
        <v>2446</v>
      </c>
      <c r="H26" s="301">
        <f>(F26-G26)/G26</f>
        <v>3.2706459525756338E-3</v>
      </c>
      <c r="I26" s="302">
        <f>+F26/$F$33</f>
        <v>0.22621681415929204</v>
      </c>
      <c r="J26" s="239"/>
      <c r="K26" s="296" t="s">
        <v>83</v>
      </c>
      <c r="L26" s="300">
        <f>+[3]UPS!$GX$64</f>
        <v>14449568</v>
      </c>
      <c r="M26" s="457">
        <f>+[3]UPS!$GJ$64</f>
        <v>12417362</v>
      </c>
      <c r="N26" s="302">
        <f>(L26-M26)/M26</f>
        <v>0.16365843244321943</v>
      </c>
      <c r="O26" s="300">
        <f>+SUM([3]UPS!$GP$64:$GX$64)</f>
        <v>108483790</v>
      </c>
      <c r="P26" s="193">
        <f>+SUM([3]UPS!$GB$64:$GJ$64)</f>
        <v>108280964</v>
      </c>
      <c r="Q26" s="301">
        <f>(O26-P26)/P26</f>
        <v>1.8731454958232547E-3</v>
      </c>
      <c r="R26" s="302">
        <f>O26/$O$33</f>
        <v>0.37822678971828627</v>
      </c>
    </row>
    <row r="27" spans="1:19" ht="14.1" customHeight="1" x14ac:dyDescent="0.2">
      <c r="A27" s="239"/>
      <c r="B27" s="296" t="s">
        <v>84</v>
      </c>
      <c r="C27" s="300">
        <f>+[3]Bemidji!$GX$19</f>
        <v>402</v>
      </c>
      <c r="D27" s="457">
        <f>+[3]Bemidji!$GJ$19</f>
        <v>372</v>
      </c>
      <c r="E27" s="302">
        <f>(C27-D27)/D27</f>
        <v>8.0645161290322578E-2</v>
      </c>
      <c r="F27" s="300">
        <f>+SUM([3]Bemidji!$GP$19:$GX$19)</f>
        <v>3540</v>
      </c>
      <c r="G27" s="193">
        <f>+SUM([3]Bemidji!$GB$19:$GJ$19)</f>
        <v>3492</v>
      </c>
      <c r="H27" s="301">
        <f t="shared" ref="H27" si="17">(F27-G27)/G27</f>
        <v>1.3745704467353952E-2</v>
      </c>
      <c r="I27" s="302">
        <f>+F27/$F$33</f>
        <v>0.32632743362831856</v>
      </c>
      <c r="J27" s="239"/>
      <c r="K27" s="296" t="s">
        <v>84</v>
      </c>
      <c r="L27" s="484" t="s">
        <v>188</v>
      </c>
      <c r="M27" s="485"/>
      <c r="N27" s="485"/>
      <c r="O27" s="485"/>
      <c r="P27" s="485"/>
      <c r="Q27" s="485"/>
      <c r="R27" s="486"/>
    </row>
    <row r="28" spans="1:19" ht="14.1" customHeight="1" x14ac:dyDescent="0.2">
      <c r="A28" s="31"/>
      <c r="B28" s="33"/>
      <c r="C28" s="240"/>
      <c r="E28" s="58"/>
      <c r="F28" s="243"/>
      <c r="I28" s="58"/>
      <c r="J28" s="31"/>
      <c r="K28" s="33"/>
      <c r="L28" s="243"/>
      <c r="N28" s="58"/>
      <c r="O28" s="243"/>
      <c r="P28" s="2"/>
      <c r="Q28" s="3"/>
      <c r="R28" s="58"/>
    </row>
    <row r="29" spans="1:19" ht="14.1" customHeight="1" x14ac:dyDescent="0.2">
      <c r="A29" s="239" t="s">
        <v>128</v>
      </c>
      <c r="B29" s="33"/>
      <c r="C29" s="454">
        <f>+'[3]Misc Cargo'!$GX$19</f>
        <v>0</v>
      </c>
      <c r="D29" s="455">
        <f>+'[3]Misc Cargo'!$GJ$19</f>
        <v>0</v>
      </c>
      <c r="E29" s="452" t="e">
        <f>(C29-D29)/D29</f>
        <v>#DIV/0!</v>
      </c>
      <c r="F29" s="454">
        <f>+SUM('[3]Misc Cargo'!$GP$19:$GX$19)</f>
        <v>13</v>
      </c>
      <c r="G29" s="455">
        <f>+SUM('[3]Misc Cargo'!$GB$19:$GJ$19)</f>
        <v>2</v>
      </c>
      <c r="H29" s="453">
        <f>(F29-G29)/G29</f>
        <v>5.5</v>
      </c>
      <c r="I29" s="452">
        <f>+F29/$F$33</f>
        <v>1.1983775811209439E-3</v>
      </c>
      <c r="J29" s="239" t="s">
        <v>128</v>
      </c>
      <c r="K29" s="33"/>
      <c r="L29" s="454">
        <f>+'[3]Misc Cargo'!$GX$64</f>
        <v>0</v>
      </c>
      <c r="M29" s="455">
        <f>+'[3]Misc Cargo'!$GJ$64</f>
        <v>0</v>
      </c>
      <c r="N29" s="452" t="e">
        <f>(L29-M29)/M29</f>
        <v>#DIV/0!</v>
      </c>
      <c r="O29" s="454">
        <f>+SUM('[3]Misc Cargo'!$GP$64:$GX$64)</f>
        <v>268555</v>
      </c>
      <c r="P29" s="455">
        <f>+SUM('[3]Misc Cargo'!$GB$64:$GJ$64)</f>
        <v>29717</v>
      </c>
      <c r="Q29" s="453">
        <f>(O29-P29)/P29</f>
        <v>8.0370831510583169</v>
      </c>
      <c r="R29" s="452">
        <f>O29/$O$33</f>
        <v>9.3631219477854119E-4</v>
      </c>
      <c r="S29" s="324"/>
    </row>
    <row r="30" spans="1:19" ht="14.1" customHeight="1" x14ac:dyDescent="0.2">
      <c r="A30" s="31"/>
      <c r="B30" s="33"/>
      <c r="C30" s="240"/>
      <c r="E30" s="58"/>
      <c r="F30" s="243"/>
      <c r="I30" s="58"/>
      <c r="J30" s="31"/>
      <c r="K30" s="33"/>
      <c r="L30" s="243"/>
      <c r="N30" s="58"/>
      <c r="O30" s="243"/>
      <c r="P30" s="2"/>
      <c r="Q30" s="3"/>
      <c r="R30" s="58"/>
    </row>
    <row r="31" spans="1:19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39"/>
      <c r="K31" s="33"/>
      <c r="L31" s="246"/>
      <c r="M31" s="248"/>
      <c r="N31" s="249"/>
      <c r="O31" s="246"/>
      <c r="P31" s="248"/>
      <c r="Q31" s="247"/>
      <c r="R31" s="326"/>
      <c r="S31" s="324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1308</v>
      </c>
      <c r="D33" s="332">
        <f>+D29+D25+D18+D9+D5</f>
        <v>1108</v>
      </c>
      <c r="E33" s="333">
        <f>(C33-D33)/D33</f>
        <v>0.18050541516245489</v>
      </c>
      <c r="F33" s="332">
        <f>+F29+F25+F18+F9+F5</f>
        <v>10848</v>
      </c>
      <c r="G33" s="332">
        <f>+G29+G25+G18+G9+G5</f>
        <v>10556</v>
      </c>
      <c r="H33" s="334">
        <f>(F33-G33)/G33</f>
        <v>2.7661993179234557E-2</v>
      </c>
      <c r="I33" s="346"/>
      <c r="J33"/>
      <c r="K33" s="331" t="s">
        <v>186</v>
      </c>
      <c r="L33" s="332">
        <f>+L29+L25+L18+L9+L5</f>
        <v>34486214</v>
      </c>
      <c r="M33" s="332">
        <f>+M29+M25+M18+M9+M5</f>
        <v>31992669</v>
      </c>
      <c r="N33" s="335">
        <f>(L33-M33)/M33</f>
        <v>7.7941137077372324E-2</v>
      </c>
      <c r="O33" s="332">
        <f>+O29+O25+O18+O9+O5</f>
        <v>286822068</v>
      </c>
      <c r="P33" s="332">
        <f>+P29+P25+P18+P9+P5</f>
        <v>276765577</v>
      </c>
      <c r="Q33" s="334">
        <f t="shared" ref="Q33" si="18">(O33-P33)/P33</f>
        <v>3.6335772349319291E-2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13"/>
      <c r="F35"/>
      <c r="G35"/>
      <c r="H35"/>
      <c r="I35"/>
      <c r="J35"/>
      <c r="K35"/>
      <c r="L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3"/>
      <c r="K103"/>
    </row>
    <row r="104" spans="4:14" x14ac:dyDescent="0.2">
      <c r="F104" s="143"/>
      <c r="K104"/>
    </row>
    <row r="105" spans="4:14" x14ac:dyDescent="0.2">
      <c r="F105" s="143"/>
      <c r="K105"/>
    </row>
    <row r="106" spans="4:14" x14ac:dyDescent="0.2">
      <c r="F106" s="143"/>
      <c r="K106"/>
    </row>
    <row r="107" spans="4:14" x14ac:dyDescent="0.2">
      <c r="F107" s="143"/>
      <c r="K107"/>
    </row>
    <row r="108" spans="4:14" x14ac:dyDescent="0.2">
      <c r="F108" s="143"/>
      <c r="K108"/>
    </row>
    <row r="109" spans="4:14" x14ac:dyDescent="0.2">
      <c r="F109" s="143"/>
      <c r="K109"/>
    </row>
    <row r="110" spans="4:14" x14ac:dyDescent="0.2">
      <c r="F110" s="143"/>
      <c r="K110"/>
    </row>
    <row r="111" spans="4:14" x14ac:dyDescent="0.2">
      <c r="F111" s="143"/>
      <c r="K111"/>
    </row>
    <row r="112" spans="4:14" x14ac:dyDescent="0.2">
      <c r="F112" s="143"/>
      <c r="K112"/>
    </row>
    <row r="113" spans="6:11" x14ac:dyDescent="0.2">
      <c r="F113" s="143"/>
      <c r="K113"/>
    </row>
    <row r="114" spans="6:11" x14ac:dyDescent="0.2">
      <c r="F114" s="143"/>
      <c r="K114"/>
    </row>
    <row r="115" spans="6:11" x14ac:dyDescent="0.2">
      <c r="F115" s="143"/>
      <c r="K115"/>
    </row>
    <row r="116" spans="6:11" x14ac:dyDescent="0.2">
      <c r="F116" s="143"/>
      <c r="K116"/>
    </row>
    <row r="117" spans="6:11" x14ac:dyDescent="0.2">
      <c r="F117" s="143"/>
      <c r="K117"/>
    </row>
    <row r="118" spans="6:11" x14ac:dyDescent="0.2">
      <c r="F118" s="143"/>
      <c r="K118"/>
    </row>
    <row r="119" spans="6:11" x14ac:dyDescent="0.2">
      <c r="F119" s="143"/>
      <c r="K119"/>
    </row>
    <row r="120" spans="6:11" x14ac:dyDescent="0.2">
      <c r="F120" s="143"/>
      <c r="K120"/>
    </row>
    <row r="121" spans="6:11" x14ac:dyDescent="0.2">
      <c r="F121" s="143"/>
      <c r="K121"/>
    </row>
    <row r="122" spans="6:11" x14ac:dyDescent="0.2">
      <c r="F122" s="143"/>
      <c r="K122"/>
    </row>
    <row r="123" spans="6:11" x14ac:dyDescent="0.2">
      <c r="F123" s="143"/>
      <c r="K123"/>
    </row>
    <row r="124" spans="6:11" x14ac:dyDescent="0.2">
      <c r="F124" s="143"/>
      <c r="K124"/>
    </row>
    <row r="125" spans="6:11" x14ac:dyDescent="0.2">
      <c r="F125" s="143"/>
      <c r="K125"/>
    </row>
    <row r="126" spans="6:11" x14ac:dyDescent="0.2">
      <c r="F126" s="143"/>
      <c r="K126"/>
    </row>
    <row r="127" spans="6:11" x14ac:dyDescent="0.2">
      <c r="F127" s="143"/>
      <c r="K127"/>
    </row>
    <row r="128" spans="6:11" x14ac:dyDescent="0.2">
      <c r="F128" s="143"/>
      <c r="K128"/>
    </row>
    <row r="129" spans="6:11" x14ac:dyDescent="0.2">
      <c r="F129" s="143"/>
      <c r="K129"/>
    </row>
    <row r="130" spans="6:11" x14ac:dyDescent="0.2">
      <c r="F130" s="143"/>
      <c r="K130"/>
    </row>
    <row r="131" spans="6:11" x14ac:dyDescent="0.2">
      <c r="F131" s="143"/>
      <c r="K131"/>
    </row>
    <row r="132" spans="6:11" x14ac:dyDescent="0.2">
      <c r="F132" s="143"/>
      <c r="K132"/>
    </row>
    <row r="133" spans="6:11" x14ac:dyDescent="0.2">
      <c r="F133" s="143"/>
      <c r="K133"/>
    </row>
    <row r="134" spans="6:11" x14ac:dyDescent="0.2">
      <c r="F134" s="143"/>
      <c r="K134"/>
    </row>
    <row r="135" spans="6:11" x14ac:dyDescent="0.2">
      <c r="F135" s="143"/>
      <c r="K135"/>
    </row>
    <row r="136" spans="6:11" x14ac:dyDescent="0.2">
      <c r="F136" s="143"/>
      <c r="K136"/>
    </row>
    <row r="137" spans="6:11" x14ac:dyDescent="0.2">
      <c r="F137" s="143"/>
      <c r="K137"/>
    </row>
    <row r="138" spans="6:11" x14ac:dyDescent="0.2">
      <c r="F138" s="143"/>
      <c r="K138"/>
    </row>
    <row r="139" spans="6:11" x14ac:dyDescent="0.2">
      <c r="F139" s="143"/>
      <c r="K139"/>
    </row>
    <row r="140" spans="6:11" x14ac:dyDescent="0.2">
      <c r="F140" s="143"/>
      <c r="K140"/>
    </row>
    <row r="141" spans="6:11" x14ac:dyDescent="0.2">
      <c r="F141" s="143"/>
      <c r="K141"/>
    </row>
    <row r="142" spans="6:11" x14ac:dyDescent="0.2">
      <c r="F142" s="143"/>
      <c r="K142"/>
    </row>
    <row r="143" spans="6:11" x14ac:dyDescent="0.2">
      <c r="F143" s="143"/>
      <c r="K143"/>
    </row>
    <row r="144" spans="6:11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</sheetData>
  <mergeCells count="7">
    <mergeCell ref="L3:R3"/>
    <mergeCell ref="L27:R2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2020-09-16T21:35:09Z</cp:lastPrinted>
  <dcterms:created xsi:type="dcterms:W3CDTF">2007-09-24T12:26:24Z</dcterms:created>
  <dcterms:modified xsi:type="dcterms:W3CDTF">2022-04-01T15:58:01Z</dcterms:modified>
</cp:coreProperties>
</file>