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FB8AE4B4-B2CD-4F60-8CDB-C12AF28CC374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Activity'!$A$1:$AA$71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F29" i="17"/>
  <c r="Y9" i="9"/>
  <c r="X9" i="9"/>
  <c r="V9" i="9"/>
  <c r="U9" i="9"/>
  <c r="P9" i="9"/>
  <c r="O9" i="9"/>
  <c r="M9" i="9"/>
  <c r="L9" i="9"/>
  <c r="G9" i="9"/>
  <c r="F9" i="9"/>
  <c r="D9" i="9"/>
  <c r="C9" i="9"/>
  <c r="F11" i="15"/>
  <c r="F10" i="15"/>
  <c r="F6" i="15"/>
  <c r="F5" i="15"/>
  <c r="F16" i="15"/>
  <c r="F15" i="15"/>
  <c r="F36" i="15"/>
  <c r="F35" i="15"/>
  <c r="F31" i="15"/>
  <c r="F30" i="15"/>
  <c r="F26" i="15"/>
  <c r="F25" i="15"/>
  <c r="F19" i="15"/>
  <c r="F18" i="15"/>
  <c r="Z9" i="9" l="1"/>
  <c r="N9" i="9"/>
  <c r="E9" i="9"/>
  <c r="W9" i="9"/>
  <c r="Q9" i="9"/>
  <c r="H9" i="9"/>
  <c r="F32" i="15" l="1"/>
  <c r="F20" i="15"/>
  <c r="F17" i="15"/>
  <c r="F12" i="15"/>
  <c r="F7" i="15"/>
  <c r="P13" i="17"/>
  <c r="O13" i="17"/>
  <c r="M13" i="17"/>
  <c r="L13" i="17"/>
  <c r="E27" i="8"/>
  <c r="E26" i="8"/>
  <c r="E22" i="8"/>
  <c r="E21" i="8"/>
  <c r="E23" i="8" s="1"/>
  <c r="E17" i="8"/>
  <c r="E16" i="8"/>
  <c r="E18" i="8" s="1"/>
  <c r="G13" i="17"/>
  <c r="F13" i="17"/>
  <c r="D13" i="17"/>
  <c r="C13" i="17"/>
  <c r="E5" i="8"/>
  <c r="E4" i="8"/>
  <c r="Q13" i="17" l="1"/>
  <c r="H13" i="17"/>
  <c r="F27" i="15"/>
  <c r="E32" i="8"/>
  <c r="F40" i="15"/>
  <c r="F37" i="15"/>
  <c r="N13" i="17"/>
  <c r="F41" i="15"/>
  <c r="F42" i="15" s="1"/>
  <c r="F21" i="15"/>
  <c r="E31" i="8"/>
  <c r="E28" i="8"/>
  <c r="E33" i="8" s="1"/>
  <c r="E13" i="17"/>
  <c r="E10" i="8"/>
  <c r="E6" i="8"/>
  <c r="E12" i="8" s="1"/>
  <c r="Y66" i="9" l="1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19" i="9"/>
  <c r="V19" i="9"/>
  <c r="P19" i="9"/>
  <c r="M19" i="9"/>
  <c r="G19" i="9"/>
  <c r="D19" i="9"/>
  <c r="Y18" i="9"/>
  <c r="V18" i="9"/>
  <c r="P18" i="9"/>
  <c r="M18" i="9"/>
  <c r="G18" i="9"/>
  <c r="D18" i="9"/>
  <c r="Y17" i="9"/>
  <c r="V17" i="9"/>
  <c r="P17" i="9"/>
  <c r="M17" i="9"/>
  <c r="G17" i="9"/>
  <c r="D17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D70" i="9" l="1"/>
  <c r="G70" i="9"/>
  <c r="M70" i="9"/>
  <c r="P70" i="9"/>
  <c r="V70" i="9"/>
  <c r="Y70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19" i="9"/>
  <c r="U19" i="9"/>
  <c r="O19" i="9"/>
  <c r="L19" i="9"/>
  <c r="F19" i="9"/>
  <c r="C19" i="9"/>
  <c r="X18" i="9"/>
  <c r="U18" i="9"/>
  <c r="O18" i="9"/>
  <c r="L18" i="9"/>
  <c r="F18" i="9"/>
  <c r="C18" i="9"/>
  <c r="X17" i="9"/>
  <c r="U17" i="9"/>
  <c r="O17" i="9"/>
  <c r="L17" i="9"/>
  <c r="F17" i="9"/>
  <c r="C17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F19" i="17" l="1"/>
  <c r="F5" i="17"/>
  <c r="F9" i="17"/>
  <c r="F25" i="17"/>
  <c r="X70" i="9"/>
  <c r="U70" i="9"/>
  <c r="C70" i="9"/>
  <c r="F70" i="9"/>
  <c r="L70" i="9"/>
  <c r="O70" i="9"/>
  <c r="D9" i="17"/>
  <c r="C9" i="17"/>
  <c r="G9" i="17"/>
  <c r="G21" i="5"/>
  <c r="G20" i="5"/>
  <c r="G16" i="5"/>
  <c r="G15" i="5"/>
  <c r="G11" i="5"/>
  <c r="G10" i="5"/>
  <c r="G6" i="5"/>
  <c r="G5" i="5"/>
  <c r="J16" i="5"/>
  <c r="J15" i="5"/>
  <c r="J11" i="5"/>
  <c r="J10" i="5"/>
  <c r="J6" i="5"/>
  <c r="J5" i="5"/>
  <c r="Q27" i="8"/>
  <c r="P27" i="8"/>
  <c r="O27" i="8"/>
  <c r="N27" i="8"/>
  <c r="M27" i="8"/>
  <c r="L27" i="8"/>
  <c r="K27" i="8"/>
  <c r="J27" i="8"/>
  <c r="I27" i="8"/>
  <c r="H27" i="8"/>
  <c r="G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D16" i="8"/>
  <c r="C16" i="8"/>
  <c r="B16" i="8"/>
  <c r="Q9" i="8"/>
  <c r="R9" i="8" s="1"/>
  <c r="Q8" i="8"/>
  <c r="R8" i="8" s="1"/>
  <c r="Q5" i="8"/>
  <c r="P5" i="8"/>
  <c r="O5" i="8"/>
  <c r="N5" i="8"/>
  <c r="M5" i="8"/>
  <c r="L5" i="8"/>
  <c r="K5" i="8"/>
  <c r="J5" i="8"/>
  <c r="I5" i="8"/>
  <c r="H5" i="8"/>
  <c r="G5" i="8"/>
  <c r="F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D4" i="8"/>
  <c r="C4" i="8"/>
  <c r="B4" i="8"/>
  <c r="O29" i="7"/>
  <c r="M28" i="7"/>
  <c r="L28" i="7"/>
  <c r="L27" i="7"/>
  <c r="M27" i="7"/>
  <c r="J29" i="7"/>
  <c r="E29" i="7"/>
  <c r="C28" i="7"/>
  <c r="B28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E35" i="15"/>
  <c r="D35" i="15"/>
  <c r="C35" i="15"/>
  <c r="B35" i="15"/>
  <c r="K31" i="15"/>
  <c r="J31" i="15"/>
  <c r="I31" i="15"/>
  <c r="H31" i="15"/>
  <c r="G31" i="15"/>
  <c r="E31" i="15"/>
  <c r="D31" i="15"/>
  <c r="C31" i="15"/>
  <c r="B31" i="15"/>
  <c r="K30" i="15"/>
  <c r="J30" i="15"/>
  <c r="I30" i="15"/>
  <c r="H30" i="15"/>
  <c r="G30" i="15"/>
  <c r="E30" i="15"/>
  <c r="D30" i="15"/>
  <c r="C30" i="15"/>
  <c r="B30" i="15"/>
  <c r="K26" i="15"/>
  <c r="J26" i="15"/>
  <c r="I26" i="15"/>
  <c r="H26" i="15"/>
  <c r="G26" i="15"/>
  <c r="E26" i="15"/>
  <c r="D26" i="15"/>
  <c r="C26" i="15"/>
  <c r="B26" i="15"/>
  <c r="K25" i="15"/>
  <c r="J25" i="15"/>
  <c r="I25" i="15"/>
  <c r="H25" i="15"/>
  <c r="G25" i="15"/>
  <c r="E25" i="15"/>
  <c r="D25" i="15"/>
  <c r="C25" i="15"/>
  <c r="B25" i="15"/>
  <c r="K19" i="15"/>
  <c r="J19" i="15"/>
  <c r="I19" i="15"/>
  <c r="H19" i="15"/>
  <c r="G19" i="15"/>
  <c r="E19" i="15"/>
  <c r="D19" i="15"/>
  <c r="C19" i="15"/>
  <c r="B19" i="15"/>
  <c r="K18" i="15"/>
  <c r="J18" i="15"/>
  <c r="I18" i="15"/>
  <c r="H18" i="15"/>
  <c r="G18" i="15"/>
  <c r="E18" i="15"/>
  <c r="D18" i="15"/>
  <c r="C18" i="15"/>
  <c r="B18" i="15"/>
  <c r="K16" i="15"/>
  <c r="J16" i="15"/>
  <c r="I16" i="15"/>
  <c r="H16" i="15"/>
  <c r="G16" i="15"/>
  <c r="E16" i="15"/>
  <c r="D16" i="15"/>
  <c r="C16" i="15"/>
  <c r="B16" i="15"/>
  <c r="K15" i="15"/>
  <c r="J15" i="15"/>
  <c r="I15" i="15"/>
  <c r="H15" i="15"/>
  <c r="G15" i="15"/>
  <c r="E15" i="15"/>
  <c r="D15" i="15"/>
  <c r="C15" i="15"/>
  <c r="B15" i="15"/>
  <c r="K11" i="15"/>
  <c r="J11" i="15"/>
  <c r="I11" i="15"/>
  <c r="H11" i="15"/>
  <c r="G11" i="15"/>
  <c r="E11" i="15"/>
  <c r="D11" i="15"/>
  <c r="C11" i="15"/>
  <c r="B11" i="15"/>
  <c r="K10" i="15"/>
  <c r="J10" i="15"/>
  <c r="I10" i="15"/>
  <c r="H10" i="15"/>
  <c r="G10" i="15"/>
  <c r="E10" i="15"/>
  <c r="D10" i="15"/>
  <c r="C10" i="15"/>
  <c r="B10" i="15"/>
  <c r="K6" i="15"/>
  <c r="J6" i="15"/>
  <c r="I6" i="15"/>
  <c r="H6" i="15"/>
  <c r="G6" i="15"/>
  <c r="E6" i="15"/>
  <c r="D6" i="15"/>
  <c r="C6" i="15"/>
  <c r="B6" i="15"/>
  <c r="K5" i="15"/>
  <c r="J5" i="15"/>
  <c r="I5" i="15"/>
  <c r="H5" i="15"/>
  <c r="G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F33" i="17" l="1"/>
  <c r="R5" i="8"/>
  <c r="C19" i="1" s="1"/>
  <c r="R4" i="8"/>
  <c r="R17" i="8"/>
  <c r="R16" i="8"/>
  <c r="R22" i="8"/>
  <c r="R21" i="8"/>
  <c r="E9" i="17"/>
  <c r="H9" i="17"/>
  <c r="D28" i="7"/>
  <c r="N27" i="7"/>
  <c r="N28" i="7"/>
  <c r="B37" i="1"/>
  <c r="B36" i="1"/>
  <c r="D37" i="1"/>
  <c r="D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D10" i="8" l="1"/>
  <c r="O28" i="7"/>
  <c r="J28" i="7"/>
  <c r="E28" i="7"/>
  <c r="C27" i="7"/>
  <c r="B27" i="7"/>
  <c r="E27" i="7"/>
  <c r="D23" i="8" l="1"/>
  <c r="G27" i="7"/>
  <c r="R27" i="8"/>
  <c r="D6" i="8"/>
  <c r="D12" i="8" s="1"/>
  <c r="D18" i="8"/>
  <c r="R26" i="8"/>
  <c r="D31" i="8"/>
  <c r="D28" i="8"/>
  <c r="D27" i="7"/>
  <c r="D32" i="8"/>
  <c r="H27" i="7"/>
  <c r="I27" i="7" l="1"/>
  <c r="D33" i="8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4" i="9"/>
  <c r="Z34" i="9"/>
  <c r="E34" i="9"/>
  <c r="N34" i="9"/>
  <c r="H34" i="9"/>
  <c r="Q34" i="9"/>
  <c r="O21" i="7" l="1"/>
  <c r="J21" i="7"/>
  <c r="E21" i="7"/>
  <c r="K5" i="3" l="1"/>
  <c r="Z65" i="9"/>
  <c r="W65" i="9"/>
  <c r="W64" i="9"/>
  <c r="W62" i="9"/>
  <c r="Z61" i="9"/>
  <c r="Z60" i="9"/>
  <c r="V59" i="9"/>
  <c r="Z53" i="9"/>
  <c r="W53" i="9"/>
  <c r="Z51" i="9"/>
  <c r="W47" i="9"/>
  <c r="Z45" i="9"/>
  <c r="Z43" i="9"/>
  <c r="W41" i="9"/>
  <c r="Z40" i="9"/>
  <c r="W40" i="9"/>
  <c r="W39" i="9"/>
  <c r="W38" i="9"/>
  <c r="V36" i="9"/>
  <c r="W37" i="9"/>
  <c r="W30" i="9"/>
  <c r="Z28" i="9"/>
  <c r="W28" i="9"/>
  <c r="W27" i="9"/>
  <c r="W26" i="9"/>
  <c r="W25" i="9"/>
  <c r="W24" i="9"/>
  <c r="Z23" i="9"/>
  <c r="W23" i="9"/>
  <c r="W22" i="9"/>
  <c r="Z19" i="9"/>
  <c r="W19" i="9"/>
  <c r="W18" i="9"/>
  <c r="W17" i="9"/>
  <c r="Z14" i="9"/>
  <c r="Z12" i="9"/>
  <c r="Z8" i="9"/>
  <c r="Z7" i="9"/>
  <c r="Y6" i="9"/>
  <c r="V6" i="9"/>
  <c r="W7" i="9"/>
  <c r="W8" i="9" l="1"/>
  <c r="W12" i="9"/>
  <c r="Z18" i="9"/>
  <c r="V21" i="9"/>
  <c r="Z27" i="9"/>
  <c r="W45" i="9"/>
  <c r="W49" i="9"/>
  <c r="Z55" i="9"/>
  <c r="V16" i="9"/>
  <c r="Y21" i="9"/>
  <c r="Z24" i="9"/>
  <c r="Z30" i="9"/>
  <c r="Y36" i="9"/>
  <c r="Z39" i="9"/>
  <c r="W43" i="9"/>
  <c r="W57" i="9"/>
  <c r="W66" i="9"/>
  <c r="X16" i="9"/>
  <c r="Y59" i="9"/>
  <c r="W4" i="9"/>
  <c r="U6" i="9"/>
  <c r="W6" i="9" s="1"/>
  <c r="Y16" i="9"/>
  <c r="W32" i="9"/>
  <c r="Z41" i="9"/>
  <c r="W51" i="9"/>
  <c r="Z57" i="9"/>
  <c r="W61" i="9"/>
  <c r="W63" i="9"/>
  <c r="W14" i="9"/>
  <c r="U36" i="9"/>
  <c r="W36" i="9" s="1"/>
  <c r="W42" i="9"/>
  <c r="W55" i="9"/>
  <c r="W60" i="9"/>
  <c r="X21" i="9"/>
  <c r="Z10" i="9"/>
  <c r="U16" i="9"/>
  <c r="Z22" i="9"/>
  <c r="Z32" i="9"/>
  <c r="Z42" i="9"/>
  <c r="X6" i="9"/>
  <c r="Z66" i="9"/>
  <c r="U59" i="9"/>
  <c r="Z64" i="9"/>
  <c r="Z4" i="9"/>
  <c r="Z17" i="9"/>
  <c r="U21" i="9"/>
  <c r="Z26" i="9"/>
  <c r="X36" i="9"/>
  <c r="Z38" i="9"/>
  <c r="Z49" i="9"/>
  <c r="Z63" i="9"/>
  <c r="W10" i="9"/>
  <c r="Z25" i="9"/>
  <c r="Z37" i="9"/>
  <c r="Z47" i="9"/>
  <c r="Z62" i="9"/>
  <c r="X59" i="9"/>
  <c r="V71" i="9" l="1"/>
  <c r="V69" i="9" s="1"/>
  <c r="X71" i="9"/>
  <c r="Y71" i="9"/>
  <c r="Y69" i="9" s="1"/>
  <c r="U71" i="9"/>
  <c r="U69" i="9" s="1"/>
  <c r="W21" i="9"/>
  <c r="Z70" i="9"/>
  <c r="W70" i="9"/>
  <c r="Z16" i="9"/>
  <c r="W16" i="9"/>
  <c r="Z59" i="9"/>
  <c r="W59" i="9"/>
  <c r="Z6" i="9"/>
  <c r="Z21" i="9"/>
  <c r="Z36" i="9"/>
  <c r="X69" i="9" l="1"/>
  <c r="AA34" i="9" s="1"/>
  <c r="AA9" i="9"/>
  <c r="AA4" i="9"/>
  <c r="AA6" i="9"/>
  <c r="AA21" i="9"/>
  <c r="AA71" i="9"/>
  <c r="AA61" i="9"/>
  <c r="AA45" i="9"/>
  <c r="Z71" i="9"/>
  <c r="AA19" i="9"/>
  <c r="AA66" i="9"/>
  <c r="AA55" i="9"/>
  <c r="AA41" i="9"/>
  <c r="AA7" i="9"/>
  <c r="AA8" i="9"/>
  <c r="AA30" i="9"/>
  <c r="AA65" i="9"/>
  <c r="AA56" i="9"/>
  <c r="AA53" i="9"/>
  <c r="AA40" i="9"/>
  <c r="AA28" i="9"/>
  <c r="AA57" i="9"/>
  <c r="AA14" i="9"/>
  <c r="AA60" i="9"/>
  <c r="AA24" i="9"/>
  <c r="AA37" i="9"/>
  <c r="AA18" i="9"/>
  <c r="AA64" i="9"/>
  <c r="AA70" i="9"/>
  <c r="AA47" i="9"/>
  <c r="AA51" i="9"/>
  <c r="AA10" i="9"/>
  <c r="AA25" i="9"/>
  <c r="AA42" i="9"/>
  <c r="AA23" i="9"/>
  <c r="AA12" i="9"/>
  <c r="AA32" i="9"/>
  <c r="AA27" i="9"/>
  <c r="AA16" i="9"/>
  <c r="AA38" i="9"/>
  <c r="AA26" i="9"/>
  <c r="AA63" i="9"/>
  <c r="AA22" i="9"/>
  <c r="AA49" i="9"/>
  <c r="AA43" i="9"/>
  <c r="AA39" i="9"/>
  <c r="AA62" i="9"/>
  <c r="AA17" i="9"/>
  <c r="W71" i="9"/>
  <c r="W69" i="9"/>
  <c r="AA36" i="9"/>
  <c r="AA59" i="9"/>
  <c r="AA69" i="9" l="1"/>
  <c r="Z69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H6" i="17"/>
  <c r="H11" i="17"/>
  <c r="H16" i="17"/>
  <c r="H21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6" i="8" l="1"/>
  <c r="B12" i="8"/>
  <c r="R31" i="8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I9" i="17"/>
  <c r="H5" i="17"/>
  <c r="Q25" i="17"/>
  <c r="Q12" i="8"/>
  <c r="B33" i="8"/>
  <c r="Q53" i="9"/>
  <c r="E53" i="9"/>
  <c r="N53" i="9"/>
  <c r="H53" i="9"/>
  <c r="R33" i="8" l="1"/>
  <c r="R12" i="8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9" i="9" l="1"/>
  <c r="E66" i="9" l="1"/>
  <c r="Q66" i="9"/>
  <c r="N66" i="9"/>
  <c r="E49" i="9"/>
  <c r="N49" i="9"/>
  <c r="Q49" i="9"/>
  <c r="H49" i="9"/>
  <c r="H66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6" i="9"/>
  <c r="G12" i="4"/>
  <c r="G20" i="4"/>
  <c r="G32" i="4"/>
  <c r="C21" i="9"/>
  <c r="C36" i="9"/>
  <c r="C6" i="9"/>
  <c r="C59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1" i="9" l="1"/>
  <c r="C69" i="9" s="1"/>
  <c r="G21" i="4"/>
  <c r="D21" i="15"/>
  <c r="G42" i="4"/>
  <c r="D42" i="15"/>
  <c r="O59" i="9"/>
  <c r="N65" i="9"/>
  <c r="H65" i="9"/>
  <c r="E65" i="9"/>
  <c r="Q64" i="9"/>
  <c r="N63" i="9"/>
  <c r="H63" i="9"/>
  <c r="E63" i="9"/>
  <c r="Q62" i="9"/>
  <c r="N61" i="9"/>
  <c r="H61" i="9"/>
  <c r="E61" i="9"/>
  <c r="P59" i="9"/>
  <c r="Q60" i="9"/>
  <c r="M59" i="9"/>
  <c r="D59" i="9"/>
  <c r="Q57" i="9"/>
  <c r="N57" i="9"/>
  <c r="E57" i="9"/>
  <c r="N55" i="9"/>
  <c r="E55" i="9"/>
  <c r="Q51" i="9"/>
  <c r="N51" i="9"/>
  <c r="H51" i="9"/>
  <c r="N47" i="9"/>
  <c r="E47" i="9"/>
  <c r="N45" i="9"/>
  <c r="E45" i="9"/>
  <c r="N43" i="9"/>
  <c r="H43" i="9"/>
  <c r="Q41" i="9"/>
  <c r="N41" i="9"/>
  <c r="H41" i="9"/>
  <c r="N40" i="9"/>
  <c r="E40" i="9"/>
  <c r="N39" i="9"/>
  <c r="H39" i="9"/>
  <c r="M36" i="9"/>
  <c r="E38" i="9"/>
  <c r="Q37" i="9"/>
  <c r="N37" i="9"/>
  <c r="H37" i="9"/>
  <c r="G36" i="9"/>
  <c r="Q32" i="9"/>
  <c r="N32" i="9"/>
  <c r="H32" i="9"/>
  <c r="N30" i="9"/>
  <c r="E30" i="9"/>
  <c r="Q28" i="9"/>
  <c r="N28" i="9"/>
  <c r="H28" i="9"/>
  <c r="E28" i="9"/>
  <c r="N27" i="9"/>
  <c r="E27" i="9"/>
  <c r="Q26" i="9"/>
  <c r="N26" i="9"/>
  <c r="H26" i="9"/>
  <c r="N25" i="9"/>
  <c r="E25" i="9"/>
  <c r="Q24" i="9"/>
  <c r="N24" i="9"/>
  <c r="H24" i="9"/>
  <c r="N23" i="9"/>
  <c r="E23" i="9"/>
  <c r="Q22" i="9"/>
  <c r="N22" i="9"/>
  <c r="M21" i="9"/>
  <c r="G21" i="9"/>
  <c r="H22" i="9"/>
  <c r="P21" i="9"/>
  <c r="O21" i="9"/>
  <c r="Q19" i="9"/>
  <c r="N19" i="9"/>
  <c r="H19" i="9"/>
  <c r="P16" i="9"/>
  <c r="N18" i="9"/>
  <c r="E18" i="9"/>
  <c r="O16" i="9"/>
  <c r="N17" i="9"/>
  <c r="M16" i="9"/>
  <c r="H17" i="9"/>
  <c r="G16" i="9"/>
  <c r="F16" i="9"/>
  <c r="E17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1" i="9" l="1"/>
  <c r="M69" i="9" s="1"/>
  <c r="N10" i="9"/>
  <c r="L36" i="9"/>
  <c r="D36" i="9"/>
  <c r="E36" i="9" s="1"/>
  <c r="G6" i="9"/>
  <c r="P6" i="9"/>
  <c r="Q6" i="9" s="1"/>
  <c r="N12" i="9"/>
  <c r="E14" i="9"/>
  <c r="L16" i="9"/>
  <c r="N16" i="9" s="1"/>
  <c r="Q17" i="9"/>
  <c r="E41" i="9"/>
  <c r="P36" i="9"/>
  <c r="E8" i="9"/>
  <c r="N8" i="9"/>
  <c r="F21" i="9"/>
  <c r="H21" i="9" s="1"/>
  <c r="O36" i="9"/>
  <c r="N38" i="9"/>
  <c r="Q39" i="9"/>
  <c r="E42" i="9"/>
  <c r="N42" i="9"/>
  <c r="Q43" i="9"/>
  <c r="E62" i="9"/>
  <c r="N62" i="9"/>
  <c r="E64" i="9"/>
  <c r="N64" i="9"/>
  <c r="H40" i="9"/>
  <c r="H55" i="9"/>
  <c r="F6" i="9"/>
  <c r="L6" i="9"/>
  <c r="N6" i="9" s="1"/>
  <c r="H8" i="9"/>
  <c r="D16" i="9"/>
  <c r="E19" i="9"/>
  <c r="E22" i="9"/>
  <c r="H25" i="9"/>
  <c r="E32" i="9"/>
  <c r="F36" i="9"/>
  <c r="H38" i="9"/>
  <c r="E43" i="9"/>
  <c r="E51" i="9"/>
  <c r="H16" i="9"/>
  <c r="H23" i="9"/>
  <c r="E6" i="9"/>
  <c r="E10" i="9"/>
  <c r="L21" i="9"/>
  <c r="N21" i="9" s="1"/>
  <c r="D21" i="9"/>
  <c r="E24" i="9"/>
  <c r="H27" i="9"/>
  <c r="H45" i="9"/>
  <c r="Q59" i="9"/>
  <c r="G59" i="9"/>
  <c r="Q61" i="9"/>
  <c r="H18" i="9"/>
  <c r="E26" i="9"/>
  <c r="H30" i="9"/>
  <c r="E37" i="9"/>
  <c r="E39" i="9"/>
  <c r="H42" i="9"/>
  <c r="H47" i="9"/>
  <c r="E60" i="9"/>
  <c r="N60" i="9"/>
  <c r="Q63" i="9"/>
  <c r="Q65" i="9"/>
  <c r="Q12" i="9"/>
  <c r="Q16" i="9"/>
  <c r="Q18" i="9"/>
  <c r="Q21" i="9"/>
  <c r="Q23" i="9"/>
  <c r="Q25" i="9"/>
  <c r="Q27" i="9"/>
  <c r="Q30" i="9"/>
  <c r="Q38" i="9"/>
  <c r="Q40" i="9"/>
  <c r="Q42" i="9"/>
  <c r="Q45" i="9"/>
  <c r="Q47" i="9"/>
  <c r="Q55" i="9"/>
  <c r="H57" i="9"/>
  <c r="F59" i="9"/>
  <c r="H60" i="9"/>
  <c r="H62" i="9"/>
  <c r="H64" i="9"/>
  <c r="G71" i="9" l="1"/>
  <c r="G69" i="9" s="1"/>
  <c r="P71" i="9"/>
  <c r="P69" i="9" s="1"/>
  <c r="L71" i="9"/>
  <c r="L69" i="9" s="1"/>
  <c r="D71" i="9"/>
  <c r="D69" i="9" s="1"/>
  <c r="F71" i="9"/>
  <c r="O71" i="9"/>
  <c r="N36" i="9"/>
  <c r="Q36" i="9"/>
  <c r="E21" i="9"/>
  <c r="E70" i="9"/>
  <c r="N70" i="9"/>
  <c r="H59" i="9"/>
  <c r="H36" i="9"/>
  <c r="H6" i="9"/>
  <c r="Q70" i="9"/>
  <c r="N59" i="9"/>
  <c r="E16" i="9"/>
  <c r="H70" i="9"/>
  <c r="E59" i="9"/>
  <c r="O69" i="9" l="1"/>
  <c r="R9" i="9"/>
  <c r="F69" i="9"/>
  <c r="I9" i="9"/>
  <c r="R34" i="9"/>
  <c r="I53" i="9"/>
  <c r="I34" i="9"/>
  <c r="R4" i="9"/>
  <c r="R53" i="9"/>
  <c r="I4" i="9"/>
  <c r="R49" i="9"/>
  <c r="R17" i="9"/>
  <c r="I49" i="9"/>
  <c r="I6" i="9"/>
  <c r="I66" i="9"/>
  <c r="R62" i="9"/>
  <c r="R66" i="9"/>
  <c r="R60" i="9"/>
  <c r="R40" i="9"/>
  <c r="R25" i="9"/>
  <c r="R51" i="9"/>
  <c r="R36" i="9"/>
  <c r="R70" i="9"/>
  <c r="R26" i="9"/>
  <c r="R38" i="9"/>
  <c r="R27" i="9"/>
  <c r="R22" i="9"/>
  <c r="R47" i="9"/>
  <c r="R59" i="9"/>
  <c r="R23" i="9"/>
  <c r="R65" i="9"/>
  <c r="R16" i="9"/>
  <c r="R61" i="9"/>
  <c r="R12" i="9"/>
  <c r="R55" i="9"/>
  <c r="R30" i="9"/>
  <c r="R64" i="9"/>
  <c r="R10" i="9"/>
  <c r="R8" i="9"/>
  <c r="R37" i="9"/>
  <c r="R57" i="9"/>
  <c r="R45" i="9"/>
  <c r="R63" i="9"/>
  <c r="R7" i="9"/>
  <c r="R39" i="9"/>
  <c r="R19" i="9"/>
  <c r="R28" i="9"/>
  <c r="Q71" i="9"/>
  <c r="R21" i="9"/>
  <c r="R32" i="9"/>
  <c r="R56" i="9"/>
  <c r="R18" i="9"/>
  <c r="R6" i="9"/>
  <c r="R42" i="9"/>
  <c r="R41" i="9"/>
  <c r="R24" i="9"/>
  <c r="R14" i="9"/>
  <c r="R43" i="9"/>
  <c r="R71" i="9"/>
  <c r="I70" i="9"/>
  <c r="I36" i="9"/>
  <c r="I59" i="9"/>
  <c r="H71" i="9"/>
  <c r="I71" i="9" s="1"/>
  <c r="I65" i="9"/>
  <c r="I63" i="9"/>
  <c r="I12" i="9"/>
  <c r="I61" i="9"/>
  <c r="I7" i="9"/>
  <c r="I41" i="9"/>
  <c r="I57" i="9"/>
  <c r="I16" i="9"/>
  <c r="I17" i="9"/>
  <c r="I27" i="9"/>
  <c r="I45" i="9"/>
  <c r="I22" i="9"/>
  <c r="I42" i="9"/>
  <c r="I47" i="9"/>
  <c r="I64" i="9"/>
  <c r="I8" i="9"/>
  <c r="I55" i="9"/>
  <c r="I26" i="9"/>
  <c r="I37" i="9"/>
  <c r="I39" i="9"/>
  <c r="I24" i="9"/>
  <c r="I32" i="9"/>
  <c r="I40" i="9"/>
  <c r="I25" i="9"/>
  <c r="I38" i="9"/>
  <c r="I23" i="9"/>
  <c r="I14" i="9"/>
  <c r="I62" i="9"/>
  <c r="I19" i="9"/>
  <c r="I30" i="9"/>
  <c r="I21" i="9"/>
  <c r="I60" i="9"/>
  <c r="I10" i="9"/>
  <c r="I28" i="9"/>
  <c r="I18" i="9"/>
  <c r="I43" i="9"/>
  <c r="I51" i="9"/>
  <c r="E71" i="9"/>
  <c r="N71" i="9"/>
  <c r="R69" i="9" l="1"/>
  <c r="Q69" i="9"/>
  <c r="N69" i="9"/>
  <c r="E69" i="9"/>
  <c r="H69" i="9"/>
  <c r="I69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P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32" i="7"/>
  <c r="P32" i="7" s="1"/>
  <c r="I32" i="7"/>
  <c r="K32" i="7" s="1"/>
  <c r="D32" i="7"/>
  <c r="F32" i="7" s="1"/>
  <c r="I31" i="7"/>
  <c r="K31" i="7" s="1"/>
  <c r="F31" i="7"/>
  <c r="I30" i="7"/>
  <c r="K30" i="7" s="1"/>
  <c r="L45" i="15"/>
  <c r="L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J20" i="15"/>
  <c r="J37" i="15"/>
  <c r="E40" i="2"/>
  <c r="B40" i="2"/>
  <c r="I40" i="15"/>
  <c r="O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B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I37" i="15"/>
  <c r="L18" i="4"/>
  <c r="M18" i="4" s="1"/>
  <c r="P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9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9" i="7" l="1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J42" i="15"/>
  <c r="E23" i="2"/>
  <c r="L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D29" i="7" l="1"/>
  <c r="F29" i="7" s="1"/>
  <c r="F28" i="7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I7" i="1" l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9" i="7" s="1"/>
  <c r="H29" i="7" s="1"/>
  <c r="B32" i="1"/>
  <c r="D32" i="1" s="1"/>
  <c r="B11" i="1"/>
  <c r="L29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I17" i="5" s="1"/>
  <c r="E17" i="5"/>
  <c r="D27" i="1" s="1"/>
  <c r="G27" i="1" s="1"/>
  <c r="F17" i="1"/>
  <c r="I12" i="5" l="1"/>
  <c r="N29" i="7"/>
  <c r="P29" i="7" s="1"/>
  <c r="G29" i="7"/>
  <c r="H28" i="7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9" i="7" l="1"/>
  <c r="K29" i="7" s="1"/>
  <c r="I22" i="5"/>
  <c r="I28" i="7"/>
  <c r="K28" i="7" s="1"/>
  <c r="P28" i="7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K12" i="5"/>
  <c r="K15" i="5"/>
  <c r="K17" i="5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K22" i="5"/>
  <c r="I33" i="7" l="1"/>
  <c r="K33" i="7" l="1"/>
</calcChain>
</file>

<file path=xl/sharedStrings.xml><?xml version="1.0" encoding="utf-8"?>
<sst xmlns="http://schemas.openxmlformats.org/spreadsheetml/2006/main" count="691" uniqueCount="248">
  <si>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</si>
  <si>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</si>
  <si>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</si>
  <si>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</si>
  <si>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</si>
  <si>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</si>
  <si>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</si>
  <si>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</si>
  <si>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</si>
  <si>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</si>
  <si>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</si>
  <si>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</si>
  <si>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</si>
  <si>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</si>
  <si>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</si>
  <si>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</si>
  <si>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</si>
  <si>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</si>
  <si>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</si>
  <si>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</si>
  <si>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</si>
  <si>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</si>
  <si>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</si>
  <si>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</si>
  <si>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</si>
  <si>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</si>
  <si>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</si>
  <si>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</si>
  <si>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</si>
  <si>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</si>
  <si>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</si>
  <si>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</si>
  <si>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</si>
  <si>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</si>
  <si>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</si>
  <si>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</si>
  <si>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</si>
  <si>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</si>
  <si>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</si>
  <si>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</si>
  <si>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</si>
  <si>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</si>
  <si>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</si>
  <si>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</si>
  <si>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</si>
  <si>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</si>
  <si>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</si>
  <si>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</si>
  <si>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</si>
  <si>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</si>
  <si>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</si>
  <si>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</si>
  <si>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</si>
  <si>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</si>
  <si>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</si>
  <si>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</si>
  <si>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</si>
  <si>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</si>
  <si>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</si>
  <si>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</si>
  <si>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</si>
  <si>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</si>
  <si>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</si>
  <si>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</si>
  <si>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</si>
  <si>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</si>
  <si>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</si>
  <si>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</si>
  <si>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</si>
  <si>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</si>
  <si>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</si>
  <si>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</si>
  <si>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</si>
  <si>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</si>
  <si>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</si>
  <si>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</si>
  <si>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</si>
  <si>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</si>
  <si>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</si>
  <si>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</si>
  <si>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</si>
  <si>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</si>
  <si>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</si>
  <si>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</si>
  <si>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</si>
  <si>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</si>
  <si>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</si>
  <si>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</si>
  <si>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</si>
  <si>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</si>
  <si>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</si>
  <si>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</si>
  <si>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</si>
  <si>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</si>
  <si>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</si>
  <si>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</si>
  <si>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</si>
  <si>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</si>
  <si>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</si>
  <si>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</si>
  <si>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</si>
  <si>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</si>
  <si>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</si>
  <si>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</si>
  <si>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</si>
  <si>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</si>
  <si>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</si>
  <si>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</si>
  <si>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</si>
  <si>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</si>
  <si>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</si>
  <si>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</si>
  <si>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</si>
  <si>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</si>
  <si>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</si>
  <si>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</si>
  <si>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</si>
  <si>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</si>
  <si>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</si>
  <si>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</si>
  <si>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</si>
  <si>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</si>
  <si>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</si>
  <si>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</si>
  <si>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</si>
  <si>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</si>
  <si>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</si>
  <si>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</si>
  <si>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</si>
  <si>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</si>
  <si>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</si>
  <si>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</si>
  <si>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</si>
  <si>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</si>
  <si>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</si>
  <si>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</si>
  <si>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</si>
  <si>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</si>
  <si>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</si>
  <si>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</si>
  <si>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</si>
  <si>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</si>
  <si>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</si>
  <si>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</si>
  <si>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</si>
  <si>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</si>
  <si>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</si>
  <si>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</si>
  <si>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</si>
  <si>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</si>
  <si>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</si>
  <si>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</si>
  <si>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</si>
  <si>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</si>
  <si>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</si>
  <si>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</si>
  <si>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</si>
  <si>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</si>
  <si>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</si>
  <si>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</si>
  <si>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</si>
  <si>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</si>
  <si>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</si>
  <si>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</si>
  <si>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</si>
  <si>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</si>
  <si>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</si>
  <si>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</si>
  <si>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</si>
  <si>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</si>
  <si>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</si>
  <si>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</si>
  <si>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</si>
  <si>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</si>
  <si>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</si>
  <si>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</si>
  <si>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</si>
  <si>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</si>
  <si>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</si>
  <si>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</si>
  <si>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</si>
  <si>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</si>
  <si>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</si>
  <si>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</si>
  <si>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</si>
  <si>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</si>
  <si>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</si>
  <si>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</si>
  <si>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</si>
  <si>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</si>
  <si>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</si>
  <si>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</si>
  <si>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</si>
  <si>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</si>
  <si>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</si>
  <si>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</si>
  <si>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</si>
  <si>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</si>
  <si>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</si>
  <si>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</si>
  <si>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</si>
  <si>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</si>
  <si>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</si>
  <si>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</si>
  <si>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</si>
  <si>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</si>
  <si>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</si>
  <si>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</si>
  <si>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</si>
  <si>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</si>
  <si>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</si>
  <si>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</si>
  <si>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</si>
  <si>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</si>
  <si>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</si>
  <si>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</si>
  <si>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</si>
  <si>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</si>
  <si>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</si>
  <si>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</si>
  <si>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</si>
  <si>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</si>
  <si>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</si>
  <si>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</si>
  <si>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</si>
  <si>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</si>
  <si>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</si>
  <si>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</si>
  <si>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</si>
  <si>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</si>
  <si>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</si>
  <si>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</si>
  <si>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</si>
  <si>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</si>
  <si>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</si>
  <si>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</si>
  <si>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</si>
  <si>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</si>
  <si>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</si>
  <si>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</si>
  <si>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</si>
  <si>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</si>
  <si>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</si>
  <si>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September 2020</t>
  </si>
  <si>
    <t>Bemidji - UPS</t>
  </si>
  <si>
    <t>Bemidji - DHL</t>
  </si>
  <si>
    <t>Jazz - Air Canada</t>
  </si>
  <si>
    <t>Jazz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</si>
</sst>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0" xfId="0" applyNumberFormat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September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700457</v>
          </cell>
          <cell r="G5">
            <v>8635525</v>
          </cell>
        </row>
        <row r="6">
          <cell r="D6">
            <v>290873</v>
          </cell>
          <cell r="G6">
            <v>2516934</v>
          </cell>
        </row>
        <row r="7">
          <cell r="D7">
            <v>157</v>
          </cell>
          <cell r="G7">
            <v>2270</v>
          </cell>
        </row>
        <row r="10">
          <cell r="D10">
            <v>44215</v>
          </cell>
          <cell r="G10">
            <v>471529</v>
          </cell>
        </row>
        <row r="16">
          <cell r="D16">
            <v>8652</v>
          </cell>
          <cell r="G16">
            <v>90096</v>
          </cell>
        </row>
        <row r="17">
          <cell r="D17">
            <v>8821</v>
          </cell>
          <cell r="G17">
            <v>70678</v>
          </cell>
        </row>
        <row r="18">
          <cell r="D18">
            <v>2</v>
          </cell>
          <cell r="G18">
            <v>24</v>
          </cell>
        </row>
        <row r="19">
          <cell r="D19">
            <v>1308</v>
          </cell>
          <cell r="G19">
            <v>10848</v>
          </cell>
        </row>
        <row r="20">
          <cell r="D20">
            <v>1033</v>
          </cell>
          <cell r="G20">
            <v>8087</v>
          </cell>
        </row>
        <row r="21">
          <cell r="D21">
            <v>149</v>
          </cell>
          <cell r="G21">
            <v>803</v>
          </cell>
        </row>
        <row r="27">
          <cell r="D27">
            <v>15627.309480798402</v>
          </cell>
          <cell r="G27">
            <v>136055.19694271503</v>
          </cell>
        </row>
        <row r="28">
          <cell r="D28">
            <v>1771.2119803639798</v>
          </cell>
          <cell r="G28">
            <v>12542.025435996209</v>
          </cell>
        </row>
        <row r="32">
          <cell r="B32">
            <v>288597</v>
          </cell>
          <cell r="D32">
            <v>3603234</v>
          </cell>
        </row>
        <row r="33">
          <cell r="B33">
            <v>208355</v>
          </cell>
          <cell r="D33">
            <v>1929734</v>
          </cell>
        </row>
      </sheetData>
      <sheetData sheetId="1"/>
      <sheetData sheetId="2"/>
      <sheetData sheetId="3"/>
      <sheetData sheetId="4"/>
      <sheetData sheetId="5">
        <row r="29">
          <cell r="D29">
            <v>2462</v>
          </cell>
          <cell r="I29">
            <v>1033240</v>
          </cell>
          <cell r="N29">
            <v>1035702</v>
          </cell>
        </row>
      </sheetData>
      <sheetData sheetId="6"/>
      <sheetData sheetId="7">
        <row r="5">
          <cell r="F5">
            <v>8758.4862863320905</v>
          </cell>
          <cell r="I5">
            <v>75571.012176354299</v>
          </cell>
        </row>
        <row r="6">
          <cell r="F6">
            <v>790.46272261263994</v>
          </cell>
          <cell r="I6">
            <v>4806.89116358297</v>
          </cell>
        </row>
        <row r="10">
          <cell r="F10">
            <v>6868.8231944663103</v>
          </cell>
          <cell r="I10">
            <v>60484.18476636074</v>
          </cell>
        </row>
        <row r="11">
          <cell r="F11">
            <v>980.74925775134</v>
          </cell>
          <cell r="I11">
            <v>7735.134272413241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15627.3094807984</v>
          </cell>
        </row>
        <row r="21">
          <cell r="F21">
            <v>1771.21198036398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11603848</v>
          </cell>
        </row>
        <row r="6">
          <cell r="G6">
            <v>3575208</v>
          </cell>
        </row>
        <row r="7">
          <cell r="G7">
            <v>1999</v>
          </cell>
        </row>
        <row r="10">
          <cell r="G10">
            <v>507094</v>
          </cell>
        </row>
        <row r="16">
          <cell r="G16">
            <v>95560</v>
          </cell>
        </row>
        <row r="17">
          <cell r="G17">
            <v>80567</v>
          </cell>
        </row>
        <row r="18">
          <cell r="G18">
            <v>17</v>
          </cell>
        </row>
        <row r="19">
          <cell r="G19">
            <v>10904</v>
          </cell>
        </row>
        <row r="20">
          <cell r="G20">
            <v>9539</v>
          </cell>
        </row>
        <row r="21">
          <cell r="G21">
            <v>821</v>
          </cell>
        </row>
        <row r="27">
          <cell r="G27">
            <v>133835.78570584004</v>
          </cell>
        </row>
        <row r="28">
          <cell r="G28">
            <v>14403.75222738606</v>
          </cell>
        </row>
        <row r="32">
          <cell r="D32">
            <v>5087332</v>
          </cell>
        </row>
        <row r="33">
          <cell r="D33">
            <v>2467477</v>
          </cell>
        </row>
      </sheetData>
      <sheetData sheetId="1"/>
      <sheetData sheetId="2"/>
      <sheetData sheetId="3"/>
      <sheetData sheetId="4"/>
      <sheetData sheetId="5">
        <row r="28">
          <cell r="B28">
            <v>36195</v>
          </cell>
          <cell r="C28">
            <v>31727</v>
          </cell>
          <cell r="L28">
            <v>1339971</v>
          </cell>
          <cell r="M28">
            <v>1323396</v>
          </cell>
        </row>
      </sheetData>
      <sheetData sheetId="6"/>
      <sheetData sheetId="7">
        <row r="5">
          <cell r="I5">
            <v>74407.874528855435</v>
          </cell>
        </row>
        <row r="6">
          <cell r="I6">
            <v>7178.8631048010793</v>
          </cell>
        </row>
        <row r="10">
          <cell r="I10">
            <v>59427.91117698462</v>
          </cell>
        </row>
        <row r="11">
          <cell r="I11">
            <v>7224.8891225849793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133835.78570584004</v>
          </cell>
        </row>
        <row r="21">
          <cell r="I21">
            <v>14403.75222738606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3"/>
      <sheetData sheetId="4"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  <cell r="HL15">
            <v>16</v>
          </cell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  <cell r="HL16">
            <v>16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  <cell r="HL37"/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  <cell r="HL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</row>
        <row r="47">
          <cell r="HL47">
            <v>284392</v>
          </cell>
        </row>
        <row r="48">
          <cell r="HL48"/>
        </row>
        <row r="52">
          <cell r="HL52">
            <v>89056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</row>
      </sheetData>
      <sheetData sheetId="5"/>
      <sheetData sheetId="6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7">
        <row r="4">
          <cell r="HL4">
            <v>59</v>
          </cell>
        </row>
        <row r="5">
          <cell r="HL5">
            <v>60</v>
          </cell>
        </row>
        <row r="8">
          <cell r="HL8"/>
        </row>
        <row r="9">
          <cell r="HL9"/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</row>
        <row r="22">
          <cell r="HL22">
            <v>9300</v>
          </cell>
        </row>
        <row r="23">
          <cell r="HL23">
            <v>9353</v>
          </cell>
        </row>
        <row r="27">
          <cell r="HL27">
            <v>242</v>
          </cell>
        </row>
        <row r="28">
          <cell r="HL28">
            <v>279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</row>
        <row r="47">
          <cell r="HL47">
            <v>2070</v>
          </cell>
        </row>
        <row r="48">
          <cell r="HL48"/>
        </row>
        <row r="52">
          <cell r="HL52">
            <v>3479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</row>
      </sheetData>
      <sheetData sheetId="8"/>
      <sheetData sheetId="9">
        <row r="4">
          <cell r="HL4">
            <v>393</v>
          </cell>
        </row>
        <row r="5">
          <cell r="HL5">
            <v>394</v>
          </cell>
        </row>
        <row r="8">
          <cell r="HL8"/>
        </row>
        <row r="9">
          <cell r="HL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</row>
        <row r="22">
          <cell r="HL22">
            <v>51356</v>
          </cell>
        </row>
        <row r="23">
          <cell r="HL23">
            <v>50953</v>
          </cell>
        </row>
        <row r="27">
          <cell r="HL27">
            <v>1579</v>
          </cell>
        </row>
        <row r="28">
          <cell r="HL28">
            <v>1641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</row>
        <row r="47">
          <cell r="HL47">
            <v>47932</v>
          </cell>
        </row>
        <row r="48">
          <cell r="HL48">
            <v>50294</v>
          </cell>
        </row>
        <row r="52">
          <cell r="HL52">
            <v>4043</v>
          </cell>
        </row>
        <row r="53">
          <cell r="HL53">
            <v>6398</v>
          </cell>
        </row>
        <row r="57">
          <cell r="HL57"/>
        </row>
        <row r="58">
          <cell r="HL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</row>
      </sheetData>
      <sheetData sheetId="10"/>
      <sheetData sheetId="11">
        <row r="4">
          <cell r="HL4">
            <v>530</v>
          </cell>
        </row>
        <row r="5">
          <cell r="HL5">
            <v>552</v>
          </cell>
        </row>
        <row r="8">
          <cell r="HL8">
            <v>102</v>
          </cell>
        </row>
        <row r="9">
          <cell r="HL9">
            <v>86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</row>
        <row r="22">
          <cell r="HL22">
            <v>67845</v>
          </cell>
        </row>
        <row r="23">
          <cell r="HL23">
            <v>69251</v>
          </cell>
        </row>
        <row r="27">
          <cell r="HL27">
            <v>1643</v>
          </cell>
        </row>
        <row r="28">
          <cell r="HL28">
            <v>1732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</row>
        <row r="47">
          <cell r="HL47">
            <v>25339</v>
          </cell>
        </row>
        <row r="48">
          <cell r="HL48">
            <v>61481</v>
          </cell>
        </row>
        <row r="52">
          <cell r="HL52"/>
        </row>
        <row r="53">
          <cell r="HL53">
            <v>84748</v>
          </cell>
        </row>
        <row r="57">
          <cell r="HL57">
            <v>319</v>
          </cell>
        </row>
        <row r="58">
          <cell r="HL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</row>
        <row r="70">
          <cell r="HL70">
            <v>69251</v>
          </cell>
        </row>
        <row r="71">
          <cell r="HL71"/>
        </row>
        <row r="73">
          <cell r="HL73">
            <v>411</v>
          </cell>
        </row>
        <row r="74">
          <cell r="HL74"/>
        </row>
      </sheetData>
      <sheetData sheetId="12">
        <row r="4">
          <cell r="HL4">
            <v>27</v>
          </cell>
        </row>
        <row r="5">
          <cell r="HL5">
            <v>25</v>
          </cell>
        </row>
        <row r="8">
          <cell r="HL8"/>
        </row>
        <row r="9">
          <cell r="HL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</row>
        <row r="22">
          <cell r="HL22">
            <v>93</v>
          </cell>
        </row>
        <row r="23">
          <cell r="HL23">
            <v>100</v>
          </cell>
        </row>
        <row r="27">
          <cell r="HL27"/>
        </row>
        <row r="28">
          <cell r="HL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13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14">
        <row r="4">
          <cell r="HL4">
            <v>4351</v>
          </cell>
        </row>
        <row r="5">
          <cell r="HL5">
            <v>4359</v>
          </cell>
        </row>
        <row r="8">
          <cell r="HL8">
            <v>6</v>
          </cell>
        </row>
        <row r="9">
          <cell r="HL9">
            <v>5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</row>
        <row r="22">
          <cell r="HL22">
            <v>571687</v>
          </cell>
        </row>
        <row r="23">
          <cell r="HL23">
            <v>577637</v>
          </cell>
        </row>
        <row r="27">
          <cell r="HL27">
            <v>17897</v>
          </cell>
        </row>
        <row r="28">
          <cell r="HL28">
            <v>17640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</row>
        <row r="47">
          <cell r="HL47">
            <v>1522787</v>
          </cell>
        </row>
        <row r="48">
          <cell r="HL48">
            <v>965028</v>
          </cell>
        </row>
        <row r="52">
          <cell r="HL52">
            <v>1004707</v>
          </cell>
        </row>
        <row r="53">
          <cell r="HL53">
            <v>812306</v>
          </cell>
        </row>
        <row r="57">
          <cell r="HL57"/>
        </row>
        <row r="58">
          <cell r="HL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</row>
        <row r="70">
          <cell r="HL70">
            <v>334917</v>
          </cell>
        </row>
        <row r="71">
          <cell r="HL71">
            <v>242720</v>
          </cell>
        </row>
        <row r="73">
          <cell r="HL73">
            <v>11450</v>
          </cell>
        </row>
        <row r="74">
          <cell r="HL74">
            <v>8298</v>
          </cell>
        </row>
      </sheetData>
      <sheetData sheetId="15">
        <row r="4">
          <cell r="HL4">
            <v>51</v>
          </cell>
        </row>
        <row r="5">
          <cell r="HL5">
            <v>51</v>
          </cell>
        </row>
        <row r="8">
          <cell r="HL8">
            <v>1</v>
          </cell>
        </row>
        <row r="9">
          <cell r="HL9">
            <v>1</v>
          </cell>
        </row>
        <row r="15">
          <cell r="HL15"/>
        </row>
        <row r="16"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</row>
        <row r="22">
          <cell r="HL22">
            <v>607</v>
          </cell>
        </row>
        <row r="23">
          <cell r="HL23">
            <v>595</v>
          </cell>
        </row>
        <row r="27">
          <cell r="HL27">
            <v>39</v>
          </cell>
        </row>
        <row r="28">
          <cell r="HL28">
            <v>49</v>
          </cell>
        </row>
        <row r="32">
          <cell r="HL32"/>
        </row>
        <row r="33">
          <cell r="HL33"/>
        </row>
        <row r="37">
          <cell r="HL37"/>
        </row>
        <row r="38">
          <cell r="HL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16">
        <row r="4">
          <cell r="HL4">
            <v>48</v>
          </cell>
        </row>
        <row r="5">
          <cell r="HL5">
            <v>47</v>
          </cell>
        </row>
        <row r="8">
          <cell r="HL8"/>
        </row>
        <row r="9">
          <cell r="HL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</row>
        <row r="22">
          <cell r="HL22">
            <v>7528</v>
          </cell>
        </row>
        <row r="23">
          <cell r="HL23">
            <v>7099</v>
          </cell>
        </row>
        <row r="27">
          <cell r="HL27">
            <v>80</v>
          </cell>
        </row>
        <row r="28">
          <cell r="HL28">
            <v>71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17"/>
      <sheetData sheetId="18"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  <cell r="HL15">
            <v>23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  <cell r="HL16">
            <v>23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  <cell r="HL37">
            <v>3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</row>
        <row r="47">
          <cell r="HL47">
            <v>3384</v>
          </cell>
        </row>
        <row r="48">
          <cell r="HL48"/>
        </row>
        <row r="52">
          <cell r="HL52">
            <v>564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</row>
      </sheetData>
      <sheetData sheetId="19">
        <row r="4">
          <cell r="HL4">
            <v>50</v>
          </cell>
        </row>
        <row r="5">
          <cell r="HL5">
            <v>50</v>
          </cell>
        </row>
        <row r="8">
          <cell r="HL8">
            <v>2</v>
          </cell>
        </row>
        <row r="9">
          <cell r="HL9">
            <v>2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</row>
        <row r="22">
          <cell r="HL22">
            <v>3307</v>
          </cell>
        </row>
        <row r="23">
          <cell r="HL23">
            <v>4064</v>
          </cell>
        </row>
        <row r="27">
          <cell r="HL27">
            <v>119</v>
          </cell>
        </row>
        <row r="28">
          <cell r="HL28">
            <v>144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20">
        <row r="4">
          <cell r="HL4">
            <v>243</v>
          </cell>
        </row>
        <row r="5">
          <cell r="HL5">
            <v>243</v>
          </cell>
        </row>
        <row r="8">
          <cell r="HL8"/>
        </row>
        <row r="9">
          <cell r="HL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</row>
        <row r="22">
          <cell r="HL22">
            <v>30556</v>
          </cell>
        </row>
        <row r="23">
          <cell r="HL23">
            <v>29680</v>
          </cell>
        </row>
        <row r="27">
          <cell r="HL27">
            <v>993</v>
          </cell>
        </row>
        <row r="28">
          <cell r="HL28">
            <v>1035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</row>
        <row r="47">
          <cell r="HL47">
            <v>58949</v>
          </cell>
        </row>
        <row r="48">
          <cell r="HL48">
            <v>17905</v>
          </cell>
        </row>
        <row r="52">
          <cell r="HL52">
            <v>38603</v>
          </cell>
        </row>
        <row r="53">
          <cell r="HL53">
            <v>3790</v>
          </cell>
        </row>
        <row r="57">
          <cell r="HL57"/>
        </row>
        <row r="58">
          <cell r="HL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</row>
      </sheetData>
      <sheetData sheetId="21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>
            <v>1</v>
          </cell>
          <cell r="HL15">
            <v>13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  <cell r="HL16">
            <v>13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  <cell r="HL32">
            <v>2294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  <cell r="HL33">
            <v>1477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  <cell r="HL37">
            <v>1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  <cell r="HL38">
            <v>2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</row>
        <row r="47">
          <cell r="HL47">
            <v>388807</v>
          </cell>
        </row>
        <row r="48">
          <cell r="HL48"/>
        </row>
        <row r="52">
          <cell r="HL52">
            <v>14451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</row>
      </sheetData>
      <sheetData sheetId="22"/>
      <sheetData sheetId="23"/>
      <sheetData sheetId="24">
        <row r="4">
          <cell r="HL4">
            <v>441</v>
          </cell>
        </row>
        <row r="5">
          <cell r="HL5">
            <v>442</v>
          </cell>
        </row>
        <row r="8">
          <cell r="HL8"/>
        </row>
        <row r="9">
          <cell r="HL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</row>
        <row r="22">
          <cell r="HL22">
            <v>54065</v>
          </cell>
        </row>
        <row r="23">
          <cell r="HL23">
            <v>54368</v>
          </cell>
        </row>
        <row r="27">
          <cell r="HL27">
            <v>860</v>
          </cell>
        </row>
        <row r="28">
          <cell r="HL28">
            <v>1056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</row>
        <row r="47">
          <cell r="HL47">
            <v>215323</v>
          </cell>
        </row>
        <row r="48">
          <cell r="HL48"/>
        </row>
        <row r="52">
          <cell r="HL52">
            <v>84288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</row>
        <row r="70">
          <cell r="HL70">
            <v>54283</v>
          </cell>
        </row>
        <row r="71">
          <cell r="HL71">
            <v>85</v>
          </cell>
        </row>
        <row r="73">
          <cell r="HL73"/>
        </row>
        <row r="74">
          <cell r="HL74"/>
        </row>
      </sheetData>
      <sheetData sheetId="25">
        <row r="4">
          <cell r="HL4">
            <v>140</v>
          </cell>
        </row>
        <row r="5">
          <cell r="HL5">
            <v>140</v>
          </cell>
        </row>
        <row r="8">
          <cell r="HL8"/>
        </row>
        <row r="9">
          <cell r="HL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</row>
        <row r="22">
          <cell r="HL22">
            <v>16450</v>
          </cell>
        </row>
        <row r="23">
          <cell r="HL23">
            <v>16349</v>
          </cell>
        </row>
        <row r="27">
          <cell r="HL27">
            <v>102</v>
          </cell>
        </row>
        <row r="28">
          <cell r="HL28">
            <v>104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/>
        </row>
        <row r="71">
          <cell r="HL71"/>
        </row>
        <row r="73">
          <cell r="HL73"/>
        </row>
        <row r="74">
          <cell r="HL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29">
        <row r="4">
          <cell r="HL4">
            <v>60</v>
          </cell>
        </row>
        <row r="5">
          <cell r="HL5">
            <v>60</v>
          </cell>
        </row>
        <row r="8">
          <cell r="HL8"/>
        </row>
        <row r="9">
          <cell r="HL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</row>
        <row r="22">
          <cell r="HL22">
            <v>3837</v>
          </cell>
        </row>
        <row r="23">
          <cell r="HL23">
            <v>3982</v>
          </cell>
        </row>
        <row r="27">
          <cell r="HL27">
            <v>124</v>
          </cell>
        </row>
        <row r="28">
          <cell r="HL28">
            <v>148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</row>
        <row r="47">
          <cell r="HL47">
            <v>1574</v>
          </cell>
        </row>
        <row r="48">
          <cell r="HL48"/>
        </row>
        <row r="52">
          <cell r="HL52">
            <v>656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</row>
      </sheetData>
      <sheetData sheetId="30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31">
        <row r="4">
          <cell r="HL4">
            <v>30</v>
          </cell>
        </row>
        <row r="5">
          <cell r="HL5">
            <v>30</v>
          </cell>
        </row>
        <row r="8">
          <cell r="HL8"/>
        </row>
        <row r="9">
          <cell r="HL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</row>
        <row r="22">
          <cell r="HL22">
            <v>2064</v>
          </cell>
        </row>
        <row r="23">
          <cell r="HL23">
            <v>1884</v>
          </cell>
        </row>
        <row r="27">
          <cell r="HL27">
            <v>36</v>
          </cell>
        </row>
        <row r="28">
          <cell r="HL28">
            <v>39</v>
          </cell>
        </row>
        <row r="32">
          <cell r="HL32"/>
        </row>
        <row r="33">
          <cell r="HL33"/>
        </row>
        <row r="37">
          <cell r="HL37"/>
        </row>
        <row r="38">
          <cell r="HL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</row>
        <row r="47">
          <cell r="HL47">
            <v>1130</v>
          </cell>
        </row>
        <row r="48">
          <cell r="HL48"/>
        </row>
        <row r="52">
          <cell r="HL52">
            <v>266</v>
          </cell>
        </row>
        <row r="53">
          <cell r="HL53">
            <v>1889</v>
          </cell>
        </row>
        <row r="57">
          <cell r="HL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</row>
      </sheetData>
      <sheetData sheetId="32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/>
        </row>
        <row r="71">
          <cell r="HL71"/>
        </row>
        <row r="73">
          <cell r="HL73"/>
        </row>
        <row r="74">
          <cell r="HL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37"/>
      <sheetData sheetId="38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39"/>
      <sheetData sheetId="40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/>
        </row>
        <row r="71">
          <cell r="HL71"/>
        </row>
        <row r="73">
          <cell r="HL73"/>
        </row>
        <row r="74">
          <cell r="HL74"/>
        </row>
      </sheetData>
      <sheetData sheetId="41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42">
        <row r="4">
          <cell r="HL4">
            <v>59</v>
          </cell>
        </row>
        <row r="5">
          <cell r="HL5">
            <v>60</v>
          </cell>
        </row>
        <row r="8">
          <cell r="HL8"/>
        </row>
        <row r="9">
          <cell r="HL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</row>
        <row r="22">
          <cell r="HL22">
            <v>3775</v>
          </cell>
        </row>
        <row r="23">
          <cell r="HL23">
            <v>4123</v>
          </cell>
        </row>
        <row r="27">
          <cell r="HL27">
            <v>131</v>
          </cell>
        </row>
        <row r="28">
          <cell r="HL28">
            <v>121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43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L15">
            <v>24</v>
          </cell>
        </row>
        <row r="16">
          <cell r="HL16">
            <v>23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32">
          <cell r="HL32">
            <v>1568</v>
          </cell>
        </row>
        <row r="33">
          <cell r="HL33">
            <v>1492</v>
          </cell>
        </row>
        <row r="37">
          <cell r="HL37">
            <v>11</v>
          </cell>
        </row>
        <row r="38">
          <cell r="HL38">
            <v>9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F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44">
        <row r="4">
          <cell r="HL4">
            <v>94</v>
          </cell>
        </row>
        <row r="5">
          <cell r="HL5">
            <v>95</v>
          </cell>
        </row>
        <row r="8">
          <cell r="HL8"/>
        </row>
        <row r="9">
          <cell r="HL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</row>
        <row r="22">
          <cell r="HL22">
            <v>5734</v>
          </cell>
        </row>
        <row r="23">
          <cell r="HL23">
            <v>5265</v>
          </cell>
        </row>
        <row r="27">
          <cell r="HL27">
            <v>172</v>
          </cell>
        </row>
        <row r="28">
          <cell r="HL28">
            <v>209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45"/>
      <sheetData sheetId="46"/>
      <sheetData sheetId="47">
        <row r="4">
          <cell r="HL4">
            <v>1792</v>
          </cell>
        </row>
        <row r="5">
          <cell r="HL5">
            <v>1800</v>
          </cell>
        </row>
        <row r="8">
          <cell r="HL8">
            <v>1</v>
          </cell>
        </row>
        <row r="9">
          <cell r="HL9"/>
        </row>
        <row r="15">
          <cell r="HD15"/>
          <cell r="HE15"/>
          <cell r="HF15"/>
          <cell r="HG15"/>
          <cell r="HH15"/>
          <cell r="HJ15">
            <v>1</v>
          </cell>
          <cell r="HK15"/>
          <cell r="HL15"/>
        </row>
        <row r="16">
          <cell r="HD16"/>
          <cell r="HE16"/>
          <cell r="HF16"/>
          <cell r="HG16"/>
          <cell r="HH16"/>
          <cell r="HJ16">
            <v>1</v>
          </cell>
          <cell r="HK16"/>
          <cell r="HL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</row>
        <row r="22">
          <cell r="HL22">
            <v>85357</v>
          </cell>
        </row>
        <row r="23">
          <cell r="HL23">
            <v>85773</v>
          </cell>
        </row>
        <row r="27">
          <cell r="HL27">
            <v>3144</v>
          </cell>
        </row>
        <row r="28">
          <cell r="HL28">
            <v>2860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>
            <v>27182</v>
          </cell>
        </row>
        <row r="71">
          <cell r="HL71">
            <v>58591</v>
          </cell>
        </row>
        <row r="73">
          <cell r="HL73"/>
        </row>
        <row r="74">
          <cell r="HL74"/>
        </row>
      </sheetData>
      <sheetData sheetId="48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</row>
      </sheetData>
      <sheetData sheetId="49">
        <row r="4">
          <cell r="HL4">
            <v>143</v>
          </cell>
        </row>
        <row r="5">
          <cell r="HL5">
            <v>142</v>
          </cell>
        </row>
        <row r="8">
          <cell r="HL8"/>
        </row>
        <row r="9">
          <cell r="HL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</row>
        <row r="22">
          <cell r="HL22">
            <v>7276</v>
          </cell>
        </row>
        <row r="23">
          <cell r="HL23">
            <v>7088</v>
          </cell>
        </row>
        <row r="27">
          <cell r="HL27">
            <v>277</v>
          </cell>
        </row>
        <row r="28">
          <cell r="HL28">
            <v>278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</row>
        <row r="47">
          <cell r="HL47">
            <v>611</v>
          </cell>
        </row>
        <row r="48">
          <cell r="HL48"/>
        </row>
        <row r="52">
          <cell r="HL52">
            <v>179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</row>
      </sheetData>
      <sheetData sheetId="50">
        <row r="4">
          <cell r="HL4">
            <v>78</v>
          </cell>
        </row>
        <row r="5">
          <cell r="HL5">
            <v>77</v>
          </cell>
        </row>
        <row r="8">
          <cell r="HL8"/>
        </row>
        <row r="9">
          <cell r="HL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</row>
        <row r="22">
          <cell r="HL22">
            <v>4903</v>
          </cell>
        </row>
        <row r="23">
          <cell r="HL23">
            <v>4462</v>
          </cell>
        </row>
        <row r="27">
          <cell r="HL27">
            <v>114</v>
          </cell>
        </row>
        <row r="28">
          <cell r="HL28">
            <v>151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51">
        <row r="8">
          <cell r="HL8"/>
        </row>
        <row r="9">
          <cell r="HL9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52">
        <row r="4">
          <cell r="HL4">
            <v>3077</v>
          </cell>
        </row>
        <row r="5">
          <cell r="HL5">
            <v>3079</v>
          </cell>
        </row>
        <row r="8">
          <cell r="HL8"/>
        </row>
        <row r="9">
          <cell r="HL9"/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</row>
        <row r="22">
          <cell r="HL22">
            <v>168992</v>
          </cell>
        </row>
        <row r="23">
          <cell r="HL23">
            <v>169039</v>
          </cell>
        </row>
        <row r="27">
          <cell r="HL27">
            <v>4839</v>
          </cell>
        </row>
        <row r="28">
          <cell r="HL28">
            <v>4969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>
            <v>62126</v>
          </cell>
        </row>
        <row r="71">
          <cell r="HL71">
            <v>106913</v>
          </cell>
        </row>
        <row r="73">
          <cell r="HL73">
            <v>1124</v>
          </cell>
        </row>
        <row r="74">
          <cell r="HL74">
            <v>1935</v>
          </cell>
        </row>
      </sheetData>
      <sheetData sheetId="53"/>
      <sheetData sheetId="54">
        <row r="4">
          <cell r="HL4">
            <v>27</v>
          </cell>
        </row>
        <row r="5">
          <cell r="HL5">
            <v>27</v>
          </cell>
        </row>
        <row r="8">
          <cell r="HL8"/>
        </row>
        <row r="9">
          <cell r="HL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</row>
        <row r="22">
          <cell r="HL22">
            <v>1227</v>
          </cell>
        </row>
        <row r="23">
          <cell r="HL23">
            <v>1557</v>
          </cell>
        </row>
        <row r="27">
          <cell r="HL27">
            <v>99</v>
          </cell>
        </row>
        <row r="28">
          <cell r="HL28">
            <v>49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</row>
        <row r="47">
          <cell r="HL47">
            <v>338</v>
          </cell>
        </row>
        <row r="48">
          <cell r="HL48"/>
        </row>
        <row r="52">
          <cell r="HL52">
            <v>200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</row>
      </sheetData>
      <sheetData sheetId="55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56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57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22">
          <cell r="HL22"/>
        </row>
        <row r="23">
          <cell r="HL23"/>
        </row>
        <row r="27">
          <cell r="HL27"/>
        </row>
        <row r="28">
          <cell r="HL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  <row r="70">
          <cell r="HL70"/>
        </row>
        <row r="71">
          <cell r="HL71"/>
        </row>
        <row r="73">
          <cell r="HL73"/>
        </row>
        <row r="74">
          <cell r="HL74"/>
        </row>
      </sheetData>
      <sheetData sheetId="58"/>
      <sheetData sheetId="59"/>
      <sheetData sheetId="60"/>
      <sheetData sheetId="61">
        <row r="4">
          <cell r="HL4"/>
        </row>
        <row r="5">
          <cell r="HL5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22">
          <cell r="HL22"/>
        </row>
        <row r="23">
          <cell r="HL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</sheetData>
      <sheetData sheetId="62">
        <row r="4">
          <cell r="HL4"/>
        </row>
        <row r="5">
          <cell r="HL5"/>
        </row>
        <row r="15">
          <cell r="HL15"/>
        </row>
        <row r="16">
          <cell r="HL16"/>
        </row>
        <row r="22">
          <cell r="HL22"/>
        </row>
        <row r="23">
          <cell r="HL23"/>
        </row>
        <row r="32">
          <cell r="HL32"/>
        </row>
        <row r="33">
          <cell r="HL33"/>
        </row>
      </sheetData>
      <sheetData sheetId="63">
        <row r="5">
          <cell r="HL5"/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/>
          <cell r="HK16"/>
          <cell r="HL16"/>
        </row>
        <row r="22">
          <cell r="HL22"/>
        </row>
        <row r="23">
          <cell r="HL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</sheetData>
      <sheetData sheetId="64">
        <row r="4">
          <cell r="HL4">
            <v>3</v>
          </cell>
        </row>
        <row r="5">
          <cell r="HL5">
            <v>3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</row>
        <row r="16">
          <cell r="HD16"/>
          <cell r="HE16"/>
          <cell r="HF16"/>
          <cell r="HG16"/>
          <cell r="HH16"/>
          <cell r="HJ16">
            <v>2</v>
          </cell>
          <cell r="HK16"/>
          <cell r="HL16"/>
        </row>
        <row r="22">
          <cell r="HL22">
            <v>303</v>
          </cell>
        </row>
        <row r="23">
          <cell r="HL23">
            <v>303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</row>
      </sheetData>
      <sheetData sheetId="65">
        <row r="4">
          <cell r="HL4">
            <v>31</v>
          </cell>
        </row>
        <row r="5">
          <cell r="HL5">
            <v>31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</row>
        <row r="47">
          <cell r="HL47">
            <v>2263681</v>
          </cell>
        </row>
        <row r="48">
          <cell r="HL48"/>
        </row>
        <row r="52">
          <cell r="HL52">
            <v>1238855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</row>
      </sheetData>
      <sheetData sheetId="66">
        <row r="4">
          <cell r="HL4">
            <v>58</v>
          </cell>
        </row>
        <row r="5">
          <cell r="HL5">
            <v>57</v>
          </cell>
        </row>
        <row r="8">
          <cell r="HL8">
            <v>3</v>
          </cell>
        </row>
        <row r="9">
          <cell r="HL9">
            <v>4</v>
          </cell>
        </row>
        <row r="15">
          <cell r="HL15"/>
        </row>
        <row r="16"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</row>
        <row r="47">
          <cell r="HL47">
            <v>2299224</v>
          </cell>
        </row>
        <row r="48">
          <cell r="HL48"/>
        </row>
        <row r="52">
          <cell r="HL52">
            <v>1246576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</row>
      </sheetData>
      <sheetData sheetId="67">
        <row r="4">
          <cell r="HL4"/>
        </row>
        <row r="5">
          <cell r="HL5"/>
        </row>
        <row r="15">
          <cell r="HL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</row>
      </sheetData>
      <sheetData sheetId="68">
        <row r="4">
          <cell r="HL4"/>
        </row>
        <row r="5">
          <cell r="HL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69">
        <row r="4">
          <cell r="HL4"/>
        </row>
        <row r="5">
          <cell r="HL5"/>
        </row>
        <row r="8">
          <cell r="HL8"/>
        </row>
        <row r="9">
          <cell r="HL9"/>
        </row>
        <row r="15">
          <cell r="HL15"/>
        </row>
        <row r="16">
          <cell r="HL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7">
          <cell r="HL47"/>
        </row>
        <row r="52">
          <cell r="HL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70">
        <row r="4">
          <cell r="HL4">
            <v>44</v>
          </cell>
        </row>
        <row r="5">
          <cell r="HL5">
            <v>44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</row>
        <row r="47">
          <cell r="HL47">
            <v>86357</v>
          </cell>
        </row>
        <row r="48">
          <cell r="HL48"/>
        </row>
        <row r="52">
          <cell r="HL52">
            <v>58245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</row>
      </sheetData>
      <sheetData sheetId="71">
        <row r="4">
          <cell r="HL4"/>
        </row>
        <row r="5">
          <cell r="HL5"/>
        </row>
        <row r="12">
          <cell r="HL12">
            <v>0</v>
          </cell>
        </row>
        <row r="15">
          <cell r="HL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</row>
      </sheetData>
      <sheetData sheetId="72">
        <row r="4">
          <cell r="HL4">
            <v>19</v>
          </cell>
        </row>
        <row r="5">
          <cell r="HL5">
            <v>19</v>
          </cell>
        </row>
        <row r="15">
          <cell r="HL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</row>
        <row r="47">
          <cell r="HL47">
            <v>615707</v>
          </cell>
        </row>
        <row r="48">
          <cell r="HL48"/>
        </row>
        <row r="52">
          <cell r="HL52">
            <v>427919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</row>
      </sheetData>
      <sheetData sheetId="73">
        <row r="4">
          <cell r="HL4"/>
        </row>
        <row r="5">
          <cell r="HL5"/>
        </row>
        <row r="15">
          <cell r="HL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74">
        <row r="4">
          <cell r="HL4">
            <v>3</v>
          </cell>
        </row>
        <row r="5">
          <cell r="HL5">
            <v>3</v>
          </cell>
        </row>
        <row r="15">
          <cell r="HL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</row>
        <row r="47">
          <cell r="HL47">
            <v>97410</v>
          </cell>
        </row>
        <row r="48">
          <cell r="HL48"/>
        </row>
        <row r="52">
          <cell r="HL52">
            <v>87701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</row>
      </sheetData>
      <sheetData sheetId="75">
        <row r="4">
          <cell r="HL4"/>
        </row>
        <row r="5">
          <cell r="HL5"/>
        </row>
        <row r="15">
          <cell r="HL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76"/>
      <sheetData sheetId="77">
        <row r="4">
          <cell r="HL4">
            <v>142</v>
          </cell>
        </row>
        <row r="5">
          <cell r="HL5">
            <v>142</v>
          </cell>
        </row>
        <row r="15">
          <cell r="HL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</row>
        <row r="47">
          <cell r="HL47">
            <v>9106443</v>
          </cell>
        </row>
        <row r="48">
          <cell r="HL48"/>
        </row>
        <row r="52">
          <cell r="HL52">
            <v>8676699</v>
          </cell>
        </row>
        <row r="53">
          <cell r="HL53"/>
        </row>
        <row r="57">
          <cell r="HL57"/>
        </row>
        <row r="58">
          <cell r="HL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</row>
      </sheetData>
      <sheetData sheetId="78">
        <row r="4">
          <cell r="HL4">
            <v>22</v>
          </cell>
        </row>
        <row r="5">
          <cell r="HL5">
            <v>22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</row>
        <row r="47">
          <cell r="HL47"/>
        </row>
        <row r="48">
          <cell r="HL48">
            <v>62557</v>
          </cell>
        </row>
        <row r="52">
          <cell r="HL52"/>
        </row>
        <row r="53">
          <cell r="HL53">
            <v>136712</v>
          </cell>
        </row>
        <row r="57">
          <cell r="HL57"/>
        </row>
        <row r="58">
          <cell r="HL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</row>
      </sheetData>
      <sheetData sheetId="79">
        <row r="4">
          <cell r="HL4">
            <v>16</v>
          </cell>
        </row>
        <row r="5">
          <cell r="HL5">
            <v>16</v>
          </cell>
        </row>
        <row r="15">
          <cell r="HL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</row>
        <row r="47">
          <cell r="HL47">
            <v>59474</v>
          </cell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</row>
      </sheetData>
      <sheetData sheetId="80">
        <row r="4">
          <cell r="HL4">
            <v>134</v>
          </cell>
        </row>
        <row r="5">
          <cell r="HL5">
            <v>134</v>
          </cell>
        </row>
        <row r="15">
          <cell r="HL15">
            <v>18</v>
          </cell>
        </row>
        <row r="16">
          <cell r="HL16">
            <v>18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</row>
        <row r="47">
          <cell r="HL47">
            <v>6257135</v>
          </cell>
        </row>
        <row r="48">
          <cell r="HL48">
            <v>814014</v>
          </cell>
        </row>
        <row r="52">
          <cell r="HL52">
            <v>6073437</v>
          </cell>
        </row>
        <row r="53">
          <cell r="HL53">
            <v>572067</v>
          </cell>
        </row>
        <row r="57">
          <cell r="HL57"/>
        </row>
        <row r="58">
          <cell r="HL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</row>
      </sheetData>
      <sheetData sheetId="81"/>
      <sheetData sheetId="82"/>
      <sheetData sheetId="83"/>
      <sheetData sheetId="84">
        <row r="4">
          <cell r="HL4">
            <v>202</v>
          </cell>
        </row>
        <row r="5">
          <cell r="HL5">
            <v>202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</row>
      </sheetData>
      <sheetData sheetId="86">
        <row r="4">
          <cell r="HL4"/>
        </row>
        <row r="5">
          <cell r="HL5"/>
        </row>
        <row r="8">
          <cell r="HL8"/>
        </row>
        <row r="9">
          <cell r="HL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</row>
        <row r="47">
          <cell r="HL47"/>
        </row>
        <row r="48">
          <cell r="HL48"/>
        </row>
        <row r="52">
          <cell r="HL52"/>
        </row>
        <row r="53">
          <cell r="HL53"/>
        </row>
        <row r="57">
          <cell r="HL57"/>
        </row>
        <row r="58">
          <cell r="HL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</row>
      </sheetData>
      <sheetData sheetId="87">
        <row r="4">
          <cell r="HL4">
            <v>27</v>
          </cell>
        </row>
        <row r="5">
          <cell r="HL5">
            <v>27</v>
          </cell>
        </row>
      </sheetData>
      <sheetData sheetId="88">
        <row r="4">
          <cell r="HL4">
            <v>714</v>
          </cell>
        </row>
        <row r="5">
          <cell r="HL5">
            <v>715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5" sqref="K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44440</v>
      </c>
      <c r="B2" s="16"/>
      <c r="C2" s="16"/>
      <c r="D2" s="550" t="s">
        <v>229</v>
      </c>
      <c r="E2" s="550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1"/>
      <c r="E3" s="552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839170</v>
      </c>
      <c r="C5" s="268">
        <f>'Major Airline Stats'!K5</f>
        <v>845991</v>
      </c>
      <c r="D5" s="5">
        <f>'Major Airline Stats'!K6</f>
        <v>1685161</v>
      </c>
      <c r="E5" s="9">
        <f>'[1]Monthly Summary'!D5</f>
        <v>700457</v>
      </c>
      <c r="F5" s="38">
        <f>(D5-E5)/E5</f>
        <v>1.4058022119844615</v>
      </c>
      <c r="G5" s="9">
        <f>+D5+'[2]Monthly Summary'!G5</f>
        <v>13289009</v>
      </c>
      <c r="H5" s="9">
        <f>'[1]Monthly Summary'!G5</f>
        <v>8635525</v>
      </c>
      <c r="I5" s="83">
        <f>(G5-H5)/H5</f>
        <v>0.53887679093048768</v>
      </c>
      <c r="J5" s="9"/>
    </row>
    <row r="6" spans="1:14" x14ac:dyDescent="0.2">
      <c r="A6" s="65" t="s">
        <v>5</v>
      </c>
      <c r="B6" s="266">
        <f>'Regional Major'!M5</f>
        <v>288007</v>
      </c>
      <c r="C6" s="266">
        <f>'Regional Major'!M6</f>
        <v>287724</v>
      </c>
      <c r="D6" s="5">
        <f>B6+C6</f>
        <v>575731</v>
      </c>
      <c r="E6" s="9">
        <f>'[1]Monthly Summary'!D6</f>
        <v>290873</v>
      </c>
      <c r="F6" s="38">
        <f>(D6-E6)/E6</f>
        <v>0.97932087199568196</v>
      </c>
      <c r="G6" s="9">
        <f>+D6+'[2]Monthly Summary'!G6</f>
        <v>4150939</v>
      </c>
      <c r="H6" s="9">
        <f>'[1]Monthly Summary'!G6</f>
        <v>2516934</v>
      </c>
      <c r="I6" s="83">
        <f>(G6-H6)/H6</f>
        <v>0.64920454807317152</v>
      </c>
      <c r="J6" s="19"/>
      <c r="K6" s="2"/>
    </row>
    <row r="7" spans="1:14" x14ac:dyDescent="0.2">
      <c r="A7" s="65" t="s">
        <v>6</v>
      </c>
      <c r="B7" s="9">
        <f>Charter!G5</f>
        <v>303</v>
      </c>
      <c r="C7" s="267">
        <f>Charter!G6</f>
        <v>303</v>
      </c>
      <c r="D7" s="5">
        <f>B7+C7</f>
        <v>606</v>
      </c>
      <c r="E7" s="9">
        <f>'[1]Monthly Summary'!D7</f>
        <v>157</v>
      </c>
      <c r="F7" s="38">
        <f>(D7-E7)/E7</f>
        <v>2.8598726114649682</v>
      </c>
      <c r="G7" s="9">
        <f>+D7+'[2]Monthly Summary'!G7</f>
        <v>2605</v>
      </c>
      <c r="H7" s="9">
        <f>'[1]Monthly Summary'!G7</f>
        <v>2270</v>
      </c>
      <c r="I7" s="83">
        <f>(G7-H7)/H7</f>
        <v>0.14757709251101322</v>
      </c>
      <c r="J7" s="19"/>
      <c r="K7" s="2"/>
    </row>
    <row r="8" spans="1:14" x14ac:dyDescent="0.2">
      <c r="A8" s="68" t="s">
        <v>7</v>
      </c>
      <c r="B8" s="146">
        <f>SUM(B5:B7)</f>
        <v>1127480</v>
      </c>
      <c r="C8" s="146">
        <f>SUM(C5:C7)</f>
        <v>1134018</v>
      </c>
      <c r="D8" s="146">
        <f>SUM(D5:D7)</f>
        <v>2261498</v>
      </c>
      <c r="E8" s="146">
        <f>SUM(E5:E7)</f>
        <v>991487</v>
      </c>
      <c r="F8" s="90">
        <f>(D8-E8)/E8</f>
        <v>1.2809154330818255</v>
      </c>
      <c r="G8" s="146">
        <f>SUM(G5:G7)</f>
        <v>17442553</v>
      </c>
      <c r="H8" s="146">
        <f>SUM(H5:H7)</f>
        <v>11154729</v>
      </c>
      <c r="I8" s="89">
        <f>(G8-H8)/H8</f>
        <v>0.56369132768711816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33078</v>
      </c>
      <c r="C10" s="269">
        <f>'Major Airline Stats'!K10+'Regional Major'!M11</f>
        <v>33137</v>
      </c>
      <c r="D10" s="118">
        <f>SUM(B10:C10)</f>
        <v>66215</v>
      </c>
      <c r="E10" s="118">
        <f>'[1]Monthly Summary'!D10</f>
        <v>44215</v>
      </c>
      <c r="F10" s="91">
        <f>(D10-E10)/E10</f>
        <v>0.49756869840551848</v>
      </c>
      <c r="G10" s="118">
        <f>+D10+'[2]Monthly Summary'!G10</f>
        <v>573309</v>
      </c>
      <c r="H10" s="118">
        <f>'[1]Monthly Summary'!G10</f>
        <v>471529</v>
      </c>
      <c r="I10" s="94">
        <f>(G10-H10)/H10</f>
        <v>0.21585098689582188</v>
      </c>
      <c r="J10" s="237"/>
    </row>
    <row r="11" spans="1:14" ht="15.75" thickBot="1" x14ac:dyDescent="0.3">
      <c r="A11" s="67" t="s">
        <v>13</v>
      </c>
      <c r="B11" s="246">
        <f>B10+B8</f>
        <v>1160558</v>
      </c>
      <c r="C11" s="246">
        <f>C10+C8</f>
        <v>1167155</v>
      </c>
      <c r="D11" s="246">
        <f>D10+D8</f>
        <v>2327713</v>
      </c>
      <c r="E11" s="246">
        <f>E10+E8</f>
        <v>1035702</v>
      </c>
      <c r="F11" s="92">
        <f>(D11-E11)/E11</f>
        <v>1.247473694170717</v>
      </c>
      <c r="G11" s="246">
        <f>G8+G10</f>
        <v>18015862</v>
      </c>
      <c r="H11" s="246">
        <f>H8+H10</f>
        <v>11626258</v>
      </c>
      <c r="I11" s="95">
        <f>(G11-H11)/H11</f>
        <v>0.54958388158941596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0" t="s">
        <v>229</v>
      </c>
      <c r="E13" s="550" t="s">
        <v>203</v>
      </c>
      <c r="F13" s="460"/>
      <c r="G13" s="460"/>
      <c r="H13" s="460"/>
      <c r="I13" s="418"/>
    </row>
    <row r="14" spans="1:14" ht="13.5" thickBot="1" x14ac:dyDescent="0.25">
      <c r="A14" s="15"/>
      <c r="B14" s="418" t="s">
        <v>189</v>
      </c>
      <c r="C14" s="418" t="s">
        <v>190</v>
      </c>
      <c r="D14" s="551"/>
      <c r="E14" s="552"/>
      <c r="F14" s="460" t="s">
        <v>2</v>
      </c>
      <c r="G14" s="516" t="s">
        <v>228</v>
      </c>
      <c r="H14" s="516" t="s">
        <v>204</v>
      </c>
      <c r="I14" s="418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6647</v>
      </c>
      <c r="C16" s="277">
        <f>'Major Airline Stats'!K16+'Major Airline Stats'!K20</f>
        <v>6657</v>
      </c>
      <c r="D16" s="46">
        <f t="shared" ref="D16:D21" si="0">SUM(B16:C16)</f>
        <v>13304</v>
      </c>
      <c r="E16" s="9">
        <f>'[1]Monthly Summary'!D16</f>
        <v>8652</v>
      </c>
      <c r="F16" s="93">
        <f t="shared" ref="F16:F22" si="1">(D16-E16)/E16</f>
        <v>0.53767914932963479</v>
      </c>
      <c r="G16" s="9">
        <f>+D16+'[2]Monthly Summary'!G16</f>
        <v>108864</v>
      </c>
      <c r="H16" s="9">
        <f>'[1]Monthly Summary'!G16</f>
        <v>90096</v>
      </c>
      <c r="I16" s="235">
        <f t="shared" ref="I16:I22" si="2">(G16-H16)/H16</f>
        <v>0.20831113478955782</v>
      </c>
      <c r="N16" s="128"/>
    </row>
    <row r="17" spans="1:12" x14ac:dyDescent="0.2">
      <c r="A17" s="66" t="s">
        <v>5</v>
      </c>
      <c r="B17" s="46">
        <f>'Regional Major'!M15+'Regional Major'!M18</f>
        <v>5432</v>
      </c>
      <c r="C17" s="46">
        <f>'Regional Major'!M16+'Regional Major'!M19</f>
        <v>5441</v>
      </c>
      <c r="D17" s="46">
        <f>SUM(B17:C17)</f>
        <v>10873</v>
      </c>
      <c r="E17" s="9">
        <f>'[1]Monthly Summary'!D17</f>
        <v>8821</v>
      </c>
      <c r="F17" s="93">
        <f t="shared" si="1"/>
        <v>0.23262668631674413</v>
      </c>
      <c r="G17" s="9">
        <f>+D17+'[2]Monthly Summary'!G17</f>
        <v>91440</v>
      </c>
      <c r="H17" s="9">
        <f>'[1]Monthly Summary'!G17</f>
        <v>70678</v>
      </c>
      <c r="I17" s="235">
        <f t="shared" si="2"/>
        <v>0.29375477517756587</v>
      </c>
      <c r="K17" s="2"/>
      <c r="L17" s="2"/>
    </row>
    <row r="18" spans="1:12" x14ac:dyDescent="0.2">
      <c r="A18" s="66" t="s">
        <v>10</v>
      </c>
      <c r="B18" s="46">
        <f>Charter!G10</f>
        <v>3</v>
      </c>
      <c r="C18" s="46">
        <f>Charter!G11</f>
        <v>3</v>
      </c>
      <c r="D18" s="46">
        <f t="shared" si="0"/>
        <v>6</v>
      </c>
      <c r="E18" s="9">
        <f>'[1]Monthly Summary'!D18</f>
        <v>2</v>
      </c>
      <c r="F18" s="93">
        <f t="shared" si="1"/>
        <v>2</v>
      </c>
      <c r="G18" s="9">
        <f>+D18+'[2]Monthly Summary'!G18</f>
        <v>23</v>
      </c>
      <c r="H18" s="9">
        <f>'[1]Monthly Summary'!G18</f>
        <v>24</v>
      </c>
      <c r="I18" s="235">
        <f t="shared" si="2"/>
        <v>-4.1666666666666664E-2</v>
      </c>
    </row>
    <row r="19" spans="1:12" x14ac:dyDescent="0.2">
      <c r="A19" s="66" t="s">
        <v>11</v>
      </c>
      <c r="B19" s="46">
        <f>Cargo!R4+Cargo!R8</f>
        <v>692</v>
      </c>
      <c r="C19" s="46">
        <f>Cargo!R5+Cargo!R9</f>
        <v>692</v>
      </c>
      <c r="D19" s="46">
        <f t="shared" si="0"/>
        <v>1384</v>
      </c>
      <c r="E19" s="9">
        <f>'[1]Monthly Summary'!D19</f>
        <v>1308</v>
      </c>
      <c r="F19" s="93">
        <f t="shared" si="1"/>
        <v>5.8103975535168197E-2</v>
      </c>
      <c r="G19" s="9">
        <f>+D19+'[2]Monthly Summary'!G19</f>
        <v>12288</v>
      </c>
      <c r="H19" s="9">
        <f>'[1]Monthly Summary'!G19</f>
        <v>10848</v>
      </c>
      <c r="I19" s="235">
        <f t="shared" si="2"/>
        <v>0.13274336283185842</v>
      </c>
    </row>
    <row r="20" spans="1:12" x14ac:dyDescent="0.2">
      <c r="A20" s="66" t="s">
        <v>148</v>
      </c>
      <c r="B20" s="46">
        <f>'[3]General Avation'!$HL$4</f>
        <v>714</v>
      </c>
      <c r="C20" s="46">
        <f>'[3]General Avation'!$HL$5</f>
        <v>715</v>
      </c>
      <c r="D20" s="46">
        <f t="shared" si="0"/>
        <v>1429</v>
      </c>
      <c r="E20" s="9">
        <f>'[1]Monthly Summary'!D20</f>
        <v>1033</v>
      </c>
      <c r="F20" s="93">
        <f t="shared" si="1"/>
        <v>0.38334946757018395</v>
      </c>
      <c r="G20" s="9">
        <f>+D20+'[2]Monthly Summary'!G20</f>
        <v>10968</v>
      </c>
      <c r="H20" s="9">
        <f>'[1]Monthly Summary'!G20</f>
        <v>8087</v>
      </c>
      <c r="I20" s="235">
        <f t="shared" si="2"/>
        <v>0.35625077284530726</v>
      </c>
    </row>
    <row r="21" spans="1:12" ht="12.75" customHeight="1" x14ac:dyDescent="0.2">
      <c r="A21" s="66" t="s">
        <v>12</v>
      </c>
      <c r="B21" s="17">
        <f>'[3]Military '!$HL$4</f>
        <v>27</v>
      </c>
      <c r="C21" s="17">
        <f>'[3]Military '!$HL$5</f>
        <v>27</v>
      </c>
      <c r="D21" s="17">
        <f t="shared" si="0"/>
        <v>54</v>
      </c>
      <c r="E21" s="118">
        <f>'[1]Monthly Summary'!D21</f>
        <v>149</v>
      </c>
      <c r="F21" s="233">
        <f t="shared" si="1"/>
        <v>-0.63758389261744963</v>
      </c>
      <c r="G21" s="118">
        <f>+D21+'[2]Monthly Summary'!G21</f>
        <v>875</v>
      </c>
      <c r="H21" s="118">
        <f>'[1]Monthly Summary'!G21</f>
        <v>803</v>
      </c>
      <c r="I21" s="236">
        <f t="shared" si="2"/>
        <v>8.9663760896637607E-2</v>
      </c>
    </row>
    <row r="22" spans="1:12" ht="15.75" thickBot="1" x14ac:dyDescent="0.3">
      <c r="A22" s="67" t="s">
        <v>28</v>
      </c>
      <c r="B22" s="247">
        <f>SUM(B16:B21)</f>
        <v>13515</v>
      </c>
      <c r="C22" s="247">
        <f>SUM(C16:C21)</f>
        <v>13535</v>
      </c>
      <c r="D22" s="247">
        <f>SUM(D16:D21)</f>
        <v>27050</v>
      </c>
      <c r="E22" s="247">
        <f>SUM(E16:E21)</f>
        <v>19965</v>
      </c>
      <c r="F22" s="243">
        <f t="shared" si="1"/>
        <v>0.35487102429251188</v>
      </c>
      <c r="G22" s="247">
        <f>SUM(G16:G21)</f>
        <v>224458</v>
      </c>
      <c r="H22" s="247">
        <f>SUM(H16:H21)</f>
        <v>180536</v>
      </c>
      <c r="I22" s="244">
        <f t="shared" si="2"/>
        <v>0.24328665750875172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0" t="s">
        <v>229</v>
      </c>
      <c r="E24" s="550" t="s">
        <v>203</v>
      </c>
      <c r="F24" s="460"/>
      <c r="G24" s="460"/>
      <c r="H24" s="460"/>
      <c r="I24" s="418"/>
    </row>
    <row r="25" spans="1:12" ht="13.5" thickBot="1" x14ac:dyDescent="0.25">
      <c r="B25" s="418" t="s">
        <v>0</v>
      </c>
      <c r="C25" s="418" t="s">
        <v>1</v>
      </c>
      <c r="D25" s="551"/>
      <c r="E25" s="552"/>
      <c r="F25" s="460" t="s">
        <v>2</v>
      </c>
      <c r="G25" s="516" t="s">
        <v>228</v>
      </c>
      <c r="H25" s="516" t="s">
        <v>204</v>
      </c>
      <c r="I25" s="418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10585.969121748789</v>
      </c>
      <c r="C27" s="21">
        <f>(Cargo!R21+'Major Airline Stats'!K33+'Regional Major'!M30)*0.00045359237</f>
        <v>8640.9001754798792</v>
      </c>
      <c r="D27" s="21">
        <f>(SUM(B27:C27)+('Cargo Summary'!E17*0.00045359237))</f>
        <v>19227.013993194698</v>
      </c>
      <c r="E27" s="9">
        <f>'[1]Monthly Summary'!D27</f>
        <v>15627.309480798402</v>
      </c>
      <c r="F27" s="96">
        <f>(D27-E27)/E27</f>
        <v>0.23034704194086178</v>
      </c>
      <c r="G27" s="9">
        <f>+D27+'[2]Monthly Summary'!G27</f>
        <v>153062.79969903475</v>
      </c>
      <c r="H27" s="9">
        <f>'[1]Monthly Summary'!G27</f>
        <v>136055.19694271503</v>
      </c>
      <c r="I27" s="98">
        <f>(G27-H27)/H27</f>
        <v>0.12500516803838541</v>
      </c>
    </row>
    <row r="28" spans="1:12" x14ac:dyDescent="0.2">
      <c r="A28" s="60" t="s">
        <v>16</v>
      </c>
      <c r="B28" s="21">
        <f>(Cargo!R17+'Major Airline Stats'!K29+'Regional Major'!M26)*0.00045359237</f>
        <v>894.15711354122993</v>
      </c>
      <c r="C28" s="21">
        <f>(Cargo!R22+'Major Airline Stats'!K34+'Regional Major'!M31)*0.00045359237</f>
        <v>733.87163134669993</v>
      </c>
      <c r="D28" s="21">
        <f>SUM(B28:C28)</f>
        <v>1628.0287448879299</v>
      </c>
      <c r="E28" s="9">
        <f>'[1]Monthly Summary'!D28</f>
        <v>1771.2119803639798</v>
      </c>
      <c r="F28" s="96">
        <f>(D28-E28)/E28</f>
        <v>-8.0839129964910328E-2</v>
      </c>
      <c r="G28" s="9">
        <f>+D28+'[2]Monthly Summary'!G28</f>
        <v>16031.780972273989</v>
      </c>
      <c r="H28" s="9">
        <f>'[1]Monthly Summary'!G28</f>
        <v>12542.025435996209</v>
      </c>
      <c r="I28" s="98">
        <f>(G28-H28)/H28</f>
        <v>0.27824497359589273</v>
      </c>
    </row>
    <row r="29" spans="1:12" ht="15.75" thickBot="1" x14ac:dyDescent="0.3">
      <c r="A29" s="61" t="s">
        <v>62</v>
      </c>
      <c r="B29" s="53">
        <f>SUM(B27:B28)</f>
        <v>11480.126235290019</v>
      </c>
      <c r="C29" s="53">
        <f>SUM(C27:C28)</f>
        <v>9374.7718068265785</v>
      </c>
      <c r="D29" s="53">
        <f>SUM(D27:D28)</f>
        <v>20855.04273808263</v>
      </c>
      <c r="E29" s="53">
        <f>SUM(E27:E28)</f>
        <v>17398.521461162381</v>
      </c>
      <c r="F29" s="97">
        <f>(D29-E29)/E29</f>
        <v>0.1986675295734768</v>
      </c>
      <c r="G29" s="53">
        <f>SUM(G27:G28)</f>
        <v>169094.58067130874</v>
      </c>
      <c r="H29" s="53">
        <f>SUM(H27:H28)</f>
        <v>148597.22237871125</v>
      </c>
      <c r="I29" s="99">
        <f>(G29-H29)/H29</f>
        <v>0.13793904061247139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9" t="s">
        <v>144</v>
      </c>
      <c r="C31" s="548"/>
      <c r="D31" s="549" t="s">
        <v>151</v>
      </c>
      <c r="E31" s="548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715476</v>
      </c>
      <c r="C32" s="365">
        <f>B32/C8</f>
        <v>0.6309212023089581</v>
      </c>
      <c r="D32" s="366">
        <f>+'[2]Monthly Summary'!D32+B32</f>
        <v>5802808</v>
      </c>
      <c r="E32" s="367">
        <f>+D32/D34</f>
        <v>0.66784710985729145</v>
      </c>
      <c r="G32" s="388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418542</v>
      </c>
      <c r="C33" s="370">
        <f>+B33/C8</f>
        <v>0.36907879769104196</v>
      </c>
      <c r="D33" s="371">
        <f>+'[2]Monthly Summary'!D33+B33</f>
        <v>2886019</v>
      </c>
      <c r="E33" s="372">
        <f>+D33/D34</f>
        <v>0.33215289014270855</v>
      </c>
      <c r="G33" s="381"/>
      <c r="H33" s="381"/>
      <c r="I33" s="380"/>
    </row>
    <row r="34" spans="1:14" ht="13.5" thickBot="1" x14ac:dyDescent="0.25">
      <c r="B34" s="281"/>
      <c r="D34" s="373">
        <f>SUM(D32:D33)</f>
        <v>8688827</v>
      </c>
    </row>
    <row r="35" spans="1:14" ht="13.5" thickBot="1" x14ac:dyDescent="0.25">
      <c r="B35" s="547" t="s">
        <v>243</v>
      </c>
      <c r="C35" s="548"/>
      <c r="D35" s="549" t="s">
        <v>227</v>
      </c>
      <c r="E35" s="548"/>
    </row>
    <row r="36" spans="1:14" x14ac:dyDescent="0.2">
      <c r="A36" s="363" t="s">
        <v>145</v>
      </c>
      <c r="B36" s="364">
        <f>'[1]Monthly Summary'!$B$32</f>
        <v>288597</v>
      </c>
      <c r="C36" s="365">
        <f>+B36/B38</f>
        <v>0.58073415541138784</v>
      </c>
      <c r="D36" s="366">
        <f>'[1]Monthly Summary'!$D$32</f>
        <v>3603234</v>
      </c>
      <c r="E36" s="367">
        <f>+D36/D38</f>
        <v>0.65122986433321139</v>
      </c>
    </row>
    <row r="37" spans="1:14" ht="13.5" thickBot="1" x14ac:dyDescent="0.25">
      <c r="A37" s="368" t="s">
        <v>146</v>
      </c>
      <c r="B37" s="369">
        <f>'[1]Monthly Summary'!$B$33</f>
        <v>208355</v>
      </c>
      <c r="C37" s="372">
        <f>+B37/B38</f>
        <v>0.41926584458861216</v>
      </c>
      <c r="D37" s="371">
        <f>'[1]Monthly Summary'!$D$33</f>
        <v>1929734</v>
      </c>
      <c r="E37" s="372">
        <f>+D37/D38</f>
        <v>0.34877013566678861</v>
      </c>
      <c r="M37" s="12"/>
    </row>
    <row r="38" spans="1:14" x14ac:dyDescent="0.2">
      <c r="B38" s="387">
        <f>+SUM(B36:B37)</f>
        <v>496952</v>
      </c>
      <c r="D38" s="373">
        <f>SUM(D36:D37)</f>
        <v>5532968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Q8" sqref="Q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44440</v>
      </c>
      <c r="B1" s="408" t="s">
        <v>18</v>
      </c>
      <c r="C1" s="464" t="s">
        <v>195</v>
      </c>
      <c r="D1" s="478" t="s">
        <v>157</v>
      </c>
      <c r="E1" s="409" t="s">
        <v>163</v>
      </c>
      <c r="F1" s="409" t="s">
        <v>162</v>
      </c>
      <c r="G1" s="409" t="s">
        <v>49</v>
      </c>
      <c r="H1" s="409" t="s">
        <v>113</v>
      </c>
      <c r="I1" s="409" t="s">
        <v>194</v>
      </c>
      <c r="J1" s="409" t="s">
        <v>191</v>
      </c>
      <c r="K1" s="409" t="s">
        <v>196</v>
      </c>
      <c r="L1" s="409" t="s">
        <v>161</v>
      </c>
      <c r="M1" s="409" t="s">
        <v>211</v>
      </c>
      <c r="N1" s="409" t="s">
        <v>156</v>
      </c>
      <c r="O1" s="409" t="s">
        <v>139</v>
      </c>
      <c r="P1" s="409" t="s">
        <v>21</v>
      </c>
    </row>
    <row r="2" spans="1:16" ht="15" x14ac:dyDescent="0.25">
      <c r="A2" s="583" t="s">
        <v>140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5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[3]Delta!$HL$32</f>
        <v>18552</v>
      </c>
      <c r="C4" s="20">
        <f>'[3]Atlantic Southeast'!$HL$32</f>
        <v>0</v>
      </c>
      <c r="D4" s="20">
        <f>[3]Pinnacle!$HL$32</f>
        <v>0</v>
      </c>
      <c r="E4" s="20">
        <f>'[3]Sky West'!$HL$32</f>
        <v>3274</v>
      </c>
      <c r="F4" s="20">
        <f>'[3]Go Jet'!$HL$32</f>
        <v>0</v>
      </c>
      <c r="G4" s="20">
        <f>'[3]Sun Country'!$HL$32</f>
        <v>435</v>
      </c>
      <c r="H4" s="20">
        <f>[3]Icelandair!$HL$32</f>
        <v>2297</v>
      </c>
      <c r="I4" s="20">
        <f>[3]KLM!$HL$32</f>
        <v>2294</v>
      </c>
      <c r="J4" s="20">
        <f>'[3]Air Georgian'!$HL$32</f>
        <v>0</v>
      </c>
      <c r="K4" s="20">
        <f>'[3]Sky Regional'!$HL$32</f>
        <v>0</v>
      </c>
      <c r="L4" s="20">
        <f>[3]Condor!$HL$32</f>
        <v>0</v>
      </c>
      <c r="M4" s="20">
        <f>'[3]Aer Lingus'!$HL$32</f>
        <v>0</v>
      </c>
      <c r="N4" s="20">
        <f>'[3]Air France'!$HL$32</f>
        <v>2798</v>
      </c>
      <c r="O4" s="20">
        <f>'[3]Charter Misc'!$HL$32+[3]Ryan!$HL$32+[3]Omni!$HL$32</f>
        <v>0</v>
      </c>
      <c r="P4" s="254">
        <f>SUM(B4:O4)</f>
        <v>29650</v>
      </c>
    </row>
    <row r="5" spans="1:16" x14ac:dyDescent="0.2">
      <c r="A5" s="60" t="s">
        <v>31</v>
      </c>
      <c r="B5" s="13">
        <f>[3]Delta!$HL$33</f>
        <v>19748</v>
      </c>
      <c r="C5" s="13">
        <f>'[3]Atlantic Southeast'!$HL$33</f>
        <v>0</v>
      </c>
      <c r="D5" s="13">
        <f>[3]Pinnacle!$HL$33</f>
        <v>0</v>
      </c>
      <c r="E5" s="13">
        <f>'[3]Sky West'!$HL$33</f>
        <v>3059</v>
      </c>
      <c r="F5" s="13">
        <f>'[3]Go Jet'!$HL$33</f>
        <v>0</v>
      </c>
      <c r="G5" s="13">
        <f>'[3]Sun Country'!$HL$33</f>
        <v>411</v>
      </c>
      <c r="H5" s="13">
        <f>[3]Icelandair!$HL$33</f>
        <v>2503</v>
      </c>
      <c r="I5" s="13">
        <f>[3]KLM!$HL$33</f>
        <v>1477</v>
      </c>
      <c r="J5" s="13">
        <f>'[3]Air Georgian'!$HL$33</f>
        <v>0</v>
      </c>
      <c r="K5" s="13">
        <f>'[3]Sky Regional'!$HL$33</f>
        <v>0</v>
      </c>
      <c r="L5" s="13">
        <f>[3]Condor!$HL$33</f>
        <v>0</v>
      </c>
      <c r="M5" s="13">
        <f>'[3]Aer Lingus'!$HL$33</f>
        <v>0</v>
      </c>
      <c r="N5" s="13">
        <f>'[3]Air France'!$HL$33</f>
        <v>2403</v>
      </c>
      <c r="O5" s="13">
        <f>'[3]Charter Misc'!$HL$33++[3]Ryan!$HL$33+[3]Omni!$HL$33</f>
        <v>0</v>
      </c>
      <c r="P5" s="255">
        <f>SUM(B5:O5)</f>
        <v>29601</v>
      </c>
    </row>
    <row r="6" spans="1:16" ht="15" x14ac:dyDescent="0.25">
      <c r="A6" s="58" t="s">
        <v>7</v>
      </c>
      <c r="B6" s="33">
        <f t="shared" ref="B6:O6" si="0">SUM(B4:B5)</f>
        <v>38300</v>
      </c>
      <c r="C6" s="33">
        <f t="shared" si="0"/>
        <v>0</v>
      </c>
      <c r="D6" s="33">
        <f t="shared" si="0"/>
        <v>0</v>
      </c>
      <c r="E6" s="33">
        <f t="shared" si="0"/>
        <v>6333</v>
      </c>
      <c r="F6" s="33">
        <f t="shared" ref="F6" si="1">SUM(F4:F5)</f>
        <v>0</v>
      </c>
      <c r="G6" s="33">
        <f t="shared" si="0"/>
        <v>846</v>
      </c>
      <c r="H6" s="33">
        <f t="shared" si="0"/>
        <v>4800</v>
      </c>
      <c r="I6" s="33">
        <f t="shared" ref="I6" si="2">SUM(I4:I5)</f>
        <v>3771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5201</v>
      </c>
      <c r="O6" s="33">
        <f t="shared" si="0"/>
        <v>0</v>
      </c>
      <c r="P6" s="256">
        <f>SUM(B6:O6)</f>
        <v>59251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[3]Delta!$HL$37</f>
        <v>533</v>
      </c>
      <c r="C9" s="20">
        <f>'[3]Atlantic Southeast'!$HL$37</f>
        <v>0</v>
      </c>
      <c r="D9" s="20">
        <f>[3]Pinnacle!$HL$37</f>
        <v>0</v>
      </c>
      <c r="E9" s="20">
        <f>'[3]Sky West'!$HL$37</f>
        <v>29</v>
      </c>
      <c r="F9" s="20">
        <f>'[3]Go Jet'!$HL$37</f>
        <v>0</v>
      </c>
      <c r="G9" s="20">
        <f>'[3]Sun Country'!$HL$37</f>
        <v>11</v>
      </c>
      <c r="H9" s="20">
        <f>[3]Icelandair!$HL$37</f>
        <v>3</v>
      </c>
      <c r="I9" s="20">
        <f>[3]KLM!$HL$37</f>
        <v>1</v>
      </c>
      <c r="J9" s="20">
        <f>'[3]Air Georgian'!$HL$37</f>
        <v>0</v>
      </c>
      <c r="K9" s="20">
        <f>'[3]Sky Regional'!$HL$37</f>
        <v>0</v>
      </c>
      <c r="L9" s="20">
        <f>[3]Condor!$HL$37</f>
        <v>0</v>
      </c>
      <c r="M9" s="20">
        <f>'[3]Aer Lingus'!$HL$37</f>
        <v>0</v>
      </c>
      <c r="N9" s="20">
        <f>'[3]Air France'!$HL$37</f>
        <v>0</v>
      </c>
      <c r="O9" s="20">
        <f>'[3]Charter Misc'!$HL$37+[3]Ryan!$HL$37+[3]Omni!$HL$37</f>
        <v>0</v>
      </c>
      <c r="P9" s="254">
        <f>SUM(B9:O9)</f>
        <v>577</v>
      </c>
    </row>
    <row r="10" spans="1:16" x14ac:dyDescent="0.2">
      <c r="A10" s="60" t="s">
        <v>33</v>
      </c>
      <c r="B10" s="13">
        <f>[3]Delta!$HL$38</f>
        <v>506</v>
      </c>
      <c r="C10" s="13">
        <f>'[3]Atlantic Southeast'!$HL$38</f>
        <v>0</v>
      </c>
      <c r="D10" s="13">
        <f>[3]Pinnacle!$HL$38</f>
        <v>0</v>
      </c>
      <c r="E10" s="13">
        <f>'[3]Sky West'!$HL$38</f>
        <v>30</v>
      </c>
      <c r="F10" s="13">
        <f>'[3]Go Jet'!$HL$38</f>
        <v>0</v>
      </c>
      <c r="G10" s="13">
        <f>'[3]Sun Country'!$HL$38</f>
        <v>5</v>
      </c>
      <c r="H10" s="13">
        <f>[3]Icelandair!$HL$38</f>
        <v>10</v>
      </c>
      <c r="I10" s="13">
        <f>[3]KLM!$HL$38</f>
        <v>2</v>
      </c>
      <c r="J10" s="13">
        <f>'[3]Air Georgian'!$HL$38</f>
        <v>0</v>
      </c>
      <c r="K10" s="13">
        <f>'[3]Sky Regional'!$HL$38</f>
        <v>0</v>
      </c>
      <c r="L10" s="13">
        <f>[3]Condor!$HL$38</f>
        <v>0</v>
      </c>
      <c r="M10" s="13">
        <f>'[3]Aer Lingus'!$HL$38</f>
        <v>0</v>
      </c>
      <c r="N10" s="13">
        <f>'[3]Air France'!$HL$38</f>
        <v>0</v>
      </c>
      <c r="O10" s="13">
        <f>'[3]Charter Misc'!$HL$38+[3]Ryan!$HL$38+[3]Omni!$HL$38</f>
        <v>0</v>
      </c>
      <c r="P10" s="255">
        <f>SUM(B10:O10)</f>
        <v>553</v>
      </c>
    </row>
    <row r="11" spans="1:16" ht="15.75" thickBot="1" x14ac:dyDescent="0.3">
      <c r="A11" s="61" t="s">
        <v>34</v>
      </c>
      <c r="B11" s="257">
        <f t="shared" ref="B11:G11" si="5">SUM(B9:B10)</f>
        <v>1039</v>
      </c>
      <c r="C11" s="257">
        <f t="shared" si="5"/>
        <v>0</v>
      </c>
      <c r="D11" s="257">
        <f t="shared" si="5"/>
        <v>0</v>
      </c>
      <c r="E11" s="257">
        <f t="shared" si="5"/>
        <v>59</v>
      </c>
      <c r="F11" s="257">
        <f t="shared" ref="F11" si="6">SUM(F9:F10)</f>
        <v>0</v>
      </c>
      <c r="G11" s="257">
        <f t="shared" si="5"/>
        <v>16</v>
      </c>
      <c r="H11" s="257">
        <f t="shared" ref="H11:O11" si="7">SUM(H9:H10)</f>
        <v>13</v>
      </c>
      <c r="I11" s="257">
        <f t="shared" ref="I11" si="8">SUM(I9:I10)</f>
        <v>3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1130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8" t="s">
        <v>18</v>
      </c>
      <c r="C13" s="464" t="s">
        <v>195</v>
      </c>
      <c r="D13" s="478" t="s">
        <v>157</v>
      </c>
      <c r="E13" s="409" t="s">
        <v>163</v>
      </c>
      <c r="F13" s="409" t="s">
        <v>162</v>
      </c>
      <c r="G13" s="409" t="s">
        <v>49</v>
      </c>
      <c r="H13" s="409" t="s">
        <v>113</v>
      </c>
      <c r="I13" s="409" t="s">
        <v>194</v>
      </c>
      <c r="J13" s="409" t="s">
        <v>191</v>
      </c>
      <c r="K13" s="409" t="s">
        <v>196</v>
      </c>
      <c r="L13" s="409" t="s">
        <v>161</v>
      </c>
      <c r="M13" s="409" t="s">
        <v>211</v>
      </c>
      <c r="N13" s="409" t="s">
        <v>156</v>
      </c>
      <c r="O13" s="409" t="s">
        <v>139</v>
      </c>
      <c r="P13" s="409" t="s">
        <v>21</v>
      </c>
    </row>
    <row r="14" spans="1:16" ht="15" x14ac:dyDescent="0.25">
      <c r="A14" s="586" t="s">
        <v>141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8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SUM([3]Delta!$HD$32:$HL$32)</f>
        <v>160326</v>
      </c>
      <c r="C16" s="20">
        <f>SUM('[3]Atlantic Southeast'!$HD$32:$HL$32)</f>
        <v>0</v>
      </c>
      <c r="D16" s="20">
        <f>SUM([3]Pinnacle!$HD$32:$HL$32)</f>
        <v>0</v>
      </c>
      <c r="E16" s="20">
        <f>SUM('[3]Sky West'!$HD$32:$HL$32)</f>
        <v>14787</v>
      </c>
      <c r="F16" s="20">
        <f>SUM('[3]Go Jet'!$HD$32:$HL$32)</f>
        <v>0</v>
      </c>
      <c r="G16" s="20">
        <f>SUM('[3]Sun Country'!$HD$32:$HL$32)</f>
        <v>48988</v>
      </c>
      <c r="H16" s="20">
        <f>SUM([3]Icelandair!$HD$32:$HL$32)</f>
        <v>7035</v>
      </c>
      <c r="I16" s="20">
        <f>SUM([3]KLM!$HD$32:$HL$32)</f>
        <v>2485</v>
      </c>
      <c r="J16" s="20">
        <f>SUM('[3]Air Georgian'!$HD$32:$HL$32)</f>
        <v>0</v>
      </c>
      <c r="K16" s="20">
        <f>SUM('[3]Sky Regional'!$HD$32:$HL$32)</f>
        <v>0</v>
      </c>
      <c r="L16" s="20">
        <f>SUM([3]Condor!$HD$32:$HL$32)</f>
        <v>0</v>
      </c>
      <c r="M16" s="20">
        <f>SUM('[3]Aer Lingus'!$HD$32:$HL$32)</f>
        <v>0</v>
      </c>
      <c r="N16" s="20">
        <f>SUM('[3]Air France'!$HD$32:$HL$32)</f>
        <v>10820</v>
      </c>
      <c r="O16" s="20">
        <f>SUM('[3]Charter Misc'!$HD$32:$HL$32)+SUM([3]Ryan!$HD$32:$HL$32)+SUM([3]Omni!$HD$32:$HL$32)</f>
        <v>0</v>
      </c>
      <c r="P16" s="254">
        <f>SUM(B16:O16)</f>
        <v>244441</v>
      </c>
    </row>
    <row r="17" spans="1:19" x14ac:dyDescent="0.2">
      <c r="A17" s="60" t="s">
        <v>31</v>
      </c>
      <c r="B17" s="13">
        <f>SUM([3]Delta!$HD$33:$HL$33)</f>
        <v>159853</v>
      </c>
      <c r="C17" s="13">
        <f>SUM('[3]Atlantic Southeast'!$HD$33:$HL$33)</f>
        <v>0</v>
      </c>
      <c r="D17" s="13">
        <f>SUM([3]Pinnacle!$HD$33:$HL$33)</f>
        <v>0</v>
      </c>
      <c r="E17" s="13">
        <f>SUM('[3]Sky West'!$HD$33:$HL$33)</f>
        <v>14281</v>
      </c>
      <c r="F17" s="13">
        <f>SUM('[3]Go Jet'!$HD$33:$HL$33)</f>
        <v>0</v>
      </c>
      <c r="G17" s="13">
        <f>SUM('[3]Sun Country'!$HD$33:$HL$33)</f>
        <v>44820</v>
      </c>
      <c r="H17" s="13">
        <f>SUM([3]Icelandair!$HD$33:$HL$33)</f>
        <v>7902</v>
      </c>
      <c r="I17" s="13">
        <f>SUM([3]KLM!$HD$33:$HL$33)</f>
        <v>1627</v>
      </c>
      <c r="J17" s="13">
        <f>SUM('[3]Air Georgian'!$HD$33:$HL$33)</f>
        <v>0</v>
      </c>
      <c r="K17" s="13">
        <f>SUM('[3]Sky Regional'!$HD$33:$HL$33)</f>
        <v>0</v>
      </c>
      <c r="L17" s="13">
        <f>SUM([3]Condor!$HD$33:$HL$33)</f>
        <v>0</v>
      </c>
      <c r="M17" s="13">
        <f>SUM('[3]Aer Lingus'!$HD$33:$HL$33)</f>
        <v>0</v>
      </c>
      <c r="N17" s="13">
        <f>SUM('[3]Air France'!$HD$33:$HL$33)</f>
        <v>10425</v>
      </c>
      <c r="O17" s="13">
        <f>SUM('[3]Charter Misc'!$HD$33:$HL$33)++SUM([3]Ryan!$HD$33:$HL$33)+SUM([3]Omni!$HD$33:$HL$33)</f>
        <v>51</v>
      </c>
      <c r="P17" s="255">
        <f>SUM(B17:O17)</f>
        <v>238959</v>
      </c>
    </row>
    <row r="18" spans="1:19" ht="15" x14ac:dyDescent="0.25">
      <c r="A18" s="58" t="s">
        <v>7</v>
      </c>
      <c r="B18" s="33">
        <f t="shared" ref="B18:O18" si="11">SUM(B16:B17)</f>
        <v>320179</v>
      </c>
      <c r="C18" s="33">
        <f t="shared" si="11"/>
        <v>0</v>
      </c>
      <c r="D18" s="33">
        <f t="shared" si="11"/>
        <v>0</v>
      </c>
      <c r="E18" s="33">
        <f t="shared" si="11"/>
        <v>29068</v>
      </c>
      <c r="F18" s="33">
        <f t="shared" ref="F18" si="12">SUM(F16:F17)</f>
        <v>0</v>
      </c>
      <c r="G18" s="33">
        <f t="shared" si="11"/>
        <v>93808</v>
      </c>
      <c r="H18" s="33">
        <f t="shared" si="11"/>
        <v>14937</v>
      </c>
      <c r="I18" s="33">
        <f t="shared" ref="I18" si="13">SUM(I16:I17)</f>
        <v>4112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21245</v>
      </c>
      <c r="O18" s="33">
        <f t="shared" si="11"/>
        <v>51</v>
      </c>
      <c r="P18" s="256">
        <f>SUM(B18:O18)</f>
        <v>483400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SUM([3]Delta!$HD$37:$HL$37)</f>
        <v>5684</v>
      </c>
      <c r="C21" s="20">
        <f>SUM('[3]Atlantic Southeast'!$HD$37:$HL$37)</f>
        <v>0</v>
      </c>
      <c r="D21" s="20">
        <f>SUM([3]Pinnacle!$HD$37:$HL$37)</f>
        <v>0</v>
      </c>
      <c r="E21" s="20">
        <f>SUM('[3]Sky West'!$HD$37:$HL$37)</f>
        <v>114</v>
      </c>
      <c r="F21" s="20">
        <f>SUM('[3]Go Jet'!$HD$37:$HL$37)</f>
        <v>0</v>
      </c>
      <c r="G21" s="20">
        <f>SUM('[3]Sun Country'!$HD$37:$HL$37)</f>
        <v>1015</v>
      </c>
      <c r="H21" s="20">
        <f>SUM([3]Icelandair!$HD$37:$HL$37)</f>
        <v>29</v>
      </c>
      <c r="I21" s="20">
        <f>SUM([3]KLM!$HD$37:$HL$37)</f>
        <v>2</v>
      </c>
      <c r="J21" s="20">
        <f>SUM('[3]Air Georgian'!$HD$37:$HL$37)</f>
        <v>0</v>
      </c>
      <c r="K21" s="20">
        <f>SUM('[3]Sky Regional'!$HD$37:$HL$37)</f>
        <v>0</v>
      </c>
      <c r="L21" s="20">
        <f>SUM([3]Condor!$HD$37:$HL$37)</f>
        <v>0</v>
      </c>
      <c r="M21" s="20">
        <f>SUM('[3]Aer Lingus'!$HD$37:$HL$37)</f>
        <v>0</v>
      </c>
      <c r="N21" s="20">
        <f>SUM('[3]Air France'!$HD$37:$HL$37)</f>
        <v>21</v>
      </c>
      <c r="O21" s="20">
        <f>SUM('[3]Charter Misc'!$HD$37:$HL$37)++SUM([3]Ryan!$HD$37:$HL$37)+SUM([3]Omni!$HD$37:$HL$37)</f>
        <v>0</v>
      </c>
      <c r="P21" s="254">
        <f>SUM(B21:O21)</f>
        <v>6865</v>
      </c>
    </row>
    <row r="22" spans="1:19" x14ac:dyDescent="0.2">
      <c r="A22" s="60" t="s">
        <v>33</v>
      </c>
      <c r="B22" s="13">
        <f>SUM([3]Delta!$HD$38:$HL$38)</f>
        <v>5621</v>
      </c>
      <c r="C22" s="13">
        <f>SUM('[3]Atlantic Southeast'!$HD$38:$HL$38)</f>
        <v>0</v>
      </c>
      <c r="D22" s="13">
        <f>SUM([3]Pinnacle!$HD$38:$HL$38)</f>
        <v>0</v>
      </c>
      <c r="E22" s="13">
        <f>SUM('[3]Sky West'!$HD$38:$HL$38)</f>
        <v>88</v>
      </c>
      <c r="F22" s="13">
        <f>SUM('[3]Go Jet'!$HD$38:$HL$38)</f>
        <v>0</v>
      </c>
      <c r="G22" s="13">
        <f>SUM('[3]Sun Country'!$HD$38:$HL$38)</f>
        <v>975</v>
      </c>
      <c r="H22" s="13">
        <f>SUM([3]Icelandair!$HD$38:$HL$38)</f>
        <v>30</v>
      </c>
      <c r="I22" s="13">
        <f>SUM([3]KLM!$HD$38:$HL$38)</f>
        <v>4</v>
      </c>
      <c r="J22" s="13">
        <f>SUM('[3]Air Georgian'!$HD$38:$HL$38)</f>
        <v>0</v>
      </c>
      <c r="K22" s="13">
        <f>SUM('[3]Sky Regional'!$HD$38:$HL$38)</f>
        <v>0</v>
      </c>
      <c r="L22" s="13">
        <f>SUM([3]Condor!$HD$38:$HL$38)</f>
        <v>0</v>
      </c>
      <c r="M22" s="13">
        <f>SUM('[3]Aer Lingus'!$HD$38:$HL$38)</f>
        <v>0</v>
      </c>
      <c r="N22" s="13">
        <f>SUM('[3]Air France'!$HD$38:$HL$38)</f>
        <v>37</v>
      </c>
      <c r="O22" s="13">
        <f>SUM('[3]Charter Misc'!$HD$38:$HL$38)++SUM([3]Ryan!$HD$38:$HL$38)+SUM([3]Omni!$HD$38:$HL$38)</f>
        <v>0</v>
      </c>
      <c r="P22" s="255">
        <f>SUM(B22:O22)</f>
        <v>6755</v>
      </c>
    </row>
    <row r="23" spans="1:19" ht="15.75" thickBot="1" x14ac:dyDescent="0.3">
      <c r="A23" s="61" t="s">
        <v>34</v>
      </c>
      <c r="B23" s="257">
        <f t="shared" ref="B23:O23" si="16">SUM(B21:B22)</f>
        <v>11305</v>
      </c>
      <c r="C23" s="257">
        <f t="shared" si="16"/>
        <v>0</v>
      </c>
      <c r="D23" s="257">
        <f t="shared" si="16"/>
        <v>0</v>
      </c>
      <c r="E23" s="257">
        <f t="shared" si="16"/>
        <v>202</v>
      </c>
      <c r="F23" s="257">
        <f t="shared" ref="F23" si="17">SUM(F21:F22)</f>
        <v>0</v>
      </c>
      <c r="G23" s="257">
        <f t="shared" si="16"/>
        <v>1990</v>
      </c>
      <c r="H23" s="257">
        <f t="shared" si="16"/>
        <v>59</v>
      </c>
      <c r="I23" s="257">
        <f t="shared" ref="I23" si="18">SUM(I21:I22)</f>
        <v>6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0</v>
      </c>
      <c r="P23" s="258">
        <f>SUM(B23:O23)</f>
        <v>13620</v>
      </c>
    </row>
    <row r="25" spans="1:19" ht="39" thickBot="1" x14ac:dyDescent="0.25">
      <c r="B25" s="408" t="s">
        <v>18</v>
      </c>
      <c r="C25" s="464" t="s">
        <v>195</v>
      </c>
      <c r="D25" s="478" t="s">
        <v>157</v>
      </c>
      <c r="E25" s="409" t="s">
        <v>163</v>
      </c>
      <c r="F25" s="409" t="s">
        <v>162</v>
      </c>
      <c r="G25" s="409" t="s">
        <v>49</v>
      </c>
      <c r="H25" s="409" t="s">
        <v>113</v>
      </c>
      <c r="I25" s="409" t="s">
        <v>194</v>
      </c>
      <c r="J25" s="409" t="s">
        <v>191</v>
      </c>
      <c r="K25" s="409" t="s">
        <v>196</v>
      </c>
      <c r="L25" s="409" t="s">
        <v>161</v>
      </c>
      <c r="M25" s="409" t="s">
        <v>211</v>
      </c>
      <c r="N25" s="409" t="s">
        <v>156</v>
      </c>
      <c r="O25" s="409" t="s">
        <v>139</v>
      </c>
      <c r="P25" s="409" t="s">
        <v>21</v>
      </c>
    </row>
    <row r="26" spans="1:19" ht="15" x14ac:dyDescent="0.25">
      <c r="A26" s="589" t="s">
        <v>142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1"/>
    </row>
    <row r="27" spans="1:19" x14ac:dyDescent="0.2">
      <c r="A27" s="60" t="s">
        <v>22</v>
      </c>
      <c r="B27" s="20">
        <f>[3]Delta!$HL$15</f>
        <v>143</v>
      </c>
      <c r="C27" s="20">
        <f>'[3]Atlantic Southeast'!$HL$15</f>
        <v>0</v>
      </c>
      <c r="D27" s="20">
        <f>[3]Pinnacle!$HL$15</f>
        <v>0</v>
      </c>
      <c r="E27" s="20">
        <f>'[3]Sky West'!$HL$15</f>
        <v>47</v>
      </c>
      <c r="F27" s="20">
        <f>'[3]Go Jet'!$HL$15</f>
        <v>0</v>
      </c>
      <c r="G27" s="20">
        <f>'[3]Sun Country'!$HL$15</f>
        <v>8</v>
      </c>
      <c r="H27" s="20">
        <f>[3]Icelandair!$HL$15</f>
        <v>23</v>
      </c>
      <c r="I27" s="20">
        <f>[3]KLM!$HL$15</f>
        <v>13</v>
      </c>
      <c r="J27" s="20">
        <f>'[3]Air Georgian'!$HL$15</f>
        <v>0</v>
      </c>
      <c r="K27" s="20">
        <f>'[3]Sky Regional'!$HL$15</f>
        <v>0</v>
      </c>
      <c r="L27" s="20">
        <f>[3]Condor!$HL$15</f>
        <v>0</v>
      </c>
      <c r="M27" s="20">
        <f>'[3]Aer Lingus'!$HL$15</f>
        <v>0</v>
      </c>
      <c r="N27" s="20">
        <f>'[3]Air France'!$HL$15</f>
        <v>16</v>
      </c>
      <c r="O27" s="20">
        <f>'[3]Charter Misc'!$HL$15+[3]Ryan!$HL$15+[3]Omni!$HL$15</f>
        <v>0</v>
      </c>
      <c r="P27" s="254">
        <f>SUM(B27:O27)</f>
        <v>250</v>
      </c>
    </row>
    <row r="28" spans="1:19" x14ac:dyDescent="0.2">
      <c r="A28" s="60" t="s">
        <v>23</v>
      </c>
      <c r="B28" s="20">
        <f>[3]Delta!$HL$16</f>
        <v>142</v>
      </c>
      <c r="C28" s="20">
        <f>'[3]Atlantic Southeast'!$HL$16</f>
        <v>0</v>
      </c>
      <c r="D28" s="20">
        <f>[3]Pinnacle!$HL$16</f>
        <v>0</v>
      </c>
      <c r="E28" s="20">
        <f>'[3]Sky West'!$HL$16</f>
        <v>48</v>
      </c>
      <c r="F28" s="20">
        <f>'[3]Go Jet'!$HL$16</f>
        <v>0</v>
      </c>
      <c r="G28" s="20">
        <f>'[3]Sun Country'!$HL$16</f>
        <v>6</v>
      </c>
      <c r="H28" s="20">
        <f>[3]Icelandair!$HL$16</f>
        <v>23</v>
      </c>
      <c r="I28" s="20">
        <f>[3]KLM!$HL$16</f>
        <v>13</v>
      </c>
      <c r="J28" s="20">
        <f>'[3]Air Georgian'!$HL$16</f>
        <v>0</v>
      </c>
      <c r="K28" s="20">
        <f>'[3]Sky Regional'!$HL$16</f>
        <v>0</v>
      </c>
      <c r="L28" s="20">
        <f>[3]Condor!$HL$16</f>
        <v>0</v>
      </c>
      <c r="M28" s="20">
        <f>'[3]Aer Lingus'!$HL$16</f>
        <v>0</v>
      </c>
      <c r="N28" s="20">
        <f>'[3]Air France'!$HL$16</f>
        <v>16</v>
      </c>
      <c r="O28" s="20">
        <f>'[3]Charter Misc'!$HL$16+[3]Ryan!$HL$16+[3]Omni!$HL$16</f>
        <v>0</v>
      </c>
      <c r="P28" s="254">
        <f>SUM(B28:O28)</f>
        <v>248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285</v>
      </c>
      <c r="C30" s="354">
        <f t="shared" si="21"/>
        <v>0</v>
      </c>
      <c r="D30" s="354">
        <f t="shared" si="21"/>
        <v>0</v>
      </c>
      <c r="E30" s="354">
        <f>SUM(E27:E28)</f>
        <v>95</v>
      </c>
      <c r="F30" s="354">
        <f>SUM(F27:F28)</f>
        <v>0</v>
      </c>
      <c r="G30" s="354">
        <f t="shared" si="21"/>
        <v>14</v>
      </c>
      <c r="H30" s="354">
        <f t="shared" si="21"/>
        <v>46</v>
      </c>
      <c r="I30" s="354">
        <f t="shared" ref="I30" si="22">SUM(I27:I28)</f>
        <v>26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32</v>
      </c>
      <c r="O30" s="354">
        <f>SUM(O27:O28)</f>
        <v>0</v>
      </c>
      <c r="P30" s="355">
        <f>SUM(B30:O30)</f>
        <v>498</v>
      </c>
    </row>
    <row r="31" spans="1:19" ht="15" x14ac:dyDescent="0.25">
      <c r="A31" s="356"/>
    </row>
    <row r="32" spans="1:19" ht="39" thickBot="1" x14ac:dyDescent="0.25">
      <c r="B32" s="408" t="s">
        <v>18</v>
      </c>
      <c r="C32" s="464" t="s">
        <v>195</v>
      </c>
      <c r="D32" s="478" t="s">
        <v>157</v>
      </c>
      <c r="E32" s="409" t="s">
        <v>163</v>
      </c>
      <c r="F32" s="409" t="s">
        <v>162</v>
      </c>
      <c r="G32" s="409" t="s">
        <v>49</v>
      </c>
      <c r="H32" s="409" t="s">
        <v>113</v>
      </c>
      <c r="I32" s="409" t="s">
        <v>194</v>
      </c>
      <c r="J32" s="409" t="s">
        <v>191</v>
      </c>
      <c r="K32" s="409" t="s">
        <v>196</v>
      </c>
      <c r="L32" s="409" t="s">
        <v>161</v>
      </c>
      <c r="M32" s="409" t="s">
        <v>211</v>
      </c>
      <c r="N32" s="409" t="s">
        <v>156</v>
      </c>
      <c r="O32" s="409" t="s">
        <v>139</v>
      </c>
      <c r="P32" s="409" t="s">
        <v>21</v>
      </c>
    </row>
    <row r="33" spans="1:16" ht="15" x14ac:dyDescent="0.25">
      <c r="A33" s="592" t="s">
        <v>143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4"/>
    </row>
    <row r="34" spans="1:16" x14ac:dyDescent="0.2">
      <c r="A34" s="60" t="s">
        <v>22</v>
      </c>
      <c r="B34" s="20">
        <f>SUM([3]Delta!$HD$15:$HL$15)</f>
        <v>1494</v>
      </c>
      <c r="C34" s="20">
        <f>SUM('[3]Atlantic Southeast'!$HD$15:$HL$15)</f>
        <v>0</v>
      </c>
      <c r="D34" s="20">
        <f>SUM([3]Pinnacle!$HD$15:$HL$15)</f>
        <v>1</v>
      </c>
      <c r="E34" s="20">
        <f>SUM('[3]Sky West'!$HD$15:$HL$15)</f>
        <v>405</v>
      </c>
      <c r="F34" s="20">
        <f>SUM('[3]Go Jet'!$HD$15:$HL$15)</f>
        <v>0</v>
      </c>
      <c r="G34" s="20">
        <f>SUM('[3]Sun Country'!$HD$15:$HL$15)</f>
        <v>555</v>
      </c>
      <c r="H34" s="20">
        <f>SUM([3]Icelandair!$HD$15:$HL$15)</f>
        <v>71</v>
      </c>
      <c r="I34" s="20">
        <f>SUM([3]KLM!$HD$15:$HL$15)</f>
        <v>14</v>
      </c>
      <c r="J34" s="20">
        <f>SUM('[3]Air Georgian'!$HD$15:$HL$15)</f>
        <v>0</v>
      </c>
      <c r="K34" s="20">
        <f>SUM('[3]Sky Regional'!$HD$15:$HL$15)</f>
        <v>0</v>
      </c>
      <c r="L34" s="20">
        <f>SUM([3]Condor!$HD$15:$HL$15)</f>
        <v>0</v>
      </c>
      <c r="M34" s="20">
        <f>SUM('[3]Aer Lingus'!$HD$15:$HL$15)</f>
        <v>0</v>
      </c>
      <c r="N34" s="20">
        <f>SUM('[3]Air France'!$HD$15:$HL$15)</f>
        <v>63</v>
      </c>
      <c r="O34" s="20">
        <f>SUM('[3]Charter Misc'!$HD$15:$HL$15)+SUM([3]Ryan!$HD$15:$HL$15)+SUM([3]Omni!$HD$15:$HL$15)</f>
        <v>0</v>
      </c>
      <c r="P34" s="254">
        <f>SUM(B34:O34)</f>
        <v>2603</v>
      </c>
    </row>
    <row r="35" spans="1:16" x14ac:dyDescent="0.2">
      <c r="A35" s="60" t="s">
        <v>23</v>
      </c>
      <c r="B35" s="20">
        <f>SUM([3]Delta!$HD$16:$HL$16)</f>
        <v>1487</v>
      </c>
      <c r="C35" s="20">
        <f>SUM('[3]Atlantic Southeast'!$HD$16:$HL$16)</f>
        <v>0</v>
      </c>
      <c r="D35" s="20">
        <f>SUM([3]Pinnacle!$HD$16:$HL$16)</f>
        <v>1</v>
      </c>
      <c r="E35" s="20">
        <f>SUM('[3]Sky West'!$HD$16:$HL$16)</f>
        <v>374</v>
      </c>
      <c r="F35" s="20">
        <f>SUM('[3]Go Jet'!$HD$16:$HL$16)</f>
        <v>0</v>
      </c>
      <c r="G35" s="20">
        <f>SUM('[3]Sun Country'!$HD$16:$HL$16)</f>
        <v>550</v>
      </c>
      <c r="H35" s="20">
        <f>SUM([3]Icelandair!$HD$16:$HL$16)</f>
        <v>72</v>
      </c>
      <c r="I35" s="20">
        <f>SUM([3]KLM!$HD$16:$HL$16)</f>
        <v>14</v>
      </c>
      <c r="J35" s="20">
        <f>SUM('[3]Air Georgian'!$HD$16:$HL$16)</f>
        <v>0</v>
      </c>
      <c r="K35" s="20">
        <f>SUM('[3]Sky Regional'!$HD$16:$HL$16)</f>
        <v>0</v>
      </c>
      <c r="L35" s="20">
        <f>SUM([3]Condor!$HD$16:$HL$16)</f>
        <v>0</v>
      </c>
      <c r="M35" s="20">
        <f>SUM('[3]Aer Lingus'!$HD$16:$HL$16)</f>
        <v>0</v>
      </c>
      <c r="N35" s="20">
        <f>SUM('[3]Air France'!$HD$16:$HL$16)</f>
        <v>63</v>
      </c>
      <c r="O35" s="20">
        <f>SUM('[3]Charter Misc'!$HD$16:$HL$16)+SUM([3]Ryan!$HD$16:$HL$16)+SUM([3]Omni!$HD$16:$HL$16)</f>
        <v>2</v>
      </c>
      <c r="P35" s="254">
        <f>SUM(B35:O35)</f>
        <v>2563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2981</v>
      </c>
      <c r="C37" s="354">
        <f t="shared" si="24"/>
        <v>0</v>
      </c>
      <c r="D37" s="354">
        <f t="shared" si="24"/>
        <v>2</v>
      </c>
      <c r="E37" s="354">
        <f>+SUM(E34:E35)</f>
        <v>779</v>
      </c>
      <c r="F37" s="354">
        <f>+SUM(F34:F35)</f>
        <v>0</v>
      </c>
      <c r="G37" s="354">
        <f t="shared" si="24"/>
        <v>1105</v>
      </c>
      <c r="H37" s="354">
        <f t="shared" si="24"/>
        <v>143</v>
      </c>
      <c r="I37" s="354">
        <f t="shared" ref="I37" si="25">+SUM(I34:I35)</f>
        <v>28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126</v>
      </c>
      <c r="O37" s="354">
        <f>+SUM(O34:O35)</f>
        <v>2</v>
      </c>
      <c r="P37" s="355">
        <f>SUM(B37:O37)</f>
        <v>5166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&amp;"Arial,Bold"September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0"/>
  <sheetViews>
    <sheetView topLeftCell="A49" zoomScaleNormal="100" zoomScaleSheetLayoutView="85" workbookViewId="0">
      <selection activeCell="O77" sqref="O77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9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6" customWidth="1"/>
    <col min="11" max="11" width="14.42578125" style="205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.85546875" bestFit="1" customWidth="1"/>
    <col min="23" max="23" width="9.7109375" bestFit="1" customWidth="1"/>
    <col min="24" max="24" width="10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3" t="s">
        <v>132</v>
      </c>
      <c r="B1" s="604"/>
      <c r="C1" s="421" t="s">
        <v>232</v>
      </c>
      <c r="D1" s="422" t="s">
        <v>207</v>
      </c>
      <c r="E1" s="240" t="s">
        <v>95</v>
      </c>
      <c r="F1" s="239" t="s">
        <v>233</v>
      </c>
      <c r="G1" s="422" t="s">
        <v>233</v>
      </c>
      <c r="H1" s="238" t="s">
        <v>96</v>
      </c>
      <c r="I1" s="240" t="s">
        <v>234</v>
      </c>
      <c r="J1" s="609" t="s">
        <v>136</v>
      </c>
      <c r="K1" s="610"/>
      <c r="L1" s="419" t="s">
        <v>235</v>
      </c>
      <c r="M1" s="420" t="s">
        <v>209</v>
      </c>
      <c r="N1" s="314" t="s">
        <v>96</v>
      </c>
      <c r="O1" s="448" t="s">
        <v>236</v>
      </c>
      <c r="P1" s="241" t="s">
        <v>210</v>
      </c>
      <c r="Q1" s="444" t="s">
        <v>96</v>
      </c>
      <c r="R1" s="449" t="s">
        <v>234</v>
      </c>
      <c r="S1" s="595" t="s">
        <v>237</v>
      </c>
      <c r="T1" s="596"/>
      <c r="U1" s="517" t="s">
        <v>235</v>
      </c>
      <c r="V1" s="518" t="s">
        <v>209</v>
      </c>
      <c r="W1" s="519" t="s">
        <v>96</v>
      </c>
      <c r="X1" s="520" t="s">
        <v>236</v>
      </c>
      <c r="Y1" s="521" t="s">
        <v>210</v>
      </c>
      <c r="Z1" s="522" t="s">
        <v>96</v>
      </c>
      <c r="AA1" s="523" t="s">
        <v>234</v>
      </c>
    </row>
    <row r="2" spans="1:27" s="198" customFormat="1" ht="13.5" customHeight="1" thickBot="1" x14ac:dyDescent="0.25">
      <c r="A2" s="605">
        <v>44440</v>
      </c>
      <c r="B2" s="606"/>
      <c r="C2" s="607" t="s">
        <v>9</v>
      </c>
      <c r="D2" s="608"/>
      <c r="E2" s="608"/>
      <c r="F2" s="608"/>
      <c r="G2" s="608"/>
      <c r="H2" s="608"/>
      <c r="I2" s="423"/>
      <c r="J2" s="605">
        <f>+A2</f>
        <v>44440</v>
      </c>
      <c r="K2" s="606"/>
      <c r="L2" s="600" t="s">
        <v>138</v>
      </c>
      <c r="M2" s="601"/>
      <c r="N2" s="601"/>
      <c r="O2" s="601"/>
      <c r="P2" s="601"/>
      <c r="Q2" s="601"/>
      <c r="R2" s="602"/>
      <c r="S2" s="578">
        <f>+J2</f>
        <v>44440</v>
      </c>
      <c r="T2" s="579"/>
      <c r="U2" s="597" t="s">
        <v>238</v>
      </c>
      <c r="V2" s="598"/>
      <c r="W2" s="598"/>
      <c r="X2" s="598"/>
      <c r="Y2" s="598"/>
      <c r="Z2" s="598"/>
      <c r="AA2" s="599"/>
    </row>
    <row r="3" spans="1:27" x14ac:dyDescent="0.2">
      <c r="A3" s="315"/>
      <c r="B3" s="316"/>
      <c r="C3" s="317"/>
      <c r="D3" s="318"/>
      <c r="E3" s="319"/>
      <c r="F3" s="384"/>
      <c r="G3" s="385"/>
      <c r="H3" s="441"/>
      <c r="I3" s="319"/>
      <c r="J3" s="320"/>
      <c r="K3" s="316"/>
      <c r="L3" s="450"/>
      <c r="M3" s="5"/>
      <c r="N3" s="83"/>
      <c r="O3" s="315"/>
      <c r="P3" s="321"/>
      <c r="Q3" s="321"/>
      <c r="R3" s="316"/>
      <c r="S3" s="320"/>
      <c r="T3" s="316"/>
      <c r="U3" s="450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5">
        <f>'[3]Aer Lingus'!$HL$19</f>
        <v>0</v>
      </c>
      <c r="D4" s="467">
        <f>'[3]Aer Lingus'!$GX$19</f>
        <v>0</v>
      </c>
      <c r="E4" s="476" t="e">
        <f>(C4-D4)/D4</f>
        <v>#DIV/0!</v>
      </c>
      <c r="F4" s="467">
        <f>SUM('[3]Aer Lingus'!$HD$19:$HL$19)</f>
        <v>0</v>
      </c>
      <c r="G4" s="467">
        <f>SUM('[3]Aer Lingus'!$GP$19:$GX$19)</f>
        <v>88</v>
      </c>
      <c r="H4" s="477">
        <f>(F4-G4)/G4</f>
        <v>-1</v>
      </c>
      <c r="I4" s="476">
        <f>F4/$F$71</f>
        <v>0</v>
      </c>
      <c r="J4" s="322" t="s">
        <v>211</v>
      </c>
      <c r="K4" s="54"/>
      <c r="L4" s="475">
        <f>'[3]Aer Lingus'!$HL$41</f>
        <v>0</v>
      </c>
      <c r="M4" s="467">
        <f>'[3]Aer Lingus'!$GX$41</f>
        <v>0</v>
      </c>
      <c r="N4" s="476" t="e">
        <f>(L4-M4)/M4</f>
        <v>#DIV/0!</v>
      </c>
      <c r="O4" s="475">
        <f>SUM('[3]Aer Lingus'!$HD$41:$HL$41)</f>
        <v>0</v>
      </c>
      <c r="P4" s="467">
        <f>SUM('[3]Aer Lingus'!$GP$41:$GX$41)</f>
        <v>9622</v>
      </c>
      <c r="Q4" s="477">
        <f>(O4-P4)/P4</f>
        <v>-1</v>
      </c>
      <c r="R4" s="476">
        <f>O4/$O$71</f>
        <v>0</v>
      </c>
      <c r="S4" s="322" t="s">
        <v>211</v>
      </c>
      <c r="T4" s="54"/>
      <c r="U4" s="475">
        <f>'[3]Aer Lingus'!$HL$64</f>
        <v>0</v>
      </c>
      <c r="V4" s="467">
        <f>'[3]Aer Lingus'!$GX$64</f>
        <v>0</v>
      </c>
      <c r="W4" s="476" t="e">
        <f>(U4-V4)/V4</f>
        <v>#DIV/0!</v>
      </c>
      <c r="X4" s="475">
        <f>SUM('[3]Aer Lingus'!$HD$64:$HL$64)</f>
        <v>0</v>
      </c>
      <c r="Y4" s="467">
        <f>SUM('[3]Aer Lingus'!$GP$64:$GX$64)</f>
        <v>10341</v>
      </c>
      <c r="Z4" s="477">
        <f>(X4-Y4)/Y4</f>
        <v>-1</v>
      </c>
      <c r="AA4" s="476">
        <f>X4/$X$71</f>
        <v>0</v>
      </c>
    </row>
    <row r="5" spans="1:27" x14ac:dyDescent="0.2">
      <c r="A5" s="52"/>
      <c r="B5" s="54"/>
      <c r="C5" s="450"/>
      <c r="D5" s="5"/>
      <c r="E5" s="83"/>
      <c r="F5" s="473"/>
      <c r="G5" s="9"/>
      <c r="H5" s="36"/>
      <c r="I5" s="83"/>
      <c r="J5" s="474"/>
      <c r="K5" s="54"/>
      <c r="L5" s="450"/>
      <c r="M5" s="5"/>
      <c r="N5" s="83"/>
      <c r="O5" s="52"/>
      <c r="P5" s="11"/>
      <c r="Q5" s="11"/>
      <c r="R5" s="54"/>
      <c r="S5" s="474"/>
      <c r="T5" s="54"/>
      <c r="U5" s="450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SUM(C7:C10)</f>
        <v>47</v>
      </c>
      <c r="D6" s="325">
        <f>SUM(D7:D10)</f>
        <v>0</v>
      </c>
      <c r="E6" s="326" t="e">
        <f>(C6-D6)/D6</f>
        <v>#DIV/0!</v>
      </c>
      <c r="F6" s="323">
        <f>SUM(F7:F10)</f>
        <v>47</v>
      </c>
      <c r="G6" s="325">
        <f>SUM(G7:G10)</f>
        <v>390</v>
      </c>
      <c r="H6" s="324">
        <f>(F6-G6)/G6</f>
        <v>-0.87948717948717947</v>
      </c>
      <c r="I6" s="326">
        <f>F6/$F$71</f>
        <v>2.3464334211997762E-4</v>
      </c>
      <c r="J6" s="322" t="s">
        <v>98</v>
      </c>
      <c r="K6" s="54"/>
      <c r="L6" s="323">
        <f>SUM(L7:L10)</f>
        <v>3060</v>
      </c>
      <c r="M6" s="325">
        <f>SUM(M7:M10)</f>
        <v>0</v>
      </c>
      <c r="N6" s="326" t="e">
        <f>(L6-M6)/M6</f>
        <v>#DIV/0!</v>
      </c>
      <c r="O6" s="323">
        <f>SUM(O7:O10)</f>
        <v>3060</v>
      </c>
      <c r="P6" s="325">
        <f>SUM(P7:P10)</f>
        <v>16941</v>
      </c>
      <c r="Q6" s="324">
        <f>(O6-P6)/P6</f>
        <v>-0.81937311846998406</v>
      </c>
      <c r="R6" s="326">
        <f>O6/$O$71</f>
        <v>1.7545923875461096E-4</v>
      </c>
      <c r="S6" s="322" t="s">
        <v>98</v>
      </c>
      <c r="T6" s="54"/>
      <c r="U6" s="475">
        <f>SUM(U7:U10)</f>
        <v>0</v>
      </c>
      <c r="V6" s="467">
        <f>SUM(V7:V10)</f>
        <v>0</v>
      </c>
      <c r="W6" s="476" t="e">
        <f>(U6-V6)/V6</f>
        <v>#DIV/0!</v>
      </c>
      <c r="X6" s="475">
        <f>SUM(X7:X10)</f>
        <v>0</v>
      </c>
      <c r="Y6" s="467">
        <f>SUM(Y7:Y10)</f>
        <v>4266</v>
      </c>
      <c r="Z6" s="477">
        <f>(X6-Y6)/Y6</f>
        <v>-1</v>
      </c>
      <c r="AA6" s="476">
        <f>X6/$X$71</f>
        <v>0</v>
      </c>
    </row>
    <row r="7" spans="1:27" ht="14.1" customHeight="1" x14ac:dyDescent="0.2">
      <c r="A7" s="322"/>
      <c r="B7" s="396" t="s">
        <v>98</v>
      </c>
      <c r="C7" s="327">
        <f>+[3]AirCanada!$HL$19</f>
        <v>0</v>
      </c>
      <c r="D7" s="9">
        <f>+[3]AirCanada!$GX$19</f>
        <v>0</v>
      </c>
      <c r="E7" s="84" t="e">
        <f>(C7-D7)/D7</f>
        <v>#DIV/0!</v>
      </c>
      <c r="F7" s="267">
        <f>SUM([3]AirCanada!$HD$19:$HL$19)</f>
        <v>0</v>
      </c>
      <c r="G7" s="267">
        <f>SUM([3]AirCanada!$GP$19:$GX$19)</f>
        <v>0</v>
      </c>
      <c r="H7" s="403" t="e">
        <f>(F7-G7)/G7</f>
        <v>#DIV/0!</v>
      </c>
      <c r="I7" s="84">
        <f>F7/$F$71</f>
        <v>0</v>
      </c>
      <c r="J7" s="322"/>
      <c r="K7" s="396" t="s">
        <v>98</v>
      </c>
      <c r="L7" s="402">
        <f>+[3]AirCanada!$HL$41</f>
        <v>0</v>
      </c>
      <c r="M7" s="267">
        <f>+[3]AirCanada!$GX$41</f>
        <v>0</v>
      </c>
      <c r="N7" s="404" t="e">
        <f>(L7-M7)/M7</f>
        <v>#DIV/0!</v>
      </c>
      <c r="O7" s="402">
        <f>SUM([3]AirCanada!$HD$41:$HL$41)</f>
        <v>0</v>
      </c>
      <c r="P7" s="267">
        <f>SUM([3]AirCanada!$GP$41:$GX$41)</f>
        <v>0</v>
      </c>
      <c r="Q7" s="403" t="e">
        <f>(O7-P7)/P7</f>
        <v>#DIV/0!</v>
      </c>
      <c r="R7" s="404">
        <f>O7/$O$71</f>
        <v>0</v>
      </c>
      <c r="S7" s="322"/>
      <c r="T7" s="396" t="s">
        <v>98</v>
      </c>
      <c r="U7" s="504">
        <f>+[3]AirCanada!$HL$64</f>
        <v>0</v>
      </c>
      <c r="V7" s="283">
        <f>+[3]AirCanada!$GX$64</f>
        <v>0</v>
      </c>
      <c r="W7" s="505" t="e">
        <f>(U7-V7)/V7</f>
        <v>#DIV/0!</v>
      </c>
      <c r="X7" s="504">
        <f>SUM([3]AirCanada!$HD$64:$HL$64)</f>
        <v>0</v>
      </c>
      <c r="Y7" s="283">
        <f>SUM([3]AirCanada!$GP$64:$GX$64)</f>
        <v>0</v>
      </c>
      <c r="Z7" s="488" t="e">
        <f>(X7-Y7)/Y7</f>
        <v>#DIV/0!</v>
      </c>
      <c r="AA7" s="505">
        <f>X7/$X$71</f>
        <v>0</v>
      </c>
    </row>
    <row r="8" spans="1:27" ht="14.1" customHeight="1" x14ac:dyDescent="0.2">
      <c r="A8" s="322"/>
      <c r="B8" s="396" t="s">
        <v>164</v>
      </c>
      <c r="C8" s="327">
        <f>'[3]Air Georgian'!$HL$19</f>
        <v>0</v>
      </c>
      <c r="D8" s="9">
        <f>'[3]Air Georgian'!$GX$19</f>
        <v>0</v>
      </c>
      <c r="E8" s="84" t="e">
        <f>(C8-D8)/D8</f>
        <v>#DIV/0!</v>
      </c>
      <c r="F8" s="267">
        <f>SUM('[3]Air Georgian'!$HD$19:$HL$19)</f>
        <v>0</v>
      </c>
      <c r="G8" s="267">
        <f>SUM('[3]Air Georgian'!$GP$19:$GX$19)</f>
        <v>0</v>
      </c>
      <c r="H8" s="403" t="e">
        <f>(F8-G8)/G8</f>
        <v>#DIV/0!</v>
      </c>
      <c r="I8" s="84">
        <f>F8/$F$71</f>
        <v>0</v>
      </c>
      <c r="J8" s="322"/>
      <c r="K8" s="396" t="s">
        <v>164</v>
      </c>
      <c r="L8" s="327">
        <f>'[3]Air Georgian'!$HL$41</f>
        <v>0</v>
      </c>
      <c r="M8" s="9">
        <f>'[3]Air Georgian'!$GX$41</f>
        <v>0</v>
      </c>
      <c r="N8" s="84" t="e">
        <f>(L8-M8)/M8</f>
        <v>#DIV/0!</v>
      </c>
      <c r="O8" s="327">
        <f>SUM('[3]Air Georgian'!$HD$41:$HL$41)</f>
        <v>0</v>
      </c>
      <c r="P8" s="9">
        <f>SUM('[3]Air Georgian'!$GP$41:$GX$41)</f>
        <v>0</v>
      </c>
      <c r="Q8" s="38" t="e">
        <f>(O8-P8)/P8</f>
        <v>#DIV/0!</v>
      </c>
      <c r="R8" s="84">
        <f>O8/$O$71</f>
        <v>0</v>
      </c>
      <c r="S8" s="322"/>
      <c r="T8" s="396" t="s">
        <v>164</v>
      </c>
      <c r="U8" s="450">
        <f>'[3]Air Georgian'!$HL$64</f>
        <v>0</v>
      </c>
      <c r="V8" s="2">
        <f>'[3]Air Georgian'!$GX$64</f>
        <v>0</v>
      </c>
      <c r="W8" s="83" t="e">
        <f>(U8-V8)/V8</f>
        <v>#DIV/0!</v>
      </c>
      <c r="X8" s="450">
        <f>SUM('[3]Air Georgian'!$HD$64:$HL$64)</f>
        <v>0</v>
      </c>
      <c r="Y8" s="2">
        <f>SUM('[3]Air Georgian'!$GP$64:$GX$64)</f>
        <v>0</v>
      </c>
      <c r="Z8" s="3" t="e">
        <f>(X8-Y8)/Y8</f>
        <v>#DIV/0!</v>
      </c>
      <c r="AA8" s="83">
        <f>X8/$X$71</f>
        <v>0</v>
      </c>
    </row>
    <row r="9" spans="1:27" ht="14.1" customHeight="1" x14ac:dyDescent="0.2">
      <c r="A9" s="322"/>
      <c r="B9" s="396" t="s">
        <v>247</v>
      </c>
      <c r="C9" s="327">
        <f>[3]Jazz_AC!$HL$19</f>
        <v>47</v>
      </c>
      <c r="D9" s="9">
        <f>[3]Jazz_AC!$GX$19</f>
        <v>0</v>
      </c>
      <c r="E9" s="84" t="e">
        <f t="shared" ref="E9" si="0">(C9-D9)/D9</f>
        <v>#DIV/0!</v>
      </c>
      <c r="F9" s="9">
        <f>SUM([3]Jazz_AC!$HD$19:$HL$19)</f>
        <v>47</v>
      </c>
      <c r="G9" s="9">
        <f>SUM([3]Jazz_AC!$GP$19:$GX$19)</f>
        <v>0</v>
      </c>
      <c r="H9" s="38" t="e">
        <f t="shared" ref="H9" si="1">(F9-G9)/G9</f>
        <v>#DIV/0!</v>
      </c>
      <c r="I9" s="84">
        <f t="shared" ref="I9" si="2">F9/$F$71</f>
        <v>2.3464334211997762E-4</v>
      </c>
      <c r="J9" s="322"/>
      <c r="K9" s="396" t="s">
        <v>247</v>
      </c>
      <c r="L9" s="327">
        <f>[3]Jazz_AC!$HL$41</f>
        <v>3060</v>
      </c>
      <c r="M9" s="9">
        <f>[3]Jazz_AC!$GX$41</f>
        <v>0</v>
      </c>
      <c r="N9" s="84" t="e">
        <f t="shared" ref="N9" si="3">(L9-M9)/M9</f>
        <v>#DIV/0!</v>
      </c>
      <c r="O9" s="327">
        <f>SUM([3]Jazz_AC!$HD$41:$HL$41)</f>
        <v>3060</v>
      </c>
      <c r="P9" s="9">
        <f>SUM([3]Jazz_AC!$GP$41:$GX$41)</f>
        <v>0</v>
      </c>
      <c r="Q9" s="38" t="e">
        <f t="shared" ref="Q9" si="4">(O9-P9)/P9</f>
        <v>#DIV/0!</v>
      </c>
      <c r="R9" s="84">
        <f t="shared" ref="R9" si="5">O9/$O$71</f>
        <v>1.7545923875461096E-4</v>
      </c>
      <c r="S9" s="322"/>
      <c r="T9" s="396" t="s">
        <v>247</v>
      </c>
      <c r="U9" s="450">
        <f>[3]Jazz_AC!$HL$64</f>
        <v>0</v>
      </c>
      <c r="V9" s="2">
        <f>[3]Jazz_AC!$GX$64</f>
        <v>0</v>
      </c>
      <c r="W9" s="83" t="e">
        <f t="shared" ref="W9" si="6">(U9-V9)/V9</f>
        <v>#DIV/0!</v>
      </c>
      <c r="X9" s="450">
        <f>SUM([3]Jazz_AC!$HD$64:$HL$64)</f>
        <v>0</v>
      </c>
      <c r="Y9" s="2">
        <f>SUM([3]Jazz_AC!$GP$64:$GX$64)</f>
        <v>0</v>
      </c>
      <c r="Z9" s="3" t="e">
        <f t="shared" ref="Z9" si="7">(X9-Y9)/Y9</f>
        <v>#DIV/0!</v>
      </c>
      <c r="AA9" s="83">
        <f t="shared" ref="AA9" si="8">X9/$X$71</f>
        <v>0</v>
      </c>
    </row>
    <row r="10" spans="1:27" ht="14.1" customHeight="1" x14ac:dyDescent="0.2">
      <c r="A10" s="322"/>
      <c r="B10" s="396" t="s">
        <v>192</v>
      </c>
      <c r="C10" s="327">
        <f>'[3]Sky Regional'!$HL$19</f>
        <v>0</v>
      </c>
      <c r="D10" s="9">
        <f>'[3]Sky Regional'!$GX$19</f>
        <v>0</v>
      </c>
      <c r="E10" s="84" t="e">
        <f>(C10-D10)/D10</f>
        <v>#DIV/0!</v>
      </c>
      <c r="F10" s="267">
        <f>SUM('[3]Sky Regional'!$HD$19:$HL$19)</f>
        <v>0</v>
      </c>
      <c r="G10" s="267">
        <f>SUM('[3]Sky Regional'!$GP$19:$GX$19)</f>
        <v>390</v>
      </c>
      <c r="H10" s="403">
        <f>(F10-G10)/G10</f>
        <v>-1</v>
      </c>
      <c r="I10" s="84">
        <f>F10/$F$71</f>
        <v>0</v>
      </c>
      <c r="J10" s="322"/>
      <c r="K10" s="396" t="s">
        <v>192</v>
      </c>
      <c r="L10" s="327">
        <f>'[3]Sky Regional'!$HL$41</f>
        <v>0</v>
      </c>
      <c r="M10" s="9">
        <f>'[3]Sky Regional'!$GX$41</f>
        <v>0</v>
      </c>
      <c r="N10" s="84" t="e">
        <f>(L10-M10)/M10</f>
        <v>#DIV/0!</v>
      </c>
      <c r="O10" s="327">
        <f>SUM('[3]Sky Regional'!$HD$41:$HL$41)</f>
        <v>0</v>
      </c>
      <c r="P10" s="9">
        <f>SUM('[3]Sky Regional'!$GP$41:$GX$41)</f>
        <v>16941</v>
      </c>
      <c r="Q10" s="38">
        <f>(O10-P10)/P10</f>
        <v>-1</v>
      </c>
      <c r="R10" s="84">
        <f>O10/$O$71</f>
        <v>0</v>
      </c>
      <c r="S10" s="322"/>
      <c r="T10" s="396" t="s">
        <v>192</v>
      </c>
      <c r="U10" s="450">
        <f>'[3]Sky Regional'!$HL$64</f>
        <v>0</v>
      </c>
      <c r="V10" s="2">
        <f>'[3]Sky Regional'!$GX$64</f>
        <v>0</v>
      </c>
      <c r="W10" s="83" t="e">
        <f>(U10-V10)/V10</f>
        <v>#DIV/0!</v>
      </c>
      <c r="X10" s="450">
        <f>SUM('[3]Sky Regional'!$HD$64:$HL$64)</f>
        <v>0</v>
      </c>
      <c r="Y10" s="2">
        <f>SUM('[3]Sky Regional'!$GP$64:$GX$64)</f>
        <v>4266</v>
      </c>
      <c r="Z10" s="3">
        <f>(X10-Y10)/Y10</f>
        <v>-1</v>
      </c>
      <c r="AA10" s="83">
        <f>X10/$X$71</f>
        <v>0</v>
      </c>
    </row>
    <row r="11" spans="1:27" ht="14.1" customHeight="1" x14ac:dyDescent="0.2">
      <c r="A11" s="322"/>
      <c r="B11" s="54"/>
      <c r="C11" s="323"/>
      <c r="D11" s="325"/>
      <c r="E11" s="326"/>
      <c r="F11" s="325"/>
      <c r="G11" s="325"/>
      <c r="H11" s="324"/>
      <c r="I11" s="326"/>
      <c r="J11" s="322"/>
      <c r="K11" s="54"/>
      <c r="L11" s="327"/>
      <c r="M11" s="9"/>
      <c r="N11" s="84"/>
      <c r="O11" s="327"/>
      <c r="P11" s="9"/>
      <c r="Q11" s="38"/>
      <c r="R11" s="84"/>
      <c r="S11" s="322"/>
      <c r="T11" s="54"/>
      <c r="U11" s="450"/>
      <c r="V11" s="2"/>
      <c r="W11" s="83"/>
      <c r="X11" s="450"/>
      <c r="Y11" s="2"/>
      <c r="Z11" s="3"/>
      <c r="AA11" s="83"/>
    </row>
    <row r="12" spans="1:27" ht="14.1" customHeight="1" x14ac:dyDescent="0.2">
      <c r="A12" s="322" t="s">
        <v>178</v>
      </c>
      <c r="B12" s="54"/>
      <c r="C12" s="323">
        <f>'[3]Air Choice One'!$HL$19</f>
        <v>0</v>
      </c>
      <c r="D12" s="325">
        <f>'[3]Air Choice One'!$GX$19</f>
        <v>148</v>
      </c>
      <c r="E12" s="326">
        <f>(C12-D12)/D12</f>
        <v>-1</v>
      </c>
      <c r="F12" s="325">
        <f>SUM('[3]Air Choice One'!$HD$19:$HL$19)</f>
        <v>264</v>
      </c>
      <c r="G12" s="325">
        <f>SUM('[3]Air Choice One'!$GP$19:$GX$19)</f>
        <v>1544</v>
      </c>
      <c r="H12" s="324">
        <f>(F12-G12)/G12</f>
        <v>-0.82901554404145072</v>
      </c>
      <c r="I12" s="326">
        <f>F12/$F$71</f>
        <v>1.3179966450994488E-3</v>
      </c>
      <c r="J12" s="322" t="s">
        <v>178</v>
      </c>
      <c r="K12" s="54"/>
      <c r="L12" s="323">
        <f>'[3]Air Choice One'!$HL$41</f>
        <v>0</v>
      </c>
      <c r="M12" s="325">
        <f>'[3]Air Choice One'!$GX$41</f>
        <v>219</v>
      </c>
      <c r="N12" s="326">
        <f>(L12-M12)/M12</f>
        <v>-1</v>
      </c>
      <c r="O12" s="323">
        <f>SUM('[3]Air Choice One'!$HD$41:$HL$41)</f>
        <v>471</v>
      </c>
      <c r="P12" s="325">
        <f>SUM('[3]Air Choice One'!$GP$41:$GX$41)</f>
        <v>3100</v>
      </c>
      <c r="Q12" s="324">
        <f>(O12-P12)/P12</f>
        <v>-0.84806451612903222</v>
      </c>
      <c r="R12" s="326">
        <f>O12/$O$71</f>
        <v>2.700696125928816E-5</v>
      </c>
      <c r="S12" s="322" t="s">
        <v>178</v>
      </c>
      <c r="T12" s="54"/>
      <c r="U12" s="475">
        <f>'[3]Air Choice One'!$HL$64</f>
        <v>0</v>
      </c>
      <c r="V12" s="467">
        <f>'[3]Air Choice One'!$GX$64</f>
        <v>0</v>
      </c>
      <c r="W12" s="476" t="e">
        <f>(U12-V12)/V12</f>
        <v>#DIV/0!</v>
      </c>
      <c r="X12" s="475">
        <f>SUM('[3]Air Choice One'!$HD$64:$HL$64)</f>
        <v>0</v>
      </c>
      <c r="Y12" s="467">
        <f>SUM('[3]Air Choice One'!$GP$64:$GX$64)</f>
        <v>0</v>
      </c>
      <c r="Z12" s="477" t="e">
        <f>(X12-Y12)/Y12</f>
        <v>#DIV/0!</v>
      </c>
      <c r="AA12" s="476">
        <f>X12/$X$71</f>
        <v>0</v>
      </c>
    </row>
    <row r="13" spans="1:27" ht="14.1" customHeight="1" x14ac:dyDescent="0.2">
      <c r="A13" s="322"/>
      <c r="B13" s="54"/>
      <c r="C13" s="323"/>
      <c r="D13" s="325"/>
      <c r="E13" s="326"/>
      <c r="F13" s="325"/>
      <c r="G13" s="325"/>
      <c r="H13" s="324"/>
      <c r="I13" s="326"/>
      <c r="J13" s="322"/>
      <c r="K13" s="54"/>
      <c r="L13" s="327"/>
      <c r="M13" s="9"/>
      <c r="N13" s="84"/>
      <c r="O13" s="327"/>
      <c r="P13" s="9"/>
      <c r="Q13" s="38"/>
      <c r="R13" s="84"/>
      <c r="S13" s="322"/>
      <c r="T13" s="54"/>
      <c r="U13" s="450"/>
      <c r="V13" s="2"/>
      <c r="W13" s="83"/>
      <c r="X13" s="450"/>
      <c r="Y13" s="2"/>
      <c r="Z13" s="3"/>
      <c r="AA13" s="83"/>
    </row>
    <row r="14" spans="1:27" ht="14.1" customHeight="1" x14ac:dyDescent="0.2">
      <c r="A14" s="322" t="s">
        <v>156</v>
      </c>
      <c r="B14" s="54"/>
      <c r="C14" s="323">
        <f>'[3]Air France'!$HL$19</f>
        <v>32</v>
      </c>
      <c r="D14" s="325">
        <f>'[3]Air France'!$GX$19</f>
        <v>0</v>
      </c>
      <c r="E14" s="326" t="e">
        <f>(C14-D14)/D14</f>
        <v>#DIV/0!</v>
      </c>
      <c r="F14" s="325">
        <f>SUM('[3]Air France'!$HD$19:$HL$19)</f>
        <v>126</v>
      </c>
      <c r="G14" s="325">
        <f>SUM('[3]Air France'!$GP$19:$GX$19)</f>
        <v>0</v>
      </c>
      <c r="H14" s="324" t="e">
        <f>(F14-G14)/G14</f>
        <v>#DIV/0!</v>
      </c>
      <c r="I14" s="326">
        <f>F14/$F$71</f>
        <v>6.2904385334291882E-4</v>
      </c>
      <c r="J14" s="322" t="s">
        <v>156</v>
      </c>
      <c r="K14" s="54"/>
      <c r="L14" s="323">
        <f>'[3]Air France'!$HL$41</f>
        <v>5201</v>
      </c>
      <c r="M14" s="325">
        <f>'[3]Air France'!$GX$41</f>
        <v>0</v>
      </c>
      <c r="N14" s="326" t="e">
        <f>(L14-M14)/M14</f>
        <v>#DIV/0!</v>
      </c>
      <c r="O14" s="323">
        <f>SUM('[3]Air France'!$HD$41:$HL$41)</f>
        <v>21245</v>
      </c>
      <c r="P14" s="325">
        <f>SUM('[3]Air France'!$GP$41:$GX$41)</f>
        <v>0</v>
      </c>
      <c r="Q14" s="324" t="e">
        <f>(O14-P14)/P14</f>
        <v>#DIV/0!</v>
      </c>
      <c r="R14" s="326">
        <f>O14/$O$71</f>
        <v>1.2181802376933692E-3</v>
      </c>
      <c r="S14" s="322" t="s">
        <v>156</v>
      </c>
      <c r="T14" s="54"/>
      <c r="U14" s="475">
        <f>'[3]Air France'!$HL$64</f>
        <v>373448</v>
      </c>
      <c r="V14" s="467">
        <f>'[3]Air France'!$GX$64</f>
        <v>0</v>
      </c>
      <c r="W14" s="476" t="e">
        <f>(U14-V14)/V14</f>
        <v>#DIV/0!</v>
      </c>
      <c r="X14" s="475">
        <f>SUM('[3]Air France'!$HD$64:$HL$64)</f>
        <v>1840520</v>
      </c>
      <c r="Y14" s="467">
        <f>SUM('[3]Air France'!$GP$64:$GX$64)</f>
        <v>0</v>
      </c>
      <c r="Z14" s="477" t="e">
        <f>(X14-Y14)/Y14</f>
        <v>#DIV/0!</v>
      </c>
      <c r="AA14" s="476">
        <f>X14/$X$71</f>
        <v>4.2569928240208818E-2</v>
      </c>
    </row>
    <row r="15" spans="1:27" ht="14.1" customHeight="1" x14ac:dyDescent="0.2">
      <c r="A15" s="322"/>
      <c r="B15" s="54"/>
      <c r="C15" s="323"/>
      <c r="D15" s="325"/>
      <c r="E15" s="326"/>
      <c r="F15" s="325"/>
      <c r="G15" s="325"/>
      <c r="H15" s="324"/>
      <c r="I15" s="326"/>
      <c r="J15" s="322"/>
      <c r="K15" s="54"/>
      <c r="L15" s="327"/>
      <c r="M15" s="9"/>
      <c r="N15" s="84"/>
      <c r="O15" s="327"/>
      <c r="P15" s="9"/>
      <c r="Q15" s="38"/>
      <c r="R15" s="84"/>
      <c r="S15" s="322"/>
      <c r="T15" s="54"/>
      <c r="U15" s="450"/>
      <c r="V15" s="2"/>
      <c r="W15" s="83"/>
      <c r="X15" s="450"/>
      <c r="Y15" s="2"/>
      <c r="Z15" s="3"/>
      <c r="AA15" s="83"/>
    </row>
    <row r="16" spans="1:27" ht="14.1" customHeight="1" x14ac:dyDescent="0.2">
      <c r="A16" s="322" t="s">
        <v>128</v>
      </c>
      <c r="B16" s="54"/>
      <c r="C16" s="323">
        <f>SUM(C17:C19)</f>
        <v>179</v>
      </c>
      <c r="D16" s="325">
        <f>SUM(D17:D19)</f>
        <v>120</v>
      </c>
      <c r="E16" s="326">
        <f>(C16-D16)/D16</f>
        <v>0.49166666666666664</v>
      </c>
      <c r="F16" s="325">
        <f>SUM(F17:F19)</f>
        <v>1378</v>
      </c>
      <c r="G16" s="325">
        <f>SUM(G17:G19)</f>
        <v>1252</v>
      </c>
      <c r="H16" s="324">
        <f>(F16-G16)/G16</f>
        <v>0.10063897763578275</v>
      </c>
      <c r="I16" s="326">
        <f>F16/$F$71</f>
        <v>6.8795430944963657E-3</v>
      </c>
      <c r="J16" s="322" t="s">
        <v>128</v>
      </c>
      <c r="K16" s="54"/>
      <c r="L16" s="323">
        <f>SUM(L17:L19)</f>
        <v>22601</v>
      </c>
      <c r="M16" s="325">
        <f>SUM(M17:M19)</f>
        <v>9093</v>
      </c>
      <c r="N16" s="326">
        <f>(L16-M16)/M16</f>
        <v>1.4855383261849775</v>
      </c>
      <c r="O16" s="323">
        <f>SUM(O17:O19)</f>
        <v>167532</v>
      </c>
      <c r="P16" s="325">
        <f>SUM(P17:P19)</f>
        <v>87672</v>
      </c>
      <c r="Q16" s="324">
        <f>(O16-P16)/P16</f>
        <v>0.91089515466739668</v>
      </c>
      <c r="R16" s="326">
        <f>O16/$O$71</f>
        <v>9.6062213029534261E-3</v>
      </c>
      <c r="S16" s="322" t="s">
        <v>128</v>
      </c>
      <c r="T16" s="54"/>
      <c r="U16" s="475">
        <f>SUM(U17:U19)</f>
        <v>8834</v>
      </c>
      <c r="V16" s="467">
        <f>SUM(V17:V19)</f>
        <v>44164</v>
      </c>
      <c r="W16" s="476">
        <f>(U16-V16)/V16</f>
        <v>-0.79997282854813878</v>
      </c>
      <c r="X16" s="475">
        <f>SUM(X17:X19)</f>
        <v>251254</v>
      </c>
      <c r="Y16" s="467">
        <f>SUM(Y17:Y19)</f>
        <v>292115</v>
      </c>
      <c r="Z16" s="477">
        <f>(X16-Y16)/Y16</f>
        <v>-0.13987984184310973</v>
      </c>
      <c r="AA16" s="476">
        <f>X16/$X$71</f>
        <v>5.8113276411369758E-3</v>
      </c>
    </row>
    <row r="17" spans="1:27" ht="14.1" customHeight="1" x14ac:dyDescent="0.2">
      <c r="A17" s="322"/>
      <c r="B17" s="396" t="s">
        <v>128</v>
      </c>
      <c r="C17" s="402">
        <f>[3]Alaska!$HL$19</f>
        <v>119</v>
      </c>
      <c r="D17" s="267">
        <f>[3]Alaska!$GX$19</f>
        <v>120</v>
      </c>
      <c r="E17" s="404">
        <f>(C17-D17)/D17</f>
        <v>-8.3333333333333332E-3</v>
      </c>
      <c r="F17" s="267">
        <f>SUM([3]Alaska!$HD$19:$HL$19)</f>
        <v>1024</v>
      </c>
      <c r="G17" s="267">
        <f>SUM([3]Alaska!$GP$19:$GX$19)</f>
        <v>1028</v>
      </c>
      <c r="H17" s="403">
        <f>(F17-G17)/G17</f>
        <v>-3.8910505836575876E-3</v>
      </c>
      <c r="I17" s="404">
        <f>F17/$F$71</f>
        <v>5.1122294112948318E-3</v>
      </c>
      <c r="J17" s="322"/>
      <c r="K17" s="396" t="s">
        <v>128</v>
      </c>
      <c r="L17" s="402">
        <f>[3]Alaska!$HL$41</f>
        <v>18653</v>
      </c>
      <c r="M17" s="267">
        <f>[3]Alaska!$GX$41</f>
        <v>9093</v>
      </c>
      <c r="N17" s="404">
        <f>(L17-M17)/M17</f>
        <v>1.0513581876168481</v>
      </c>
      <c r="O17" s="402">
        <f>SUM([3]Alaska!$HD$41:$HL$41)</f>
        <v>138732</v>
      </c>
      <c r="P17" s="267">
        <f>SUM([3]Alaska!$GP$41:$GX$41)</f>
        <v>75313</v>
      </c>
      <c r="Q17" s="403">
        <f>(O17-P17)/P17</f>
        <v>0.84207241777647945</v>
      </c>
      <c r="R17" s="404">
        <f>O17/$O$71</f>
        <v>7.9548402323217932E-3</v>
      </c>
      <c r="S17" s="322"/>
      <c r="T17" s="396" t="s">
        <v>128</v>
      </c>
      <c r="U17" s="504">
        <f>[3]Alaska!$HL$64</f>
        <v>5549</v>
      </c>
      <c r="V17" s="283">
        <f>[3]Alaska!$GX$64</f>
        <v>44164</v>
      </c>
      <c r="W17" s="505">
        <f>(U17-V17)/V17</f>
        <v>-0.87435467801829547</v>
      </c>
      <c r="X17" s="504">
        <f>SUM([3]Alaska!$HD$64:$HL$64)</f>
        <v>229643</v>
      </c>
      <c r="Y17" s="283">
        <f>SUM([3]Alaska!$GP$64:$GX$64)</f>
        <v>279208</v>
      </c>
      <c r="Z17" s="488">
        <f>(X17-Y17)/Y17</f>
        <v>-0.17751998510071346</v>
      </c>
      <c r="AA17" s="505">
        <f>X17/$X$71</f>
        <v>5.3114804679472508E-3</v>
      </c>
    </row>
    <row r="18" spans="1:27" ht="14.1" customHeight="1" x14ac:dyDescent="0.2">
      <c r="A18" s="322"/>
      <c r="B18" s="396" t="s">
        <v>97</v>
      </c>
      <c r="C18" s="327">
        <f>'[3]Sky West_AS'!$HL$19</f>
        <v>0</v>
      </c>
      <c r="D18" s="9">
        <f>'[3]Sky West_AS'!$GX$19</f>
        <v>0</v>
      </c>
      <c r="E18" s="84" t="e">
        <f>(C18-D18)/D18</f>
        <v>#DIV/0!</v>
      </c>
      <c r="F18" s="9">
        <f>SUM('[3]Sky West_AS'!$HD$19:$HL$19)</f>
        <v>0</v>
      </c>
      <c r="G18" s="9">
        <f>SUM('[3]Sky West_AS'!$GP$19:$GX$19)</f>
        <v>40</v>
      </c>
      <c r="H18" s="38">
        <f>(F18-G18)/G18</f>
        <v>-1</v>
      </c>
      <c r="I18" s="84">
        <f>F18/$F$71</f>
        <v>0</v>
      </c>
      <c r="J18" s="322"/>
      <c r="K18" s="396" t="s">
        <v>97</v>
      </c>
      <c r="L18" s="327">
        <f>'[3]Sky West_AS'!$HL$41</f>
        <v>0</v>
      </c>
      <c r="M18" s="9">
        <f>'[3]Sky West_AS'!$GX$41</f>
        <v>0</v>
      </c>
      <c r="N18" s="84" t="e">
        <f>(L18-M18)/M18</f>
        <v>#DIV/0!</v>
      </c>
      <c r="O18" s="327">
        <f>SUM('[3]Sky West_AS'!$HD$41:$HL$41)</f>
        <v>0</v>
      </c>
      <c r="P18" s="9">
        <f>SUM('[3]Sky West_AS'!$GP$41:$GX$41)</f>
        <v>1379</v>
      </c>
      <c r="Q18" s="38">
        <f>(O18-P18)/P18</f>
        <v>-1</v>
      </c>
      <c r="R18" s="404">
        <f>O18/$O$71</f>
        <v>0</v>
      </c>
      <c r="S18" s="322"/>
      <c r="T18" s="396" t="s">
        <v>97</v>
      </c>
      <c r="U18" s="450">
        <f>'[3]Sky West_AS'!$HL$64</f>
        <v>0</v>
      </c>
      <c r="V18" s="2">
        <f>'[3]Sky West_AS'!$GX$64</f>
        <v>0</v>
      </c>
      <c r="W18" s="83" t="e">
        <f>(U18-V18)/V18</f>
        <v>#DIV/0!</v>
      </c>
      <c r="X18" s="450">
        <f>SUM('[3]Sky West_AS'!$HD$64:$HL$64)</f>
        <v>0</v>
      </c>
      <c r="Y18" s="2">
        <f>SUM('[3]Sky West_AS'!$GP$64:$GX$64)</f>
        <v>286</v>
      </c>
      <c r="Z18" s="3">
        <f>(X18-Y18)/Y18</f>
        <v>-1</v>
      </c>
      <c r="AA18" s="505">
        <f>X18/$X$71</f>
        <v>0</v>
      </c>
    </row>
    <row r="19" spans="1:27" ht="14.1" customHeight="1" x14ac:dyDescent="0.2">
      <c r="A19" s="322"/>
      <c r="B19" s="396" t="s">
        <v>193</v>
      </c>
      <c r="C19" s="327">
        <f>[3]Horizon_AS!$HL$19</f>
        <v>60</v>
      </c>
      <c r="D19" s="9">
        <f>[3]Horizon_AS!$GX$19</f>
        <v>0</v>
      </c>
      <c r="E19" s="84" t="e">
        <f>(C19-D19)/D19</f>
        <v>#DIV/0!</v>
      </c>
      <c r="F19" s="9">
        <f>SUM([3]Horizon_AS!$HD$19:$HL$19)</f>
        <v>354</v>
      </c>
      <c r="G19" s="9">
        <f>SUM([3]Horizon_AS!$GP$19:$GX$19)</f>
        <v>184</v>
      </c>
      <c r="H19" s="38">
        <f>(F19-G19)/G19</f>
        <v>0.92391304347826086</v>
      </c>
      <c r="I19" s="84">
        <f>F19/$F$71</f>
        <v>1.7673136832015337E-3</v>
      </c>
      <c r="J19" s="322"/>
      <c r="K19" s="396" t="s">
        <v>193</v>
      </c>
      <c r="L19" s="327">
        <f>[3]Horizon_AS!$HL$41</f>
        <v>3948</v>
      </c>
      <c r="M19" s="9">
        <f>[3]Horizon_AS!$GX$41</f>
        <v>0</v>
      </c>
      <c r="N19" s="84" t="e">
        <f>(L19-M19)/M19</f>
        <v>#DIV/0!</v>
      </c>
      <c r="O19" s="327">
        <f>SUM([3]Horizon_AS!$HD$41:$HL$41)</f>
        <v>28800</v>
      </c>
      <c r="P19" s="9">
        <f>SUM([3]Horizon_AS!$GP$41:$GX$41)</f>
        <v>10980</v>
      </c>
      <c r="Q19" s="38">
        <f>(O19-P19)/P19</f>
        <v>1.6229508196721312</v>
      </c>
      <c r="R19" s="404">
        <f>O19/$O$71</f>
        <v>1.6513810706316326E-3</v>
      </c>
      <c r="S19" s="322"/>
      <c r="T19" s="396" t="s">
        <v>193</v>
      </c>
      <c r="U19" s="450">
        <f>[3]Horizon_AS!$HL$64</f>
        <v>3285</v>
      </c>
      <c r="V19" s="2">
        <f>[3]Horizon_AS!$GX$64</f>
        <v>0</v>
      </c>
      <c r="W19" s="83" t="e">
        <f>(U19-V19)/V19</f>
        <v>#DIV/0!</v>
      </c>
      <c r="X19" s="450">
        <f>SUM([3]Horizon_AS!$HD$64:$HL$64)</f>
        <v>21611</v>
      </c>
      <c r="Y19" s="2">
        <f>SUM([3]Horizon_AS!$GP$64:$GX$64)</f>
        <v>12621</v>
      </c>
      <c r="Z19" s="3">
        <f>(X19-Y19)/Y19</f>
        <v>0.71230488867760078</v>
      </c>
      <c r="AA19" s="505">
        <f>X19/$X$71</f>
        <v>4.9984717318972513E-4</v>
      </c>
    </row>
    <row r="20" spans="1:27" ht="14.1" customHeight="1" x14ac:dyDescent="0.2">
      <c r="A20" s="322"/>
      <c r="B20" s="54"/>
      <c r="C20" s="323"/>
      <c r="D20" s="328"/>
      <c r="E20" s="326"/>
      <c r="F20" s="328"/>
      <c r="G20" s="328"/>
      <c r="H20" s="324"/>
      <c r="I20" s="326"/>
      <c r="J20" s="322"/>
      <c r="K20" s="54"/>
      <c r="L20" s="329"/>
      <c r="M20" s="144"/>
      <c r="N20" s="84"/>
      <c r="O20" s="329"/>
      <c r="P20" s="144"/>
      <c r="Q20" s="38"/>
      <c r="R20" s="84"/>
      <c r="S20" s="322"/>
      <c r="T20" s="54"/>
      <c r="U20" s="167"/>
      <c r="V20" s="128"/>
      <c r="W20" s="83"/>
      <c r="X20" s="167"/>
      <c r="Y20" s="128"/>
      <c r="Z20" s="3"/>
      <c r="AA20" s="83"/>
    </row>
    <row r="21" spans="1:27" ht="14.1" customHeight="1" x14ac:dyDescent="0.2">
      <c r="A21" s="322" t="s">
        <v>17</v>
      </c>
      <c r="B21" s="335"/>
      <c r="C21" s="323">
        <f>SUM(C22:C28)</f>
        <v>1246</v>
      </c>
      <c r="D21" s="325">
        <f>SUM(D22:D28)</f>
        <v>795</v>
      </c>
      <c r="E21" s="326">
        <f t="shared" ref="E21:E28" si="9">(C21-D21)/D21</f>
        <v>0.56729559748427671</v>
      </c>
      <c r="F21" s="323">
        <f>SUM(F22:F28)</f>
        <v>9153</v>
      </c>
      <c r="G21" s="325">
        <f>SUM(G22:G28)</f>
        <v>8650</v>
      </c>
      <c r="H21" s="324">
        <f t="shared" ref="H21:H28" si="10">(F21-G21)/G21</f>
        <v>5.8150289017341039E-2</v>
      </c>
      <c r="I21" s="326">
        <f t="shared" ref="I21:I28" si="11">F21/$F$71</f>
        <v>4.5695542774982029E-2</v>
      </c>
      <c r="J21" s="322" t="s">
        <v>17</v>
      </c>
      <c r="K21" s="330"/>
      <c r="L21" s="323">
        <f>SUM(L22:L28)</f>
        <v>127276</v>
      </c>
      <c r="M21" s="325">
        <f>SUM(M22:M28)</f>
        <v>72594</v>
      </c>
      <c r="N21" s="326">
        <f t="shared" ref="N21:N28" si="12">(L21-M21)/M21</f>
        <v>0.75325784500096427</v>
      </c>
      <c r="O21" s="323">
        <f>SUM(O22:O28)</f>
        <v>947088</v>
      </c>
      <c r="P21" s="325">
        <f>SUM(P22:P28)</f>
        <v>701552</v>
      </c>
      <c r="Q21" s="324">
        <f t="shared" ref="Q21:Q28" si="13">(O21-P21)/P21</f>
        <v>0.3499897370401624</v>
      </c>
      <c r="R21" s="326">
        <f t="shared" ref="R21:R28" si="14">O21/$O$71</f>
        <v>5.4305666507721236E-2</v>
      </c>
      <c r="S21" s="322" t="s">
        <v>17</v>
      </c>
      <c r="T21" s="330"/>
      <c r="U21" s="475">
        <f>SUM(U22:U28)</f>
        <v>112225</v>
      </c>
      <c r="V21" s="467">
        <f>SUM(V22:V28)</f>
        <v>163632</v>
      </c>
      <c r="W21" s="476">
        <f t="shared" ref="W21:W25" si="15">(U21-V21)/V21</f>
        <v>-0.31416226654933022</v>
      </c>
      <c r="X21" s="475">
        <f>SUM(X22:X28)</f>
        <v>1266857</v>
      </c>
      <c r="Y21" s="467">
        <f>SUM(Y22:Y28)</f>
        <v>1691380</v>
      </c>
      <c r="Z21" s="477">
        <f t="shared" ref="Z21:Z25" si="16">(X21-Y21)/Y21</f>
        <v>-0.25099208929986166</v>
      </c>
      <c r="AA21" s="476">
        <f t="shared" ref="AA21:AA28" si="17">X21/$X$71</f>
        <v>2.9301508041535123E-2</v>
      </c>
    </row>
    <row r="22" spans="1:27" ht="14.1" customHeight="1" x14ac:dyDescent="0.2">
      <c r="A22" s="52"/>
      <c r="B22" s="332" t="s">
        <v>17</v>
      </c>
      <c r="C22" s="327">
        <f>[3]American!$HL$19</f>
        <v>787</v>
      </c>
      <c r="D22" s="9">
        <f>[3]American!$GX$19</f>
        <v>507</v>
      </c>
      <c r="E22" s="84">
        <f t="shared" si="9"/>
        <v>0.55226824457593693</v>
      </c>
      <c r="F22" s="9">
        <f>SUM([3]American!$HD$19:$HL$19)</f>
        <v>5727</v>
      </c>
      <c r="G22" s="9">
        <f>SUM([3]American!$GP$19:$GX$19)</f>
        <v>5386</v>
      </c>
      <c r="H22" s="38">
        <f t="shared" si="10"/>
        <v>6.3312291125139253E-2</v>
      </c>
      <c r="I22" s="84">
        <f t="shared" si="11"/>
        <v>2.8591540857895999E-2</v>
      </c>
      <c r="J22" s="52"/>
      <c r="K22" s="331" t="s">
        <v>17</v>
      </c>
      <c r="L22" s="327">
        <f>[3]American!$HL$41</f>
        <v>102309</v>
      </c>
      <c r="M22" s="9">
        <f>[3]American!$GX$41</f>
        <v>56667</v>
      </c>
      <c r="N22" s="84">
        <f t="shared" si="12"/>
        <v>0.80544232092752399</v>
      </c>
      <c r="O22" s="327">
        <f>SUM([3]American!$HD$41:$HL$41)</f>
        <v>737441</v>
      </c>
      <c r="P22" s="9">
        <f>SUM([3]American!$GP$41:$GX$41)</f>
        <v>545617</v>
      </c>
      <c r="Q22" s="38">
        <f t="shared" si="13"/>
        <v>0.35157262328703104</v>
      </c>
      <c r="R22" s="84">
        <f t="shared" si="14"/>
        <v>4.2284587087071591E-2</v>
      </c>
      <c r="S22" s="52"/>
      <c r="T22" s="54" t="s">
        <v>17</v>
      </c>
      <c r="U22" s="450">
        <f>[3]American!$HL$64</f>
        <v>108667</v>
      </c>
      <c r="V22" s="2">
        <f>[3]American!$GX$64</f>
        <v>162649</v>
      </c>
      <c r="W22" s="83">
        <f t="shared" si="15"/>
        <v>-0.33189260309008972</v>
      </c>
      <c r="X22" s="450">
        <f>SUM([3]American!$HD$64:$HL$64)</f>
        <v>1249180</v>
      </c>
      <c r="Y22" s="2">
        <f>SUM([3]American!$GP$64:$GX$64)</f>
        <v>1679050</v>
      </c>
      <c r="Z22" s="3">
        <f t="shared" si="16"/>
        <v>-0.25601977308597124</v>
      </c>
      <c r="AA22" s="83">
        <f t="shared" si="17"/>
        <v>2.8892651511042561E-2</v>
      </c>
    </row>
    <row r="23" spans="1:27" ht="14.1" customHeight="1" x14ac:dyDescent="0.2">
      <c r="A23" s="52"/>
      <c r="B23" s="397" t="s">
        <v>165</v>
      </c>
      <c r="C23" s="327">
        <f>'[3]American Eagle'!$HL$19</f>
        <v>120</v>
      </c>
      <c r="D23" s="9">
        <f>'[3]American Eagle'!$GX$19</f>
        <v>105</v>
      </c>
      <c r="E23" s="84">
        <f t="shared" si="9"/>
        <v>0.14285714285714285</v>
      </c>
      <c r="F23" s="9">
        <f>SUM('[3]American Eagle'!$HD$19:$HL$19)</f>
        <v>1406</v>
      </c>
      <c r="G23" s="9">
        <f>SUM('[3]American Eagle'!$GP$19:$GX$19)</f>
        <v>773</v>
      </c>
      <c r="H23" s="38">
        <f t="shared" si="10"/>
        <v>0.81888745148771025</v>
      </c>
      <c r="I23" s="84">
        <f t="shared" si="11"/>
        <v>7.0193306174614585E-3</v>
      </c>
      <c r="J23" s="52"/>
      <c r="K23" s="395" t="s">
        <v>165</v>
      </c>
      <c r="L23" s="327">
        <f>'[3]American Eagle'!$HL$41</f>
        <v>7819</v>
      </c>
      <c r="M23" s="9">
        <f>'[3]American Eagle'!$GX$41</f>
        <v>7079</v>
      </c>
      <c r="N23" s="84">
        <f t="shared" si="12"/>
        <v>0.10453453877666337</v>
      </c>
      <c r="O23" s="327">
        <f>SUM('[3]American Eagle'!$HD$41:$HL$41)</f>
        <v>90421</v>
      </c>
      <c r="P23" s="9">
        <f>SUM('[3]American Eagle'!$GP$41:$GX$41)</f>
        <v>43830</v>
      </c>
      <c r="Q23" s="38">
        <f t="shared" si="13"/>
        <v>1.0629933835272645</v>
      </c>
      <c r="R23" s="84">
        <f t="shared" si="14"/>
        <v>5.1847058259577384E-3</v>
      </c>
      <c r="S23" s="52"/>
      <c r="T23" s="396" t="s">
        <v>165</v>
      </c>
      <c r="U23" s="450">
        <f>'[3]American Eagle'!$HL$64</f>
        <v>2230</v>
      </c>
      <c r="V23" s="2">
        <f>'[3]American Eagle'!$GX$64</f>
        <v>906</v>
      </c>
      <c r="W23" s="83">
        <f t="shared" si="15"/>
        <v>1.4613686534216335</v>
      </c>
      <c r="X23" s="450">
        <f>SUM('[3]American Eagle'!$HD$64:$HL$64)</f>
        <v>11328</v>
      </c>
      <c r="Y23" s="2">
        <f>SUM('[3]American Eagle'!$GP$64:$GX$64)</f>
        <v>5958</v>
      </c>
      <c r="Z23" s="3">
        <f t="shared" si="16"/>
        <v>0.90130916414904327</v>
      </c>
      <c r="AA23" s="83">
        <f t="shared" si="17"/>
        <v>2.6200864272329856E-4</v>
      </c>
    </row>
    <row r="24" spans="1:27" ht="14.1" customHeight="1" x14ac:dyDescent="0.2">
      <c r="A24" s="52"/>
      <c r="B24" s="397" t="s">
        <v>52</v>
      </c>
      <c r="C24" s="327">
        <f>[3]Republic!$HL$19</f>
        <v>285</v>
      </c>
      <c r="D24" s="9">
        <f>[3]Republic!$GX$19</f>
        <v>183</v>
      </c>
      <c r="E24" s="84">
        <f t="shared" si="9"/>
        <v>0.55737704918032782</v>
      </c>
      <c r="F24" s="9">
        <f>SUM([3]Republic!$HD$19:$HL$19)</f>
        <v>1430</v>
      </c>
      <c r="G24" s="9">
        <f>SUM([3]Republic!$GP$19:$GX$19)</f>
        <v>2187</v>
      </c>
      <c r="H24" s="38">
        <f t="shared" si="10"/>
        <v>-0.34613625971650663</v>
      </c>
      <c r="I24" s="84">
        <f t="shared" si="11"/>
        <v>7.1391484942886808E-3</v>
      </c>
      <c r="J24" s="337"/>
      <c r="K24" s="333" t="s">
        <v>52</v>
      </c>
      <c r="L24" s="327">
        <f>[3]Republic!$HL$41</f>
        <v>14364</v>
      </c>
      <c r="M24" s="9">
        <f>[3]Republic!$GX$41</f>
        <v>8848</v>
      </c>
      <c r="N24" s="84">
        <f t="shared" si="12"/>
        <v>0.62341772151898733</v>
      </c>
      <c r="O24" s="327">
        <f>SUM([3]Republic!$HD$41:$HL$41)</f>
        <v>87121</v>
      </c>
      <c r="P24" s="9">
        <f>SUM([3]Republic!$GP$41:$GX$41)</f>
        <v>96105</v>
      </c>
      <c r="Q24" s="38">
        <f t="shared" si="13"/>
        <v>-9.3481088392903589E-2</v>
      </c>
      <c r="R24" s="84">
        <f t="shared" si="14"/>
        <v>4.9954850782811967E-3</v>
      </c>
      <c r="S24" s="52"/>
      <c r="T24" s="398" t="s">
        <v>52</v>
      </c>
      <c r="U24" s="450">
        <f>[3]Republic!$HL$64</f>
        <v>790</v>
      </c>
      <c r="V24" s="2">
        <f>[3]Republic!$GX$64</f>
        <v>77</v>
      </c>
      <c r="W24" s="83">
        <f t="shared" si="15"/>
        <v>9.2597402597402603</v>
      </c>
      <c r="X24" s="450">
        <f>SUM([3]Republic!$HD$64:$HL$64)</f>
        <v>4585</v>
      </c>
      <c r="Y24" s="2">
        <f>SUM([3]Republic!$GP$64:$GX$64)</f>
        <v>5728</v>
      </c>
      <c r="Z24" s="3">
        <f t="shared" si="16"/>
        <v>-0.19954608938547486</v>
      </c>
      <c r="AA24" s="83">
        <f t="shared" si="17"/>
        <v>1.060478131079029E-4</v>
      </c>
    </row>
    <row r="25" spans="1:27" ht="14.1" customHeight="1" x14ac:dyDescent="0.2">
      <c r="A25" s="52"/>
      <c r="B25" s="397" t="s">
        <v>182</v>
      </c>
      <c r="C25" s="327">
        <f>[3]PSA!$HL$19</f>
        <v>0</v>
      </c>
      <c r="D25" s="9">
        <f>[3]PSA!$GX$19</f>
        <v>0</v>
      </c>
      <c r="E25" s="84" t="e">
        <f t="shared" si="9"/>
        <v>#DIV/0!</v>
      </c>
      <c r="F25" s="9">
        <f>SUM([3]PSA!$HD$19:$HL$19)</f>
        <v>140</v>
      </c>
      <c r="G25" s="9">
        <f>SUM([3]PSA!$GP$19:$GX$19)</f>
        <v>0</v>
      </c>
      <c r="H25" s="38" t="e">
        <f t="shared" si="10"/>
        <v>#DIV/0!</v>
      </c>
      <c r="I25" s="84">
        <f t="shared" si="11"/>
        <v>6.9893761482546534E-4</v>
      </c>
      <c r="J25" s="337"/>
      <c r="K25" s="397" t="s">
        <v>182</v>
      </c>
      <c r="L25" s="327">
        <f>[3]PSA!$HL$41</f>
        <v>0</v>
      </c>
      <c r="M25" s="9">
        <f>[3]PSA!$GX$41</f>
        <v>0</v>
      </c>
      <c r="N25" s="84" t="e">
        <f t="shared" si="12"/>
        <v>#DIV/0!</v>
      </c>
      <c r="O25" s="327">
        <f>SUM([3]PSA!$HD$41:$HL$41)</f>
        <v>7181</v>
      </c>
      <c r="P25" s="9">
        <f>SUM([3]PSA!$GP$41:$GX$41)</f>
        <v>0</v>
      </c>
      <c r="Q25" s="38" t="e">
        <f t="shared" si="13"/>
        <v>#DIV/0!</v>
      </c>
      <c r="R25" s="84">
        <f t="shared" si="14"/>
        <v>4.1175581486825531E-4</v>
      </c>
      <c r="S25" s="52"/>
      <c r="T25" s="396" t="s">
        <v>182</v>
      </c>
      <c r="U25" s="450">
        <f>[3]PSA!$HL$64</f>
        <v>0</v>
      </c>
      <c r="V25" s="2">
        <f>[3]PSA!$GX$64</f>
        <v>0</v>
      </c>
      <c r="W25" s="83" t="e">
        <f t="shared" si="15"/>
        <v>#DIV/0!</v>
      </c>
      <c r="X25" s="450">
        <f>SUM([3]PSA!$HD$64:$HL$64)</f>
        <v>31</v>
      </c>
      <c r="Y25" s="2">
        <f>SUM([3]PSA!$GP$64:$GX$64)</f>
        <v>0</v>
      </c>
      <c r="Z25" s="3" t="e">
        <f t="shared" si="16"/>
        <v>#DIV/0!</v>
      </c>
      <c r="AA25" s="83">
        <f t="shared" si="17"/>
        <v>7.1700811479716248E-7</v>
      </c>
    </row>
    <row r="26" spans="1:27" ht="14.1" customHeight="1" x14ac:dyDescent="0.2">
      <c r="A26" s="52"/>
      <c r="B26" s="396" t="s">
        <v>97</v>
      </c>
      <c r="C26" s="327">
        <f>'[3]Sky West_AA'!$HL$19</f>
        <v>54</v>
      </c>
      <c r="D26" s="9">
        <f>'[3]Sky West_AA'!$GX$19</f>
        <v>0</v>
      </c>
      <c r="E26" s="84" t="e">
        <f>(C26-D26)/D26</f>
        <v>#DIV/0!</v>
      </c>
      <c r="F26" s="9">
        <f>SUM('[3]Sky West_AA'!$HD$19:$HL$19)</f>
        <v>450</v>
      </c>
      <c r="G26" s="9">
        <f>SUM('[3]Sky West_AA'!$GP$19:$GX$19)</f>
        <v>298</v>
      </c>
      <c r="H26" s="38">
        <f>(F26-G26)/G26</f>
        <v>0.51006711409395977</v>
      </c>
      <c r="I26" s="84">
        <f t="shared" si="11"/>
        <v>2.246585190510424E-3</v>
      </c>
      <c r="J26" s="337"/>
      <c r="K26" s="396" t="s">
        <v>97</v>
      </c>
      <c r="L26" s="327">
        <f>'[3]Sky West_AA'!$HL$41</f>
        <v>2784</v>
      </c>
      <c r="M26" s="9">
        <f>'[3]Sky West_AA'!$GX$41</f>
        <v>0</v>
      </c>
      <c r="N26" s="84" t="e">
        <f>(L26-M26)/M26</f>
        <v>#DIV/0!</v>
      </c>
      <c r="O26" s="327">
        <f>SUM('[3]Sky West_AA'!$HD$41:$HL$41)</f>
        <v>24924</v>
      </c>
      <c r="P26" s="9">
        <f>SUM('[3]Sky West_AA'!$GP$41:$GX$41)</f>
        <v>15806</v>
      </c>
      <c r="Q26" s="38">
        <f>(O26-P26)/P26</f>
        <v>0.57686954321143868</v>
      </c>
      <c r="R26" s="404">
        <f t="shared" si="14"/>
        <v>1.4291327015424587E-3</v>
      </c>
      <c r="S26" s="52"/>
      <c r="T26" s="396" t="s">
        <v>97</v>
      </c>
      <c r="U26" s="450">
        <f>'[3]Sky West_AA'!$HL$64</f>
        <v>538</v>
      </c>
      <c r="V26" s="2">
        <f>'[3]Sky West_AA'!$GX$64</f>
        <v>0</v>
      </c>
      <c r="W26" s="83" t="e">
        <f>(U26-V26)/V26</f>
        <v>#DIV/0!</v>
      </c>
      <c r="X26" s="450">
        <f>SUM('[3]Sky West_AA'!$HD$64:$HL$64)</f>
        <v>1733</v>
      </c>
      <c r="Y26" s="2">
        <f>SUM('[3]Sky West_AA'!$GP$64:$GX$64)</f>
        <v>644</v>
      </c>
      <c r="Z26" s="3">
        <f>(X26-Y26)/Y26</f>
        <v>1.6909937888198758</v>
      </c>
      <c r="AA26" s="505">
        <f t="shared" si="17"/>
        <v>4.008306654656395E-5</v>
      </c>
    </row>
    <row r="27" spans="1:27" ht="14.1" customHeight="1" x14ac:dyDescent="0.2">
      <c r="A27" s="52"/>
      <c r="B27" s="397" t="s">
        <v>51</v>
      </c>
      <c r="C27" s="327">
        <f>[3]MESA!$HL$19</f>
        <v>0</v>
      </c>
      <c r="D27" s="9">
        <f>[3]MESA!$GX$19</f>
        <v>0</v>
      </c>
      <c r="E27" s="84" t="e">
        <f t="shared" si="9"/>
        <v>#DIV/0!</v>
      </c>
      <c r="F27" s="9">
        <f>SUM([3]MESA!$HD$19:$HL$19)</f>
        <v>0</v>
      </c>
      <c r="G27" s="9">
        <f>SUM([3]MESA!$GP$19:$GX$19)</f>
        <v>0</v>
      </c>
      <c r="H27" s="38" t="e">
        <f t="shared" si="10"/>
        <v>#DIV/0!</v>
      </c>
      <c r="I27" s="84">
        <f t="shared" si="11"/>
        <v>0</v>
      </c>
      <c r="J27" s="337"/>
      <c r="K27" s="395" t="s">
        <v>51</v>
      </c>
      <c r="L27" s="327">
        <f>[3]MESA!$HL$41</f>
        <v>0</v>
      </c>
      <c r="M27" s="9">
        <f>[3]MESA!$GX$41</f>
        <v>0</v>
      </c>
      <c r="N27" s="84" t="e">
        <f t="shared" si="12"/>
        <v>#DIV/0!</v>
      </c>
      <c r="O27" s="327">
        <f>SUM([3]MESA!$HD$41:$HL$41)</f>
        <v>0</v>
      </c>
      <c r="P27" s="9">
        <f>SUM([3]MESA!$GP$41:$GX$41)</f>
        <v>0</v>
      </c>
      <c r="Q27" s="38" t="e">
        <f t="shared" si="13"/>
        <v>#DIV/0!</v>
      </c>
      <c r="R27" s="84">
        <f t="shared" si="14"/>
        <v>0</v>
      </c>
      <c r="S27" s="52"/>
      <c r="T27" s="396" t="s">
        <v>51</v>
      </c>
      <c r="U27" s="450">
        <f>[3]MESA!$HL$64</f>
        <v>0</v>
      </c>
      <c r="V27" s="2">
        <f>[3]MESA!$GX$64</f>
        <v>0</v>
      </c>
      <c r="W27" s="83" t="e">
        <f t="shared" ref="W27:W28" si="18">(U27-V27)/V27</f>
        <v>#DIV/0!</v>
      </c>
      <c r="X27" s="450">
        <f>SUM([3]MESA!$HD$64:$HL$64)</f>
        <v>0</v>
      </c>
      <c r="Y27" s="2">
        <f>SUM([3]MESA!$GP$64:$GX$64)</f>
        <v>0</v>
      </c>
      <c r="Z27" s="3" t="e">
        <f t="shared" ref="Z27:Z28" si="19">(X27-Y27)/Y27</f>
        <v>#DIV/0!</v>
      </c>
      <c r="AA27" s="83">
        <f t="shared" si="17"/>
        <v>0</v>
      </c>
    </row>
    <row r="28" spans="1:27" ht="14.1" customHeight="1" x14ac:dyDescent="0.2">
      <c r="A28" s="52"/>
      <c r="B28" s="397" t="s">
        <v>50</v>
      </c>
      <c r="C28" s="327">
        <f>'[3]Air Wisconsin'!$HL$19</f>
        <v>0</v>
      </c>
      <c r="D28" s="9">
        <f>'[3]Air Wisconsin'!$GX$19</f>
        <v>0</v>
      </c>
      <c r="E28" s="84" t="e">
        <f t="shared" si="9"/>
        <v>#DIV/0!</v>
      </c>
      <c r="F28" s="9">
        <f>SUM('[3]Air Wisconsin'!$HD$19:$HL$19)</f>
        <v>0</v>
      </c>
      <c r="G28" s="9">
        <f>SUM('[3]Air Wisconsin'!$GP$19:$GX$19)</f>
        <v>6</v>
      </c>
      <c r="H28" s="442">
        <f t="shared" si="10"/>
        <v>-1</v>
      </c>
      <c r="I28" s="84">
        <f t="shared" si="11"/>
        <v>0</v>
      </c>
      <c r="J28" s="52"/>
      <c r="K28" s="398" t="s">
        <v>50</v>
      </c>
      <c r="L28" s="327">
        <f>'[3]Air Wisconsin'!$HL$41</f>
        <v>0</v>
      </c>
      <c r="M28" s="9">
        <f>'[3]Air Wisconsin'!$GX$41</f>
        <v>0</v>
      </c>
      <c r="N28" s="84" t="e">
        <f t="shared" si="12"/>
        <v>#DIV/0!</v>
      </c>
      <c r="O28" s="327">
        <f>SUM('[3]Air Wisconsin'!$HD$41:$HL$41)</f>
        <v>0</v>
      </c>
      <c r="P28" s="9">
        <f>SUM('[3]Air Wisconsin'!$GP$41:$GX$41)</f>
        <v>194</v>
      </c>
      <c r="Q28" s="38">
        <f t="shared" si="13"/>
        <v>-1</v>
      </c>
      <c r="R28" s="84">
        <f t="shared" si="14"/>
        <v>0</v>
      </c>
      <c r="S28" s="52"/>
      <c r="T28" s="398" t="s">
        <v>50</v>
      </c>
      <c r="U28" s="450">
        <f>'[3]Air Wisconsin'!$HL$64</f>
        <v>0</v>
      </c>
      <c r="V28" s="2">
        <f>'[3]Air Wisconsin'!$GX$64</f>
        <v>0</v>
      </c>
      <c r="W28" s="83" t="e">
        <f t="shared" si="18"/>
        <v>#DIV/0!</v>
      </c>
      <c r="X28" s="450">
        <f>SUM('[3]Air Wisconsin'!$HD$64:$HL$64)</f>
        <v>0</v>
      </c>
      <c r="Y28" s="2">
        <f>SUM('[3]Air Wisconsin'!$GP$64:$GX$64)</f>
        <v>0</v>
      </c>
      <c r="Z28" s="3" t="e">
        <f t="shared" si="19"/>
        <v>#DIV/0!</v>
      </c>
      <c r="AA28" s="83">
        <f t="shared" si="17"/>
        <v>0</v>
      </c>
    </row>
    <row r="29" spans="1:27" ht="14.1" customHeight="1" x14ac:dyDescent="0.2">
      <c r="A29" s="52"/>
      <c r="B29" s="332"/>
      <c r="C29" s="327"/>
      <c r="D29" s="9"/>
      <c r="E29" s="84"/>
      <c r="F29" s="9"/>
      <c r="G29" s="9"/>
      <c r="H29" s="38"/>
      <c r="I29" s="84"/>
      <c r="J29" s="52"/>
      <c r="K29" s="332"/>
      <c r="L29" s="327"/>
      <c r="M29" s="9"/>
      <c r="N29" s="84"/>
      <c r="O29" s="327"/>
      <c r="P29" s="9"/>
      <c r="Q29" s="38"/>
      <c r="R29" s="84"/>
      <c r="S29" s="52"/>
      <c r="T29" s="54"/>
      <c r="U29" s="450"/>
      <c r="V29" s="2"/>
      <c r="W29" s="83"/>
      <c r="X29" s="450"/>
      <c r="Y29" s="2"/>
      <c r="Z29" s="3"/>
      <c r="AA29" s="83"/>
    </row>
    <row r="30" spans="1:27" ht="14.1" customHeight="1" x14ac:dyDescent="0.2">
      <c r="A30" s="322" t="s">
        <v>179</v>
      </c>
      <c r="B30" s="332"/>
      <c r="C30" s="323">
        <f>'[3]Boutique Air'!$HL$19</f>
        <v>52</v>
      </c>
      <c r="D30" s="325">
        <f>'[3]Boutique Air'!$GX$19</f>
        <v>50</v>
      </c>
      <c r="E30" s="326">
        <f>(C30-D30)/D30</f>
        <v>0.04</v>
      </c>
      <c r="F30" s="325">
        <f>SUM('[3]Boutique Air'!$HD$19:$HL$19)</f>
        <v>416</v>
      </c>
      <c r="G30" s="325">
        <f>SUM('[3]Boutique Air'!$GP$19:$GX$19)</f>
        <v>890</v>
      </c>
      <c r="H30" s="324">
        <f>(F30-G30)/G30</f>
        <v>-0.53258426966292138</v>
      </c>
      <c r="I30" s="326">
        <f>F30/$F$71</f>
        <v>2.0768431983385254E-3</v>
      </c>
      <c r="J30" s="322" t="s">
        <v>179</v>
      </c>
      <c r="K30" s="332"/>
      <c r="L30" s="323">
        <f>'[3]Boutique Air'!$HL$41</f>
        <v>193</v>
      </c>
      <c r="M30" s="325">
        <f>'[3]Boutique Air'!$GX$41</f>
        <v>158</v>
      </c>
      <c r="N30" s="326">
        <f>(L30-M30)/M30</f>
        <v>0.22151898734177214</v>
      </c>
      <c r="O30" s="323">
        <f>SUM('[3]Boutique Air'!$HD$41:$HL$41)</f>
        <v>1900</v>
      </c>
      <c r="P30" s="325">
        <f>SUM('[3]Boutique Air'!$GP$41:$GX$41)</f>
        <v>2708</v>
      </c>
      <c r="Q30" s="324">
        <f>(O30-P30)/P30</f>
        <v>-0.2983751846381093</v>
      </c>
      <c r="R30" s="326">
        <f>O30/$O$71</f>
        <v>1.0894527896528132E-4</v>
      </c>
      <c r="S30" s="322" t="s">
        <v>179</v>
      </c>
      <c r="T30" s="54"/>
      <c r="U30" s="475">
        <f>'[3]Boutique Air'!$HL$64</f>
        <v>0</v>
      </c>
      <c r="V30" s="467">
        <f>'[3]Boutique Air'!$GX$64</f>
        <v>0</v>
      </c>
      <c r="W30" s="476" t="e">
        <f>(U30-V30)/V30</f>
        <v>#DIV/0!</v>
      </c>
      <c r="X30" s="475">
        <f>SUM('[3]Boutique Air'!$HD$64:$HL$64)</f>
        <v>0</v>
      </c>
      <c r="Y30" s="467">
        <f>SUM('[3]Boutique Air'!$GP$64:$GX$64)</f>
        <v>0</v>
      </c>
      <c r="Z30" s="477" t="e">
        <f>(X30-Y30)/Y30</f>
        <v>#DIV/0!</v>
      </c>
      <c r="AA30" s="476">
        <f>X30/$X$71</f>
        <v>0</v>
      </c>
    </row>
    <row r="31" spans="1:27" ht="14.1" customHeight="1" x14ac:dyDescent="0.2">
      <c r="A31" s="52"/>
      <c r="B31" s="332"/>
      <c r="C31" s="327"/>
      <c r="D31" s="9"/>
      <c r="E31" s="84"/>
      <c r="F31" s="9"/>
      <c r="G31" s="9"/>
      <c r="H31" s="38"/>
      <c r="I31" s="84"/>
      <c r="J31" s="52"/>
      <c r="K31" s="332"/>
      <c r="L31" s="327"/>
      <c r="M31" s="9"/>
      <c r="N31" s="84"/>
      <c r="O31" s="327"/>
      <c r="P31" s="9"/>
      <c r="Q31" s="38"/>
      <c r="R31" s="84"/>
      <c r="S31" s="52"/>
      <c r="T31" s="54"/>
      <c r="U31" s="450"/>
      <c r="V31" s="2"/>
      <c r="W31" s="83"/>
      <c r="X31" s="450"/>
      <c r="Y31" s="2"/>
      <c r="Z31" s="3"/>
      <c r="AA31" s="83"/>
    </row>
    <row r="32" spans="1:27" ht="14.1" customHeight="1" x14ac:dyDescent="0.2">
      <c r="A32" s="322" t="s">
        <v>161</v>
      </c>
      <c r="B32" s="332"/>
      <c r="C32" s="323">
        <f>[3]Condor!$HL$19</f>
        <v>0</v>
      </c>
      <c r="D32" s="325">
        <f>[3]Condor!$GX$19</f>
        <v>0</v>
      </c>
      <c r="E32" s="326" t="e">
        <f>(C32-D32)/D32</f>
        <v>#DIV/0!</v>
      </c>
      <c r="F32" s="325">
        <f>SUM([3]Condor!$HD$19:$HL$19)</f>
        <v>0</v>
      </c>
      <c r="G32" s="325">
        <f>SUM([3]Condor!$GP$19:$GX$19)</f>
        <v>0</v>
      </c>
      <c r="H32" s="324" t="e">
        <f>(F32-G32)/G32</f>
        <v>#DIV/0!</v>
      </c>
      <c r="I32" s="326">
        <f>F32/$F$71</f>
        <v>0</v>
      </c>
      <c r="J32" s="322" t="s">
        <v>161</v>
      </c>
      <c r="K32" s="332"/>
      <c r="L32" s="323">
        <f>[3]Condor!$HL$41</f>
        <v>0</v>
      </c>
      <c r="M32" s="325">
        <f>[3]Condor!$GX$41</f>
        <v>0</v>
      </c>
      <c r="N32" s="326" t="e">
        <f>(L32-M32)/M32</f>
        <v>#DIV/0!</v>
      </c>
      <c r="O32" s="323">
        <f>SUM([3]Condor!$HD$41:$HL$41)</f>
        <v>0</v>
      </c>
      <c r="P32" s="325">
        <f>SUM([3]Condor!$GP$41:$GX$41)</f>
        <v>0</v>
      </c>
      <c r="Q32" s="324" t="e">
        <f>(O32-P32)/P32</f>
        <v>#DIV/0!</v>
      </c>
      <c r="R32" s="326">
        <f>O32/$O$71</f>
        <v>0</v>
      </c>
      <c r="S32" s="322" t="s">
        <v>161</v>
      </c>
      <c r="T32" s="54"/>
      <c r="U32" s="475">
        <f>[3]Condor!$HL$64</f>
        <v>0</v>
      </c>
      <c r="V32" s="467">
        <f>[3]Condor!$GX$64</f>
        <v>0</v>
      </c>
      <c r="W32" s="476" t="e">
        <f>(U32-V32)/V32</f>
        <v>#DIV/0!</v>
      </c>
      <c r="X32" s="475">
        <f>SUM([3]Condor!$HD$64:$HL$64)</f>
        <v>0</v>
      </c>
      <c r="Y32" s="467">
        <f>SUM([3]Condor!$GP$64:$GX$64)</f>
        <v>0</v>
      </c>
      <c r="Z32" s="477" t="e">
        <f>(X32-Y32)/Y32</f>
        <v>#DIV/0!</v>
      </c>
      <c r="AA32" s="476">
        <f>X32/$X$71</f>
        <v>0</v>
      </c>
    </row>
    <row r="33" spans="1:27" ht="14.1" customHeight="1" x14ac:dyDescent="0.2">
      <c r="A33" s="52"/>
      <c r="B33" s="332"/>
      <c r="C33" s="327"/>
      <c r="D33" s="9"/>
      <c r="E33" s="84"/>
      <c r="F33" s="9"/>
      <c r="G33" s="9"/>
      <c r="H33" s="38"/>
      <c r="I33" s="84"/>
      <c r="J33" s="52"/>
      <c r="K33" s="332"/>
      <c r="L33" s="327"/>
      <c r="M33" s="9"/>
      <c r="N33" s="84"/>
      <c r="O33" s="327"/>
      <c r="P33" s="9"/>
      <c r="Q33" s="38"/>
      <c r="R33" s="84"/>
      <c r="S33" s="52"/>
      <c r="T33" s="54"/>
      <c r="U33" s="450"/>
      <c r="V33" s="2"/>
      <c r="W33" s="83"/>
      <c r="X33" s="450"/>
      <c r="Y33" s="2"/>
      <c r="Z33" s="3"/>
      <c r="AA33" s="83"/>
    </row>
    <row r="34" spans="1:27" ht="14.1" customHeight="1" x14ac:dyDescent="0.2">
      <c r="A34" s="322" t="s">
        <v>239</v>
      </c>
      <c r="B34" s="54"/>
      <c r="C34" s="475">
        <f>'[3]Denver Air'!$HL$19</f>
        <v>104</v>
      </c>
      <c r="D34" s="467">
        <f>'[3]Denver Air'!$GX$19</f>
        <v>104</v>
      </c>
      <c r="E34" s="476">
        <f>(C34-D34)/D34</f>
        <v>0</v>
      </c>
      <c r="F34" s="467">
        <f>SUM('[3]Denver Air'!$HD$19:$HL$19)</f>
        <v>980</v>
      </c>
      <c r="G34" s="467">
        <f>SUM('[3]Denver Air'!$GP$19:$GX$19)</f>
        <v>424</v>
      </c>
      <c r="H34" s="477">
        <f>(F34-G34)/G34</f>
        <v>1.3113207547169812</v>
      </c>
      <c r="I34" s="476">
        <f>F34/$F$71</f>
        <v>4.8925633037782568E-3</v>
      </c>
      <c r="J34" s="322" t="s">
        <v>239</v>
      </c>
      <c r="K34" s="54"/>
      <c r="L34" s="475">
        <f>'[3]Denver Air'!$HL$41</f>
        <v>1202</v>
      </c>
      <c r="M34" s="467">
        <f>'[3]Denver Air'!$GX$41</f>
        <v>284</v>
      </c>
      <c r="N34" s="476">
        <f>(L34-M34)/M34</f>
        <v>3.232394366197183</v>
      </c>
      <c r="O34" s="475">
        <f>SUM('[3]Denver Air'!$HD$41:$HL$41)</f>
        <v>6740</v>
      </c>
      <c r="P34" s="467">
        <f>SUM('[3]Denver Air'!$GP$41:$GX$41)</f>
        <v>921</v>
      </c>
      <c r="Q34" s="477">
        <f>(O34-P34)/P34</f>
        <v>6.318132464712269</v>
      </c>
      <c r="R34" s="476">
        <f>O34/$O$71</f>
        <v>3.8646904222420847E-4</v>
      </c>
      <c r="S34" s="322" t="s">
        <v>239</v>
      </c>
      <c r="T34" s="54"/>
      <c r="U34" s="475">
        <f>'[3]Denver Air'!$HL$64</f>
        <v>0</v>
      </c>
      <c r="V34" s="467">
        <f>'[3]Denver Air'!$GX$64</f>
        <v>0</v>
      </c>
      <c r="W34" s="476" t="e">
        <f>(U34-V34)/V34</f>
        <v>#DIV/0!</v>
      </c>
      <c r="X34" s="475">
        <f>SUM('[3]Denver Air'!$HD$64:$HL$64)</f>
        <v>0</v>
      </c>
      <c r="Y34" s="467">
        <f>SUM('[3]Denver Air'!$GP$64:$GX$64)</f>
        <v>0</v>
      </c>
      <c r="Z34" s="477" t="e">
        <f>(X34-Y34)/Y34</f>
        <v>#DIV/0!</v>
      </c>
      <c r="AA34" s="476">
        <f>X34/$X$69</f>
        <v>0</v>
      </c>
    </row>
    <row r="35" spans="1:27" ht="14.1" customHeight="1" x14ac:dyDescent="0.2">
      <c r="A35" s="52"/>
      <c r="B35" s="332"/>
      <c r="C35" s="327"/>
      <c r="D35" s="9"/>
      <c r="E35" s="84"/>
      <c r="F35" s="9"/>
      <c r="G35" s="9"/>
      <c r="H35" s="38"/>
      <c r="I35" s="84"/>
      <c r="J35" s="52"/>
      <c r="K35" s="332"/>
      <c r="L35" s="327"/>
      <c r="M35" s="9"/>
      <c r="N35" s="84"/>
      <c r="O35" s="327"/>
      <c r="P35" s="9"/>
      <c r="Q35" s="38"/>
      <c r="R35" s="84"/>
      <c r="S35" s="52"/>
      <c r="T35" s="54"/>
      <c r="U35" s="450"/>
      <c r="V35" s="2"/>
      <c r="W35" s="83"/>
      <c r="X35" s="450"/>
      <c r="Y35" s="2"/>
      <c r="Z35" s="3"/>
      <c r="AA35" s="83"/>
    </row>
    <row r="36" spans="1:27" ht="14.1" customHeight="1" x14ac:dyDescent="0.2">
      <c r="A36" s="322" t="s">
        <v>18</v>
      </c>
      <c r="B36" s="335"/>
      <c r="C36" s="323">
        <f>SUM(C37:C43)</f>
        <v>18850</v>
      </c>
      <c r="D36" s="325">
        <f>SUM(D37:D43)</f>
        <v>13964</v>
      </c>
      <c r="E36" s="326">
        <f t="shared" ref="E36:E43" si="20">(C36-D36)/D36</f>
        <v>0.34989974219421371</v>
      </c>
      <c r="F36" s="328">
        <f>SUM(F37:F43)</f>
        <v>156022</v>
      </c>
      <c r="G36" s="328">
        <f>SUM(G37:G43)</f>
        <v>119098</v>
      </c>
      <c r="H36" s="324">
        <f>(F36-G36)/G36</f>
        <v>0.3100303951367781</v>
      </c>
      <c r="I36" s="326">
        <f t="shared" ref="I36:I43" si="21">F36/$F$71</f>
        <v>0.77892603243070535</v>
      </c>
      <c r="J36" s="322" t="s">
        <v>18</v>
      </c>
      <c r="K36" s="335"/>
      <c r="L36" s="323">
        <f>SUM(L37:L43)</f>
        <v>1703118</v>
      </c>
      <c r="M36" s="325">
        <f>SUM(M37:M43)</f>
        <v>704253</v>
      </c>
      <c r="N36" s="326">
        <f t="shared" ref="N36:N43" si="22">(L36-M36)/M36</f>
        <v>1.4183326162614855</v>
      </c>
      <c r="O36" s="323">
        <f>SUM(O37:O43)</f>
        <v>12484870</v>
      </c>
      <c r="P36" s="325">
        <f>SUM(P37:P43)</f>
        <v>7682739</v>
      </c>
      <c r="Q36" s="324">
        <f t="shared" ref="Q36:Q43" si="23">(O36-P36)/P36</f>
        <v>0.62505455411149591</v>
      </c>
      <c r="R36" s="326">
        <f t="shared" ref="R36:R43" si="24">O36/$O$71</f>
        <v>0.71587770789224825</v>
      </c>
      <c r="S36" s="322" t="s">
        <v>18</v>
      </c>
      <c r="T36" s="330"/>
      <c r="U36" s="475">
        <f>SUM(U37:U43)</f>
        <v>4304828</v>
      </c>
      <c r="V36" s="467">
        <f>SUM(V37:V43)</f>
        <v>3195211</v>
      </c>
      <c r="W36" s="476">
        <f t="shared" ref="W36:W43" si="25">(U36-V36)/V36</f>
        <v>0.34727503128901349</v>
      </c>
      <c r="X36" s="475">
        <f>SUM(X37:X43)</f>
        <v>31890437</v>
      </c>
      <c r="Y36" s="467">
        <f>SUM(Y37:Y43)</f>
        <v>32310566</v>
      </c>
      <c r="Z36" s="477">
        <f t="shared" ref="Z36:Z39" si="26">(X36-Y36)/Y36</f>
        <v>-1.3002836285814367E-2</v>
      </c>
      <c r="AA36" s="476">
        <f t="shared" ref="AA36:AA43" si="27">X36/$X$71</f>
        <v>0.73760329398153801</v>
      </c>
    </row>
    <row r="37" spans="1:27" ht="14.1" customHeight="1" x14ac:dyDescent="0.2">
      <c r="A37" s="52"/>
      <c r="B37" s="331" t="s">
        <v>18</v>
      </c>
      <c r="C37" s="327">
        <f>[3]Delta!$HL$19</f>
        <v>9006</v>
      </c>
      <c r="D37" s="9">
        <f>[3]Delta!$GX$19</f>
        <v>6011</v>
      </c>
      <c r="E37" s="84">
        <f t="shared" si="20"/>
        <v>0.49825320246215271</v>
      </c>
      <c r="F37" s="9">
        <f>SUM([3]Delta!$HD$19:$HL$19)</f>
        <v>71391</v>
      </c>
      <c r="G37" s="9">
        <f>SUM([3]Delta!$GP$19:$GX$19)</f>
        <v>57043</v>
      </c>
      <c r="H37" s="38">
        <f t="shared" ref="H37:H43" si="28">(F37-G37)/G37</f>
        <v>0.25152954788492893</v>
      </c>
      <c r="I37" s="84">
        <f t="shared" si="21"/>
        <v>0.35641325185717709</v>
      </c>
      <c r="J37" s="52"/>
      <c r="K37" s="331" t="s">
        <v>18</v>
      </c>
      <c r="L37" s="327">
        <f>[3]Delta!$HL$41</f>
        <v>1187624</v>
      </c>
      <c r="M37" s="9">
        <f>[3]Delta!$GX$41</f>
        <v>458577</v>
      </c>
      <c r="N37" s="84">
        <f t="shared" si="22"/>
        <v>1.5898028030189042</v>
      </c>
      <c r="O37" s="327">
        <f>SUM([3]Delta!$HD$41:$HL$41)</f>
        <v>8753065</v>
      </c>
      <c r="P37" s="9">
        <f>SUM([3]Delta!$GP$41:$GX$41)</f>
        <v>5576322</v>
      </c>
      <c r="Q37" s="38">
        <f t="shared" si="23"/>
        <v>0.56968428293774998</v>
      </c>
      <c r="R37" s="84">
        <f t="shared" si="24"/>
        <v>0.5018974253822317</v>
      </c>
      <c r="S37" s="52"/>
      <c r="T37" s="54" t="s">
        <v>18</v>
      </c>
      <c r="U37" s="450">
        <f>[3]Delta!$HL$64</f>
        <v>4304828</v>
      </c>
      <c r="V37" s="2">
        <f>[3]Delta!$GX$64</f>
        <v>3195211</v>
      </c>
      <c r="W37" s="83">
        <f t="shared" si="25"/>
        <v>0.34727503128901349</v>
      </c>
      <c r="X37" s="450">
        <f>SUM([3]Delta!$HD$64:$HL$64)</f>
        <v>31890437</v>
      </c>
      <c r="Y37" s="2">
        <f>SUM([3]Delta!$GP$64:$GX$64)</f>
        <v>32310566</v>
      </c>
      <c r="Z37" s="3">
        <f t="shared" si="26"/>
        <v>-1.3002836285814367E-2</v>
      </c>
      <c r="AA37" s="83">
        <f t="shared" si="27"/>
        <v>0.73760329398153801</v>
      </c>
    </row>
    <row r="38" spans="1:27" ht="14.1" customHeight="1" x14ac:dyDescent="0.2">
      <c r="A38" s="52"/>
      <c r="B38" s="333" t="s">
        <v>117</v>
      </c>
      <c r="C38" s="327">
        <f>[3]Compass!$HL$19</f>
        <v>0</v>
      </c>
      <c r="D38" s="9">
        <f>[3]Compass!$GX$19</f>
        <v>0</v>
      </c>
      <c r="E38" s="84" t="e">
        <f t="shared" si="20"/>
        <v>#DIV/0!</v>
      </c>
      <c r="F38" s="9">
        <f>SUM([3]Compass!$HD$19:$HL$19)</f>
        <v>0</v>
      </c>
      <c r="G38" s="9">
        <f>SUM([3]Compass!$GP$19:$GX$19)</f>
        <v>0</v>
      </c>
      <c r="H38" s="38" t="e">
        <f t="shared" si="28"/>
        <v>#DIV/0!</v>
      </c>
      <c r="I38" s="84">
        <f t="shared" si="21"/>
        <v>0</v>
      </c>
      <c r="J38" s="52"/>
      <c r="K38" s="333" t="s">
        <v>117</v>
      </c>
      <c r="L38" s="327">
        <f>[3]Compass!$HL$41</f>
        <v>0</v>
      </c>
      <c r="M38" s="9">
        <f>[3]Compass!$GX$41</f>
        <v>0</v>
      </c>
      <c r="N38" s="84" t="e">
        <f t="shared" si="22"/>
        <v>#DIV/0!</v>
      </c>
      <c r="O38" s="327">
        <f>SUM([3]Compass!$HD$41:$HL$41)</f>
        <v>0</v>
      </c>
      <c r="P38" s="9">
        <f>SUM([3]Compass!$GP$41:$GX$41)</f>
        <v>0</v>
      </c>
      <c r="Q38" s="38" t="e">
        <f t="shared" si="23"/>
        <v>#DIV/0!</v>
      </c>
      <c r="R38" s="84">
        <f t="shared" si="24"/>
        <v>0</v>
      </c>
      <c r="S38" s="52"/>
      <c r="T38" s="398" t="s">
        <v>117</v>
      </c>
      <c r="U38" s="450">
        <f>[3]Compass!$HL$64</f>
        <v>0</v>
      </c>
      <c r="V38" s="2">
        <f>[3]Compass!$GX$64</f>
        <v>0</v>
      </c>
      <c r="W38" s="83" t="e">
        <f t="shared" si="25"/>
        <v>#DIV/0!</v>
      </c>
      <c r="X38" s="450">
        <f>SUM([3]Compass!$HD$64:$HL$64)</f>
        <v>0</v>
      </c>
      <c r="Y38" s="2">
        <f>SUM([3]Compass!$GP$64:$GX$64)</f>
        <v>0</v>
      </c>
      <c r="Z38" s="3" t="e">
        <f t="shared" si="26"/>
        <v>#DIV/0!</v>
      </c>
      <c r="AA38" s="83">
        <f t="shared" si="27"/>
        <v>0</v>
      </c>
    </row>
    <row r="39" spans="1:27" ht="14.1" customHeight="1" x14ac:dyDescent="0.2">
      <c r="A39" s="52"/>
      <c r="B39" s="332" t="s">
        <v>158</v>
      </c>
      <c r="C39" s="327">
        <f>[3]Pinnacle!$HL$19</f>
        <v>3593</v>
      </c>
      <c r="D39" s="9">
        <f>[3]Pinnacle!$GX$19</f>
        <v>4228</v>
      </c>
      <c r="E39" s="84">
        <f t="shared" si="20"/>
        <v>-0.15018921475875119</v>
      </c>
      <c r="F39" s="9">
        <f>SUM([3]Pinnacle!$HD$19:$HL$19)</f>
        <v>31939</v>
      </c>
      <c r="G39" s="9">
        <f>SUM([3]Pinnacle!$GP$19:$GX$19)</f>
        <v>22569</v>
      </c>
      <c r="H39" s="38">
        <f t="shared" si="28"/>
        <v>0.4151712526031282</v>
      </c>
      <c r="I39" s="84">
        <f t="shared" si="21"/>
        <v>0.15945263199936097</v>
      </c>
      <c r="J39" s="52"/>
      <c r="K39" s="332" t="s">
        <v>158</v>
      </c>
      <c r="L39" s="327">
        <f>[3]Pinnacle!$HL$41</f>
        <v>171130</v>
      </c>
      <c r="M39" s="9">
        <f>[3]Pinnacle!$GX$41</f>
        <v>134200</v>
      </c>
      <c r="N39" s="84">
        <f t="shared" si="22"/>
        <v>0.27518628912071535</v>
      </c>
      <c r="O39" s="327">
        <f>SUM([3]Pinnacle!$HD$41:$HL$41)</f>
        <v>1357638</v>
      </c>
      <c r="P39" s="9">
        <f>SUM([3]Pinnacle!$GP$41:$GX$41)</f>
        <v>791469</v>
      </c>
      <c r="Q39" s="38">
        <f t="shared" si="23"/>
        <v>0.71533945107136221</v>
      </c>
      <c r="R39" s="84">
        <f t="shared" si="24"/>
        <v>7.7846447707298205E-2</v>
      </c>
      <c r="S39" s="52"/>
      <c r="T39" s="54" t="s">
        <v>158</v>
      </c>
      <c r="U39" s="450">
        <f>[3]Pinnacle!$HL$64</f>
        <v>0</v>
      </c>
      <c r="V39" s="2">
        <f>[3]Pinnacle!$GX$64</f>
        <v>0</v>
      </c>
      <c r="W39" s="83" t="e">
        <f t="shared" si="25"/>
        <v>#DIV/0!</v>
      </c>
      <c r="X39" s="450">
        <f>SUM([3]Pinnacle!$HD$64:$HL$64)</f>
        <v>0</v>
      </c>
      <c r="Y39" s="2">
        <f>SUM([3]Pinnacle!$GP$64:$GX$64)</f>
        <v>0</v>
      </c>
      <c r="Z39" s="3" t="e">
        <f t="shared" si="26"/>
        <v>#DIV/0!</v>
      </c>
      <c r="AA39" s="83">
        <f t="shared" si="27"/>
        <v>0</v>
      </c>
    </row>
    <row r="40" spans="1:27" ht="14.1" customHeight="1" x14ac:dyDescent="0.2">
      <c r="A40" s="52"/>
      <c r="B40" s="332" t="s">
        <v>154</v>
      </c>
      <c r="C40" s="327">
        <f>'[3]Go Jet'!$HL$19</f>
        <v>0</v>
      </c>
      <c r="D40" s="9">
        <f>'[3]Go Jet'!$GX$19</f>
        <v>0</v>
      </c>
      <c r="E40" s="84" t="e">
        <f t="shared" si="20"/>
        <v>#DIV/0!</v>
      </c>
      <c r="F40" s="9">
        <f>SUM('[3]Go Jet'!$HD$19:$HL$19)</f>
        <v>0</v>
      </c>
      <c r="G40" s="9">
        <f>SUM('[3]Go Jet'!$GP$19:$GX$19)</f>
        <v>44</v>
      </c>
      <c r="H40" s="38">
        <f>(F40-G40)/G40</f>
        <v>-1</v>
      </c>
      <c r="I40" s="84">
        <f t="shared" si="21"/>
        <v>0</v>
      </c>
      <c r="J40" s="52"/>
      <c r="K40" s="331" t="s">
        <v>154</v>
      </c>
      <c r="L40" s="327">
        <f>'[3]Go Jet'!$HL$41</f>
        <v>0</v>
      </c>
      <c r="M40" s="9">
        <f>'[3]Go Jet'!$GX$41</f>
        <v>0</v>
      </c>
      <c r="N40" s="84" t="e">
        <f t="shared" si="22"/>
        <v>#DIV/0!</v>
      </c>
      <c r="O40" s="327">
        <f>SUM('[3]Go Jet'!$HD$41:$HL$41)</f>
        <v>0</v>
      </c>
      <c r="P40" s="9">
        <f>SUM('[3]Go Jet'!$GP$41:$GX$41)</f>
        <v>2644</v>
      </c>
      <c r="Q40" s="38">
        <f>(O40-P40)/P40</f>
        <v>-1</v>
      </c>
      <c r="R40" s="84">
        <f t="shared" si="24"/>
        <v>0</v>
      </c>
      <c r="S40" s="52"/>
      <c r="T40" s="54" t="s">
        <v>154</v>
      </c>
      <c r="U40" s="450">
        <f>'[3]Go Jet'!$HL$64</f>
        <v>0</v>
      </c>
      <c r="V40" s="2">
        <f>'[3]Go Jet'!$GX$64</f>
        <v>0</v>
      </c>
      <c r="W40" s="83" t="e">
        <f t="shared" si="25"/>
        <v>#DIV/0!</v>
      </c>
      <c r="X40" s="450">
        <f>SUM('[3]Go Jet'!$HD$64:$HL$64)</f>
        <v>0</v>
      </c>
      <c r="Y40" s="2">
        <f>SUM('[3]Go Jet'!$GP$64:$GX$64)</f>
        <v>0</v>
      </c>
      <c r="Z40" s="3" t="e">
        <f>(X40-Y40)/Y40</f>
        <v>#DIV/0!</v>
      </c>
      <c r="AA40" s="83">
        <f t="shared" si="27"/>
        <v>0</v>
      </c>
    </row>
    <row r="41" spans="1:27" ht="14.1" customHeight="1" x14ac:dyDescent="0.2">
      <c r="A41" s="52"/>
      <c r="B41" s="332" t="s">
        <v>97</v>
      </c>
      <c r="C41" s="327">
        <f>'[3]Sky West'!$HL$19</f>
        <v>6251</v>
      </c>
      <c r="D41" s="9">
        <f>'[3]Sky West'!$GX$19</f>
        <v>3725</v>
      </c>
      <c r="E41" s="84">
        <f t="shared" si="20"/>
        <v>0.67812080536912756</v>
      </c>
      <c r="F41" s="9">
        <f>SUM('[3]Sky West'!$HD$19:$HL$19)</f>
        <v>52692</v>
      </c>
      <c r="G41" s="9">
        <f>SUM('[3]Sky West'!$GP$19:$GX$19)</f>
        <v>39442</v>
      </c>
      <c r="H41" s="38">
        <f t="shared" si="28"/>
        <v>0.33593631154606762</v>
      </c>
      <c r="I41" s="84">
        <f t="shared" si="21"/>
        <v>0.26306014857416726</v>
      </c>
      <c r="J41" s="52"/>
      <c r="K41" s="332" t="s">
        <v>97</v>
      </c>
      <c r="L41" s="327">
        <f>'[3]Sky West'!$HL$41</f>
        <v>344364</v>
      </c>
      <c r="M41" s="9">
        <f>'[3]Sky West'!$GX$41</f>
        <v>111476</v>
      </c>
      <c r="N41" s="84">
        <f t="shared" si="22"/>
        <v>2.089131292834332</v>
      </c>
      <c r="O41" s="327">
        <f>SUM('[3]Sky West'!$HD$41:$HL$41)</f>
        <v>2374167</v>
      </c>
      <c r="P41" s="9">
        <f>SUM('[3]Sky West'!$GP$41:$GX$41)</f>
        <v>1312304</v>
      </c>
      <c r="Q41" s="38">
        <f t="shared" si="23"/>
        <v>0.80915931064753288</v>
      </c>
      <c r="R41" s="84">
        <f t="shared" si="24"/>
        <v>0.13613383480271846</v>
      </c>
      <c r="S41" s="52"/>
      <c r="T41" s="54" t="s">
        <v>97</v>
      </c>
      <c r="U41" s="450">
        <f>'[3]Sky West'!$HL$64</f>
        <v>0</v>
      </c>
      <c r="V41" s="2">
        <f>'[3]Sky West'!$GX$64</f>
        <v>0</v>
      </c>
      <c r="W41" s="83" t="e">
        <f t="shared" si="25"/>
        <v>#DIV/0!</v>
      </c>
      <c r="X41" s="450">
        <f>SUM('[3]Sky West'!$HD$64:$HL$64)</f>
        <v>0</v>
      </c>
      <c r="Y41" s="2">
        <f>SUM('[3]Sky West'!$GP$64:$GX$64)</f>
        <v>0</v>
      </c>
      <c r="Z41" s="3" t="e">
        <f t="shared" ref="Z41:Z43" si="29">(X41-Y41)/Y41</f>
        <v>#DIV/0!</v>
      </c>
      <c r="AA41" s="83">
        <f t="shared" si="27"/>
        <v>0</v>
      </c>
    </row>
    <row r="42" spans="1:27" ht="14.1" customHeight="1" x14ac:dyDescent="0.2">
      <c r="A42" s="52"/>
      <c r="B42" s="332" t="s">
        <v>131</v>
      </c>
      <c r="C42" s="327">
        <f>'[3]Shuttle America_Delta'!$HL$19</f>
        <v>0</v>
      </c>
      <c r="D42" s="9">
        <f>'[3]Shuttle America_Delta'!$GX$19</f>
        <v>0</v>
      </c>
      <c r="E42" s="84" t="e">
        <f t="shared" si="20"/>
        <v>#DIV/0!</v>
      </c>
      <c r="F42" s="9">
        <f>SUM('[3]Shuttle America_Delta'!$HD$19:$HL$19)</f>
        <v>0</v>
      </c>
      <c r="G42" s="9">
        <f>SUM('[3]Shuttle America_Delta'!$GP$19:$GX$19)</f>
        <v>0</v>
      </c>
      <c r="H42" s="38" t="e">
        <f t="shared" si="28"/>
        <v>#DIV/0!</v>
      </c>
      <c r="I42" s="84">
        <f t="shared" si="21"/>
        <v>0</v>
      </c>
      <c r="J42" s="52"/>
      <c r="K42" s="332" t="s">
        <v>131</v>
      </c>
      <c r="L42" s="327">
        <f>'[3]Shuttle America_Delta'!$HL$41</f>
        <v>0</v>
      </c>
      <c r="M42" s="9">
        <f>'[3]Shuttle America_Delta'!$GX$41</f>
        <v>0</v>
      </c>
      <c r="N42" s="84" t="e">
        <f t="shared" si="22"/>
        <v>#DIV/0!</v>
      </c>
      <c r="O42" s="327">
        <f>SUM('[3]Shuttle America_Delta'!$HD$41:$HL$41)</f>
        <v>0</v>
      </c>
      <c r="P42" s="9">
        <f>SUM('[3]Shuttle America_Delta'!$GP$41:$GX$41)</f>
        <v>0</v>
      </c>
      <c r="Q42" s="38" t="e">
        <f t="shared" si="23"/>
        <v>#DIV/0!</v>
      </c>
      <c r="R42" s="84">
        <f t="shared" si="24"/>
        <v>0</v>
      </c>
      <c r="S42" s="52"/>
      <c r="T42" s="54" t="s">
        <v>131</v>
      </c>
      <c r="U42" s="450">
        <f>'[3]Shuttle America_Delta'!$HL$64</f>
        <v>0</v>
      </c>
      <c r="V42" s="2">
        <f>'[3]Shuttle America_Delta'!$GX$64</f>
        <v>0</v>
      </c>
      <c r="W42" s="83" t="e">
        <f t="shared" si="25"/>
        <v>#DIV/0!</v>
      </c>
      <c r="X42" s="450">
        <f>SUM('[3]Shuttle America_Delta'!$HD$64:$HL$64)</f>
        <v>0</v>
      </c>
      <c r="Y42" s="2">
        <f>SUM('[3]Shuttle America_Delta'!$GP$64:$GX$64)</f>
        <v>0</v>
      </c>
      <c r="Z42" s="3" t="e">
        <f t="shared" si="29"/>
        <v>#DIV/0!</v>
      </c>
      <c r="AA42" s="83">
        <f t="shared" si="27"/>
        <v>0</v>
      </c>
    </row>
    <row r="43" spans="1:27" ht="14.1" customHeight="1" x14ac:dyDescent="0.2">
      <c r="A43" s="52"/>
      <c r="B43" s="397" t="s">
        <v>166</v>
      </c>
      <c r="C43" s="327">
        <f>'[3]Atlantic Southeast'!$HL$19</f>
        <v>0</v>
      </c>
      <c r="D43" s="9">
        <f>'[3]Atlantic Southeast'!$GX$19</f>
        <v>0</v>
      </c>
      <c r="E43" s="84" t="e">
        <f t="shared" si="20"/>
        <v>#DIV/0!</v>
      </c>
      <c r="F43" s="9">
        <f>SUM('[3]Atlantic Southeast'!$HD$19:$HL$19)</f>
        <v>0</v>
      </c>
      <c r="G43" s="9">
        <f>SUM('[3]Atlantic Southeast'!$GP$19:$GX$19)</f>
        <v>0</v>
      </c>
      <c r="H43" s="38" t="e">
        <f t="shared" si="28"/>
        <v>#DIV/0!</v>
      </c>
      <c r="I43" s="84">
        <f t="shared" si="21"/>
        <v>0</v>
      </c>
      <c r="J43" s="52"/>
      <c r="K43" s="397" t="s">
        <v>166</v>
      </c>
      <c r="L43" s="327">
        <f>'[3]Atlantic Southeast'!$HL$41</f>
        <v>0</v>
      </c>
      <c r="M43" s="9">
        <f>'[3]Atlantic Southeast'!$GX$41</f>
        <v>0</v>
      </c>
      <c r="N43" s="84" t="e">
        <f t="shared" si="22"/>
        <v>#DIV/0!</v>
      </c>
      <c r="O43" s="327">
        <f>SUM('[3]Atlantic Southeast'!$HD$41:$HL$41)</f>
        <v>0</v>
      </c>
      <c r="P43" s="9">
        <f>SUM('[3]Atlantic Southeast'!$GP$41:$GX$41)</f>
        <v>0</v>
      </c>
      <c r="Q43" s="38" t="e">
        <f t="shared" si="23"/>
        <v>#DIV/0!</v>
      </c>
      <c r="R43" s="84">
        <f t="shared" si="24"/>
        <v>0</v>
      </c>
      <c r="S43" s="52"/>
      <c r="T43" s="396" t="s">
        <v>166</v>
      </c>
      <c r="U43" s="450">
        <f>'[3]Atlantic Southeast'!$HL$64</f>
        <v>0</v>
      </c>
      <c r="V43" s="2">
        <f>'[3]Atlantic Southeast'!$GX$64</f>
        <v>0</v>
      </c>
      <c r="W43" s="83" t="e">
        <f t="shared" si="25"/>
        <v>#DIV/0!</v>
      </c>
      <c r="X43" s="450">
        <f>SUM('[3]Atlantic Southeast'!$HD$64:$HL$64)</f>
        <v>0</v>
      </c>
      <c r="Y43" s="2">
        <f>SUM('[3]Atlantic Southeast'!$GP$64:$GX$64)</f>
        <v>0</v>
      </c>
      <c r="Z43" s="3" t="e">
        <f t="shared" si="29"/>
        <v>#DIV/0!</v>
      </c>
      <c r="AA43" s="83">
        <f t="shared" si="27"/>
        <v>0</v>
      </c>
    </row>
    <row r="44" spans="1:27" ht="14.1" customHeight="1" x14ac:dyDescent="0.2">
      <c r="A44" s="52"/>
      <c r="B44" s="397"/>
      <c r="C44" s="327"/>
      <c r="D44" s="9"/>
      <c r="E44" s="84"/>
      <c r="F44" s="9"/>
      <c r="G44" s="9"/>
      <c r="H44" s="38"/>
      <c r="I44" s="84"/>
      <c r="J44" s="52"/>
      <c r="K44" s="397"/>
      <c r="L44" s="327"/>
      <c r="M44" s="9"/>
      <c r="N44" s="84"/>
      <c r="O44" s="327"/>
      <c r="P44" s="9"/>
      <c r="Q44" s="38"/>
      <c r="R44" s="84"/>
      <c r="S44" s="52"/>
      <c r="T44" s="396"/>
      <c r="U44" s="450"/>
      <c r="V44" s="2"/>
      <c r="W44" s="83"/>
      <c r="X44" s="450"/>
      <c r="Y44" s="2"/>
      <c r="Z44" s="3"/>
      <c r="AA44" s="83"/>
    </row>
    <row r="45" spans="1:27" s="7" customFormat="1" ht="14.1" customHeight="1" x14ac:dyDescent="0.2">
      <c r="A45" s="322" t="s">
        <v>47</v>
      </c>
      <c r="B45" s="336"/>
      <c r="C45" s="323">
        <f>[3]Frontier!$HL$19</f>
        <v>95</v>
      </c>
      <c r="D45" s="325">
        <f>[3]Frontier!$GX$19</f>
        <v>120</v>
      </c>
      <c r="E45" s="326">
        <f>(C45-D45)/D45</f>
        <v>-0.20833333333333334</v>
      </c>
      <c r="F45" s="325">
        <f>SUM([3]Frontier!$HD$19:$HL$19)</f>
        <v>826</v>
      </c>
      <c r="G45" s="325">
        <f>SUM([3]Frontier!$GP$19:$GX$19)</f>
        <v>1024</v>
      </c>
      <c r="H45" s="324">
        <f>(F45-G45)/G45</f>
        <v>-0.193359375</v>
      </c>
      <c r="I45" s="326">
        <f>F45/$F$71</f>
        <v>4.123731927470245E-3</v>
      </c>
      <c r="J45" s="322" t="s">
        <v>47</v>
      </c>
      <c r="K45" s="336"/>
      <c r="L45" s="323">
        <f>[3]Frontier!$HL$41</f>
        <v>14627</v>
      </c>
      <c r="M45" s="325">
        <f>[3]Frontier!$GX$41</f>
        <v>15451</v>
      </c>
      <c r="N45" s="326">
        <f>(L45-M45)/M45</f>
        <v>-5.332988156106401E-2</v>
      </c>
      <c r="O45" s="323">
        <f>SUM([3]Frontier!$HD$41:$HL$41)</f>
        <v>131391</v>
      </c>
      <c r="P45" s="325">
        <f>SUM([3]Frontier!$GP$41:$GX$41)</f>
        <v>139962</v>
      </c>
      <c r="Q45" s="324">
        <f>(O45-P45)/P45</f>
        <v>-6.1238050327946159E-2</v>
      </c>
      <c r="R45" s="326">
        <f>O45/$O$71</f>
        <v>7.5339100781722512E-3</v>
      </c>
      <c r="S45" s="322" t="s">
        <v>47</v>
      </c>
      <c r="T45" s="54"/>
      <c r="U45" s="475">
        <f>[3]Frontier!$HL$64</f>
        <v>0</v>
      </c>
      <c r="V45" s="467">
        <f>[3]Frontier!$GX$64</f>
        <v>0</v>
      </c>
      <c r="W45" s="476" t="e">
        <f>(U45-V45)/V45</f>
        <v>#DIV/0!</v>
      </c>
      <c r="X45" s="475">
        <f>SUM([3]Frontier!$HD$64:$HL$64)</f>
        <v>0</v>
      </c>
      <c r="Y45" s="467">
        <f>SUM([3]Frontier!$GP$64:$GX$64)</f>
        <v>0</v>
      </c>
      <c r="Z45" s="477" t="e">
        <f>(X45-Y45)/Y45</f>
        <v>#DIV/0!</v>
      </c>
      <c r="AA45" s="476">
        <f>X45/$X$71</f>
        <v>0</v>
      </c>
    </row>
    <row r="46" spans="1:27" s="7" customFormat="1" ht="14.1" customHeight="1" x14ac:dyDescent="0.2">
      <c r="A46" s="322"/>
      <c r="B46" s="336"/>
      <c r="C46" s="323"/>
      <c r="D46" s="325"/>
      <c r="E46" s="326"/>
      <c r="F46" s="325"/>
      <c r="G46" s="325"/>
      <c r="H46" s="324"/>
      <c r="I46" s="326"/>
      <c r="J46" s="322"/>
      <c r="K46" s="336"/>
      <c r="L46" s="327"/>
      <c r="M46" s="9"/>
      <c r="N46" s="84"/>
      <c r="O46" s="327"/>
      <c r="P46" s="9"/>
      <c r="Q46" s="38"/>
      <c r="R46" s="84"/>
      <c r="S46" s="322"/>
      <c r="T46" s="54"/>
      <c r="U46" s="450"/>
      <c r="V46" s="2"/>
      <c r="W46" s="83"/>
      <c r="X46" s="450"/>
      <c r="Y46" s="2"/>
      <c r="Z46" s="3"/>
      <c r="AA46" s="83"/>
    </row>
    <row r="47" spans="1:27" s="7" customFormat="1" ht="14.1" customHeight="1" x14ac:dyDescent="0.2">
      <c r="A47" s="322" t="s">
        <v>48</v>
      </c>
      <c r="B47" s="336"/>
      <c r="C47" s="323">
        <f>[3]Icelandair!$HL$19</f>
        <v>46</v>
      </c>
      <c r="D47" s="325">
        <f>[3]Icelandair!$GX$19</f>
        <v>0</v>
      </c>
      <c r="E47" s="326" t="e">
        <f>(C47-D47)/D47</f>
        <v>#DIV/0!</v>
      </c>
      <c r="F47" s="325">
        <f>SUM([3]Icelandair!$HD$19:$HL$19)</f>
        <v>143</v>
      </c>
      <c r="G47" s="325">
        <f>SUM([3]Icelandair!$GP$19:$GX$19)</f>
        <v>18</v>
      </c>
      <c r="H47" s="324">
        <f>(F47-G47)/G47</f>
        <v>6.9444444444444446</v>
      </c>
      <c r="I47" s="326">
        <f>F47/$F$71</f>
        <v>7.1391484942886813E-4</v>
      </c>
      <c r="J47" s="322" t="s">
        <v>48</v>
      </c>
      <c r="K47" s="336"/>
      <c r="L47" s="323">
        <f>[3]Icelandair!$HL$41</f>
        <v>4800</v>
      </c>
      <c r="M47" s="325">
        <f>[3]Icelandair!$GX$41</f>
        <v>0</v>
      </c>
      <c r="N47" s="326" t="e">
        <f>(L47-M47)/M47</f>
        <v>#DIV/0!</v>
      </c>
      <c r="O47" s="323">
        <f>SUM([3]Icelandair!$HD$41:$HL$41)</f>
        <v>14937</v>
      </c>
      <c r="P47" s="325">
        <f>SUM([3]Icelandair!$GP$41:$GX$41)</f>
        <v>2058</v>
      </c>
      <c r="Q47" s="324">
        <f>(O47-P47)/P47</f>
        <v>6.2580174927113701</v>
      </c>
      <c r="R47" s="326">
        <f>O47/$O$71</f>
        <v>8.5648191152863532E-4</v>
      </c>
      <c r="S47" s="322" t="s">
        <v>48</v>
      </c>
      <c r="T47" s="54"/>
      <c r="U47" s="475">
        <f>[3]Icelandair!$HL$64</f>
        <v>3948</v>
      </c>
      <c r="V47" s="467">
        <f>[3]Icelandair!$GX$64</f>
        <v>0</v>
      </c>
      <c r="W47" s="476" t="e">
        <f>(U47-V47)/V47</f>
        <v>#DIV/0!</v>
      </c>
      <c r="X47" s="475">
        <f>SUM([3]Icelandair!$HD$64:$HL$64)</f>
        <v>26494</v>
      </c>
      <c r="Y47" s="467">
        <f>SUM([3]Icelandair!$GP$64:$GX$64)</f>
        <v>2574</v>
      </c>
      <c r="Z47" s="477">
        <f>(X47-Y47)/Y47</f>
        <v>9.2929292929292924</v>
      </c>
      <c r="AA47" s="476">
        <f>X47/$X$71</f>
        <v>6.1278751591729104E-4</v>
      </c>
    </row>
    <row r="48" spans="1:27" s="7" customFormat="1" ht="14.1" customHeight="1" x14ac:dyDescent="0.2">
      <c r="A48" s="322"/>
      <c r="B48" s="336"/>
      <c r="C48" s="323"/>
      <c r="D48" s="325"/>
      <c r="E48" s="326"/>
      <c r="F48" s="325"/>
      <c r="G48" s="325"/>
      <c r="H48" s="324"/>
      <c r="I48" s="326"/>
      <c r="J48" s="322"/>
      <c r="K48" s="336"/>
      <c r="L48" s="327"/>
      <c r="M48" s="9"/>
      <c r="N48" s="84"/>
      <c r="O48" s="327"/>
      <c r="P48" s="9"/>
      <c r="Q48" s="38"/>
      <c r="R48" s="84"/>
      <c r="S48" s="322"/>
      <c r="T48" s="54"/>
      <c r="U48" s="450"/>
      <c r="V48" s="2"/>
      <c r="W48" s="83"/>
      <c r="X48" s="450"/>
      <c r="Y48" s="2"/>
      <c r="Z48" s="3"/>
      <c r="AA48" s="83"/>
    </row>
    <row r="49" spans="1:27" s="7" customFormat="1" ht="14.1" customHeight="1" x14ac:dyDescent="0.2">
      <c r="A49" s="322" t="s">
        <v>199</v>
      </c>
      <c r="B49" s="336"/>
      <c r="C49" s="323">
        <f>'[3]Jet Blue'!$HL$19</f>
        <v>104</v>
      </c>
      <c r="D49" s="325">
        <f>'[3]Jet Blue'!$GX$19</f>
        <v>26</v>
      </c>
      <c r="E49" s="326">
        <f>(C49-D49)/D49</f>
        <v>3</v>
      </c>
      <c r="F49" s="325">
        <f>SUM('[3]Jet Blue'!$HD$19:$HL$19)</f>
        <v>532</v>
      </c>
      <c r="G49" s="325">
        <f>SUM('[3]Jet Blue'!$GP$19:$GX$19)</f>
        <v>617</v>
      </c>
      <c r="H49" s="324">
        <f>(F49-G49)/G49</f>
        <v>-0.13776337115072934</v>
      </c>
      <c r="I49" s="326">
        <f>F49/$F$71</f>
        <v>2.6559629363367681E-3</v>
      </c>
      <c r="J49" s="322" t="s">
        <v>199</v>
      </c>
      <c r="K49" s="336"/>
      <c r="L49" s="323">
        <f>'[3]Jet Blue'!$HL$41</f>
        <v>7371</v>
      </c>
      <c r="M49" s="325">
        <f>'[3]Jet Blue'!$GX$41</f>
        <v>733</v>
      </c>
      <c r="N49" s="326">
        <f>(L49-M49)/M49</f>
        <v>9.0559345156889499</v>
      </c>
      <c r="O49" s="323">
        <f>SUM('[3]Jet Blue'!$HD$41:$HL$41)</f>
        <v>40740</v>
      </c>
      <c r="P49" s="325">
        <f>SUM('[3]Jet Blue'!$GP$41:$GX$41)</f>
        <v>33209</v>
      </c>
      <c r="Q49" s="324">
        <f>(O49-P49)/P49</f>
        <v>0.22677587401005753</v>
      </c>
      <c r="R49" s="326">
        <f>O49/$O$71</f>
        <v>2.3360161394976636E-3</v>
      </c>
      <c r="S49" s="322" t="s">
        <v>199</v>
      </c>
      <c r="T49" s="54"/>
      <c r="U49" s="475">
        <f>'[3]Jet Blue'!$HL$64</f>
        <v>0</v>
      </c>
      <c r="V49" s="467">
        <f>'[3]Jet Blue'!$GX$64</f>
        <v>0</v>
      </c>
      <c r="W49" s="476" t="e">
        <f>(U49-V49)/V49</f>
        <v>#DIV/0!</v>
      </c>
      <c r="X49" s="475">
        <f>SUM('[3]Jet Blue'!$HD$64:$HL$64)</f>
        <v>0</v>
      </c>
      <c r="Y49" s="467">
        <f>SUM('[3]Jet Blue'!$GP$64:$GX$64)</f>
        <v>0</v>
      </c>
      <c r="Z49" s="477" t="e">
        <f>(X49-Y49)/Y49</f>
        <v>#DIV/0!</v>
      </c>
      <c r="AA49" s="476">
        <f>X49/$X$71</f>
        <v>0</v>
      </c>
    </row>
    <row r="50" spans="1:27" s="7" customFormat="1" ht="14.1" customHeight="1" x14ac:dyDescent="0.2">
      <c r="A50" s="322"/>
      <c r="B50" s="336"/>
      <c r="C50" s="323"/>
      <c r="D50" s="325"/>
      <c r="E50" s="326"/>
      <c r="F50" s="325"/>
      <c r="G50" s="325"/>
      <c r="H50" s="324"/>
      <c r="I50" s="326"/>
      <c r="J50" s="322"/>
      <c r="K50" s="336"/>
      <c r="L50" s="327"/>
      <c r="M50" s="9"/>
      <c r="N50" s="84"/>
      <c r="O50" s="327"/>
      <c r="P50" s="9"/>
      <c r="Q50" s="38"/>
      <c r="R50" s="84"/>
      <c r="S50" s="322"/>
      <c r="T50" s="54"/>
      <c r="U50" s="450"/>
      <c r="V50" s="2"/>
      <c r="W50" s="83"/>
      <c r="X50" s="450"/>
      <c r="Y50" s="2"/>
      <c r="Z50" s="3"/>
      <c r="AA50" s="83"/>
    </row>
    <row r="51" spans="1:27" s="7" customFormat="1" ht="14.1" customHeight="1" x14ac:dyDescent="0.2">
      <c r="A51" s="322" t="s">
        <v>194</v>
      </c>
      <c r="B51" s="336"/>
      <c r="C51" s="323">
        <f>[3]KLM!$HL$19</f>
        <v>26</v>
      </c>
      <c r="D51" s="325">
        <f>[3]KLM!$GX$19</f>
        <v>0</v>
      </c>
      <c r="E51" s="326" t="e">
        <f>(C51-D51)/D51</f>
        <v>#DIV/0!</v>
      </c>
      <c r="F51" s="325">
        <f>SUM([3]KLM!$HD$19:$HL$19)</f>
        <v>28</v>
      </c>
      <c r="G51" s="325">
        <f>SUM([3]KLM!$GP$19:$GX$19)</f>
        <v>80</v>
      </c>
      <c r="H51" s="324">
        <f>(F51-G51)/G51</f>
        <v>-0.65</v>
      </c>
      <c r="I51" s="326">
        <f>F51/$F$71</f>
        <v>1.3978752296509305E-4</v>
      </c>
      <c r="J51" s="322" t="s">
        <v>194</v>
      </c>
      <c r="K51" s="336"/>
      <c r="L51" s="323">
        <f>[3]KLM!$HL$41</f>
        <v>3771</v>
      </c>
      <c r="M51" s="325">
        <f>[3]KLM!$GX$41</f>
        <v>0</v>
      </c>
      <c r="N51" s="326" t="e">
        <f>(L51-M51)/M51</f>
        <v>#DIV/0!</v>
      </c>
      <c r="O51" s="323">
        <f>SUM([3]KLM!$HD$41:$HL$41)</f>
        <v>4112</v>
      </c>
      <c r="P51" s="325">
        <f>SUM([3]KLM!$GP$41:$GX$41)</f>
        <v>15968</v>
      </c>
      <c r="Q51" s="324">
        <f>(O51-P51)/P51</f>
        <v>-0.74248496993987978</v>
      </c>
      <c r="R51" s="326">
        <f>O51/$O$71</f>
        <v>2.3578051952907199E-4</v>
      </c>
      <c r="S51" s="322" t="s">
        <v>194</v>
      </c>
      <c r="T51" s="54"/>
      <c r="U51" s="475">
        <f>[3]KLM!$HL$64</f>
        <v>403258</v>
      </c>
      <c r="V51" s="467">
        <f>[3]KLM!$GX$64</f>
        <v>0</v>
      </c>
      <c r="W51" s="476" t="e">
        <f>(U51-V51)/V51</f>
        <v>#DIV/0!</v>
      </c>
      <c r="X51" s="475">
        <f>SUM([3]KLM!$HD$64:$HL$64)</f>
        <v>432116</v>
      </c>
      <c r="Y51" s="467">
        <f>SUM([3]KLM!$GP$64:$GX$64)</f>
        <v>818409</v>
      </c>
      <c r="Z51" s="477">
        <f>(X51-Y51)/Y51</f>
        <v>-0.47200482888140283</v>
      </c>
      <c r="AA51" s="476">
        <f>X51/$X$71</f>
        <v>9.9945380172158267E-3</v>
      </c>
    </row>
    <row r="52" spans="1:27" s="7" customFormat="1" ht="14.1" customHeight="1" x14ac:dyDescent="0.2">
      <c r="A52" s="322"/>
      <c r="B52" s="336"/>
      <c r="C52" s="323"/>
      <c r="D52" s="325"/>
      <c r="E52" s="326"/>
      <c r="F52" s="325"/>
      <c r="G52" s="325"/>
      <c r="H52" s="324"/>
      <c r="I52" s="326"/>
      <c r="J52" s="322"/>
      <c r="K52" s="336"/>
      <c r="L52" s="327"/>
      <c r="M52" s="9"/>
      <c r="N52" s="84"/>
      <c r="O52" s="327"/>
      <c r="P52" s="9"/>
      <c r="Q52" s="38"/>
      <c r="R52" s="84"/>
      <c r="S52" s="322"/>
      <c r="T52" s="54"/>
      <c r="U52" s="450"/>
      <c r="V52" s="2"/>
      <c r="W52" s="83"/>
      <c r="X52" s="450"/>
      <c r="Y52" s="2"/>
      <c r="Z52" s="3"/>
      <c r="AA52" s="83"/>
    </row>
    <row r="53" spans="1:27" ht="14.1" customHeight="1" x14ac:dyDescent="0.2">
      <c r="A53" s="334" t="s">
        <v>129</v>
      </c>
      <c r="B53" s="54"/>
      <c r="C53" s="323">
        <f>[3]Southwest!$HL$19</f>
        <v>883</v>
      </c>
      <c r="D53" s="325">
        <f>[3]Southwest!$GX$19</f>
        <v>536</v>
      </c>
      <c r="E53" s="326">
        <f>(C53-D53)/D53</f>
        <v>0.64738805970149249</v>
      </c>
      <c r="F53" s="325">
        <f>SUM([3]Southwest!$HD$19:$HL$19)</f>
        <v>7029</v>
      </c>
      <c r="G53" s="325">
        <f>SUM([3]Southwest!$GP$19:$GX$19)</f>
        <v>6796</v>
      </c>
      <c r="H53" s="324">
        <f>(F53-G53)/G53</f>
        <v>3.4284873454973511E-2</v>
      </c>
      <c r="I53" s="326">
        <f>F53/$F$71</f>
        <v>3.5091660675772823E-2</v>
      </c>
      <c r="J53" s="334" t="s">
        <v>129</v>
      </c>
      <c r="K53" s="54"/>
      <c r="L53" s="323">
        <f>[3]Southwest!$HL$41</f>
        <v>108433</v>
      </c>
      <c r="M53" s="325">
        <f>[3]Southwest!$GX$41</f>
        <v>45506</v>
      </c>
      <c r="N53" s="326">
        <f>(L53-M53)/M53</f>
        <v>1.3828286379818047</v>
      </c>
      <c r="O53" s="323">
        <f>SUM([3]Southwest!$HD$41:$HL$41)</f>
        <v>859836</v>
      </c>
      <c r="P53" s="325">
        <f>SUM([3]Southwest!$GP$41:$GX$41)</f>
        <v>531809</v>
      </c>
      <c r="Q53" s="324">
        <f>(O53-P53)/P53</f>
        <v>0.61681355524257764</v>
      </c>
      <c r="R53" s="326">
        <f>O53/$O$71</f>
        <v>4.9302669939153491E-2</v>
      </c>
      <c r="S53" s="322" t="s">
        <v>129</v>
      </c>
      <c r="T53" s="54"/>
      <c r="U53" s="475">
        <f>[3]Southwest!$HL$64</f>
        <v>299611</v>
      </c>
      <c r="V53" s="467">
        <f>[3]Southwest!$GX$64</f>
        <v>269120</v>
      </c>
      <c r="W53" s="476">
        <f>(U53-V53)/V53</f>
        <v>0.11329890011890606</v>
      </c>
      <c r="X53" s="475">
        <f>SUM([3]Southwest!$HD$64:$HL$64)</f>
        <v>2812228</v>
      </c>
      <c r="Y53" s="467">
        <f>SUM([3]Southwest!$GP$64:$GX$64)</f>
        <v>2233743</v>
      </c>
      <c r="Z53" s="477">
        <f>(X53-Y53)/Y53</f>
        <v>0.25897562969419491</v>
      </c>
      <c r="AA53" s="476">
        <f>X53/$X$71</f>
        <v>6.5044848279348214E-2</v>
      </c>
    </row>
    <row r="54" spans="1:27" ht="14.1" customHeight="1" x14ac:dyDescent="0.2">
      <c r="A54" s="322"/>
      <c r="B54" s="54"/>
      <c r="C54" s="323"/>
      <c r="D54" s="325"/>
      <c r="E54" s="326"/>
      <c r="F54" s="325"/>
      <c r="G54" s="325"/>
      <c r="H54" s="324"/>
      <c r="I54" s="326"/>
      <c r="J54" s="322"/>
      <c r="K54" s="54"/>
      <c r="L54" s="327"/>
      <c r="M54" s="9"/>
      <c r="N54" s="84"/>
      <c r="O54" s="327"/>
      <c r="P54" s="9"/>
      <c r="Q54" s="38"/>
      <c r="R54" s="84"/>
      <c r="S54" s="322"/>
      <c r="T54" s="54"/>
      <c r="U54" s="450"/>
      <c r="V54" s="2"/>
      <c r="W54" s="83"/>
      <c r="X54" s="450"/>
      <c r="Y54" s="2"/>
      <c r="Z54" s="3"/>
      <c r="AA54" s="83"/>
    </row>
    <row r="55" spans="1:27" ht="14.1" customHeight="1" x14ac:dyDescent="0.2">
      <c r="A55" s="322" t="s">
        <v>155</v>
      </c>
      <c r="B55" s="54"/>
      <c r="C55" s="323">
        <f>[3]Spirit!$HL$19</f>
        <v>280</v>
      </c>
      <c r="D55" s="325">
        <f>[3]Spirit!$GX$19</f>
        <v>152</v>
      </c>
      <c r="E55" s="326">
        <f>(C55-D55)/D55</f>
        <v>0.84210526315789469</v>
      </c>
      <c r="F55" s="325">
        <f>SUM([3]Spirit!$HD$19:$HL$19)</f>
        <v>2727</v>
      </c>
      <c r="G55" s="325">
        <f>SUM([3]Spirit!$GP$19:$GX$19)</f>
        <v>2901</v>
      </c>
      <c r="H55" s="324">
        <f>(F55-G55)/G55</f>
        <v>-5.9979317476732158E-2</v>
      </c>
      <c r="I55" s="326">
        <f>F55/$F$71</f>
        <v>1.3614306254493171E-2</v>
      </c>
      <c r="J55" s="322" t="s">
        <v>155</v>
      </c>
      <c r="K55" s="54"/>
      <c r="L55" s="323">
        <f>[3]Spirit!$HL$41</f>
        <v>32799</v>
      </c>
      <c r="M55" s="325">
        <f>[3]Spirit!$GX$41</f>
        <v>20705</v>
      </c>
      <c r="N55" s="326">
        <f>(L55-M55)/M55</f>
        <v>0.58411011832890603</v>
      </c>
      <c r="O55" s="323">
        <f>SUM([3]Spirit!$HD$41:$HL$41)</f>
        <v>386149</v>
      </c>
      <c r="P55" s="325">
        <f>SUM([3]Spirit!$GP$41:$GX$41)</f>
        <v>365928</v>
      </c>
      <c r="Q55" s="324">
        <f>(O55-P55)/P55</f>
        <v>5.5259504601998209E-2</v>
      </c>
      <c r="R55" s="326">
        <f>O55/$O$71</f>
        <v>2.2141637119560218E-2</v>
      </c>
      <c r="S55" s="322" t="s">
        <v>155</v>
      </c>
      <c r="T55" s="54"/>
      <c r="U55" s="475">
        <f>[3]Spirit!$HL$64</f>
        <v>0</v>
      </c>
      <c r="V55" s="467">
        <f>[3]Spirit!$GX$64</f>
        <v>0</v>
      </c>
      <c r="W55" s="476" t="e">
        <f>(U55-V55)/V55</f>
        <v>#DIV/0!</v>
      </c>
      <c r="X55" s="475">
        <f>SUM([3]Spirit!$HD$64:$HL$64)</f>
        <v>0</v>
      </c>
      <c r="Y55" s="467">
        <f>SUM([3]Spirit!$GP$64:$GX$64)</f>
        <v>0</v>
      </c>
      <c r="Z55" s="477" t="e">
        <f>(X55-Y55)/Y55</f>
        <v>#DIV/0!</v>
      </c>
      <c r="AA55" s="476">
        <f>X55/$X$71</f>
        <v>0</v>
      </c>
    </row>
    <row r="56" spans="1:27" ht="14.1" customHeight="1" x14ac:dyDescent="0.2">
      <c r="A56" s="322"/>
      <c r="B56" s="54"/>
      <c r="C56" s="323"/>
      <c r="D56" s="325"/>
      <c r="E56" s="326"/>
      <c r="F56" s="325"/>
      <c r="G56" s="325"/>
      <c r="H56" s="324"/>
      <c r="I56" s="326"/>
      <c r="J56" s="322"/>
      <c r="K56" s="54"/>
      <c r="L56" s="327"/>
      <c r="M56" s="9"/>
      <c r="N56" s="84"/>
      <c r="O56" s="327"/>
      <c r="P56" s="9"/>
      <c r="Q56" s="38"/>
      <c r="R56" s="84">
        <f>O56/$O$71</f>
        <v>0</v>
      </c>
      <c r="S56" s="322"/>
      <c r="T56" s="54"/>
      <c r="U56" s="450"/>
      <c r="V56" s="2"/>
      <c r="W56" s="83"/>
      <c r="X56" s="450"/>
      <c r="Y56" s="2"/>
      <c r="Z56" s="3"/>
      <c r="AA56" s="83">
        <f>X56/$X$71</f>
        <v>0</v>
      </c>
    </row>
    <row r="57" spans="1:27" s="7" customFormat="1" ht="14.1" customHeight="1" x14ac:dyDescent="0.2">
      <c r="A57" s="322" t="s">
        <v>49</v>
      </c>
      <c r="B57" s="336"/>
      <c r="C57" s="323">
        <f>'[3]Sun Country'!$HL$19</f>
        <v>1284</v>
      </c>
      <c r="D57" s="325">
        <f>'[3]Sun Country'!$GX$19</f>
        <v>722</v>
      </c>
      <c r="E57" s="326">
        <f>(C57-D57)/D57</f>
        <v>0.77839335180055402</v>
      </c>
      <c r="F57" s="325">
        <f>SUM('[3]Sun Country'!$HD$19:$HL$19)</f>
        <v>14255</v>
      </c>
      <c r="G57" s="325">
        <f>SUM('[3]Sun Country'!$GP$19:$GX$19)</f>
        <v>10097</v>
      </c>
      <c r="H57" s="324">
        <f>(F57-G57)/G57</f>
        <v>0.41180548677825096</v>
      </c>
      <c r="I57" s="326">
        <f>F57/$F$71</f>
        <v>7.1166826423835775E-2</v>
      </c>
      <c r="J57" s="322" t="s">
        <v>49</v>
      </c>
      <c r="K57" s="336"/>
      <c r="L57" s="323">
        <f>'[3]Sun Country'!$HL$41</f>
        <v>137942</v>
      </c>
      <c r="M57" s="325">
        <f>'[3]Sun Country'!$GX$41</f>
        <v>78126</v>
      </c>
      <c r="N57" s="326">
        <f>(L57-M57)/M57</f>
        <v>0.76563499987200168</v>
      </c>
      <c r="O57" s="323">
        <f>SUM('[3]Sun Country'!$HD$41:$HL$41)</f>
        <v>1772579</v>
      </c>
      <c r="P57" s="325">
        <f>SUM('[3]Sun Country'!$GP$41:$GX$41)</f>
        <v>1123047</v>
      </c>
      <c r="Q57" s="324">
        <f>(O57-P57)/P57</f>
        <v>0.57836582084276078</v>
      </c>
      <c r="R57" s="326">
        <f>O57/$O$71</f>
        <v>0.101639007180526</v>
      </c>
      <c r="S57" s="322" t="s">
        <v>49</v>
      </c>
      <c r="T57" s="54"/>
      <c r="U57" s="475">
        <f>'[3]Sun Country'!$HL$64</f>
        <v>171887</v>
      </c>
      <c r="V57" s="467">
        <f>'[3]Sun Country'!$GX$64</f>
        <v>128481</v>
      </c>
      <c r="W57" s="476">
        <f>(U57-V57)/V57</f>
        <v>0.33783983624037794</v>
      </c>
      <c r="X57" s="475">
        <f>SUM('[3]Sun Country'!$HD$64:$HL$64)</f>
        <v>3588873</v>
      </c>
      <c r="Y57" s="467">
        <f>SUM('[3]Sun Country'!$GP$64:$GX$64)</f>
        <v>2785136</v>
      </c>
      <c r="Z57" s="477">
        <f>(X57-Y57)/Y57</f>
        <v>0.28858088079002248</v>
      </c>
      <c r="AA57" s="476">
        <f>X57/$X$71</f>
        <v>8.3008098837949573E-2</v>
      </c>
    </row>
    <row r="58" spans="1:27" s="7" customFormat="1" ht="14.1" customHeight="1" x14ac:dyDescent="0.2">
      <c r="A58" s="322"/>
      <c r="B58" s="336"/>
      <c r="C58" s="323"/>
      <c r="D58" s="325"/>
      <c r="E58" s="326"/>
      <c r="F58" s="325"/>
      <c r="G58" s="325"/>
      <c r="H58" s="324"/>
      <c r="I58" s="326"/>
      <c r="J58" s="322"/>
      <c r="K58" s="336"/>
      <c r="L58" s="327"/>
      <c r="M58" s="9"/>
      <c r="N58" s="84"/>
      <c r="O58" s="327"/>
      <c r="P58" s="9"/>
      <c r="Q58" s="38"/>
      <c r="R58" s="84"/>
      <c r="S58" s="322"/>
      <c r="T58" s="54"/>
      <c r="U58" s="450"/>
      <c r="V58" s="2"/>
      <c r="W58" s="83"/>
      <c r="X58" s="450"/>
      <c r="Y58" s="2"/>
      <c r="Z58" s="3"/>
      <c r="AA58" s="83"/>
    </row>
    <row r="59" spans="1:27" s="7" customFormat="1" ht="14.1" customHeight="1" x14ac:dyDescent="0.2">
      <c r="A59" s="322" t="s">
        <v>19</v>
      </c>
      <c r="B59" s="330"/>
      <c r="C59" s="323">
        <f>SUM(C60:C66)</f>
        <v>949</v>
      </c>
      <c r="D59" s="325">
        <f>SUM(D60:D66)</f>
        <v>736</v>
      </c>
      <c r="E59" s="326">
        <f t="shared" ref="E59:E66" si="30">(C59-D59)/D59</f>
        <v>0.28940217391304346</v>
      </c>
      <c r="F59" s="325">
        <f>SUM(F60:F66)</f>
        <v>6378</v>
      </c>
      <c r="G59" s="325">
        <f>SUM(G60:G66)</f>
        <v>6905</v>
      </c>
      <c r="H59" s="324">
        <f t="shared" ref="H59:H66" si="31">(F59-G59)/G59</f>
        <v>-7.6321506154960167E-2</v>
      </c>
      <c r="I59" s="326">
        <f t="shared" ref="I59:I66" si="32">F59/$F$71</f>
        <v>3.1841600766834413E-2</v>
      </c>
      <c r="J59" s="322" t="s">
        <v>19</v>
      </c>
      <c r="K59" s="330"/>
      <c r="L59" s="323">
        <f>SUM(L60:L66)</f>
        <v>88498</v>
      </c>
      <c r="M59" s="325">
        <f>SUM(M60:M66)</f>
        <v>44208</v>
      </c>
      <c r="N59" s="326">
        <f t="shared" ref="N59:N66" si="33">(L59-M59)/M59</f>
        <v>1.0018548678972132</v>
      </c>
      <c r="O59" s="323">
        <f>SUM(O60:O66)</f>
        <v>597298</v>
      </c>
      <c r="P59" s="325">
        <f>SUM(P60:P66)</f>
        <v>435223</v>
      </c>
      <c r="Q59" s="324">
        <f t="shared" ref="Q59:Q66" si="34">(O59-P59)/P59</f>
        <v>0.37239530079981986</v>
      </c>
      <c r="R59" s="326">
        <f t="shared" ref="R59:R66" si="35">O59/$O$71</f>
        <v>3.4248840650212949E-2</v>
      </c>
      <c r="S59" s="322" t="s">
        <v>19</v>
      </c>
      <c r="T59" s="330"/>
      <c r="U59" s="475">
        <f>SUM(U60:U66)</f>
        <v>119247</v>
      </c>
      <c r="V59" s="467">
        <f>SUM(V60:V66)</f>
        <v>70352</v>
      </c>
      <c r="W59" s="476">
        <f t="shared" ref="W59:W66" si="36">(U59-V59)/V59</f>
        <v>0.69500511712531277</v>
      </c>
      <c r="X59" s="475">
        <f>SUM(X60:X66)</f>
        <v>1126436</v>
      </c>
      <c r="Y59" s="467">
        <f>SUM(Y60:Y66)</f>
        <v>630200</v>
      </c>
      <c r="Z59" s="477">
        <f t="shared" ref="Z59:Z66" si="37">(X59-Y59)/Y59</f>
        <v>0.78742621390034906</v>
      </c>
      <c r="AA59" s="476">
        <f t="shared" ref="AA59:AA66" si="38">X59/$X$71</f>
        <v>2.605366944515021E-2</v>
      </c>
    </row>
    <row r="60" spans="1:27" s="7" customFormat="1" ht="14.1" customHeight="1" x14ac:dyDescent="0.2">
      <c r="A60" s="337"/>
      <c r="B60" s="395" t="s">
        <v>19</v>
      </c>
      <c r="C60" s="327">
        <f>[3]United!$HL$19</f>
        <v>486</v>
      </c>
      <c r="D60" s="9">
        <f>[3]United!$GX$19+[3]Continental!$GX$19</f>
        <v>156</v>
      </c>
      <c r="E60" s="84">
        <f t="shared" si="30"/>
        <v>2.1153846153846154</v>
      </c>
      <c r="F60" s="9">
        <f>SUM([3]United!$HD$19:$HL$19)</f>
        <v>3396</v>
      </c>
      <c r="G60" s="9">
        <f>SUM([3]United!$GP$19:$GX$19)+SUM([3]Continental!$GP$19:$GX$19)</f>
        <v>2160</v>
      </c>
      <c r="H60" s="38">
        <f t="shared" si="31"/>
        <v>0.57222222222222219</v>
      </c>
      <c r="I60" s="84">
        <f t="shared" si="32"/>
        <v>1.6954229571052002E-2</v>
      </c>
      <c r="J60" s="337"/>
      <c r="K60" s="395" t="s">
        <v>19</v>
      </c>
      <c r="L60" s="327">
        <f>[3]United!$HL$41</f>
        <v>60236</v>
      </c>
      <c r="M60" s="9">
        <f>[3]United!$GX$41+[3]Continental!$GX$41</f>
        <v>14938</v>
      </c>
      <c r="N60" s="84">
        <f t="shared" si="33"/>
        <v>3.0324005891016199</v>
      </c>
      <c r="O60" s="327">
        <f>SUM([3]United!$HD$41:$HL$41)</f>
        <v>419671</v>
      </c>
      <c r="P60" s="9">
        <f>SUM([3]United!$GP$41:$GX$41)+SUM([3]Continental!$GP$41:$GX$41)</f>
        <v>209941</v>
      </c>
      <c r="Q60" s="38">
        <f t="shared" si="34"/>
        <v>0.99899495572565622</v>
      </c>
      <c r="R60" s="84">
        <f t="shared" si="35"/>
        <v>2.4063775878230831E-2</v>
      </c>
      <c r="S60" s="52"/>
      <c r="T60" s="396" t="s">
        <v>19</v>
      </c>
      <c r="U60" s="450">
        <f>[3]United!$HL$64</f>
        <v>119247</v>
      </c>
      <c r="V60" s="2">
        <f>[3]United!$GX$64+[3]Continental!$GX$64</f>
        <v>70352</v>
      </c>
      <c r="W60" s="83">
        <f t="shared" si="36"/>
        <v>0.69500511712531277</v>
      </c>
      <c r="X60" s="450">
        <f>SUM([3]United!$HD$64:$HL$64)</f>
        <v>1126436</v>
      </c>
      <c r="Y60" s="2">
        <f>SUM([3]United!$GP$64:$GX$64)+SUM([3]Continental!$GP$64:$GX$64)</f>
        <v>630200</v>
      </c>
      <c r="Z60" s="3">
        <f t="shared" si="37"/>
        <v>0.78742621390034906</v>
      </c>
      <c r="AA60" s="83">
        <f t="shared" si="38"/>
        <v>2.605366944515021E-2</v>
      </c>
    </row>
    <row r="61" spans="1:27" s="7" customFormat="1" ht="14.1" customHeight="1" x14ac:dyDescent="0.2">
      <c r="A61" s="337"/>
      <c r="B61" s="397" t="s">
        <v>166</v>
      </c>
      <c r="C61" s="327">
        <f>'[3]Continental Express'!$HL$19</f>
        <v>0</v>
      </c>
      <c r="D61" s="9">
        <f>'[3]Continental Express'!$GX$19</f>
        <v>0</v>
      </c>
      <c r="E61" s="84" t="e">
        <f t="shared" si="30"/>
        <v>#DIV/0!</v>
      </c>
      <c r="F61" s="9">
        <f>SUM('[3]Continental Express'!$HD$19:$HL$19)</f>
        <v>0</v>
      </c>
      <c r="G61" s="9">
        <f>SUM('[3]Continental Express'!$GP$19:$GX$19)</f>
        <v>236</v>
      </c>
      <c r="H61" s="38">
        <f t="shared" si="31"/>
        <v>-1</v>
      </c>
      <c r="I61" s="84">
        <f t="shared" si="32"/>
        <v>0</v>
      </c>
      <c r="J61" s="52"/>
      <c r="K61" s="395" t="s">
        <v>166</v>
      </c>
      <c r="L61" s="327">
        <f>'[3]Continental Express'!$HL$41</f>
        <v>0</v>
      </c>
      <c r="M61" s="9">
        <f>'[3]Continental Express'!$GX$41</f>
        <v>0</v>
      </c>
      <c r="N61" s="84" t="e">
        <f t="shared" si="33"/>
        <v>#DIV/0!</v>
      </c>
      <c r="O61" s="327">
        <f>SUM('[3]Continental Express'!$HD$41:$HL$41)</f>
        <v>0</v>
      </c>
      <c r="P61" s="9">
        <f>SUM('[3]Continental Express'!$GP$41:$GX$41)</f>
        <v>10983</v>
      </c>
      <c r="Q61" s="38">
        <f t="shared" si="34"/>
        <v>-1</v>
      </c>
      <c r="R61" s="84">
        <f t="shared" si="35"/>
        <v>0</v>
      </c>
      <c r="S61" s="52"/>
      <c r="T61" s="396" t="s">
        <v>166</v>
      </c>
      <c r="U61" s="450">
        <f>'[3]Continental Express'!$HL$64</f>
        <v>0</v>
      </c>
      <c r="V61" s="2">
        <f>'[3]Continental Express'!$GX$64</f>
        <v>0</v>
      </c>
      <c r="W61" s="83" t="e">
        <f t="shared" si="36"/>
        <v>#DIV/0!</v>
      </c>
      <c r="X61" s="450">
        <f>SUM('[3]Continental Express'!$HD$64:$HL$64)</f>
        <v>0</v>
      </c>
      <c r="Y61" s="2">
        <f>SUM('[3]Continental Express'!$GP$64:$GX$64)</f>
        <v>0</v>
      </c>
      <c r="Z61" s="3" t="e">
        <f t="shared" si="37"/>
        <v>#DIV/0!</v>
      </c>
      <c r="AA61" s="83">
        <f t="shared" si="38"/>
        <v>0</v>
      </c>
    </row>
    <row r="62" spans="1:27" s="7" customFormat="1" ht="14.1" customHeight="1" x14ac:dyDescent="0.2">
      <c r="A62" s="337"/>
      <c r="B62" s="332" t="s">
        <v>154</v>
      </c>
      <c r="C62" s="327">
        <f>'[3]Go Jet_UA'!$HL$19</f>
        <v>0</v>
      </c>
      <c r="D62" s="9">
        <f>'[3]Go Jet_UA'!$GX$19</f>
        <v>0</v>
      </c>
      <c r="E62" s="84" t="e">
        <f t="shared" si="30"/>
        <v>#DIV/0!</v>
      </c>
      <c r="F62" s="9">
        <f>SUM('[3]Go Jet_UA'!$HD$19:$HL$19)</f>
        <v>2</v>
      </c>
      <c r="G62" s="9">
        <f>SUM('[3]Go Jet_UA'!$GP$19:$GX$19)</f>
        <v>2</v>
      </c>
      <c r="H62" s="38">
        <f t="shared" si="31"/>
        <v>0</v>
      </c>
      <c r="I62" s="84">
        <f t="shared" si="32"/>
        <v>9.9848230689352183E-6</v>
      </c>
      <c r="J62" s="337"/>
      <c r="K62" s="331" t="s">
        <v>154</v>
      </c>
      <c r="L62" s="327">
        <f>'[3]Go Jet_UA'!$HL$41</f>
        <v>0</v>
      </c>
      <c r="M62" s="9">
        <f>'[3]Go Jet_UA'!$GX$41</f>
        <v>0</v>
      </c>
      <c r="N62" s="84" t="e">
        <f t="shared" si="33"/>
        <v>#DIV/0!</v>
      </c>
      <c r="O62" s="327">
        <f>SUM('[3]Go Jet_UA'!$HD$41:$HL$41)</f>
        <v>0</v>
      </c>
      <c r="P62" s="9">
        <f>SUM('[3]Go Jet_UA'!$GP$41:$GX$41)</f>
        <v>83</v>
      </c>
      <c r="Q62" s="38">
        <f t="shared" si="34"/>
        <v>-1</v>
      </c>
      <c r="R62" s="84">
        <f t="shared" si="35"/>
        <v>0</v>
      </c>
      <c r="S62" s="52"/>
      <c r="T62" s="54" t="s">
        <v>154</v>
      </c>
      <c r="U62" s="450">
        <f>'[3]Go Jet_UA'!$HL$64</f>
        <v>0</v>
      </c>
      <c r="V62" s="2">
        <f>'[3]Go Jet_UA'!$GX$64</f>
        <v>0</v>
      </c>
      <c r="W62" s="83" t="e">
        <f t="shared" si="36"/>
        <v>#DIV/0!</v>
      </c>
      <c r="X62" s="450">
        <f>SUM('[3]Go Jet_UA'!$HD$64:$HL$64)</f>
        <v>0</v>
      </c>
      <c r="Y62" s="2">
        <f>SUM('[3]Go Jet_UA'!$GP$64:$GX$64)</f>
        <v>0</v>
      </c>
      <c r="Z62" s="3" t="e">
        <f t="shared" si="37"/>
        <v>#DIV/0!</v>
      </c>
      <c r="AA62" s="83">
        <f t="shared" si="38"/>
        <v>0</v>
      </c>
    </row>
    <row r="63" spans="1:27" s="7" customFormat="1" ht="14.1" customHeight="1" x14ac:dyDescent="0.2">
      <c r="A63" s="337"/>
      <c r="B63" s="332" t="s">
        <v>51</v>
      </c>
      <c r="C63" s="327">
        <f>[3]MESA_UA!$HL$19</f>
        <v>189</v>
      </c>
      <c r="D63" s="9">
        <f>[3]MESA_UA!$GX$19</f>
        <v>231</v>
      </c>
      <c r="E63" s="84">
        <f t="shared" si="30"/>
        <v>-0.18181818181818182</v>
      </c>
      <c r="F63" s="9">
        <f>SUM([3]MESA_UA!$HD$19:$HL$19)</f>
        <v>1118</v>
      </c>
      <c r="G63" s="9">
        <f>SUM([3]MESA_UA!$GP$19:$GX$19)</f>
        <v>1427</v>
      </c>
      <c r="H63" s="38">
        <f>(F63-G63)/G63</f>
        <v>-0.21653819201121233</v>
      </c>
      <c r="I63" s="84">
        <f t="shared" si="32"/>
        <v>5.5815160955347875E-3</v>
      </c>
      <c r="J63" s="337"/>
      <c r="K63" s="331" t="s">
        <v>51</v>
      </c>
      <c r="L63" s="327">
        <f>[3]MESA_UA!$HL$41</f>
        <v>10999</v>
      </c>
      <c r="M63" s="9">
        <f>[3]MESA_UA!$GX$41</f>
        <v>10748</v>
      </c>
      <c r="N63" s="84">
        <f t="shared" si="33"/>
        <v>2.3353181987346483E-2</v>
      </c>
      <c r="O63" s="327">
        <f>SUM([3]MESA_UA!$HD$41:$HL$41)</f>
        <v>66964</v>
      </c>
      <c r="P63" s="9">
        <f>SUM([3]MESA_UA!$GP$41:$GX$41)</f>
        <v>67488</v>
      </c>
      <c r="Q63" s="38">
        <f t="shared" si="34"/>
        <v>-7.7643432906590801E-3</v>
      </c>
      <c r="R63" s="84">
        <f t="shared" si="35"/>
        <v>3.8396903477005782E-3</v>
      </c>
      <c r="S63" s="52"/>
      <c r="T63" s="54" t="s">
        <v>51</v>
      </c>
      <c r="U63" s="450">
        <f>[3]MESA_UA!$HL$64</f>
        <v>0</v>
      </c>
      <c r="V63" s="2">
        <f>[3]MESA_UA!$GX$64</f>
        <v>0</v>
      </c>
      <c r="W63" s="83" t="e">
        <f t="shared" si="36"/>
        <v>#DIV/0!</v>
      </c>
      <c r="X63" s="450">
        <f>SUM([3]MESA_UA!$HD$64:$HL$64)</f>
        <v>0</v>
      </c>
      <c r="Y63" s="2">
        <f>SUM([3]MESA_UA!$GP$64:$GX$64)</f>
        <v>0</v>
      </c>
      <c r="Z63" s="3" t="e">
        <f t="shared" si="37"/>
        <v>#DIV/0!</v>
      </c>
      <c r="AA63" s="83">
        <f t="shared" si="38"/>
        <v>0</v>
      </c>
    </row>
    <row r="64" spans="1:27" s="7" customFormat="1" ht="14.1" customHeight="1" x14ac:dyDescent="0.2">
      <c r="A64" s="337"/>
      <c r="B64" s="397" t="s">
        <v>52</v>
      </c>
      <c r="C64" s="327">
        <f>[3]Republic_UA!$HL$19</f>
        <v>155</v>
      </c>
      <c r="D64" s="9">
        <f>[3]Republic_UA!$GX$19</f>
        <v>65</v>
      </c>
      <c r="E64" s="84">
        <f t="shared" si="30"/>
        <v>1.3846153846153846</v>
      </c>
      <c r="F64" s="9">
        <f>SUM([3]Republic_UA!$HD$19:$HL$19)</f>
        <v>1122</v>
      </c>
      <c r="G64" s="9">
        <f>SUM([3]Republic_UA!$GP$19:$GX$19)</f>
        <v>1794</v>
      </c>
      <c r="H64" s="38">
        <f t="shared" ref="H64" si="39">(F64-G64)/G64</f>
        <v>-0.37458193979933108</v>
      </c>
      <c r="I64" s="84">
        <f t="shared" si="32"/>
        <v>5.601485741672658E-3</v>
      </c>
      <c r="J64" s="337"/>
      <c r="K64" s="397" t="s">
        <v>52</v>
      </c>
      <c r="L64" s="327">
        <f>[3]Republic_UA!$HL$41</f>
        <v>9365</v>
      </c>
      <c r="M64" s="9">
        <f>[3]Republic_UA!$GX$41</f>
        <v>2756</v>
      </c>
      <c r="N64" s="84">
        <f t="shared" si="33"/>
        <v>2.3980406386066764</v>
      </c>
      <c r="O64" s="327">
        <f>SUM([3]Republic_UA!$HD$41:$HL$41)</f>
        <v>64910</v>
      </c>
      <c r="P64" s="9">
        <f>SUM([3]Republic_UA!$GP$41:$GX$41)</f>
        <v>80969</v>
      </c>
      <c r="Q64" s="38">
        <f t="shared" si="34"/>
        <v>-0.19833516531018044</v>
      </c>
      <c r="R64" s="84">
        <f t="shared" si="35"/>
        <v>3.7219147671770582E-3</v>
      </c>
      <c r="S64" s="52"/>
      <c r="T64" s="396" t="s">
        <v>52</v>
      </c>
      <c r="U64" s="450">
        <f>[3]Republic_UA!$HL$64</f>
        <v>0</v>
      </c>
      <c r="V64" s="2">
        <f>[3]Republic_UA!$GX$64</f>
        <v>0</v>
      </c>
      <c r="W64" s="83" t="e">
        <f t="shared" si="36"/>
        <v>#DIV/0!</v>
      </c>
      <c r="X64" s="450">
        <f>SUM([3]Republic_UA!$HD$64:$HL$64)</f>
        <v>0</v>
      </c>
      <c r="Y64" s="2">
        <f>SUM([3]Republic_UA!$GP$64:$GX$64)</f>
        <v>0</v>
      </c>
      <c r="Z64" s="3" t="e">
        <f t="shared" si="37"/>
        <v>#DIV/0!</v>
      </c>
      <c r="AA64" s="83">
        <f t="shared" si="38"/>
        <v>0</v>
      </c>
    </row>
    <row r="65" spans="1:27" s="7" customFormat="1" ht="14.1" customHeight="1" x14ac:dyDescent="0.2">
      <c r="A65" s="337"/>
      <c r="B65" s="332" t="s">
        <v>97</v>
      </c>
      <c r="C65" s="327">
        <f>'[3]Sky West_UA'!$HL$19</f>
        <v>119</v>
      </c>
      <c r="D65" s="9">
        <f>'[3]Sky West_UA'!$GX$19+'[3]Sky West_CO'!$GX$19</f>
        <v>284</v>
      </c>
      <c r="E65" s="84">
        <f t="shared" si="30"/>
        <v>-0.58098591549295775</v>
      </c>
      <c r="F65" s="9">
        <f>SUM('[3]Sky West_UA'!$HD$19:$HL$19)</f>
        <v>740</v>
      </c>
      <c r="G65" s="9">
        <f>SUM('[3]Sky West_UA'!$GP$19:$GX$19)+SUM('[3]Sky West_CO'!$GP$19:$GX$19)</f>
        <v>1286</v>
      </c>
      <c r="H65" s="38">
        <f t="shared" si="31"/>
        <v>-0.42457231726283046</v>
      </c>
      <c r="I65" s="84">
        <f t="shared" si="32"/>
        <v>3.6943845355060308E-3</v>
      </c>
      <c r="J65" s="337"/>
      <c r="K65" s="331" t="s">
        <v>97</v>
      </c>
      <c r="L65" s="327">
        <f>'[3]Sky West_UA'!$HL$41</f>
        <v>7898</v>
      </c>
      <c r="M65" s="9">
        <f>'[3]Sky West_UA'!$GX$41+'[3]Sky West_CO'!$GX$41</f>
        <v>15766</v>
      </c>
      <c r="N65" s="84">
        <f t="shared" si="33"/>
        <v>-0.49904858556387161</v>
      </c>
      <c r="O65" s="327">
        <f>SUM('[3]Sky West_UA'!$HD$41:$HL$41)</f>
        <v>45753</v>
      </c>
      <c r="P65" s="9">
        <f>SUM('[3]Sky West_UA'!$GP$41:$GX$41)+SUM('[3]Sky West_CO'!$GP$41:$GX$41)</f>
        <v>65759</v>
      </c>
      <c r="Q65" s="38">
        <f t="shared" si="34"/>
        <v>-0.30423212031813135</v>
      </c>
      <c r="R65" s="84">
        <f t="shared" si="35"/>
        <v>2.6234596571044822E-3</v>
      </c>
      <c r="S65" s="52"/>
      <c r="T65" s="54" t="s">
        <v>97</v>
      </c>
      <c r="U65" s="450">
        <f>'[3]Sky West_UA'!$HL$64</f>
        <v>0</v>
      </c>
      <c r="V65" s="2">
        <f>'[3]Sky West_UA'!$GX$64+'[3]Sky West_CO'!$GX$64</f>
        <v>0</v>
      </c>
      <c r="W65" s="83" t="e">
        <f t="shared" si="36"/>
        <v>#DIV/0!</v>
      </c>
      <c r="X65" s="450">
        <f>SUM('[3]Sky West_UA'!$HD$64:$HL$64)</f>
        <v>0</v>
      </c>
      <c r="Y65" s="2">
        <f>SUM('[3]Sky West_UA'!$GP$64:$GX$64)+SUM('[3]Sky West_CO'!$GP$64:$GX$64)</f>
        <v>0</v>
      </c>
      <c r="Z65" s="3" t="e">
        <f t="shared" si="37"/>
        <v>#DIV/0!</v>
      </c>
      <c r="AA65" s="83">
        <f t="shared" si="38"/>
        <v>0</v>
      </c>
    </row>
    <row r="66" spans="1:27" s="7" customFormat="1" ht="14.1" customHeight="1" x14ac:dyDescent="0.2">
      <c r="A66" s="337"/>
      <c r="B66" s="333" t="s">
        <v>131</v>
      </c>
      <c r="C66" s="327">
        <f>'[3]Shuttle America'!$HL$19</f>
        <v>0</v>
      </c>
      <c r="D66" s="9">
        <f>'[3]Shuttle America'!$GX$19</f>
        <v>0</v>
      </c>
      <c r="E66" s="84" t="e">
        <f t="shared" si="30"/>
        <v>#DIV/0!</v>
      </c>
      <c r="F66" s="9">
        <f>SUM('[3]Shuttle America'!$HD$19:$HL$19)</f>
        <v>0</v>
      </c>
      <c r="G66" s="9">
        <f>SUM('[3]Shuttle America'!$GP$19:$GX$19)</f>
        <v>0</v>
      </c>
      <c r="H66" s="38" t="e">
        <f t="shared" si="31"/>
        <v>#DIV/0!</v>
      </c>
      <c r="I66" s="84">
        <f t="shared" si="32"/>
        <v>0</v>
      </c>
      <c r="J66" s="337"/>
      <c r="K66" s="333" t="s">
        <v>131</v>
      </c>
      <c r="L66" s="327">
        <f>'[3]Shuttle America'!$HL$41</f>
        <v>0</v>
      </c>
      <c r="M66" s="9">
        <f>'[3]Shuttle America'!$GX$41</f>
        <v>0</v>
      </c>
      <c r="N66" s="84" t="e">
        <f t="shared" si="33"/>
        <v>#DIV/0!</v>
      </c>
      <c r="O66" s="327">
        <f>SUM('[3]Shuttle America'!$HD$41:$HL$41)</f>
        <v>0</v>
      </c>
      <c r="P66" s="9">
        <f>SUM('[3]Shuttle America'!$GP$41:$GX$41)</f>
        <v>0</v>
      </c>
      <c r="Q66" s="38" t="e">
        <f t="shared" si="34"/>
        <v>#DIV/0!</v>
      </c>
      <c r="R66" s="84">
        <f t="shared" si="35"/>
        <v>0</v>
      </c>
      <c r="S66" s="52"/>
      <c r="T66" s="398" t="s">
        <v>131</v>
      </c>
      <c r="U66" s="450">
        <f>'[3]Shuttle America'!$HL$64</f>
        <v>0</v>
      </c>
      <c r="V66" s="2">
        <f>'[3]Shuttle America'!$GX$64</f>
        <v>0</v>
      </c>
      <c r="W66" s="83" t="e">
        <f t="shared" si="36"/>
        <v>#DIV/0!</v>
      </c>
      <c r="X66" s="450">
        <f>SUM('[3]Shuttle America'!$HD$64:$HL$64)</f>
        <v>0</v>
      </c>
      <c r="Y66" s="2">
        <f>SUM('[3]Shuttle America'!$GP$64:$GX$64)</f>
        <v>0</v>
      </c>
      <c r="Z66" s="3" t="e">
        <f t="shared" si="37"/>
        <v>#DIV/0!</v>
      </c>
      <c r="AA66" s="83">
        <f t="shared" si="38"/>
        <v>0</v>
      </c>
    </row>
    <row r="67" spans="1:27" s="7" customFormat="1" ht="14.1" customHeight="1" thickBot="1" x14ac:dyDescent="0.25">
      <c r="A67" s="400"/>
      <c r="B67" s="401"/>
      <c r="C67" s="338"/>
      <c r="D67" s="340"/>
      <c r="E67" s="341"/>
      <c r="F67" s="342"/>
      <c r="G67" s="342"/>
      <c r="H67" s="339"/>
      <c r="I67" s="341"/>
      <c r="J67" s="400"/>
      <c r="K67" s="401"/>
      <c r="L67" s="338"/>
      <c r="M67" s="342"/>
      <c r="N67" s="341"/>
      <c r="O67" s="338"/>
      <c r="P67" s="342"/>
      <c r="Q67" s="339"/>
      <c r="R67" s="434"/>
      <c r="S67" s="524"/>
      <c r="T67" s="525"/>
      <c r="U67" s="513"/>
      <c r="V67" s="340"/>
      <c r="W67" s="514"/>
      <c r="X67" s="513"/>
      <c r="Y67" s="340"/>
      <c r="Z67" s="515"/>
      <c r="AA67" s="508"/>
    </row>
    <row r="68" spans="1:27" s="202" customFormat="1" ht="14.1" customHeight="1" thickBot="1" x14ac:dyDescent="0.25">
      <c r="B68" s="237"/>
      <c r="C68" s="325"/>
      <c r="D68" s="325"/>
      <c r="E68" s="324"/>
      <c r="F68" s="399"/>
      <c r="G68" s="325"/>
      <c r="H68" s="324"/>
      <c r="I68" s="324"/>
      <c r="J68" s="343"/>
      <c r="K68" s="237"/>
      <c r="L68" s="344"/>
      <c r="M68" s="345"/>
      <c r="N68" s="343"/>
      <c r="O68" s="203"/>
      <c r="P68" s="203"/>
      <c r="Q68" s="203"/>
      <c r="R68" s="447"/>
      <c r="S68" s="526"/>
      <c r="T68" s="200"/>
      <c r="U68" s="527"/>
      <c r="V68" s="528"/>
      <c r="W68" s="526"/>
    </row>
    <row r="69" spans="1:27" ht="14.1" customHeight="1" x14ac:dyDescent="0.2">
      <c r="B69" s="346" t="s">
        <v>133</v>
      </c>
      <c r="C69" s="410">
        <f>+C71-C70</f>
        <v>13304</v>
      </c>
      <c r="D69" s="410">
        <f>+D71-D70</f>
        <v>8652</v>
      </c>
      <c r="E69" s="411">
        <f>(C69-D69)/D69</f>
        <v>0.53767914932963479</v>
      </c>
      <c r="F69" s="410">
        <f>+F71-F70</f>
        <v>108864</v>
      </c>
      <c r="G69" s="410">
        <f>+G71-G70</f>
        <v>90096</v>
      </c>
      <c r="H69" s="415">
        <f>(F69-G69)/G69</f>
        <v>0.20831113478955782</v>
      </c>
      <c r="I69" s="455">
        <f>F69/$F$71</f>
        <v>0.5434938892882818</v>
      </c>
      <c r="K69" s="346" t="s">
        <v>133</v>
      </c>
      <c r="L69" s="410">
        <f>+L71-L70</f>
        <v>1685161</v>
      </c>
      <c r="M69" s="410">
        <f>+M71-M70</f>
        <v>700457</v>
      </c>
      <c r="N69" s="411">
        <f>(L69-M69)/M69</f>
        <v>1.4058022119844615</v>
      </c>
      <c r="O69" s="410">
        <f>+O71-O70</f>
        <v>13289009</v>
      </c>
      <c r="P69" s="410">
        <f>+P71-P70</f>
        <v>8635525</v>
      </c>
      <c r="Q69" s="445">
        <f>(O69-P69)/P69</f>
        <v>0.53887679093048768</v>
      </c>
      <c r="R69" s="451">
        <f>+O69/O71</f>
        <v>0.76198673298796538</v>
      </c>
      <c r="S69" s="3"/>
      <c r="T69" s="529" t="s">
        <v>133</v>
      </c>
      <c r="U69" s="410">
        <f>+U71-U70</f>
        <v>5790443</v>
      </c>
      <c r="V69" s="410">
        <f>+V71-V70</f>
        <v>3869977</v>
      </c>
      <c r="W69" s="411">
        <f>(U69-V69)/V69</f>
        <v>0.49624739371836057</v>
      </c>
      <c r="X69" s="410">
        <f>+X71-X70</f>
        <v>43195927</v>
      </c>
      <c r="Y69" s="410">
        <f>+Y71-Y70</f>
        <v>40749227</v>
      </c>
      <c r="Z69" s="530">
        <f>(X69-Y69)/Y69</f>
        <v>6.0042856763884135E-2</v>
      </c>
      <c r="AA69" s="451">
        <f>+X69/X71</f>
        <v>0.99909129629631777</v>
      </c>
    </row>
    <row r="70" spans="1:27" ht="14.1" customHeight="1" x14ac:dyDescent="0.2">
      <c r="B70" s="300" t="s">
        <v>134</v>
      </c>
      <c r="C70" s="412">
        <f>C66+C43+C41+C39+C38+C42+C23+C65+C62+C40+C61+C63+C28+C27+C24+C18+C8+C64+C25+C26+C10+C19+C9</f>
        <v>10873</v>
      </c>
      <c r="D70" s="412">
        <f>D66+D43+D41+D39+D38+D42+D23+D65+D62+D40+D61+D63+D28+D27+D24+D18+D8+D64+D25+D26+D10+D19+D9</f>
        <v>8821</v>
      </c>
      <c r="E70" s="347">
        <f>(C70-D70)/D70</f>
        <v>0.23262668631674413</v>
      </c>
      <c r="F70" s="412">
        <f>F66+F43+F41+F39+F38+F42+F23+F65+F62+F40+F61+F63+F28+F27+F24+F18+F8+F64+F25+F26+F10+F19+F9</f>
        <v>91440</v>
      </c>
      <c r="G70" s="412">
        <f>G66+G43+G41+G39+G38+G42+G23+G65+G62+G40+G61+G63+G28+G27+G24+G18+G8+G64+G25+G26+G10+G19+G9</f>
        <v>70678</v>
      </c>
      <c r="H70" s="416">
        <f>(F70-G70)/G70</f>
        <v>0.29375477517756587</v>
      </c>
      <c r="I70" s="456">
        <f>F70/$F$71</f>
        <v>0.4565061107117182</v>
      </c>
      <c r="K70" s="300" t="s">
        <v>134</v>
      </c>
      <c r="L70" s="412">
        <f>L66+L43+L41+L39+L38+L42+L23+L65+L62+L40+L61+L63+L28+L27+L24+L18+L8+L64+L25+L26+L10+L19+L9</f>
        <v>575731</v>
      </c>
      <c r="M70" s="412">
        <f>M66+M43+M41+M39+M38+M42+M23+M65+M62+M40+M61+M63+M28+M27+M24+M18+M8+M64+M25+M26+M10+M19+M9</f>
        <v>290873</v>
      </c>
      <c r="N70" s="347">
        <f>(L70-M70)/M70</f>
        <v>0.97932087199568196</v>
      </c>
      <c r="O70" s="412">
        <f>O66+O43+O41+O39+O38+O42+O23+O65+O62+O40+O61+O63+O28+O27+O24+O18+O8+O64+O25+O26+O10+O19+O9</f>
        <v>4150939</v>
      </c>
      <c r="P70" s="412">
        <f>P66+P43+P41+P39+P38+P42+P23+P65+P62+P40+P61+P63+P28+P27+P24+P18+P8+P64+P25+P26+P10+P19+P9</f>
        <v>2516934</v>
      </c>
      <c r="Q70" s="443">
        <f>(O70-P70)/P70</f>
        <v>0.64920454807317152</v>
      </c>
      <c r="R70" s="452">
        <f>+O70/O71</f>
        <v>0.23801326701203468</v>
      </c>
      <c r="S70" s="3"/>
      <c r="T70" s="200" t="s">
        <v>134</v>
      </c>
      <c r="U70" s="412">
        <f>U66+U43+U41+U39+U38+U42+U23+U65+U62+U40+U61+U63+U28+U27+U24+U18+U8+U64+U25+U26+U10+U19+U9</f>
        <v>6843</v>
      </c>
      <c r="V70" s="412">
        <f>V66+V43+V41+V39+V38+V42+V23+V65+V62+V40+V61+V63+V28+V27+V24+V18+V8+V64+V25+V26+V10+V19+V9</f>
        <v>983</v>
      </c>
      <c r="W70" s="347">
        <f>(U70-V70)/V70</f>
        <v>5.9613428280773144</v>
      </c>
      <c r="X70" s="412">
        <f>X66+X43+X41+X39+X38+X42+X23+X65+X62+X40+X61+X63+X28+X27+X24+X18+X8+X64+X25+X26+X10+X19+X9</f>
        <v>39288</v>
      </c>
      <c r="Y70" s="412">
        <f>Y66+Y43+Y41+Y39+Y38+Y42+Y23+Y65+Y62+Y40+Y61+Y63+Y28+Y27+Y24+Y18+Y8+Y64+Y25+Y26+Y10+Y19+Y9</f>
        <v>29503</v>
      </c>
      <c r="Z70" s="531">
        <f>(X70-Y70)/Y70</f>
        <v>0.3316611869979324</v>
      </c>
      <c r="AA70" s="452">
        <f>+X70/X71</f>
        <v>9.0870370368228764E-4</v>
      </c>
    </row>
    <row r="71" spans="1:27" ht="14.1" customHeight="1" thickBot="1" x14ac:dyDescent="0.25">
      <c r="B71" s="300" t="s">
        <v>135</v>
      </c>
      <c r="C71" s="413">
        <f>C59+C57+C53+C47+C45+C36+C21+C16+C6+C55+C32+C30+C12+C51+C14+C49+C4+C34</f>
        <v>24177</v>
      </c>
      <c r="D71" s="413">
        <f>D59+D57+D53+D47+D45+D36+D21+D16+D6+D55+D32+D30+D12+D51+D14+D49+D4+D34</f>
        <v>17473</v>
      </c>
      <c r="E71" s="414">
        <f>(C71-D71)/D71</f>
        <v>0.38367767412579407</v>
      </c>
      <c r="F71" s="413">
        <f>F59+F57+F53+F47+F45+F36+F21+F16+F6+F55+F32+F30+F12+F51+F14+F49+F4+F34</f>
        <v>200304</v>
      </c>
      <c r="G71" s="413">
        <f>G59+G57+G53+G47+G45+G36+G21+G16+G6+G55+G32+G30+G12+G51+G14+G49+G4+G34</f>
        <v>160774</v>
      </c>
      <c r="H71" s="417">
        <f>(F71-G71)/G71</f>
        <v>0.24587308893229004</v>
      </c>
      <c r="I71" s="457">
        <f>+H71/H71</f>
        <v>1</v>
      </c>
      <c r="K71" s="300" t="s">
        <v>135</v>
      </c>
      <c r="L71" s="413">
        <f>L59+L57+L53+L47+L45+L36+L21+L16+L6+L55+L32+L30+L12+L51+L14+L49+L4+L34</f>
        <v>2260892</v>
      </c>
      <c r="M71" s="413">
        <f>M59+M57+M53+M47+M45+M36+M21+M16+M6+M55+M32+M30+M12+M51+M14+M49+M4+M34</f>
        <v>991330</v>
      </c>
      <c r="N71" s="414">
        <f>(L71-M71)/M71</f>
        <v>1.2806653687470368</v>
      </c>
      <c r="O71" s="413">
        <f>O59+O57+O53+O47+O45+O36+O21+O16+O6+O55+O32+O30+O12+O51+O14+O49+O4+O34</f>
        <v>17439948</v>
      </c>
      <c r="P71" s="413">
        <f>P59+P57+P53+P47+P45+P36+P21+P16+P6+P55+P32+P30+P12+P51+P14+P49+P4+P34</f>
        <v>11152459</v>
      </c>
      <c r="Q71" s="446">
        <f>(O71-P71)/P71</f>
        <v>0.56377602464174048</v>
      </c>
      <c r="R71" s="453">
        <f>+O71/O71</f>
        <v>1</v>
      </c>
      <c r="S71" s="3"/>
      <c r="T71" s="200" t="s">
        <v>135</v>
      </c>
      <c r="U71" s="413">
        <f>U59+U57+U53+U47+U45+U36+U21+U16+U6+U55+U32+U30+U12+U51+U14+U49+U4+U34</f>
        <v>5797286</v>
      </c>
      <c r="V71" s="413">
        <f>V59+V57+V53+V47+V45+V36+V21+V16+V6+V55+V32+V30+V12+V51+V14+V49+V4+V34</f>
        <v>3870960</v>
      </c>
      <c r="W71" s="414">
        <f>(U71-V71)/V71</f>
        <v>0.49763521193709054</v>
      </c>
      <c r="X71" s="413">
        <f>X59+X57+X53+X47+X45+X36+X21+X16+X6+X55+X32+X30+X12+X51+X14+X49+X4+X34</f>
        <v>43235215</v>
      </c>
      <c r="Y71" s="413">
        <f>Y59+Y57+Y53+Y47+Y45+Y36+Y21+Y16+Y6+Y55+Y32+Y30+Y12+Y51+Y14+Y49+Y4+Y34</f>
        <v>40778730</v>
      </c>
      <c r="Z71" s="532">
        <f>(X71-Y71)/Y71</f>
        <v>6.0239369887193639E-2</v>
      </c>
      <c r="AA71" s="453">
        <f>+X71/X71</f>
        <v>1</v>
      </c>
    </row>
    <row r="72" spans="1:27" x14ac:dyDescent="0.2">
      <c r="D72" s="201"/>
      <c r="E72" s="201"/>
      <c r="F72" s="4"/>
      <c r="G72" s="7"/>
      <c r="H72"/>
      <c r="I72"/>
      <c r="J72"/>
      <c r="K72"/>
      <c r="M72"/>
      <c r="N72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  <c r="V73" s="128"/>
      <c r="W73" s="128"/>
    </row>
    <row r="74" spans="1:27" x14ac:dyDescent="0.2">
      <c r="E74"/>
      <c r="F74" s="2"/>
      <c r="H74"/>
      <c r="I74"/>
      <c r="J74"/>
      <c r="K74"/>
      <c r="N74"/>
      <c r="O74" s="2"/>
      <c r="P74" s="2"/>
      <c r="U74" s="128"/>
      <c r="V74" s="128"/>
      <c r="W74" s="128"/>
    </row>
    <row r="75" spans="1:27" x14ac:dyDescent="0.2">
      <c r="E75"/>
      <c r="F75" s="2"/>
      <c r="H75"/>
      <c r="I75"/>
      <c r="J75"/>
      <c r="K75"/>
      <c r="N75"/>
      <c r="O75" s="2"/>
      <c r="P75" s="2"/>
      <c r="U75" s="128"/>
    </row>
    <row r="76" spans="1:27" x14ac:dyDescent="0.2">
      <c r="E76"/>
      <c r="F76" s="2"/>
      <c r="H76"/>
      <c r="I76"/>
      <c r="J76"/>
      <c r="K76"/>
      <c r="N76"/>
      <c r="O76" s="2"/>
      <c r="P76" s="2"/>
    </row>
    <row r="77" spans="1:27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1:27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E1195" s="36"/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  <row r="4710" spans="6:11" x14ac:dyDescent="0.2">
      <c r="F4710" s="204"/>
      <c r="G4710" s="5"/>
      <c r="H4710" s="36"/>
      <c r="I4710" s="36"/>
      <c r="K4710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September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N17" sqref="N1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44440</v>
      </c>
      <c r="B1" s="542" t="s">
        <v>17</v>
      </c>
      <c r="C1" s="542" t="s">
        <v>18</v>
      </c>
      <c r="D1" s="542" t="s">
        <v>19</v>
      </c>
      <c r="E1" s="542" t="s">
        <v>155</v>
      </c>
      <c r="F1" s="542" t="s">
        <v>161</v>
      </c>
      <c r="G1" s="542" t="s">
        <v>156</v>
      </c>
      <c r="H1" s="459" t="s">
        <v>199</v>
      </c>
      <c r="I1" s="459" t="s">
        <v>194</v>
      </c>
      <c r="J1" s="408" t="s">
        <v>20</v>
      </c>
      <c r="K1" s="409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58"/>
      <c r="I2" s="458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[3]American!$HL$22</f>
        <v>51356</v>
      </c>
      <c r="C4" s="20">
        <f>[3]Delta!$HL$22+[3]Delta!$HL$32</f>
        <v>590239</v>
      </c>
      <c r="D4" s="20">
        <f>[3]United!$HL$22</f>
        <v>30556</v>
      </c>
      <c r="E4" s="20">
        <f>[3]Spirit!$HL$22</f>
        <v>16450</v>
      </c>
      <c r="F4" s="20">
        <f>[3]Condor!$HL$22</f>
        <v>0</v>
      </c>
      <c r="G4" s="20">
        <f>'[3]Air France'!$HL$32</f>
        <v>2798</v>
      </c>
      <c r="H4" s="20">
        <f>'[3]Jet Blue'!$HL$22</f>
        <v>3307</v>
      </c>
      <c r="I4" s="20">
        <f>[3]KLM!$HL$22+[3]KLM!$HL$32</f>
        <v>2294</v>
      </c>
      <c r="J4" s="20">
        <f>'Other Major Airline Stats'!K5</f>
        <v>142170</v>
      </c>
      <c r="K4" s="254">
        <f>SUM(B4:J4)</f>
        <v>839170</v>
      </c>
    </row>
    <row r="5" spans="1:20" x14ac:dyDescent="0.2">
      <c r="A5" s="60" t="s">
        <v>31</v>
      </c>
      <c r="B5" s="13">
        <f>[3]American!$HL$23</f>
        <v>50953</v>
      </c>
      <c r="C5" s="13">
        <f>[3]Delta!$HL$23+[3]Delta!$HL$33</f>
        <v>597385</v>
      </c>
      <c r="D5" s="13">
        <f>[3]United!$HL$23</f>
        <v>29680</v>
      </c>
      <c r="E5" s="13">
        <f>[3]Spirit!$HL$23</f>
        <v>16349</v>
      </c>
      <c r="F5" s="13">
        <f>[3]Condor!$HL$23</f>
        <v>0</v>
      </c>
      <c r="G5" s="13">
        <f>'[3]Air France'!$HL$33</f>
        <v>2403</v>
      </c>
      <c r="H5" s="13">
        <f>'[3]Jet Blue'!$HL$23</f>
        <v>4064</v>
      </c>
      <c r="I5" s="13">
        <f>[3]KLM!$HL$23+[3]KLM!$HL$33</f>
        <v>1477</v>
      </c>
      <c r="J5" s="13">
        <f>'Other Major Airline Stats'!K6</f>
        <v>143680</v>
      </c>
      <c r="K5" s="255">
        <f>SUM(B5:J5)</f>
        <v>845991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102309</v>
      </c>
      <c r="C6" s="33">
        <f t="shared" si="0"/>
        <v>1187624</v>
      </c>
      <c r="D6" s="33">
        <f t="shared" si="0"/>
        <v>60236</v>
      </c>
      <c r="E6" s="33">
        <f t="shared" si="0"/>
        <v>32799</v>
      </c>
      <c r="F6" s="33">
        <f t="shared" ref="F6:I6" si="1">SUM(F4:F5)</f>
        <v>0</v>
      </c>
      <c r="G6" s="33">
        <f t="shared" si="1"/>
        <v>5201</v>
      </c>
      <c r="H6" s="33">
        <f t="shared" ref="H6" si="2">SUM(H4:H5)</f>
        <v>7371</v>
      </c>
      <c r="I6" s="33">
        <f t="shared" si="1"/>
        <v>3771</v>
      </c>
      <c r="J6" s="33">
        <f>SUM(J4:J5)</f>
        <v>285850</v>
      </c>
      <c r="K6" s="256">
        <f>SUM(B6:J6)</f>
        <v>1685161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[3]American!$HL$27</f>
        <v>1579</v>
      </c>
      <c r="C9" s="20">
        <f>[3]Delta!$HL$27+[3]Delta!$HL$37</f>
        <v>18430</v>
      </c>
      <c r="D9" s="20">
        <f>[3]United!$HL$27</f>
        <v>993</v>
      </c>
      <c r="E9" s="20">
        <f>[3]Spirit!$HL$27</f>
        <v>102</v>
      </c>
      <c r="F9" s="20">
        <f>[3]Condor!$HL$27</f>
        <v>0</v>
      </c>
      <c r="G9" s="20">
        <f>'[3]Air France'!$HL$37</f>
        <v>0</v>
      </c>
      <c r="H9" s="20">
        <f>'[3]Jet Blue'!$HL$27</f>
        <v>119</v>
      </c>
      <c r="I9" s="20">
        <f>[3]KLM!$HL$27+[3]KLM!$HL$37</f>
        <v>1</v>
      </c>
      <c r="J9" s="20">
        <f>'Other Major Airline Stats'!K10</f>
        <v>2878</v>
      </c>
      <c r="K9" s="254">
        <f>SUM(B9:J9)</f>
        <v>24102</v>
      </c>
    </row>
    <row r="10" spans="1:20" x14ac:dyDescent="0.2">
      <c r="A10" s="60" t="s">
        <v>33</v>
      </c>
      <c r="B10" s="13">
        <f>[3]American!$HL$28</f>
        <v>1641</v>
      </c>
      <c r="C10" s="13">
        <f>[3]Delta!$HL$28+[3]Delta!$HL$38</f>
        <v>18146</v>
      </c>
      <c r="D10" s="13">
        <f>[3]United!$HL$28</f>
        <v>1035</v>
      </c>
      <c r="E10" s="13">
        <f>[3]Spirit!$HL$28</f>
        <v>104</v>
      </c>
      <c r="F10" s="13">
        <f>[3]Condor!$HL$28</f>
        <v>0</v>
      </c>
      <c r="G10" s="13">
        <f>'[3]Air France'!$HL$38</f>
        <v>0</v>
      </c>
      <c r="H10" s="13">
        <f>'[3]Jet Blue'!$HL$28</f>
        <v>144</v>
      </c>
      <c r="I10" s="13">
        <f>[3]KLM!$HL$28+[3]KLM!$HL$38</f>
        <v>2</v>
      </c>
      <c r="J10" s="13">
        <f>'Other Major Airline Stats'!K11</f>
        <v>3202</v>
      </c>
      <c r="K10" s="255">
        <f>SUM(B10:J10)</f>
        <v>24274</v>
      </c>
    </row>
    <row r="11" spans="1:20" ht="15.75" thickBot="1" x14ac:dyDescent="0.3">
      <c r="A11" s="61" t="s">
        <v>34</v>
      </c>
      <c r="B11" s="257">
        <f t="shared" ref="B11:J11" si="3">SUM(B9:B10)</f>
        <v>3220</v>
      </c>
      <c r="C11" s="257">
        <f t="shared" si="3"/>
        <v>36576</v>
      </c>
      <c r="D11" s="257">
        <f t="shared" si="3"/>
        <v>2028</v>
      </c>
      <c r="E11" s="257">
        <f t="shared" si="3"/>
        <v>206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263</v>
      </c>
      <c r="I11" s="257">
        <f t="shared" si="4"/>
        <v>3</v>
      </c>
      <c r="J11" s="257">
        <f t="shared" si="3"/>
        <v>6080</v>
      </c>
      <c r="K11" s="258">
        <f>SUM(B11:J11)</f>
        <v>48376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[3]American!$HL$4</f>
        <v>393</v>
      </c>
      <c r="C15" s="20">
        <f>[3]Delta!$HL$4+[3]Delta!$HL$15</f>
        <v>4494</v>
      </c>
      <c r="D15" s="20">
        <f>[3]United!$HL$4</f>
        <v>243</v>
      </c>
      <c r="E15" s="20">
        <f>[3]Spirit!$HL$4</f>
        <v>140</v>
      </c>
      <c r="F15" s="20">
        <f>[3]Condor!$HL$4</f>
        <v>0</v>
      </c>
      <c r="G15" s="20">
        <f>'[3]Air France'!$HL$15</f>
        <v>16</v>
      </c>
      <c r="H15" s="20">
        <f>'[3]Jet Blue'!$HL$4</f>
        <v>50</v>
      </c>
      <c r="I15" s="20">
        <f>[3]KLM!$HL$4+[3]KLM!$HL$15</f>
        <v>13</v>
      </c>
      <c r="J15" s="20">
        <f>'Other Major Airline Stats'!K16</f>
        <v>1187</v>
      </c>
      <c r="K15" s="26">
        <f>SUM(B15:J15)</f>
        <v>6536</v>
      </c>
    </row>
    <row r="16" spans="1:20" x14ac:dyDescent="0.2">
      <c r="A16" s="60" t="s">
        <v>23</v>
      </c>
      <c r="B16" s="13">
        <f>[3]American!$HL$5</f>
        <v>394</v>
      </c>
      <c r="C16" s="13">
        <f>[3]Delta!$HL$5+[3]Delta!$HL$16</f>
        <v>4501</v>
      </c>
      <c r="D16" s="13">
        <f>[3]United!$HL$5</f>
        <v>243</v>
      </c>
      <c r="E16" s="13">
        <f>[3]Spirit!$HL$5</f>
        <v>140</v>
      </c>
      <c r="F16" s="13">
        <f>[3]Condor!$HL$5</f>
        <v>0</v>
      </c>
      <c r="G16" s="13">
        <f>'[3]Air France'!$HL$16</f>
        <v>16</v>
      </c>
      <c r="H16" s="13">
        <f>'[3]Jet Blue'!$HL$5</f>
        <v>50</v>
      </c>
      <c r="I16" s="13">
        <f>[3]KLM!$HL$5+[3]KLM!$HL$16</f>
        <v>13</v>
      </c>
      <c r="J16" s="13">
        <f>'Other Major Airline Stats'!K17</f>
        <v>1206</v>
      </c>
      <c r="K16" s="32">
        <f>SUM(B16:J16)</f>
        <v>6563</v>
      </c>
    </row>
    <row r="17" spans="1:11" x14ac:dyDescent="0.2">
      <c r="A17" s="60" t="s">
        <v>24</v>
      </c>
      <c r="B17" s="261">
        <f t="shared" ref="B17:J17" si="6">SUM(B15:B16)</f>
        <v>787</v>
      </c>
      <c r="C17" s="259">
        <f t="shared" si="6"/>
        <v>8995</v>
      </c>
      <c r="D17" s="259">
        <f t="shared" si="6"/>
        <v>486</v>
      </c>
      <c r="E17" s="259">
        <f t="shared" si="6"/>
        <v>280</v>
      </c>
      <c r="F17" s="259">
        <f t="shared" ref="F17:I17" si="7">SUM(F15:F16)</f>
        <v>0</v>
      </c>
      <c r="G17" s="259">
        <f t="shared" si="7"/>
        <v>32</v>
      </c>
      <c r="H17" s="259">
        <f t="shared" ref="H17" si="8">SUM(H15:H16)</f>
        <v>100</v>
      </c>
      <c r="I17" s="259">
        <f t="shared" si="7"/>
        <v>26</v>
      </c>
      <c r="J17" s="259">
        <f t="shared" si="6"/>
        <v>2393</v>
      </c>
      <c r="K17" s="260">
        <f>SUM(B17:J17)</f>
        <v>13099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[3]American!$HL$8</f>
        <v>0</v>
      </c>
      <c r="C19" s="20">
        <f>[3]Delta!$HL$8</f>
        <v>6</v>
      </c>
      <c r="D19" s="20">
        <f>[3]United!$HL$8</f>
        <v>0</v>
      </c>
      <c r="E19" s="20">
        <f>[3]Spirit!$HL$8</f>
        <v>0</v>
      </c>
      <c r="F19" s="20">
        <f>[3]Condor!$HL$8</f>
        <v>0</v>
      </c>
      <c r="G19" s="20">
        <f>'[3]Air France'!$HL$8</f>
        <v>0</v>
      </c>
      <c r="H19" s="20">
        <f>'[3]Jet Blue'!$HL$8</f>
        <v>2</v>
      </c>
      <c r="I19" s="20">
        <f>[3]KLM!$HL$8</f>
        <v>0</v>
      </c>
      <c r="J19" s="20">
        <f>'Other Major Airline Stats'!K20</f>
        <v>103</v>
      </c>
      <c r="K19" s="26">
        <f>SUM(B19:J19)</f>
        <v>111</v>
      </c>
    </row>
    <row r="20" spans="1:11" x14ac:dyDescent="0.2">
      <c r="A20" s="60" t="s">
        <v>26</v>
      </c>
      <c r="B20" s="13">
        <f>[3]American!$HL$9</f>
        <v>0</v>
      </c>
      <c r="C20" s="13">
        <f>[3]Delta!$HL$9</f>
        <v>5</v>
      </c>
      <c r="D20" s="13">
        <f>[3]United!$HL$9</f>
        <v>0</v>
      </c>
      <c r="E20" s="13">
        <f>[3]Spirit!$HL$9</f>
        <v>0</v>
      </c>
      <c r="F20" s="13">
        <f>[3]Condor!$HL$9</f>
        <v>0</v>
      </c>
      <c r="G20" s="13">
        <f>'[3]Air France'!$HL$9</f>
        <v>0</v>
      </c>
      <c r="H20" s="13">
        <f>'[3]Jet Blue'!$HL$9</f>
        <v>2</v>
      </c>
      <c r="I20" s="13">
        <f>[3]KLM!$HL$9</f>
        <v>0</v>
      </c>
      <c r="J20" s="13">
        <f>'Other Major Airline Stats'!K21</f>
        <v>87</v>
      </c>
      <c r="K20" s="32">
        <f>SUM(B20:J20)</f>
        <v>94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11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4</v>
      </c>
      <c r="I21" s="259">
        <f t="shared" si="10"/>
        <v>0</v>
      </c>
      <c r="J21" s="259">
        <f t="shared" si="9"/>
        <v>190</v>
      </c>
      <c r="K21" s="173">
        <f>SUM(B21:J21)</f>
        <v>205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787</v>
      </c>
      <c r="C23" s="27">
        <f t="shared" si="12"/>
        <v>9006</v>
      </c>
      <c r="D23" s="27">
        <f t="shared" si="12"/>
        <v>486</v>
      </c>
      <c r="E23" s="27">
        <f>E17+E21</f>
        <v>280</v>
      </c>
      <c r="F23" s="27">
        <f t="shared" ref="F23:I23" si="13">F17+F21</f>
        <v>0</v>
      </c>
      <c r="G23" s="27">
        <f t="shared" si="13"/>
        <v>32</v>
      </c>
      <c r="H23" s="27">
        <f t="shared" ref="H23" si="14">H17+H21</f>
        <v>104</v>
      </c>
      <c r="I23" s="27">
        <f t="shared" si="13"/>
        <v>26</v>
      </c>
      <c r="J23" s="27">
        <f t="shared" si="12"/>
        <v>2583</v>
      </c>
      <c r="K23" s="28">
        <f>SUM(B23:J23)</f>
        <v>13304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[3]American!$HL$47</f>
        <v>47932</v>
      </c>
      <c r="C28" s="20">
        <f>[3]Delta!$HL$47</f>
        <v>1522787</v>
      </c>
      <c r="D28" s="20">
        <f>[3]United!$HL$47</f>
        <v>58949</v>
      </c>
      <c r="E28" s="20">
        <f>[3]Spirit!$HL$47</f>
        <v>0</v>
      </c>
      <c r="F28" s="20">
        <f>[3]Condor!$HL$47</f>
        <v>0</v>
      </c>
      <c r="G28" s="20">
        <f>'[3]Air France'!$HL$47</f>
        <v>284392</v>
      </c>
      <c r="H28" s="20">
        <f>'[3]Jet Blue'!$HL$47</f>
        <v>0</v>
      </c>
      <c r="I28" s="20">
        <f>[3]KLM!$HL$47</f>
        <v>388807</v>
      </c>
      <c r="J28" s="20">
        <f>'Other Major Airline Stats'!K28</f>
        <v>246116</v>
      </c>
      <c r="K28" s="26">
        <f>SUM(B28:J28)</f>
        <v>2548983</v>
      </c>
    </row>
    <row r="29" spans="1:11" x14ac:dyDescent="0.2">
      <c r="A29" s="60" t="s">
        <v>38</v>
      </c>
      <c r="B29" s="13">
        <f>[3]American!$HL$48</f>
        <v>50294</v>
      </c>
      <c r="C29" s="13">
        <f>[3]Delta!$HL$48</f>
        <v>965028</v>
      </c>
      <c r="D29" s="13">
        <f>[3]United!$HL$48</f>
        <v>17905</v>
      </c>
      <c r="E29" s="13">
        <f>[3]Spirit!$HL$48</f>
        <v>0</v>
      </c>
      <c r="F29" s="13">
        <f>[3]Condor!$HL$48</f>
        <v>0</v>
      </c>
      <c r="G29" s="13">
        <f>'[3]Air France'!$HL$48</f>
        <v>0</v>
      </c>
      <c r="H29" s="13">
        <f>'[3]Jet Blue'!$HL$48</f>
        <v>0</v>
      </c>
      <c r="I29" s="13">
        <f>[3]KLM!$HL$48</f>
        <v>0</v>
      </c>
      <c r="J29" s="13">
        <f>'Other Major Airline Stats'!K29</f>
        <v>61481</v>
      </c>
      <c r="K29" s="32">
        <f>SUM(B29:J29)</f>
        <v>1094708</v>
      </c>
    </row>
    <row r="30" spans="1:11" x14ac:dyDescent="0.2">
      <c r="A30" s="64" t="s">
        <v>39</v>
      </c>
      <c r="B30" s="261">
        <f t="shared" ref="B30:J30" si="15">SUM(B28:B29)</f>
        <v>98226</v>
      </c>
      <c r="C30" s="261">
        <f t="shared" si="15"/>
        <v>2487815</v>
      </c>
      <c r="D30" s="261">
        <f t="shared" si="15"/>
        <v>76854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284392</v>
      </c>
      <c r="H30" s="261">
        <f t="shared" ref="H30" si="17">SUM(H28:H29)</f>
        <v>0</v>
      </c>
      <c r="I30" s="261">
        <f t="shared" si="16"/>
        <v>388807</v>
      </c>
      <c r="J30" s="261">
        <f t="shared" si="15"/>
        <v>307597</v>
      </c>
      <c r="K30" s="26">
        <f>SUM(B30:J30)</f>
        <v>3643691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[3]American!$HL$52</f>
        <v>4043</v>
      </c>
      <c r="C33" s="20">
        <f>[3]Delta!$HL$52</f>
        <v>1004707</v>
      </c>
      <c r="D33" s="20">
        <f>[3]United!$HL$52</f>
        <v>38603</v>
      </c>
      <c r="E33" s="20">
        <f>[3]Spirit!$HL$52</f>
        <v>0</v>
      </c>
      <c r="F33" s="20">
        <f>[3]Condor!$HL$52</f>
        <v>0</v>
      </c>
      <c r="G33" s="20">
        <f>'[3]Air France'!$HL$52</f>
        <v>89056</v>
      </c>
      <c r="H33" s="20">
        <f>'[3]Jet Blue'!$HL$52</f>
        <v>0</v>
      </c>
      <c r="I33" s="20">
        <f>[3]KLM!$HL$52</f>
        <v>14451</v>
      </c>
      <c r="J33" s="20">
        <f>'Other Major Airline Stats'!K33</f>
        <v>88331</v>
      </c>
      <c r="K33" s="26">
        <f t="shared" si="18"/>
        <v>1239191</v>
      </c>
    </row>
    <row r="34" spans="1:11" x14ac:dyDescent="0.2">
      <c r="A34" s="60" t="s">
        <v>38</v>
      </c>
      <c r="B34" s="13">
        <f>[3]American!$HL$53</f>
        <v>6398</v>
      </c>
      <c r="C34" s="13">
        <f>[3]Delta!$HL$53</f>
        <v>812306</v>
      </c>
      <c r="D34" s="13">
        <f>[3]United!$HL$53</f>
        <v>3790</v>
      </c>
      <c r="E34" s="13">
        <f>[3]Spirit!$HL$53</f>
        <v>0</v>
      </c>
      <c r="F34" s="13">
        <f>[3]Condor!$HL$53</f>
        <v>0</v>
      </c>
      <c r="G34" s="13">
        <f>'[3]Air France'!$HL$53</f>
        <v>0</v>
      </c>
      <c r="H34" s="13">
        <f>'[3]Jet Blue'!$HL$53</f>
        <v>0</v>
      </c>
      <c r="I34" s="13">
        <f>[3]KLM!$HL$53</f>
        <v>0</v>
      </c>
      <c r="J34" s="13">
        <f>'Other Major Airline Stats'!K34</f>
        <v>84748</v>
      </c>
      <c r="K34" s="32">
        <f t="shared" si="18"/>
        <v>907242</v>
      </c>
    </row>
    <row r="35" spans="1:11" x14ac:dyDescent="0.2">
      <c r="A35" s="64" t="s">
        <v>41</v>
      </c>
      <c r="B35" s="261">
        <f t="shared" ref="B35:J35" si="19">SUM(B33:B34)</f>
        <v>10441</v>
      </c>
      <c r="C35" s="261">
        <f t="shared" si="19"/>
        <v>1817013</v>
      </c>
      <c r="D35" s="261">
        <f t="shared" si="19"/>
        <v>42393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89056</v>
      </c>
      <c r="H35" s="261">
        <f t="shared" ref="H35" si="21">SUM(H33:H34)</f>
        <v>0</v>
      </c>
      <c r="I35" s="261">
        <f t="shared" si="20"/>
        <v>14451</v>
      </c>
      <c r="J35" s="261">
        <f t="shared" si="19"/>
        <v>173079</v>
      </c>
      <c r="K35" s="26">
        <f t="shared" si="18"/>
        <v>2146433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[3]American!$HL$57</f>
        <v>0</v>
      </c>
      <c r="C38" s="20">
        <f>[3]Delta!$HL$57</f>
        <v>0</v>
      </c>
      <c r="D38" s="20">
        <f>[3]United!$HL$57</f>
        <v>0</v>
      </c>
      <c r="E38" s="20">
        <f>[3]Spirit!$HL$57</f>
        <v>0</v>
      </c>
      <c r="F38" s="20">
        <f>[3]Condor!$HL$57</f>
        <v>0</v>
      </c>
      <c r="G38" s="20">
        <f>'[3]Air France'!$HL$57</f>
        <v>0</v>
      </c>
      <c r="H38" s="20">
        <f>'[3]Jet Blue'!$HL$57</f>
        <v>0</v>
      </c>
      <c r="I38" s="20">
        <f>[3]KLM!$HL$57</f>
        <v>0</v>
      </c>
      <c r="J38" s="20">
        <f>'Other Major Airline Stats'!K38</f>
        <v>319</v>
      </c>
      <c r="K38" s="26">
        <f t="shared" si="18"/>
        <v>319</v>
      </c>
    </row>
    <row r="39" spans="1:11" hidden="1" x14ac:dyDescent="0.2">
      <c r="A39" s="60" t="s">
        <v>38</v>
      </c>
      <c r="B39" s="13">
        <f>[3]American!$HL$58</f>
        <v>0</v>
      </c>
      <c r="C39" s="13">
        <f>[3]Delta!$HL$58</f>
        <v>0</v>
      </c>
      <c r="D39" s="13">
        <f>[3]United!$HL$58</f>
        <v>0</v>
      </c>
      <c r="E39" s="13">
        <f>[3]Spirit!$HL$58</f>
        <v>0</v>
      </c>
      <c r="F39" s="13">
        <f>[3]Condor!$HL$58</f>
        <v>0</v>
      </c>
      <c r="G39" s="13">
        <f>'[3]Air France'!$HL$58</f>
        <v>0</v>
      </c>
      <c r="H39" s="13">
        <f>'[3]Jet Blue'!$HL$58</f>
        <v>0</v>
      </c>
      <c r="I39" s="13">
        <f>[3]KLM!$HL$58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319</v>
      </c>
      <c r="K40" s="26">
        <f t="shared" si="18"/>
        <v>319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51975</v>
      </c>
      <c r="C43" s="20">
        <f t="shared" si="25"/>
        <v>2527494</v>
      </c>
      <c r="D43" s="20">
        <f t="shared" si="25"/>
        <v>97552</v>
      </c>
      <c r="E43" s="20">
        <f>E28+E33+E38</f>
        <v>0</v>
      </c>
      <c r="F43" s="20">
        <f t="shared" ref="F43:I43" si="26">F28+F33+F38</f>
        <v>0</v>
      </c>
      <c r="G43" s="20">
        <f t="shared" si="26"/>
        <v>373448</v>
      </c>
      <c r="H43" s="20">
        <f t="shared" ref="H43" si="27">H28+H33+H38</f>
        <v>0</v>
      </c>
      <c r="I43" s="20">
        <f t="shared" si="26"/>
        <v>403258</v>
      </c>
      <c r="J43" s="20">
        <f t="shared" si="25"/>
        <v>334766</v>
      </c>
      <c r="K43" s="26">
        <f>SUM(B43:J43)</f>
        <v>3788493</v>
      </c>
    </row>
    <row r="44" spans="1:11" x14ac:dyDescent="0.2">
      <c r="A44" s="60" t="s">
        <v>38</v>
      </c>
      <c r="B44" s="13">
        <f t="shared" si="25"/>
        <v>56692</v>
      </c>
      <c r="C44" s="13">
        <f t="shared" si="25"/>
        <v>1777334</v>
      </c>
      <c r="D44" s="13">
        <f t="shared" si="25"/>
        <v>21695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146229</v>
      </c>
      <c r="K44" s="26">
        <f>SUM(B44:J44)</f>
        <v>2001950</v>
      </c>
    </row>
    <row r="45" spans="1:11" ht="15.75" thickBot="1" x14ac:dyDescent="0.3">
      <c r="A45" s="61" t="s">
        <v>46</v>
      </c>
      <c r="B45" s="262">
        <f t="shared" ref="B45:J45" si="30">SUM(B43:B44)</f>
        <v>108667</v>
      </c>
      <c r="C45" s="262">
        <f t="shared" si="30"/>
        <v>4304828</v>
      </c>
      <c r="D45" s="262">
        <f t="shared" si="30"/>
        <v>119247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373448</v>
      </c>
      <c r="H45" s="262">
        <f t="shared" ref="H45" si="32">SUM(H43:H44)</f>
        <v>0</v>
      </c>
      <c r="I45" s="262">
        <f t="shared" si="31"/>
        <v>403258</v>
      </c>
      <c r="J45" s="262">
        <f t="shared" si="30"/>
        <v>480995</v>
      </c>
      <c r="K45" s="263">
        <f>SUM(B45:J45)</f>
        <v>5790443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[3]Delta!$HL$70+[3]Delta!$HL$73</f>
        <v>346367</v>
      </c>
      <c r="D47" s="278"/>
      <c r="E47" s="278"/>
      <c r="F47" s="278"/>
      <c r="G47" s="278"/>
      <c r="H47" s="278"/>
      <c r="I47" s="278"/>
      <c r="J47" s="278"/>
      <c r="K47" s="279">
        <f>SUM(B47:J47)</f>
        <v>346367</v>
      </c>
    </row>
    <row r="48" spans="1:11" hidden="1" x14ac:dyDescent="0.2">
      <c r="A48" s="349" t="s">
        <v>122</v>
      </c>
      <c r="C48" s="291">
        <f>[3]Delta!$HL$71+[3]Delta!$HL$74</f>
        <v>251018</v>
      </c>
      <c r="D48" s="278"/>
      <c r="E48" s="278"/>
      <c r="F48" s="278"/>
      <c r="G48" s="278"/>
      <c r="H48" s="278"/>
      <c r="I48" s="278"/>
      <c r="J48" s="278"/>
      <c r="K48" s="279">
        <f>SUM(B48:J48)</f>
        <v>251018</v>
      </c>
    </row>
    <row r="49" spans="1:11" hidden="1" x14ac:dyDescent="0.2">
      <c r="A49" s="350" t="s">
        <v>123</v>
      </c>
      <c r="C49" s="292">
        <f>SUM(C47:C48)</f>
        <v>597385</v>
      </c>
      <c r="K49" s="279">
        <f>SUM(B49:J49)</f>
        <v>597385</v>
      </c>
    </row>
    <row r="50" spans="1:11" x14ac:dyDescent="0.2">
      <c r="A50" s="348" t="s">
        <v>121</v>
      </c>
      <c r="B50" s="360"/>
      <c r="C50" s="294">
        <f>[3]Delta!$HL$70+[3]Delta!$HL$73</f>
        <v>346367</v>
      </c>
      <c r="D50" s="360"/>
      <c r="E50" s="294">
        <f>[3]Spirit!$HL$70+[3]Spirit!$HL$73</f>
        <v>0</v>
      </c>
      <c r="F50" s="360"/>
      <c r="G50" s="360"/>
      <c r="H50" s="360"/>
      <c r="I50" s="360"/>
      <c r="J50" s="293">
        <f>'Other Major Airline Stats'!K48</f>
        <v>123945</v>
      </c>
      <c r="K50" s="282">
        <f>SUM(B50:J50)</f>
        <v>470312</v>
      </c>
    </row>
    <row r="51" spans="1:11" x14ac:dyDescent="0.2">
      <c r="A51" s="362" t="s">
        <v>122</v>
      </c>
      <c r="B51" s="360"/>
      <c r="C51" s="294">
        <f>[3]Delta!$HL$71+[3]Delta!$HL$74</f>
        <v>251018</v>
      </c>
      <c r="D51" s="360"/>
      <c r="E51" s="294">
        <f>[3]Spirit!$HL$71+[3]Spirit!$HL$74</f>
        <v>0</v>
      </c>
      <c r="F51" s="360"/>
      <c r="G51" s="360"/>
      <c r="H51" s="360"/>
      <c r="I51" s="360"/>
      <c r="J51" s="293">
        <f>+'Other Major Airline Stats'!K49</f>
        <v>85</v>
      </c>
      <c r="K51" s="282">
        <f>SUM(B51:J51)</f>
        <v>251103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I18" sqref="I1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44440</v>
      </c>
      <c r="B2" s="407" t="s">
        <v>47</v>
      </c>
      <c r="C2" s="406" t="s">
        <v>178</v>
      </c>
      <c r="D2" s="541" t="s">
        <v>211</v>
      </c>
      <c r="E2" s="541" t="s">
        <v>239</v>
      </c>
      <c r="F2" s="406" t="s">
        <v>179</v>
      </c>
      <c r="G2" s="407" t="s">
        <v>48</v>
      </c>
      <c r="H2" s="406" t="s">
        <v>129</v>
      </c>
      <c r="I2" s="406" t="s">
        <v>49</v>
      </c>
      <c r="J2" s="406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[3]Frontier!$HL$22</f>
        <v>7528</v>
      </c>
      <c r="C5" s="116">
        <f>'[3]Air Choice One'!$HL$22</f>
        <v>0</v>
      </c>
      <c r="D5" s="128">
        <f>'[3]Aer Lingus'!$HL$22+'[3]Aer Lingus'!$HL$32</f>
        <v>0</v>
      </c>
      <c r="E5" s="116">
        <f>'[3]Denver Air'!$HL$22+'[3]Denver Air'!$HL$32</f>
        <v>607</v>
      </c>
      <c r="F5" s="116">
        <f>'[3]Boutique Air'!$HL$22</f>
        <v>93</v>
      </c>
      <c r="G5" s="144">
        <f>[3]Icelandair!$HL$32</f>
        <v>2297</v>
      </c>
      <c r="H5" s="116">
        <f>[3]Southwest!$HL$22</f>
        <v>54065</v>
      </c>
      <c r="I5" s="116">
        <f>'[3]Sun Country'!$HL$22+'[3]Sun Country'!$HL$32</f>
        <v>68280</v>
      </c>
      <c r="J5" s="116">
        <f>[3]Alaska!$HL$22</f>
        <v>9300</v>
      </c>
      <c r="K5" s="145">
        <f>SUM(B5:J5)</f>
        <v>142170</v>
      </c>
      <c r="N5" s="128"/>
    </row>
    <row r="6" spans="1:14" x14ac:dyDescent="0.2">
      <c r="A6" s="60" t="s">
        <v>31</v>
      </c>
      <c r="B6" s="144">
        <f>[3]Frontier!$HL$23</f>
        <v>7099</v>
      </c>
      <c r="C6" s="116">
        <f>'[3]Air Choice One'!$HL$23</f>
        <v>0</v>
      </c>
      <c r="D6" s="128">
        <f>'[3]Aer Lingus'!$HL$23+'[3]Aer Lingus'!$HL$33</f>
        <v>0</v>
      </c>
      <c r="E6" s="116">
        <f>'[3]Denver Air'!$HL$23+'[3]Denver Air'!$HL$33</f>
        <v>595</v>
      </c>
      <c r="F6" s="116">
        <f>'[3]Boutique Air'!$HL$23</f>
        <v>100</v>
      </c>
      <c r="G6" s="144">
        <f>[3]Icelandair!$HL$33</f>
        <v>2503</v>
      </c>
      <c r="H6" s="116">
        <f>[3]Southwest!$HL$23</f>
        <v>54368</v>
      </c>
      <c r="I6" s="116">
        <f>'[3]Sun Country'!$HL$23+'[3]Sun Country'!$HL$33</f>
        <v>69662</v>
      </c>
      <c r="J6" s="116">
        <f>[3]Alaska!$HL$23</f>
        <v>9353</v>
      </c>
      <c r="K6" s="145">
        <f>SUM(B6:J6)</f>
        <v>143680</v>
      </c>
    </row>
    <row r="7" spans="1:14" ht="15" x14ac:dyDescent="0.25">
      <c r="A7" s="58" t="s">
        <v>7</v>
      </c>
      <c r="B7" s="153">
        <f t="shared" ref="B7:J7" si="0">SUM(B5:B6)</f>
        <v>14627</v>
      </c>
      <c r="C7" s="153">
        <f t="shared" ref="C7:F7" si="1">SUM(C5:C6)</f>
        <v>0</v>
      </c>
      <c r="D7" s="153">
        <f>SUM(D5:D6)</f>
        <v>0</v>
      </c>
      <c r="E7" s="153">
        <f>SUM(E5:E6)</f>
        <v>1202</v>
      </c>
      <c r="F7" s="153">
        <f t="shared" si="1"/>
        <v>193</v>
      </c>
      <c r="G7" s="153">
        <f t="shared" si="0"/>
        <v>4800</v>
      </c>
      <c r="H7" s="153">
        <f t="shared" si="0"/>
        <v>108433</v>
      </c>
      <c r="I7" s="153">
        <f>SUM(I5:I6)</f>
        <v>137942</v>
      </c>
      <c r="J7" s="153">
        <f t="shared" si="0"/>
        <v>18653</v>
      </c>
      <c r="K7" s="154">
        <f>SUM(B7:J7)</f>
        <v>285850</v>
      </c>
    </row>
    <row r="8" spans="1:14" x14ac:dyDescent="0.2">
      <c r="A8" s="60"/>
      <c r="B8" s="152"/>
      <c r="C8" s="152"/>
      <c r="D8" s="468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68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[3]Frontier!$HL$27</f>
        <v>80</v>
      </c>
      <c r="C10" s="152">
        <f>'[3]Air Choice One'!$HL$27</f>
        <v>0</v>
      </c>
      <c r="D10" s="468">
        <f>'[3]Aer Lingus'!$HL$27+'[3]Aer Lingus'!$HL$37</f>
        <v>0</v>
      </c>
      <c r="E10" s="152">
        <f>'[3]Denver Air'!$HL$27+'[3]Denver Air'!$HL$37</f>
        <v>39</v>
      </c>
      <c r="F10" s="152">
        <f>'[3]Boutique Air'!$HL$27</f>
        <v>0</v>
      </c>
      <c r="G10" s="152">
        <f>[3]Icelandair!$HL$37</f>
        <v>3</v>
      </c>
      <c r="H10" s="152">
        <f>[3]Southwest!$HL$27</f>
        <v>860</v>
      </c>
      <c r="I10" s="152">
        <f>'[3]Sun Country'!$HL$27+'[3]Sun Country'!$HL$37</f>
        <v>1654</v>
      </c>
      <c r="J10" s="152">
        <f>[3]Alaska!$HL$27</f>
        <v>242</v>
      </c>
      <c r="K10" s="145">
        <f>SUM(B10:J10)</f>
        <v>2878</v>
      </c>
    </row>
    <row r="11" spans="1:14" x14ac:dyDescent="0.2">
      <c r="A11" s="60" t="s">
        <v>33</v>
      </c>
      <c r="B11" s="155">
        <f>[3]Frontier!$HL$28</f>
        <v>71</v>
      </c>
      <c r="C11" s="155">
        <f>'[3]Air Choice One'!$HL$28</f>
        <v>0</v>
      </c>
      <c r="D11" s="155">
        <f>'[3]Aer Lingus'!$HL$28+'[3]Aer Lingus'!$HL$38</f>
        <v>0</v>
      </c>
      <c r="E11" s="155">
        <f>'[3]Denver Air'!$HL$28+'[3]Denver Air'!$HL$38</f>
        <v>49</v>
      </c>
      <c r="F11" s="155">
        <f>'[3]Boutique Air'!$HL$28</f>
        <v>0</v>
      </c>
      <c r="G11" s="155">
        <f>[3]Icelandair!$HL$38</f>
        <v>10</v>
      </c>
      <c r="H11" s="155">
        <f>[3]Southwest!$HL$28</f>
        <v>1056</v>
      </c>
      <c r="I11" s="155">
        <f>'[3]Sun Country'!$HL$28+'[3]Sun Country'!$HL$38</f>
        <v>1737</v>
      </c>
      <c r="J11" s="155">
        <f>[3]Alaska!$HL$28</f>
        <v>279</v>
      </c>
      <c r="K11" s="145">
        <f>SUM(B11:J11)</f>
        <v>3202</v>
      </c>
    </row>
    <row r="12" spans="1:14" ht="15.75" thickBot="1" x14ac:dyDescent="0.3">
      <c r="A12" s="61" t="s">
        <v>34</v>
      </c>
      <c r="B12" s="148">
        <f t="shared" ref="B12:J12" si="2">SUM(B10:B11)</f>
        <v>151</v>
      </c>
      <c r="C12" s="148">
        <f t="shared" ref="C12:F12" si="3">SUM(C10:C11)</f>
        <v>0</v>
      </c>
      <c r="D12" s="148">
        <f>SUM(D10:D11)</f>
        <v>0</v>
      </c>
      <c r="E12" s="148">
        <f>SUM(E10:E11)</f>
        <v>88</v>
      </c>
      <c r="F12" s="148">
        <f t="shared" si="3"/>
        <v>0</v>
      </c>
      <c r="G12" s="148">
        <f t="shared" si="2"/>
        <v>13</v>
      </c>
      <c r="H12" s="148">
        <f t="shared" si="2"/>
        <v>1916</v>
      </c>
      <c r="I12" s="148">
        <f>SUM(I10:I11)</f>
        <v>3391</v>
      </c>
      <c r="J12" s="148">
        <f t="shared" si="2"/>
        <v>521</v>
      </c>
      <c r="K12" s="156">
        <f>SUM(B12:J12)</f>
        <v>6080</v>
      </c>
      <c r="N12" s="128"/>
    </row>
    <row r="13" spans="1:14" ht="15" x14ac:dyDescent="0.25">
      <c r="A13" s="57"/>
      <c r="B13" s="264"/>
      <c r="C13" s="264"/>
      <c r="D13" s="469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[3]Frontier!$HL$4</f>
        <v>48</v>
      </c>
      <c r="C16" s="104">
        <f>'[3]Air Choice One'!$HL$4</f>
        <v>0</v>
      </c>
      <c r="D16" s="128">
        <f>'[3]Aer Lingus'!$HL$4+'[3]Aer Lingus'!$HL$15</f>
        <v>0</v>
      </c>
      <c r="E16" s="116">
        <f>'[3]Denver Air'!$HL$4+'[3]Denver Air'!$HL$15</f>
        <v>51</v>
      </c>
      <c r="F16" s="104">
        <f>'[3]Boutique Air'!$HL$4</f>
        <v>27</v>
      </c>
      <c r="G16" s="144">
        <f>[3]Icelandair!$HL$15</f>
        <v>23</v>
      </c>
      <c r="H16" s="104">
        <f>[3]Southwest!$HL$4</f>
        <v>441</v>
      </c>
      <c r="I16" s="116">
        <f>'[3]Sun Country'!$HL$4+'[3]Sun Country'!$HL$15</f>
        <v>538</v>
      </c>
      <c r="J16" s="116">
        <f>[3]Alaska!$HL$4</f>
        <v>59</v>
      </c>
      <c r="K16" s="145">
        <f>SUM(B16:J16)</f>
        <v>1187</v>
      </c>
    </row>
    <row r="17" spans="1:258" x14ac:dyDescent="0.2">
      <c r="A17" s="60" t="s">
        <v>23</v>
      </c>
      <c r="B17" s="144">
        <f>[3]Frontier!$HL$5</f>
        <v>47</v>
      </c>
      <c r="C17" s="104">
        <f>'[3]Air Choice One'!$HL$5</f>
        <v>0</v>
      </c>
      <c r="D17" s="128">
        <f>'[3]Aer Lingus'!$HL$5+'[3]Aer Lingus'!$HL$16</f>
        <v>0</v>
      </c>
      <c r="E17" s="116">
        <f>'[3]Denver Air'!$HL$5+'[3]Denver Air'!$HL$16</f>
        <v>51</v>
      </c>
      <c r="F17" s="104">
        <f>'[3]Boutique Air'!$HL$5</f>
        <v>25</v>
      </c>
      <c r="G17" s="144">
        <f>[3]Icelandair!$HL$16</f>
        <v>23</v>
      </c>
      <c r="H17" s="104">
        <f>[3]Southwest!$HL$5</f>
        <v>442</v>
      </c>
      <c r="I17" s="116">
        <f>'[3]Sun Country'!$HL$5+'[3]Sun Country'!$HL$16</f>
        <v>558</v>
      </c>
      <c r="J17" s="116">
        <f>[3]Alaska!$HL$5</f>
        <v>60</v>
      </c>
      <c r="K17" s="145">
        <f>SUM(B17:J17)</f>
        <v>1206</v>
      </c>
    </row>
    <row r="18" spans="1:258" x14ac:dyDescent="0.2">
      <c r="A18" s="64" t="s">
        <v>24</v>
      </c>
      <c r="B18" s="146">
        <f t="shared" ref="B18:J18" si="4">SUM(B16:B17)</f>
        <v>95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102</v>
      </c>
      <c r="F18" s="146">
        <f t="shared" si="5"/>
        <v>52</v>
      </c>
      <c r="G18" s="146">
        <f t="shared" si="4"/>
        <v>46</v>
      </c>
      <c r="H18" s="146">
        <f t="shared" si="4"/>
        <v>883</v>
      </c>
      <c r="I18" s="146">
        <f t="shared" si="4"/>
        <v>1096</v>
      </c>
      <c r="J18" s="146">
        <f t="shared" si="4"/>
        <v>119</v>
      </c>
      <c r="K18" s="147">
        <f>SUM(B18:J18)</f>
        <v>2393</v>
      </c>
    </row>
    <row r="19" spans="1:258" x14ac:dyDescent="0.2">
      <c r="A19" s="64"/>
      <c r="B19" s="114"/>
      <c r="C19" s="114"/>
      <c r="D19" s="466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[3]Frontier!$HL$8</f>
        <v>0</v>
      </c>
      <c r="C20" s="116">
        <f>'[3]Air Choice One'!$HL$8</f>
        <v>0</v>
      </c>
      <c r="D20" s="128">
        <f>'[3]Aer Lingus'!$HL$8</f>
        <v>0</v>
      </c>
      <c r="E20" s="116">
        <f>'[3]Denver Air'!$HL$8</f>
        <v>1</v>
      </c>
      <c r="F20" s="116">
        <f>'[3]Boutique Air'!$HL$8</f>
        <v>0</v>
      </c>
      <c r="G20" s="144">
        <f>[3]Icelandair!$HL$8</f>
        <v>0</v>
      </c>
      <c r="H20" s="116">
        <f>[3]Southwest!$HL$8</f>
        <v>0</v>
      </c>
      <c r="I20" s="116">
        <f>'[3]Sun Country'!$HL$8</f>
        <v>102</v>
      </c>
      <c r="J20" s="116">
        <f>[3]Alaska!$HL$8</f>
        <v>0</v>
      </c>
      <c r="K20" s="145">
        <f>SUM(B20:J20)</f>
        <v>103</v>
      </c>
    </row>
    <row r="21" spans="1:258" x14ac:dyDescent="0.2">
      <c r="A21" s="60" t="s">
        <v>26</v>
      </c>
      <c r="B21" s="144">
        <f>[3]Frontier!$HL$9</f>
        <v>0</v>
      </c>
      <c r="C21" s="116">
        <f>'[3]Air Choice One'!$HL$9</f>
        <v>0</v>
      </c>
      <c r="D21" s="128">
        <f>'[3]Aer Lingus'!$HL$9</f>
        <v>0</v>
      </c>
      <c r="E21" s="116">
        <f>'[3]Denver Air'!$HL$9</f>
        <v>1</v>
      </c>
      <c r="F21" s="116">
        <f>'[3]Boutique Air'!$HL$9</f>
        <v>0</v>
      </c>
      <c r="G21" s="144">
        <f>[3]Icelandair!$HL$9</f>
        <v>0</v>
      </c>
      <c r="H21" s="116">
        <f>[3]Southwest!$HL$9</f>
        <v>0</v>
      </c>
      <c r="I21" s="116">
        <f>'[3]Sun Country'!$HL$9</f>
        <v>86</v>
      </c>
      <c r="J21" s="116">
        <f>[3]Alaska!$HL$9</f>
        <v>0</v>
      </c>
      <c r="K21" s="145">
        <f>SUM(B21:J21)</f>
        <v>87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2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188</v>
      </c>
      <c r="J22" s="146">
        <f t="shared" si="6"/>
        <v>0</v>
      </c>
      <c r="K22" s="147">
        <f>SUM(B22:J22)</f>
        <v>190</v>
      </c>
    </row>
    <row r="23" spans="1:258" ht="15.75" thickBot="1" x14ac:dyDescent="0.3">
      <c r="A23" s="61" t="s">
        <v>28</v>
      </c>
      <c r="B23" s="148">
        <f t="shared" ref="B23:J23" si="8">B22+B18</f>
        <v>95</v>
      </c>
      <c r="C23" s="148">
        <f t="shared" ref="C23:F23" si="9">C22+C18</f>
        <v>0</v>
      </c>
      <c r="D23" s="148">
        <f t="shared" si="9"/>
        <v>0</v>
      </c>
      <c r="E23" s="148">
        <f t="shared" si="9"/>
        <v>104</v>
      </c>
      <c r="F23" s="148">
        <f t="shared" si="9"/>
        <v>52</v>
      </c>
      <c r="G23" s="148">
        <f t="shared" si="8"/>
        <v>46</v>
      </c>
      <c r="H23" s="148">
        <f t="shared" si="8"/>
        <v>883</v>
      </c>
      <c r="I23" s="148">
        <f t="shared" si="8"/>
        <v>1284</v>
      </c>
      <c r="J23" s="148">
        <f t="shared" si="8"/>
        <v>119</v>
      </c>
      <c r="K23" s="149">
        <f>SUM(B23:J23)</f>
        <v>2583</v>
      </c>
    </row>
    <row r="24" spans="1:258" x14ac:dyDescent="0.2">
      <c r="A24" s="20"/>
      <c r="B24" s="20"/>
      <c r="C24" s="20"/>
      <c r="D24" s="47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1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[3]Frontier!$HL$47</f>
        <v>0</v>
      </c>
      <c r="C28" s="116">
        <f>'[3]Air Choice One'!$HL$47</f>
        <v>0</v>
      </c>
      <c r="D28" s="128">
        <f>'[3]Aer Lingus'!$HL$47</f>
        <v>0</v>
      </c>
      <c r="E28" s="116">
        <f>'[3]Denver Air'!$HL$47</f>
        <v>0</v>
      </c>
      <c r="F28" s="116">
        <f>'[3]Boutique Air'!$HL$47</f>
        <v>0</v>
      </c>
      <c r="G28" s="144">
        <f>[3]Icelandair!$HL$47</f>
        <v>3384</v>
      </c>
      <c r="H28" s="116">
        <f>[3]Southwest!$HL$47</f>
        <v>215323</v>
      </c>
      <c r="I28" s="116">
        <f>'[3]Sun Country'!$HL$47</f>
        <v>25339</v>
      </c>
      <c r="J28" s="116">
        <f>[3]Alaska!$HL$47</f>
        <v>2070</v>
      </c>
      <c r="K28" s="145">
        <f>SUM(B28:J28)</f>
        <v>246116</v>
      </c>
    </row>
    <row r="29" spans="1:258" x14ac:dyDescent="0.2">
      <c r="A29" s="60" t="s">
        <v>38</v>
      </c>
      <c r="B29" s="144">
        <f>[3]Frontier!$HL$48</f>
        <v>0</v>
      </c>
      <c r="C29" s="116">
        <f>'[3]Air Choice One'!$HL$48</f>
        <v>0</v>
      </c>
      <c r="D29" s="128">
        <f>'[3]Aer Lingus'!$HL$48</f>
        <v>0</v>
      </c>
      <c r="E29" s="116">
        <f>'[3]Denver Air'!$HL$48</f>
        <v>0</v>
      </c>
      <c r="F29" s="116">
        <f>'[3]Boutique Air'!$HL$48</f>
        <v>0</v>
      </c>
      <c r="G29" s="144">
        <f>[3]Icelandair!$HL$48</f>
        <v>0</v>
      </c>
      <c r="H29" s="116">
        <f>[3]Southwest!$HL$48</f>
        <v>0</v>
      </c>
      <c r="I29" s="116">
        <f>'[3]Sun Country'!$HL$48</f>
        <v>61481</v>
      </c>
      <c r="J29" s="116">
        <f>[3]Alaska!$HL$48</f>
        <v>0</v>
      </c>
      <c r="K29" s="145">
        <f>SUM(B29:J29)</f>
        <v>61481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3384</v>
      </c>
      <c r="H30" s="160">
        <f t="shared" si="10"/>
        <v>215323</v>
      </c>
      <c r="I30" s="160">
        <f t="shared" si="10"/>
        <v>86820</v>
      </c>
      <c r="J30" s="160">
        <f t="shared" si="10"/>
        <v>2070</v>
      </c>
      <c r="K30" s="163">
        <f>SUM(B30:J30)</f>
        <v>307597</v>
      </c>
    </row>
    <row r="31" spans="1:258" x14ac:dyDescent="0.2">
      <c r="A31" s="60"/>
      <c r="B31" s="152"/>
      <c r="C31" s="152"/>
      <c r="D31" s="468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[3]Frontier!$HL$52</f>
        <v>0</v>
      </c>
      <c r="C33" s="116">
        <f>'[3]Air Choice One'!$HL$52</f>
        <v>0</v>
      </c>
      <c r="D33" s="128">
        <f>'[3]Aer Lingus'!$HL$52</f>
        <v>0</v>
      </c>
      <c r="E33" s="116">
        <f>'[3]Denver Air'!$HL$52</f>
        <v>0</v>
      </c>
      <c r="F33" s="116">
        <f>'[3]Boutique Air'!$HL$52</f>
        <v>0</v>
      </c>
      <c r="G33" s="144">
        <f>[3]Icelandair!$HL$52</f>
        <v>564</v>
      </c>
      <c r="H33" s="116">
        <f>[3]Southwest!$HL$52</f>
        <v>84288</v>
      </c>
      <c r="I33" s="116">
        <f>'[3]Sun Country'!$HL$52</f>
        <v>0</v>
      </c>
      <c r="J33" s="116">
        <f>[3]Alaska!$HL$52</f>
        <v>3479</v>
      </c>
      <c r="K33" s="145">
        <f>SUM(B33:J33)</f>
        <v>88331</v>
      </c>
    </row>
    <row r="34" spans="1:11" x14ac:dyDescent="0.2">
      <c r="A34" s="60" t="s">
        <v>38</v>
      </c>
      <c r="B34" s="144">
        <f>[3]Frontier!$HL$53</f>
        <v>0</v>
      </c>
      <c r="C34" s="116">
        <f>'[3]Air Choice One'!$HL$53</f>
        <v>0</v>
      </c>
      <c r="D34" s="128">
        <f>'[3]Aer Lingus'!$HL$53</f>
        <v>0</v>
      </c>
      <c r="E34" s="116">
        <f>'[3]Denver Air'!$HL$53</f>
        <v>0</v>
      </c>
      <c r="F34" s="116">
        <f>'[3]Boutique Air'!$HL$53</f>
        <v>0</v>
      </c>
      <c r="G34" s="144">
        <f>[3]Icelandair!$HL$53</f>
        <v>0</v>
      </c>
      <c r="H34" s="116">
        <f>[3]Southwest!$HL$53</f>
        <v>0</v>
      </c>
      <c r="I34" s="116">
        <f>'[3]Sun Country'!$HL$53</f>
        <v>84748</v>
      </c>
      <c r="J34" s="116">
        <f>[3]Alaska!$HL$53</f>
        <v>0</v>
      </c>
      <c r="K34" s="161">
        <f>SUM(B34:J34)</f>
        <v>84748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564</v>
      </c>
      <c r="H35" s="162">
        <f t="shared" si="12"/>
        <v>84288</v>
      </c>
      <c r="I35" s="162">
        <f t="shared" si="12"/>
        <v>84748</v>
      </c>
      <c r="J35" s="162">
        <f t="shared" si="12"/>
        <v>3479</v>
      </c>
      <c r="K35" s="163">
        <f>SUM(B35:J35)</f>
        <v>173079</v>
      </c>
    </row>
    <row r="36" spans="1:11" hidden="1" x14ac:dyDescent="0.2">
      <c r="A36" s="60"/>
      <c r="B36" s="152"/>
      <c r="C36" s="152"/>
      <c r="D36" s="468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68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[3]Frontier!$HL$57</f>
        <v>0</v>
      </c>
      <c r="C38" s="152">
        <f>'[3]Air Choice One'!$HL$57</f>
        <v>0</v>
      </c>
      <c r="D38" s="468">
        <f>'[3]Aer Lingus'!$HL$57</f>
        <v>0</v>
      </c>
      <c r="E38" s="152">
        <f>'[3]Denver Air'!$HL$57</f>
        <v>0</v>
      </c>
      <c r="F38" s="152">
        <f>'[3]Boutique Air'!$HL$57</f>
        <v>0</v>
      </c>
      <c r="G38" s="152">
        <f>[3]Icelandair!$HL$57</f>
        <v>0</v>
      </c>
      <c r="H38" s="152">
        <f>[3]Southwest!$HL$57</f>
        <v>0</v>
      </c>
      <c r="I38" s="152">
        <f>'[3]Sun Country'!$HL$57</f>
        <v>319</v>
      </c>
      <c r="J38" s="152">
        <f>[3]Alaska!$HL$57</f>
        <v>0</v>
      </c>
      <c r="K38" s="145">
        <f>SUM(B38:I38)</f>
        <v>319</v>
      </c>
    </row>
    <row r="39" spans="1:11" hidden="1" x14ac:dyDescent="0.2">
      <c r="A39" s="60" t="s">
        <v>38</v>
      </c>
      <c r="B39" s="155">
        <f>[3]Frontier!$HL$58</f>
        <v>0</v>
      </c>
      <c r="C39" s="155">
        <f>'[3]Air Choice One'!$HL$58</f>
        <v>0</v>
      </c>
      <c r="D39" s="155">
        <f>'[3]Aer Lingus'!$HL$58</f>
        <v>0</v>
      </c>
      <c r="E39" s="155">
        <f>'[3]Denver Air'!$HL$58</f>
        <v>0</v>
      </c>
      <c r="F39" s="155">
        <f>'[3]Boutique Air'!$HL$58</f>
        <v>0</v>
      </c>
      <c r="G39" s="155">
        <f>[3]Icelandair!$HL$58</f>
        <v>0</v>
      </c>
      <c r="H39" s="155">
        <f>[3]Southwest!$HL$58</f>
        <v>0</v>
      </c>
      <c r="I39" s="155">
        <f>'[3]Sun Country'!$HL$58</f>
        <v>0</v>
      </c>
      <c r="J39" s="155">
        <f>[3]Alaska!$HL$58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2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319</v>
      </c>
      <c r="J40" s="164">
        <f t="shared" si="14"/>
        <v>0</v>
      </c>
      <c r="K40" s="145">
        <f>SUM(B40:I40)</f>
        <v>319</v>
      </c>
    </row>
    <row r="41" spans="1:11" x14ac:dyDescent="0.2">
      <c r="A41" s="60"/>
      <c r="B41" s="152"/>
      <c r="C41" s="152"/>
      <c r="D41" s="468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68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68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3948</v>
      </c>
      <c r="H43" s="152">
        <f t="shared" si="16"/>
        <v>299611</v>
      </c>
      <c r="I43" s="152">
        <f t="shared" si="16"/>
        <v>25658</v>
      </c>
      <c r="J43" s="152">
        <f t="shared" si="16"/>
        <v>5549</v>
      </c>
      <c r="K43" s="145">
        <f>SUM(B43:J43)</f>
        <v>334766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146229</v>
      </c>
      <c r="J44" s="155">
        <f t="shared" si="18"/>
        <v>0</v>
      </c>
      <c r="K44" s="145">
        <f>SUM(B44:J44)</f>
        <v>146229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3948</v>
      </c>
      <c r="H45" s="165">
        <f t="shared" si="20"/>
        <v>299611</v>
      </c>
      <c r="I45" s="165">
        <f t="shared" si="20"/>
        <v>171887</v>
      </c>
      <c r="J45" s="165">
        <f t="shared" si="20"/>
        <v>5549</v>
      </c>
      <c r="K45" s="166">
        <f>SUM(B45:J45)</f>
        <v>480995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[3]Southwest!$HL$70+[3]Southwest!$HL$73</f>
        <v>54283</v>
      </c>
      <c r="I48" s="294">
        <f>'[3]Sun Country'!$HL$70+'[3]Sun Country'!$HL$73</f>
        <v>69662</v>
      </c>
      <c r="J48" s="360"/>
      <c r="K48" s="282">
        <f>SUM(B48:J48)</f>
        <v>123945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[3]Southwest!$HL$71+[3]Southwest!$HL$74</f>
        <v>85</v>
      </c>
      <c r="I49" s="294">
        <f>'[3]Sun Country'!$HL$71+'[3]Sun Country'!$HL$74</f>
        <v>0</v>
      </c>
      <c r="J49" s="360"/>
      <c r="K49" s="282">
        <f>SUM(B49:J49)</f>
        <v>85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September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F24" sqref="F2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44440</v>
      </c>
      <c r="B2" s="405" t="s">
        <v>157</v>
      </c>
      <c r="C2" s="405" t="s">
        <v>160</v>
      </c>
      <c r="D2" s="405" t="s">
        <v>168</v>
      </c>
      <c r="E2" s="405" t="s">
        <v>167</v>
      </c>
      <c r="F2" s="405" t="s">
        <v>169</v>
      </c>
      <c r="G2" s="405" t="s">
        <v>198</v>
      </c>
      <c r="H2" s="405" t="s">
        <v>173</v>
      </c>
      <c r="I2" s="405" t="s">
        <v>180</v>
      </c>
      <c r="J2" s="405" t="s">
        <v>196</v>
      </c>
      <c r="K2" s="405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[3]Pinnacle!$HL$22+[3]Pinnacle!$HL$32</f>
        <v>85357</v>
      </c>
      <c r="C5" s="130">
        <f>[3]MESA_UA!$HL$22</f>
        <v>5734</v>
      </c>
      <c r="D5" s="128">
        <f>'[3]Sky West'!$HL$22+'[3]Sky West'!$HL$32</f>
        <v>172266</v>
      </c>
      <c r="E5" s="128">
        <f>'[3]Sky West_UA'!$HL$22</f>
        <v>3775</v>
      </c>
      <c r="F5" s="128">
        <f>'[3]Sky West_AS'!$HL$22</f>
        <v>0</v>
      </c>
      <c r="G5" s="128">
        <f>'[3]Sky West_AA'!$HL$22</f>
        <v>1227</v>
      </c>
      <c r="H5" s="128">
        <f>[3]Republic!$HL$22</f>
        <v>7276</v>
      </c>
      <c r="I5" s="128">
        <f>[3]Republic_UA!$HL$22</f>
        <v>4903</v>
      </c>
      <c r="J5" s="128">
        <f>'[3]Sky Regional'!$HL$32</f>
        <v>0</v>
      </c>
      <c r="K5" s="128">
        <f>'[3]American Eagle'!$HL$22</f>
        <v>3837</v>
      </c>
      <c r="L5" s="128">
        <f>'Other Regional'!L5</f>
        <v>3632</v>
      </c>
      <c r="M5" s="108">
        <f>SUM(B5:L5)</f>
        <v>288007</v>
      </c>
    </row>
    <row r="6" spans="1:15" s="10" customFormat="1" x14ac:dyDescent="0.2">
      <c r="A6" s="60" t="s">
        <v>31</v>
      </c>
      <c r="B6" s="129">
        <f>[3]Pinnacle!$HL$23+[3]Pinnacle!$HL$33</f>
        <v>85773</v>
      </c>
      <c r="C6" s="130">
        <f>[3]MESA_UA!$HL$23</f>
        <v>5265</v>
      </c>
      <c r="D6" s="128">
        <f>'[3]Sky West'!$HL$23+'[3]Sky West'!$HL$33</f>
        <v>172098</v>
      </c>
      <c r="E6" s="128">
        <f>'[3]Sky West_UA'!$HL$23</f>
        <v>4123</v>
      </c>
      <c r="F6" s="128">
        <f>'[3]Sky West_AS'!$HL$23</f>
        <v>0</v>
      </c>
      <c r="G6" s="128">
        <f>'[3]Sky West_AA'!$HL$23</f>
        <v>1557</v>
      </c>
      <c r="H6" s="128">
        <f>[3]Republic!$HL$23</f>
        <v>7088</v>
      </c>
      <c r="I6" s="128">
        <f>[3]Republic_UA!$HL$23</f>
        <v>4462</v>
      </c>
      <c r="J6" s="128">
        <f>'[3]Sky Regional'!$HL$33</f>
        <v>0</v>
      </c>
      <c r="K6" s="128">
        <f>'[3]American Eagle'!$HL$23</f>
        <v>3982</v>
      </c>
      <c r="L6" s="128">
        <f>'Other Regional'!L6</f>
        <v>3376</v>
      </c>
      <c r="M6" s="113">
        <f>SUM(B6:L6)</f>
        <v>287724</v>
      </c>
    </row>
    <row r="7" spans="1:15" ht="15" thickBot="1" x14ac:dyDescent="0.25">
      <c r="A7" s="71" t="s">
        <v>7</v>
      </c>
      <c r="B7" s="131">
        <f>SUM(B5:B6)</f>
        <v>171130</v>
      </c>
      <c r="C7" s="131">
        <f t="shared" ref="C7:L7" si="0">SUM(C5:C6)</f>
        <v>10999</v>
      </c>
      <c r="D7" s="131">
        <f t="shared" si="0"/>
        <v>344364</v>
      </c>
      <c r="E7" s="131">
        <f t="shared" si="0"/>
        <v>7898</v>
      </c>
      <c r="F7" s="131">
        <f t="shared" ref="F7:G7" si="1">SUM(F5:F6)</f>
        <v>0</v>
      </c>
      <c r="G7" s="131">
        <f t="shared" si="1"/>
        <v>2784</v>
      </c>
      <c r="H7" s="131">
        <f t="shared" si="0"/>
        <v>14364</v>
      </c>
      <c r="I7" s="131">
        <f t="shared" si="0"/>
        <v>9365</v>
      </c>
      <c r="J7" s="131">
        <f t="shared" si="0"/>
        <v>0</v>
      </c>
      <c r="K7" s="131">
        <f t="shared" si="0"/>
        <v>7819</v>
      </c>
      <c r="L7" s="131">
        <f t="shared" si="0"/>
        <v>7008</v>
      </c>
      <c r="M7" s="132">
        <f>SUM(B7:L7)</f>
        <v>575731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[3]Pinnacle!$HL$27+[3]Pinnacle!$HL$37</f>
        <v>3144</v>
      </c>
      <c r="C10" s="130">
        <f>[3]MESA_UA!$HL$27</f>
        <v>172</v>
      </c>
      <c r="D10" s="128">
        <f>'[3]Sky West'!$HL$27+'[3]Sky West'!$HL$37</f>
        <v>4868</v>
      </c>
      <c r="E10" s="128">
        <f>'[3]Sky West_UA'!$HL$27</f>
        <v>131</v>
      </c>
      <c r="F10" s="128">
        <f>'[3]Sky West_AS'!$HL$27</f>
        <v>0</v>
      </c>
      <c r="G10" s="128">
        <f>'[3]Sky West_AA'!$HL$27</f>
        <v>99</v>
      </c>
      <c r="H10" s="128">
        <f>[3]Republic!$HL$27</f>
        <v>277</v>
      </c>
      <c r="I10" s="128">
        <f>[3]Republic_UA!$HL$27</f>
        <v>114</v>
      </c>
      <c r="J10" s="128">
        <f>'[3]Sky Regional'!$HL$37</f>
        <v>0</v>
      </c>
      <c r="K10" s="128">
        <f>'[3]American Eagle'!$HL$27</f>
        <v>124</v>
      </c>
      <c r="L10" s="128">
        <f>'Other Regional'!L10</f>
        <v>47</v>
      </c>
      <c r="M10" s="108">
        <f>SUM(B10:L10)</f>
        <v>8976</v>
      </c>
    </row>
    <row r="11" spans="1:15" x14ac:dyDescent="0.2">
      <c r="A11" s="60" t="s">
        <v>33</v>
      </c>
      <c r="B11" s="129">
        <f>[3]Pinnacle!$HL$28+[3]Pinnacle!$HL$38</f>
        <v>2860</v>
      </c>
      <c r="C11" s="130">
        <f>[3]MESA_UA!$HL$28</f>
        <v>209</v>
      </c>
      <c r="D11" s="128">
        <f>'[3]Sky West'!$HL$28+'[3]Sky West'!$HL$38</f>
        <v>4999</v>
      </c>
      <c r="E11" s="128">
        <f>'[3]Sky West_UA'!$HL$28</f>
        <v>121</v>
      </c>
      <c r="F11" s="128">
        <f>'[3]Sky West_AS'!$HL$28</f>
        <v>0</v>
      </c>
      <c r="G11" s="128">
        <f>'[3]Sky West_AA'!$HL$28</f>
        <v>49</v>
      </c>
      <c r="H11" s="128">
        <f>[3]Republic!$HL$28</f>
        <v>278</v>
      </c>
      <c r="I11" s="128">
        <f>[3]Republic_UA!$HL$28</f>
        <v>151</v>
      </c>
      <c r="J11" s="128">
        <f>'[3]Sky Regional'!$HL$38</f>
        <v>0</v>
      </c>
      <c r="K11" s="128">
        <f>'[3]American Eagle'!$HL$28</f>
        <v>148</v>
      </c>
      <c r="L11" s="128">
        <f>'Other Regional'!L11</f>
        <v>48</v>
      </c>
      <c r="M11" s="113">
        <f>SUM(B11:L11)</f>
        <v>8863</v>
      </c>
    </row>
    <row r="12" spans="1:15" ht="15" thickBot="1" x14ac:dyDescent="0.25">
      <c r="A12" s="72" t="s">
        <v>34</v>
      </c>
      <c r="B12" s="134">
        <f t="shared" ref="B12:L12" si="2">SUM(B10:B11)</f>
        <v>6004</v>
      </c>
      <c r="C12" s="134">
        <f t="shared" si="2"/>
        <v>381</v>
      </c>
      <c r="D12" s="134">
        <f t="shared" si="2"/>
        <v>9867</v>
      </c>
      <c r="E12" s="134">
        <f t="shared" si="2"/>
        <v>252</v>
      </c>
      <c r="F12" s="134">
        <f t="shared" ref="F12:G12" si="3">SUM(F10:F11)</f>
        <v>0</v>
      </c>
      <c r="G12" s="134">
        <f t="shared" si="3"/>
        <v>148</v>
      </c>
      <c r="H12" s="134">
        <f t="shared" si="2"/>
        <v>555</v>
      </c>
      <c r="I12" s="134">
        <f t="shared" si="2"/>
        <v>265</v>
      </c>
      <c r="J12" s="134">
        <f t="shared" si="2"/>
        <v>0</v>
      </c>
      <c r="K12" s="134">
        <f t="shared" si="2"/>
        <v>272</v>
      </c>
      <c r="L12" s="134">
        <f t="shared" si="2"/>
        <v>95</v>
      </c>
      <c r="M12" s="135">
        <f>SUM(B12:L12)</f>
        <v>17839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[3]Pinnacle!$HL$4+[3]Pinnacle!$HL$15</f>
        <v>1792</v>
      </c>
      <c r="C15" s="106">
        <f>[3]MESA_UA!$HL$4</f>
        <v>94</v>
      </c>
      <c r="D15" s="104">
        <f>'[3]Sky West'!$HL$4+'[3]Sky West'!$HL$15</f>
        <v>3124</v>
      </c>
      <c r="E15" s="104">
        <f>'[3]Sky West_UA'!$HL$4</f>
        <v>59</v>
      </c>
      <c r="F15" s="104">
        <f>'[3]Sky West_AS'!$HL$4</f>
        <v>0</v>
      </c>
      <c r="G15" s="104">
        <f>'[3]Sky West_AA'!$HL$4</f>
        <v>27</v>
      </c>
      <c r="H15" s="107">
        <f>[3]Republic!$HL$4</f>
        <v>143</v>
      </c>
      <c r="I15" s="424">
        <f>[3]Republic_UA!$HL$4</f>
        <v>78</v>
      </c>
      <c r="J15" s="424">
        <f>'[3]Sky Regional'!$HL$15</f>
        <v>0</v>
      </c>
      <c r="K15" s="107">
        <f>'[3]American Eagle'!$HL$4</f>
        <v>60</v>
      </c>
      <c r="L15" s="105">
        <f>'Other Regional'!L15</f>
        <v>54</v>
      </c>
      <c r="M15" s="108">
        <f t="shared" ref="M15:M21" si="5">SUM(B15:L15)</f>
        <v>5431</v>
      </c>
    </row>
    <row r="16" spans="1:15" x14ac:dyDescent="0.2">
      <c r="A16" s="60" t="s">
        <v>54</v>
      </c>
      <c r="B16" s="13">
        <f>[3]Pinnacle!$HL$5+[3]Pinnacle!$HL$16</f>
        <v>1800</v>
      </c>
      <c r="C16" s="111">
        <f>[3]MESA_UA!$HL$5</f>
        <v>95</v>
      </c>
      <c r="D16" s="109">
        <f>'[3]Sky West'!$HL$5+'[3]Sky West'!$HL$16</f>
        <v>3127</v>
      </c>
      <c r="E16" s="109">
        <f>'[3]Sky West_UA'!$HL$5</f>
        <v>60</v>
      </c>
      <c r="F16" s="109">
        <f>'[3]Sky West_AS'!$HL$5</f>
        <v>0</v>
      </c>
      <c r="G16" s="109">
        <f>'[3]Sky West_AA'!$HL$5</f>
        <v>27</v>
      </c>
      <c r="H16" s="112">
        <f>[3]Republic!$HL$5</f>
        <v>142</v>
      </c>
      <c r="I16" s="269">
        <f>[3]Republic_UA!$HL$5</f>
        <v>77</v>
      </c>
      <c r="J16" s="269">
        <f>'[3]Sky Regional'!$HL$16</f>
        <v>0</v>
      </c>
      <c r="K16" s="112">
        <f>'[3]American Eagle'!$HL$5</f>
        <v>60</v>
      </c>
      <c r="L16" s="110">
        <f>'Other Regional'!L16</f>
        <v>53</v>
      </c>
      <c r="M16" s="113">
        <f t="shared" si="5"/>
        <v>5441</v>
      </c>
      <c r="O16" s="128"/>
    </row>
    <row r="17" spans="1:13" x14ac:dyDescent="0.2">
      <c r="A17" s="69" t="s">
        <v>55</v>
      </c>
      <c r="B17" s="114">
        <f t="shared" ref="B17:E17" si="6">SUM(B15:B16)</f>
        <v>3592</v>
      </c>
      <c r="C17" s="114">
        <f t="shared" si="6"/>
        <v>189</v>
      </c>
      <c r="D17" s="114">
        <f t="shared" si="6"/>
        <v>6251</v>
      </c>
      <c r="E17" s="114">
        <f t="shared" si="6"/>
        <v>119</v>
      </c>
      <c r="F17" s="114">
        <f t="shared" ref="F17:G17" si="7">SUM(F15:F16)</f>
        <v>0</v>
      </c>
      <c r="G17" s="114">
        <f t="shared" si="7"/>
        <v>54</v>
      </c>
      <c r="H17" s="114">
        <f>SUM(H15:H16)</f>
        <v>285</v>
      </c>
      <c r="I17" s="114">
        <f t="shared" ref="I17:J17" si="8">SUM(I15:I16)</f>
        <v>155</v>
      </c>
      <c r="J17" s="114">
        <f t="shared" si="8"/>
        <v>0</v>
      </c>
      <c r="K17" s="114">
        <f>SUM(K15:K16)</f>
        <v>120</v>
      </c>
      <c r="L17" s="114">
        <f>SUM(L15:L16)</f>
        <v>107</v>
      </c>
      <c r="M17" s="115">
        <f t="shared" si="5"/>
        <v>10872</v>
      </c>
    </row>
    <row r="18" spans="1:13" x14ac:dyDescent="0.2">
      <c r="A18" s="60" t="s">
        <v>56</v>
      </c>
      <c r="B18" s="116">
        <f>[3]Pinnacle!$HL$8</f>
        <v>1</v>
      </c>
      <c r="C18" s="117">
        <f>[3]MESA_UA!$HL$8</f>
        <v>0</v>
      </c>
      <c r="D18" s="116">
        <f>'[3]Sky West'!$HL$8</f>
        <v>0</v>
      </c>
      <c r="E18" s="116">
        <f>'[3]Sky West_UA'!$HL$8</f>
        <v>0</v>
      </c>
      <c r="F18" s="116">
        <f>'[3]Sky West_AS'!$HL$8</f>
        <v>0</v>
      </c>
      <c r="G18" s="116">
        <f>'[3]Sky West_AA'!$HL$8</f>
        <v>0</v>
      </c>
      <c r="H18" s="116">
        <f>[3]Republic!$HL$8</f>
        <v>0</v>
      </c>
      <c r="I18" s="116">
        <f>[3]Republic_UA!$HL$8</f>
        <v>0</v>
      </c>
      <c r="J18" s="116">
        <f>'[3]Sky Regional'!$HL$8</f>
        <v>0</v>
      </c>
      <c r="K18" s="116">
        <f>'[3]American Eagle'!$HL$8</f>
        <v>0</v>
      </c>
      <c r="L18" s="116">
        <f>'Other Regional'!L18</f>
        <v>0</v>
      </c>
      <c r="M18" s="108">
        <f t="shared" si="5"/>
        <v>1</v>
      </c>
    </row>
    <row r="19" spans="1:13" x14ac:dyDescent="0.2">
      <c r="A19" s="60" t="s">
        <v>57</v>
      </c>
      <c r="B19" s="118">
        <f>[3]Pinnacle!$HL$9</f>
        <v>0</v>
      </c>
      <c r="C19" s="119">
        <f>[3]MESA_UA!$HL$9</f>
        <v>0</v>
      </c>
      <c r="D19" s="118">
        <f>'[3]Sky West'!$HL$9</f>
        <v>0</v>
      </c>
      <c r="E19" s="118">
        <f>'[3]Sky West_UA'!$HL$9</f>
        <v>0</v>
      </c>
      <c r="F19" s="118">
        <f>'[3]Sky West_AS'!$HL$9</f>
        <v>0</v>
      </c>
      <c r="G19" s="118">
        <f>'[3]Sky West_AA'!$HL$9</f>
        <v>0</v>
      </c>
      <c r="H19" s="118">
        <f>[3]Republic!$HL$9</f>
        <v>0</v>
      </c>
      <c r="I19" s="118">
        <f>[3]Republic_UA!$HL$9</f>
        <v>0</v>
      </c>
      <c r="J19" s="118">
        <f>'[3]Sky Regional'!$HL$9</f>
        <v>0</v>
      </c>
      <c r="K19" s="118">
        <f>'[3]American Eagle'!$HL$9</f>
        <v>0</v>
      </c>
      <c r="L19" s="118">
        <f>'Other Regional'!L19</f>
        <v>0</v>
      </c>
      <c r="M19" s="113">
        <f t="shared" si="5"/>
        <v>0</v>
      </c>
    </row>
    <row r="20" spans="1:13" x14ac:dyDescent="0.2">
      <c r="A20" s="69" t="s">
        <v>58</v>
      </c>
      <c r="B20" s="114">
        <f t="shared" ref="B20:L20" si="9">SUM(B18:B19)</f>
        <v>1</v>
      </c>
      <c r="C20" s="114">
        <f t="shared" si="9"/>
        <v>0</v>
      </c>
      <c r="D20" s="114">
        <f t="shared" si="9"/>
        <v>0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1</v>
      </c>
    </row>
    <row r="21" spans="1:13" ht="15.75" thickBot="1" x14ac:dyDescent="0.3">
      <c r="A21" s="70" t="s">
        <v>28</v>
      </c>
      <c r="B21" s="120">
        <f>SUM(B20,B17)</f>
        <v>3593</v>
      </c>
      <c r="C21" s="120">
        <f t="shared" ref="C21:K21" si="11">SUM(C20,C17)</f>
        <v>189</v>
      </c>
      <c r="D21" s="120">
        <f t="shared" si="11"/>
        <v>6251</v>
      </c>
      <c r="E21" s="120">
        <f t="shared" si="11"/>
        <v>119</v>
      </c>
      <c r="F21" s="120">
        <f t="shared" ref="F21:G21" si="12">SUM(F20,F17)</f>
        <v>0</v>
      </c>
      <c r="G21" s="120">
        <f t="shared" si="12"/>
        <v>54</v>
      </c>
      <c r="H21" s="120">
        <f t="shared" si="11"/>
        <v>285</v>
      </c>
      <c r="I21" s="120">
        <f t="shared" si="11"/>
        <v>155</v>
      </c>
      <c r="J21" s="120">
        <f t="shared" si="11"/>
        <v>0</v>
      </c>
      <c r="K21" s="120">
        <f t="shared" si="11"/>
        <v>120</v>
      </c>
      <c r="L21" s="120">
        <f>SUM(L20,L17)</f>
        <v>107</v>
      </c>
      <c r="M21" s="121">
        <f t="shared" si="5"/>
        <v>10873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[3]Pinnacle!$HL$47</f>
        <v>0</v>
      </c>
      <c r="C25" s="130">
        <f>[3]MESA_UA!$HL$47</f>
        <v>0</v>
      </c>
      <c r="D25" s="128">
        <f>'[3]Sky West'!$HL$47</f>
        <v>0</v>
      </c>
      <c r="E25" s="128">
        <f>'[3]Sky West_UA'!$HL$47</f>
        <v>0</v>
      </c>
      <c r="F25" s="128">
        <f>'[3]Sky West_AS'!$HL$47</f>
        <v>0</v>
      </c>
      <c r="G25" s="128">
        <f>'[3]Sky West_AA'!$HL$47</f>
        <v>338</v>
      </c>
      <c r="H25" s="128">
        <f>[3]Republic!$HL$47</f>
        <v>611</v>
      </c>
      <c r="I25" s="128">
        <f>[3]Republic_UA!$HL$47</f>
        <v>0</v>
      </c>
      <c r="J25" s="128">
        <f>'[3]Sky Regional'!$HL$47</f>
        <v>0</v>
      </c>
      <c r="K25" s="128">
        <f>'[3]American Eagle'!$HL$47</f>
        <v>1574</v>
      </c>
      <c r="L25" s="128">
        <f>'Other Regional'!L25</f>
        <v>1130</v>
      </c>
      <c r="M25" s="108">
        <f>SUM(B25:L25)</f>
        <v>3653</v>
      </c>
    </row>
    <row r="26" spans="1:13" x14ac:dyDescent="0.2">
      <c r="A26" s="73" t="s">
        <v>38</v>
      </c>
      <c r="B26" s="128">
        <f>[3]Pinnacle!$HL$48</f>
        <v>0</v>
      </c>
      <c r="C26" s="130">
        <f>[3]MESA_UA!$HL$48</f>
        <v>0</v>
      </c>
      <c r="D26" s="128">
        <f>'[3]Sky West'!$HL$48</f>
        <v>0</v>
      </c>
      <c r="E26" s="128">
        <f>'[3]Sky West_UA'!$HL$48</f>
        <v>0</v>
      </c>
      <c r="F26" s="128">
        <f>'[3]Sky West_AS'!$HL$48</f>
        <v>0</v>
      </c>
      <c r="G26" s="128">
        <f>'[3]Sky West_AA'!$HL$48</f>
        <v>0</v>
      </c>
      <c r="H26" s="128">
        <f>[3]Republic!$HL$48</f>
        <v>0</v>
      </c>
      <c r="I26" s="128">
        <f>[3]Republic_UA!$HL$48</f>
        <v>0</v>
      </c>
      <c r="J26" s="128">
        <f>'[3]Sky Regional'!$HL$48</f>
        <v>0</v>
      </c>
      <c r="K26" s="128">
        <f>'[3]American Eagle'!$HL$48</f>
        <v>0</v>
      </c>
      <c r="L26" s="128">
        <f>'Other Regional'!L26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338</v>
      </c>
      <c r="H27" s="131">
        <f t="shared" si="13"/>
        <v>611</v>
      </c>
      <c r="I27" s="131">
        <f t="shared" si="13"/>
        <v>0</v>
      </c>
      <c r="J27" s="131">
        <f t="shared" si="13"/>
        <v>0</v>
      </c>
      <c r="K27" s="131">
        <f t="shared" si="13"/>
        <v>1574</v>
      </c>
      <c r="L27" s="131">
        <f t="shared" si="13"/>
        <v>1130</v>
      </c>
      <c r="M27" s="132">
        <f>SUM(B27:L27)</f>
        <v>3653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[3]Pinnacle!$HL$52</f>
        <v>0</v>
      </c>
      <c r="C30" s="130">
        <f>[3]MESA_UA!$HL$52</f>
        <v>0</v>
      </c>
      <c r="D30" s="128">
        <f>'[3]Sky West'!$HL$52</f>
        <v>0</v>
      </c>
      <c r="E30" s="128">
        <f>'[3]Sky West_UA'!$HL$52</f>
        <v>0</v>
      </c>
      <c r="F30" s="128">
        <f>'[3]Sky West_AS'!$HL$52</f>
        <v>0</v>
      </c>
      <c r="G30" s="128">
        <f>'[3]Sky West_AA'!$HL$52</f>
        <v>200</v>
      </c>
      <c r="H30" s="128">
        <f>[3]Republic!$HL$52</f>
        <v>179</v>
      </c>
      <c r="I30" s="128">
        <f>[3]Republic_UA!$HL$52</f>
        <v>0</v>
      </c>
      <c r="J30" s="128">
        <f>'[3]Sky Regional'!$HL$52</f>
        <v>0</v>
      </c>
      <c r="K30" s="128">
        <f>'[3]American Eagle'!$HL$52</f>
        <v>656</v>
      </c>
      <c r="L30" s="128">
        <f>'Other Regional'!L30</f>
        <v>266</v>
      </c>
      <c r="M30" s="108">
        <f t="shared" ref="M30:M37" si="15">SUM(B30:L30)</f>
        <v>1301</v>
      </c>
    </row>
    <row r="31" spans="1:13" x14ac:dyDescent="0.2">
      <c r="A31" s="73" t="s">
        <v>60</v>
      </c>
      <c r="B31" s="128">
        <f>[3]Pinnacle!$HL$53</f>
        <v>0</v>
      </c>
      <c r="C31" s="130">
        <f>[3]MESA_UA!$HL$53</f>
        <v>0</v>
      </c>
      <c r="D31" s="128">
        <f>'[3]Sky West'!$HL$53</f>
        <v>0</v>
      </c>
      <c r="E31" s="128">
        <f>'[3]Sky West_UA'!$HL$53</f>
        <v>0</v>
      </c>
      <c r="F31" s="128">
        <f>'[3]Sky West_AS'!$HL$53</f>
        <v>0</v>
      </c>
      <c r="G31" s="128">
        <f>'[3]Sky West_AA'!$HL$53</f>
        <v>0</v>
      </c>
      <c r="H31" s="128">
        <f>[3]Republic!$HL$53</f>
        <v>0</v>
      </c>
      <c r="I31" s="128">
        <f>[3]Republic_UA!$HL$53</f>
        <v>0</v>
      </c>
      <c r="J31" s="128">
        <f>'[3]Sky Regional'!$HL$53</f>
        <v>0</v>
      </c>
      <c r="K31" s="128">
        <f>'[3]American Eagle'!$HL$53</f>
        <v>0</v>
      </c>
      <c r="L31" s="128">
        <f>'Other Regional'!L31</f>
        <v>1889</v>
      </c>
      <c r="M31" s="108">
        <f t="shared" si="15"/>
        <v>1889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200</v>
      </c>
      <c r="H32" s="131">
        <f t="shared" si="16"/>
        <v>179</v>
      </c>
      <c r="I32" s="131">
        <f t="shared" si="16"/>
        <v>0</v>
      </c>
      <c r="J32" s="131">
        <f t="shared" si="16"/>
        <v>0</v>
      </c>
      <c r="K32" s="131">
        <f t="shared" si="16"/>
        <v>656</v>
      </c>
      <c r="L32" s="131">
        <f>SUM(L30:L31)</f>
        <v>2155</v>
      </c>
      <c r="M32" s="132">
        <f t="shared" si="15"/>
        <v>3190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[3]Pinnacle!$HL$57</f>
        <v>0</v>
      </c>
      <c r="C35" s="130">
        <f>[3]MESA_UA!$HL$57</f>
        <v>0</v>
      </c>
      <c r="D35" s="128">
        <f>'[3]Sky West'!$HL$57</f>
        <v>0</v>
      </c>
      <c r="E35" s="128">
        <f>'[3]Sky West_UA'!$HL$57</f>
        <v>0</v>
      </c>
      <c r="F35" s="128">
        <f>'[3]Sky West_AS'!$HL$57</f>
        <v>0</v>
      </c>
      <c r="G35" s="128">
        <f>'[3]Sky West_AA'!$HL$57</f>
        <v>0</v>
      </c>
      <c r="H35" s="128">
        <f>[3]Republic!$HL$57</f>
        <v>0</v>
      </c>
      <c r="I35" s="128">
        <f>[3]Republic!$HL$57</f>
        <v>0</v>
      </c>
      <c r="J35" s="128">
        <f>[3]Republic!$HL$57</f>
        <v>0</v>
      </c>
      <c r="K35" s="128">
        <f>'[3]American Eagle'!$HL$57</f>
        <v>0</v>
      </c>
      <c r="L35" s="128">
        <f>'Other Regional'!L35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[3]Pinnacle!$HL$58</f>
        <v>0</v>
      </c>
      <c r="C36" s="130">
        <f>[3]MESA_UA!$HL$58</f>
        <v>0</v>
      </c>
      <c r="D36" s="128">
        <f>'[3]Sky West'!$HL$58</f>
        <v>0</v>
      </c>
      <c r="E36" s="128">
        <f>'[3]Sky West_UA'!$HL$58</f>
        <v>0</v>
      </c>
      <c r="F36" s="128">
        <f>'[3]Sky West_AS'!$HL$58</f>
        <v>0</v>
      </c>
      <c r="G36" s="128">
        <f>'[3]Sky West_AA'!$HL$58</f>
        <v>0</v>
      </c>
      <c r="H36" s="128">
        <f>[3]Republic!$HL$58</f>
        <v>0</v>
      </c>
      <c r="I36" s="128">
        <f>[3]Republic!$HL$58</f>
        <v>0</v>
      </c>
      <c r="J36" s="128">
        <f>[3]Republic!$HL$58</f>
        <v>0</v>
      </c>
      <c r="K36" s="128">
        <f>'[3]American Eagle'!$HL$58</f>
        <v>0</v>
      </c>
      <c r="L36" s="128">
        <f>'Other Regional'!L36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538</v>
      </c>
      <c r="H40" s="128">
        <f t="shared" si="20"/>
        <v>790</v>
      </c>
      <c r="I40" s="128">
        <f t="shared" si="20"/>
        <v>0</v>
      </c>
      <c r="J40" s="128">
        <f t="shared" si="20"/>
        <v>0</v>
      </c>
      <c r="K40" s="128">
        <f>SUM(K35,K30,K25)</f>
        <v>2230</v>
      </c>
      <c r="L40" s="128">
        <f>L35+L30+L25</f>
        <v>1396</v>
      </c>
      <c r="M40" s="108">
        <f>SUM(B40:L40)</f>
        <v>4954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1889</v>
      </c>
      <c r="M41" s="108">
        <f>SUM(B41:L41)</f>
        <v>1889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538</v>
      </c>
      <c r="H42" s="134">
        <f t="shared" si="20"/>
        <v>790</v>
      </c>
      <c r="I42" s="134">
        <f t="shared" si="20"/>
        <v>0</v>
      </c>
      <c r="J42" s="134">
        <f t="shared" si="20"/>
        <v>0</v>
      </c>
      <c r="K42" s="134">
        <f>SUM(K37,K32,K27)</f>
        <v>2230</v>
      </c>
      <c r="L42" s="134">
        <f>SUM(L37,L32,L27)</f>
        <v>3285</v>
      </c>
      <c r="M42" s="135">
        <f>SUM(B42:L42)</f>
        <v>6843</v>
      </c>
    </row>
    <row r="44" spans="1:13" x14ac:dyDescent="0.2">
      <c r="A44" s="348" t="s">
        <v>121</v>
      </c>
      <c r="B44" s="293">
        <f>[3]Pinnacle!$HL$70+[3]Pinnacle!$HL$73</f>
        <v>27182</v>
      </c>
      <c r="D44" s="294">
        <f>'[3]Sky West'!$HL$70+'[3]Sky West'!$HL$73</f>
        <v>63250</v>
      </c>
      <c r="E44" s="5"/>
      <c r="F44" s="5"/>
      <c r="G44" s="5"/>
      <c r="L44" s="294">
        <f>+'Other Regional'!L46</f>
        <v>0</v>
      </c>
      <c r="M44" s="282">
        <f>SUM(B44:L44)</f>
        <v>90432</v>
      </c>
    </row>
    <row r="45" spans="1:13" x14ac:dyDescent="0.2">
      <c r="A45" s="362" t="s">
        <v>122</v>
      </c>
      <c r="B45" s="293">
        <f>[3]Pinnacle!$HL$71+[3]Pinnacle!$HL$74</f>
        <v>58591</v>
      </c>
      <c r="D45" s="294">
        <f>'[3]Sky West'!$HL$71+'[3]Sky West'!$HL$74</f>
        <v>108848</v>
      </c>
      <c r="E45" s="5"/>
      <c r="F45" s="5"/>
      <c r="G45" s="5"/>
      <c r="L45" s="294">
        <f>+'Other Regional'!L47</f>
        <v>0</v>
      </c>
      <c r="M45" s="282">
        <f>SUM(B45:L45)</f>
        <v>167439</v>
      </c>
    </row>
    <row r="46" spans="1:13" x14ac:dyDescent="0.2">
      <c r="A46" s="284" t="s">
        <v>123</v>
      </c>
      <c r="B46" s="285">
        <f>SUM(B44:B45)</f>
        <v>85773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September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F24" sqref="F2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s="7" customFormat="1" ht="36" customHeight="1" x14ac:dyDescent="0.2">
      <c r="A1" s="358"/>
    </row>
    <row r="2" spans="1:12" s="7" customFormat="1" ht="55.5" customHeight="1" thickBot="1" x14ac:dyDescent="0.25">
      <c r="A2" s="351">
        <v>44440</v>
      </c>
      <c r="B2" s="462" t="s">
        <v>171</v>
      </c>
      <c r="C2" s="462" t="s">
        <v>170</v>
      </c>
      <c r="D2" s="462" t="s">
        <v>197</v>
      </c>
      <c r="E2" s="462" t="s">
        <v>240</v>
      </c>
      <c r="F2" s="462" t="s">
        <v>246</v>
      </c>
      <c r="G2" s="462" t="s">
        <v>181</v>
      </c>
      <c r="H2" s="462" t="s">
        <v>175</v>
      </c>
      <c r="I2" s="462" t="s">
        <v>174</v>
      </c>
      <c r="J2" s="462" t="s">
        <v>159</v>
      </c>
      <c r="K2" s="462" t="s">
        <v>162</v>
      </c>
      <c r="L2" s="463" t="s">
        <v>21</v>
      </c>
    </row>
    <row r="3" spans="1:12" ht="15" x14ac:dyDescent="0.25">
      <c r="A3" s="252" t="s">
        <v>3</v>
      </c>
      <c r="B3" s="374"/>
      <c r="C3" s="374"/>
      <c r="D3" s="374"/>
      <c r="E3" s="374"/>
      <c r="F3" s="374"/>
      <c r="G3" s="374"/>
      <c r="H3" s="375"/>
      <c r="I3" s="375"/>
      <c r="J3" s="375"/>
      <c r="K3" s="375"/>
      <c r="L3" s="461"/>
    </row>
    <row r="4" spans="1:12" x14ac:dyDescent="0.2">
      <c r="A4" s="60" t="s">
        <v>29</v>
      </c>
      <c r="B4" s="126"/>
      <c r="C4" s="126"/>
      <c r="D4" s="126"/>
      <c r="E4" s="126"/>
      <c r="F4" s="127"/>
      <c r="G4" s="127"/>
      <c r="H4" s="129"/>
      <c r="I4" s="129"/>
      <c r="J4" s="129"/>
      <c r="K4" s="129"/>
      <c r="L4" s="108"/>
    </row>
    <row r="5" spans="1:12" x14ac:dyDescent="0.2">
      <c r="A5" s="60" t="s">
        <v>30</v>
      </c>
      <c r="B5" s="129">
        <f>'[3]Shuttle America'!$HL$22</f>
        <v>0</v>
      </c>
      <c r="C5" s="129">
        <f>'[3]Shuttle America_Delta'!$HL$22</f>
        <v>0</v>
      </c>
      <c r="D5" s="425">
        <f>[3]Horizon_AS!$HL$22+[3]Horizon_AS!$HL$32</f>
        <v>2064</v>
      </c>
      <c r="E5" s="425">
        <f>'[3]Air Wisconsin'!$HL$22</f>
        <v>0</v>
      </c>
      <c r="F5" s="425">
        <f>[3]Jazz_AC!$HL$22+[3]Jazz_AC!$HL$32</f>
        <v>1568</v>
      </c>
      <c r="G5" s="425">
        <f>[3]PSA!$HL$22</f>
        <v>0</v>
      </c>
      <c r="H5" s="129">
        <f>'[3]Atlantic Southeast'!$HL$22+'[3]Atlantic Southeast'!$HL$32</f>
        <v>0</v>
      </c>
      <c r="I5" s="129">
        <f>'[3]Continental Express'!$HL$22</f>
        <v>0</v>
      </c>
      <c r="J5" s="128">
        <f>'[3]Go Jet_UA'!$HL$22</f>
        <v>0</v>
      </c>
      <c r="K5" s="20">
        <f>'[3]Go Jet'!$HL$22+'[3]Go Jet'!$HL$32</f>
        <v>0</v>
      </c>
      <c r="L5" s="108">
        <f>SUM(B5:K5)</f>
        <v>3632</v>
      </c>
    </row>
    <row r="6" spans="1:12" s="10" customFormat="1" x14ac:dyDescent="0.2">
      <c r="A6" s="60" t="s">
        <v>31</v>
      </c>
      <c r="B6" s="129">
        <f>'[3]Shuttle America'!$HL$23</f>
        <v>0</v>
      </c>
      <c r="C6" s="129">
        <f>'[3]Shuttle America_Delta'!$HL$23</f>
        <v>0</v>
      </c>
      <c r="D6" s="425">
        <f>[3]Horizon_AS!$HL$23+[3]Horizon_AS!$HL$33</f>
        <v>1884</v>
      </c>
      <c r="E6" s="425">
        <f>'[3]Air Wisconsin'!$HL$23</f>
        <v>0</v>
      </c>
      <c r="F6" s="425">
        <f>[3]Jazz_AC!$HL$23+[3]Jazz_AC!$HL$33</f>
        <v>1492</v>
      </c>
      <c r="G6" s="425">
        <f>[3]PSA!$HL$23</f>
        <v>0</v>
      </c>
      <c r="H6" s="129">
        <f>'[3]Atlantic Southeast'!$HL$23+'[3]Atlantic Southeast'!$HL$33</f>
        <v>0</v>
      </c>
      <c r="I6" s="129">
        <f>'[3]Continental Express'!$HL$23</f>
        <v>0</v>
      </c>
      <c r="J6" s="128">
        <f>'[3]Go Jet_UA'!$HL$23</f>
        <v>0</v>
      </c>
      <c r="K6" s="13">
        <f>'[3]Go Jet'!$HL$23+'[3]Go Jet'!$HL$33</f>
        <v>0</v>
      </c>
      <c r="L6" s="113">
        <f>SUM(B6:K6)</f>
        <v>3376</v>
      </c>
    </row>
    <row r="7" spans="1:12" ht="15" thickBot="1" x14ac:dyDescent="0.25">
      <c r="A7" s="71" t="s">
        <v>7</v>
      </c>
      <c r="B7" s="131">
        <f t="shared" ref="B7:J7" si="0">SUM(B5:B6)</f>
        <v>0</v>
      </c>
      <c r="C7" s="131">
        <f t="shared" si="0"/>
        <v>0</v>
      </c>
      <c r="D7" s="131">
        <f t="shared" ref="D7:F7" si="1">SUM(D5:D6)</f>
        <v>3948</v>
      </c>
      <c r="E7" s="131">
        <f t="shared" si="1"/>
        <v>0</v>
      </c>
      <c r="F7" s="131">
        <f t="shared" si="1"/>
        <v>3060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31">
        <f>SUM(K5:K6)</f>
        <v>0</v>
      </c>
      <c r="L7" s="132">
        <f>SUM(B7:K7)</f>
        <v>7008</v>
      </c>
    </row>
    <row r="8" spans="1:12" ht="13.5" thickTop="1" x14ac:dyDescent="0.2">
      <c r="A8" s="60"/>
      <c r="B8" s="129"/>
      <c r="C8" s="129"/>
      <c r="D8" s="425"/>
      <c r="E8" s="425"/>
      <c r="F8" s="425"/>
      <c r="G8" s="425"/>
      <c r="H8" s="129"/>
      <c r="I8" s="129"/>
      <c r="J8" s="128"/>
      <c r="K8" s="313"/>
      <c r="L8" s="133"/>
    </row>
    <row r="9" spans="1:12" s="10" customFormat="1" x14ac:dyDescent="0.2">
      <c r="A9" s="60" t="s">
        <v>32</v>
      </c>
      <c r="B9" s="129"/>
      <c r="C9" s="129"/>
      <c r="D9" s="425"/>
      <c r="E9" s="425"/>
      <c r="F9" s="425"/>
      <c r="G9" s="425"/>
      <c r="H9" s="129"/>
      <c r="I9" s="129"/>
      <c r="J9" s="128"/>
      <c r="K9" s="20"/>
      <c r="L9" s="108"/>
    </row>
    <row r="10" spans="1:12" x14ac:dyDescent="0.2">
      <c r="A10" s="60" t="s">
        <v>30</v>
      </c>
      <c r="B10" s="129">
        <f>'[3]Shuttle America'!$HL$27</f>
        <v>0</v>
      </c>
      <c r="C10" s="129">
        <f>'[3]Shuttle America_Delta'!$HL$27</f>
        <v>0</v>
      </c>
      <c r="D10" s="425">
        <f>[3]Horizon_AS!$HL$27+[3]Horizon_AS!$HL$37</f>
        <v>36</v>
      </c>
      <c r="E10" s="425">
        <f>'[3]Air Wisconsin'!$HL$27</f>
        <v>0</v>
      </c>
      <c r="F10" s="425">
        <f>[3]Jazz_AC!$HL$27+[3]Jazz_AC!$HL$37</f>
        <v>11</v>
      </c>
      <c r="G10" s="425">
        <f>[3]PSA!$HL$27</f>
        <v>0</v>
      </c>
      <c r="H10" s="20">
        <f>'[3]Atlantic Southeast'!$HL$27+'[3]Atlantic Southeast'!$HL$37</f>
        <v>0</v>
      </c>
      <c r="I10" s="129">
        <f>'[3]Continental Express'!$HL$27</f>
        <v>0</v>
      </c>
      <c r="J10" s="128">
        <f>'[3]Go Jet_UA'!$HL$27</f>
        <v>0</v>
      </c>
      <c r="K10" s="20">
        <f>'[3]Go Jet'!$HL$27+'[3]Go Jet'!$HL$37</f>
        <v>0</v>
      </c>
      <c r="L10" s="108">
        <f>SUM(B10:K10)</f>
        <v>47</v>
      </c>
    </row>
    <row r="11" spans="1:12" x14ac:dyDescent="0.2">
      <c r="A11" s="60" t="s">
        <v>33</v>
      </c>
      <c r="B11" s="129">
        <f>'[3]Shuttle America'!$HL$28</f>
        <v>0</v>
      </c>
      <c r="C11" s="129">
        <f>'[3]Shuttle America_Delta'!$HL$28</f>
        <v>0</v>
      </c>
      <c r="D11" s="425">
        <f>[3]Horizon_AS!$HL$28+[3]Horizon_AS!$HL$38</f>
        <v>39</v>
      </c>
      <c r="E11" s="425">
        <f>'[3]Air Wisconsin'!$HL$28</f>
        <v>0</v>
      </c>
      <c r="F11" s="425">
        <f>[3]Jazz_AC!$HL$28+[3]Jazz_AC!$HL$38</f>
        <v>9</v>
      </c>
      <c r="G11" s="425">
        <f>[3]PSA!$HL$28</f>
        <v>0</v>
      </c>
      <c r="H11" s="13">
        <f>'[3]Atlantic Southeast'!$HL$28+'[3]Atlantic Southeast'!$HL$38</f>
        <v>0</v>
      </c>
      <c r="I11" s="129">
        <f>'[3]Continental Express'!$HL$28</f>
        <v>0</v>
      </c>
      <c r="J11" s="128">
        <f>'[3]Go Jet_UA'!$HL$28</f>
        <v>0</v>
      </c>
      <c r="K11" s="13">
        <f>'[3]Go Jet'!$HL$28+'[3]Go Jet'!$HL$38</f>
        <v>0</v>
      </c>
      <c r="L11" s="113">
        <f>SUM(B11:K11)</f>
        <v>48</v>
      </c>
    </row>
    <row r="12" spans="1:12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G12" si="2">SUM(D10:D11)</f>
        <v>75</v>
      </c>
      <c r="E12" s="134">
        <f t="shared" ref="E12:F12" si="3">SUM(E10:E11)</f>
        <v>0</v>
      </c>
      <c r="F12" s="134">
        <f t="shared" si="3"/>
        <v>20</v>
      </c>
      <c r="G12" s="134">
        <f t="shared" si="2"/>
        <v>0</v>
      </c>
      <c r="H12" s="134">
        <f t="shared" ref="H12:J12" si="4">SUM(H10:H11)</f>
        <v>0</v>
      </c>
      <c r="I12" s="134">
        <f t="shared" si="4"/>
        <v>0</v>
      </c>
      <c r="J12" s="134">
        <f t="shared" si="4"/>
        <v>0</v>
      </c>
      <c r="K12" s="134">
        <f t="shared" ref="K12" si="5">SUM(K10:K11)</f>
        <v>0</v>
      </c>
      <c r="L12" s="135">
        <f>SUM(B12:K12)</f>
        <v>95</v>
      </c>
    </row>
    <row r="13" spans="1:12" ht="6" customHeight="1" thickBot="1" x14ac:dyDescent="0.25"/>
    <row r="14" spans="1:12" ht="15.75" thickTop="1" x14ac:dyDescent="0.25">
      <c r="A14" s="59" t="s">
        <v>9</v>
      </c>
      <c r="B14" s="101"/>
      <c r="C14" s="101"/>
      <c r="D14" s="101"/>
      <c r="E14" s="101"/>
      <c r="F14" s="101"/>
      <c r="G14" s="101"/>
      <c r="H14" s="102"/>
      <c r="I14" s="102"/>
      <c r="J14" s="101"/>
      <c r="K14" s="101"/>
      <c r="L14" s="103"/>
    </row>
    <row r="15" spans="1:12" x14ac:dyDescent="0.2">
      <c r="A15" s="60" t="s">
        <v>53</v>
      </c>
      <c r="B15" s="104">
        <f>'[3]Shuttle America'!$HL$4</f>
        <v>0</v>
      </c>
      <c r="C15" s="104">
        <f>'[3]Shuttle America_Delta'!$HL$4</f>
        <v>0</v>
      </c>
      <c r="D15" s="426">
        <f>[3]Horizon_AS!$HL$4</f>
        <v>30</v>
      </c>
      <c r="E15" s="426">
        <f>'[3]Air Wisconsin'!$HL$4</f>
        <v>0</v>
      </c>
      <c r="F15" s="426">
        <f>[3]Jazz_AC!$HL$4+[3]Jazz_AC!$HL$15</f>
        <v>24</v>
      </c>
      <c r="G15" s="426">
        <f>[3]PSA!$HL$4</f>
        <v>0</v>
      </c>
      <c r="H15" s="105">
        <f>'[3]Atlantic Southeast'!$HL$4+'[3]Atlantic Southeast'!$HL$15</f>
        <v>0</v>
      </c>
      <c r="I15" s="105">
        <f>'[3]Continental Express'!$HL$4</f>
        <v>0</v>
      </c>
      <c r="J15" s="104">
        <f>'[3]Go Jet_UA'!$HL$4</f>
        <v>0</v>
      </c>
      <c r="K15" s="20">
        <f>'[3]Go Jet'!$HL$4+'[3]Go Jet'!$HL$15</f>
        <v>0</v>
      </c>
      <c r="L15" s="108">
        <f t="shared" ref="L15:L21" si="6">SUM(B15:K15)</f>
        <v>54</v>
      </c>
    </row>
    <row r="16" spans="1:12" x14ac:dyDescent="0.2">
      <c r="A16" s="60" t="s">
        <v>54</v>
      </c>
      <c r="B16" s="109">
        <f>'[3]Shuttle America'!$HL$5</f>
        <v>0</v>
      </c>
      <c r="C16" s="109">
        <f>'[3]Shuttle America_Delta'!$HL$5</f>
        <v>0</v>
      </c>
      <c r="D16" s="427">
        <f>[3]Horizon_AS!$HL$5</f>
        <v>30</v>
      </c>
      <c r="E16" s="427">
        <f>'[3]Air Wisconsin'!$HL$5</f>
        <v>0</v>
      </c>
      <c r="F16" s="427">
        <f>[3]Jazz_AC!$HL$5+[3]Jazz_AC!$HL$16</f>
        <v>23</v>
      </c>
      <c r="G16" s="427">
        <f>[3]PSA!$HL$5</f>
        <v>0</v>
      </c>
      <c r="H16" s="110">
        <f>'[3]Atlantic Southeast'!$HL$5+'[3]Atlantic Southeast'!$HL$16</f>
        <v>0</v>
      </c>
      <c r="I16" s="110">
        <f>'[3]Continental Express'!$HL$5</f>
        <v>0</v>
      </c>
      <c r="J16" s="109">
        <f>'[3]Go Jet_UA'!$HL$5</f>
        <v>0</v>
      </c>
      <c r="K16" s="13">
        <f>'[3]Go Jet'!$HL$5+'[3]Go Jet'!$HL$16</f>
        <v>0</v>
      </c>
      <c r="L16" s="113">
        <f t="shared" si="6"/>
        <v>53</v>
      </c>
    </row>
    <row r="17" spans="1:15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G17" si="7">SUM(D15:D16)</f>
        <v>60</v>
      </c>
      <c r="E17" s="114">
        <f t="shared" ref="E17:F17" si="8">SUM(E15:E16)</f>
        <v>0</v>
      </c>
      <c r="F17" s="114">
        <f t="shared" si="8"/>
        <v>47</v>
      </c>
      <c r="G17" s="114">
        <f t="shared" si="7"/>
        <v>0</v>
      </c>
      <c r="H17" s="114">
        <f t="shared" ref="H17:J17" si="9">SUM(H15:H16)</f>
        <v>0</v>
      </c>
      <c r="I17" s="114">
        <f t="shared" si="9"/>
        <v>0</v>
      </c>
      <c r="J17" s="114">
        <f t="shared" si="9"/>
        <v>0</v>
      </c>
      <c r="K17" s="259">
        <f>SUM(K15:K16)</f>
        <v>0</v>
      </c>
      <c r="L17" s="115">
        <f t="shared" si="6"/>
        <v>107</v>
      </c>
    </row>
    <row r="18" spans="1:15" x14ac:dyDescent="0.2">
      <c r="A18" s="60" t="s">
        <v>56</v>
      </c>
      <c r="B18" s="116">
        <f>'[3]Shuttle America'!$HL$8</f>
        <v>0</v>
      </c>
      <c r="C18" s="116">
        <f>'[3]Shuttle America_Delta'!$HL$8</f>
        <v>0</v>
      </c>
      <c r="D18" s="116">
        <f>[3]Horizon_AS!$HL$8</f>
        <v>0</v>
      </c>
      <c r="E18" s="116">
        <f>'[3]Air Wisconsin'!$HL$8</f>
        <v>0</v>
      </c>
      <c r="F18" s="116">
        <f>[3]Jazz_AC!$HL$8</f>
        <v>0</v>
      </c>
      <c r="G18" s="116">
        <f>[3]PSA!$HL$8</f>
        <v>0</v>
      </c>
      <c r="H18" s="107">
        <f>'[3]Atlantic Southeast'!$HL$8</f>
        <v>0</v>
      </c>
      <c r="I18" s="107">
        <f>'[3]Continental Express'!$HL$8</f>
        <v>0</v>
      </c>
      <c r="J18" s="116">
        <f>'[3]Go Jet_UA'!$HL$8</f>
        <v>0</v>
      </c>
      <c r="K18" s="20">
        <f>'[3]Go Jet'!$HL$8</f>
        <v>0</v>
      </c>
      <c r="L18" s="108">
        <f t="shared" si="6"/>
        <v>0</v>
      </c>
      <c r="O18" s="351"/>
    </row>
    <row r="19" spans="1:15" x14ac:dyDescent="0.2">
      <c r="A19" s="60" t="s">
        <v>57</v>
      </c>
      <c r="B19" s="118">
        <f>'[3]Shuttle America'!$HL$9</f>
        <v>0</v>
      </c>
      <c r="C19" s="118">
        <f>'[3]Shuttle America_Delta'!$HL$9</f>
        <v>0</v>
      </c>
      <c r="D19" s="118">
        <f>[3]Horizon_AS!$HL$9</f>
        <v>0</v>
      </c>
      <c r="E19" s="118">
        <f>'[3]Air Wisconsin'!$HL$9</f>
        <v>0</v>
      </c>
      <c r="F19" s="118">
        <f>[3]Jazz_AC!$HL$9</f>
        <v>0</v>
      </c>
      <c r="G19" s="118">
        <f>[3]PSA!$HL$9</f>
        <v>0</v>
      </c>
      <c r="H19" s="112">
        <f>'[3]Atlantic Southeast'!$HL$9</f>
        <v>0</v>
      </c>
      <c r="I19" s="112">
        <f>'[3]Continental Express'!$HL$9</f>
        <v>0</v>
      </c>
      <c r="J19" s="118">
        <f>'[3]Go Jet_UA'!$HL$9</f>
        <v>0</v>
      </c>
      <c r="K19" s="13">
        <f>'[3]Go Jet'!$HL$9</f>
        <v>0</v>
      </c>
      <c r="L19" s="113">
        <f t="shared" si="6"/>
        <v>0</v>
      </c>
    </row>
    <row r="20" spans="1:15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G20" si="10">SUM(D18:D19)</f>
        <v>0</v>
      </c>
      <c r="E20" s="114">
        <f t="shared" ref="E20:F20" si="11">SUM(E18:E19)</f>
        <v>0</v>
      </c>
      <c r="F20" s="114">
        <f t="shared" si="11"/>
        <v>0</v>
      </c>
      <c r="G20" s="114">
        <f t="shared" si="10"/>
        <v>0</v>
      </c>
      <c r="H20" s="114">
        <f t="shared" ref="H20:J20" si="12">SUM(H18:H19)</f>
        <v>0</v>
      </c>
      <c r="I20" s="114">
        <f t="shared" si="12"/>
        <v>0</v>
      </c>
      <c r="J20" s="114">
        <f t="shared" si="12"/>
        <v>0</v>
      </c>
      <c r="K20" s="259">
        <f>SUM(K18:K19)</f>
        <v>0</v>
      </c>
      <c r="L20" s="115">
        <f t="shared" si="6"/>
        <v>0</v>
      </c>
    </row>
    <row r="21" spans="1:15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G21" si="13">SUM(D20,D17)</f>
        <v>60</v>
      </c>
      <c r="E21" s="120">
        <f t="shared" ref="E21:F21" si="14">SUM(E20,E17)</f>
        <v>0</v>
      </c>
      <c r="F21" s="120">
        <f t="shared" si="14"/>
        <v>47</v>
      </c>
      <c r="G21" s="120">
        <f t="shared" si="13"/>
        <v>0</v>
      </c>
      <c r="H21" s="120">
        <f t="shared" ref="H21:J21" si="15">SUM(H20,H17)</f>
        <v>0</v>
      </c>
      <c r="I21" s="120">
        <f t="shared" si="15"/>
        <v>0</v>
      </c>
      <c r="J21" s="120">
        <f t="shared" si="15"/>
        <v>0</v>
      </c>
      <c r="K21" s="120">
        <f t="shared" ref="K21" si="16">SUM(K20,K17)</f>
        <v>0</v>
      </c>
      <c r="L21" s="121">
        <f t="shared" si="6"/>
        <v>107</v>
      </c>
    </row>
    <row r="22" spans="1:15" ht="3.75" customHeight="1" thickBot="1" x14ac:dyDescent="0.25"/>
    <row r="23" spans="1:15" ht="15.75" thickTop="1" x14ac:dyDescent="0.25">
      <c r="A23" s="63" t="s">
        <v>114</v>
      </c>
      <c r="B23" s="136"/>
      <c r="C23" s="136"/>
      <c r="D23" s="136"/>
      <c r="E23" s="136"/>
      <c r="F23" s="136"/>
      <c r="G23" s="136"/>
      <c r="H23" s="137"/>
      <c r="I23" s="137"/>
      <c r="J23" s="136"/>
      <c r="K23" s="136"/>
      <c r="L23" s="138"/>
    </row>
    <row r="24" spans="1:15" x14ac:dyDescent="0.2">
      <c r="A24" s="73" t="s">
        <v>36</v>
      </c>
      <c r="B24" s="128"/>
      <c r="C24" s="128"/>
      <c r="D24" s="128"/>
      <c r="E24" s="128"/>
      <c r="F24" s="128"/>
      <c r="G24" s="128"/>
      <c r="H24" s="129"/>
      <c r="I24" s="129"/>
      <c r="J24" s="128"/>
      <c r="L24" s="108"/>
    </row>
    <row r="25" spans="1:15" x14ac:dyDescent="0.2">
      <c r="A25" s="73" t="s">
        <v>37</v>
      </c>
      <c r="B25" s="128">
        <f>'[3]Shuttle America'!$HL$47</f>
        <v>0</v>
      </c>
      <c r="C25" s="128">
        <f>'[3]Shuttle America_Delta'!$HL$47</f>
        <v>0</v>
      </c>
      <c r="D25" s="128">
        <f>[3]Horizon_AS!$HL$47</f>
        <v>1130</v>
      </c>
      <c r="E25" s="128">
        <f>'[3]Air Wisconsin'!$HL$47</f>
        <v>0</v>
      </c>
      <c r="F25" s="128">
        <f>[3]Jazz_AC!$HL$47</f>
        <v>0</v>
      </c>
      <c r="G25" s="128">
        <f>[3]PSA!$HL$47</f>
        <v>0</v>
      </c>
      <c r="H25" s="129">
        <f>'[3]Atlantic Southeast'!$HL$47</f>
        <v>0</v>
      </c>
      <c r="I25" s="129">
        <f>'[3]Continental Express'!$HL$47</f>
        <v>0</v>
      </c>
      <c r="J25" s="128">
        <f>'[3]Go Jet_UA'!$HL$47</f>
        <v>0</v>
      </c>
      <c r="K25" s="128">
        <f>'[3]Go Jet'!$HL$47</f>
        <v>0</v>
      </c>
      <c r="L25" s="108">
        <f>SUM(B25:K25)</f>
        <v>1130</v>
      </c>
    </row>
    <row r="26" spans="1:15" x14ac:dyDescent="0.2">
      <c r="A26" s="73" t="s">
        <v>38</v>
      </c>
      <c r="B26" s="128">
        <f>'[3]Shuttle America'!$HL$48</f>
        <v>0</v>
      </c>
      <c r="C26" s="128">
        <f>'[3]Shuttle America_Delta'!$HL$48</f>
        <v>0</v>
      </c>
      <c r="D26" s="128">
        <f>[3]Horizon_AS!$HL$48</f>
        <v>0</v>
      </c>
      <c r="E26" s="128">
        <f>'[3]Air Wisconsin'!$HL$48</f>
        <v>0</v>
      </c>
      <c r="F26" s="128">
        <f>[3]Jazz_AC!$HL$48</f>
        <v>0</v>
      </c>
      <c r="G26" s="128">
        <f>[3]PSA!$HL$48</f>
        <v>0</v>
      </c>
      <c r="H26" s="129">
        <f>'[3]Atlantic Southeast'!$HL$48</f>
        <v>0</v>
      </c>
      <c r="I26" s="129">
        <f>'[3]Continental Express'!$HL$48</f>
        <v>0</v>
      </c>
      <c r="J26" s="128">
        <f>'[3]Go Jet_UA'!$HL$48</f>
        <v>0</v>
      </c>
      <c r="K26" s="128">
        <f>'[3]Go Jet'!$HL$48</f>
        <v>0</v>
      </c>
      <c r="L26" s="108">
        <f>SUM(B26:K26)</f>
        <v>0</v>
      </c>
    </row>
    <row r="27" spans="1:15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G27" si="17">SUM(D25:D26)</f>
        <v>1130</v>
      </c>
      <c r="E27" s="131">
        <f t="shared" ref="E27:F27" si="18">SUM(E25:E26)</f>
        <v>0</v>
      </c>
      <c r="F27" s="131">
        <f t="shared" si="18"/>
        <v>0</v>
      </c>
      <c r="G27" s="131">
        <f t="shared" si="17"/>
        <v>0</v>
      </c>
      <c r="H27" s="131">
        <f t="shared" ref="H27:J27" si="19">SUM(H25:H26)</f>
        <v>0</v>
      </c>
      <c r="I27" s="131">
        <f t="shared" si="19"/>
        <v>0</v>
      </c>
      <c r="J27" s="131">
        <f t="shared" si="19"/>
        <v>0</v>
      </c>
      <c r="K27" s="131">
        <f>SUM(K25:K26)</f>
        <v>0</v>
      </c>
      <c r="L27" s="132">
        <f>SUM(B27:K27)</f>
        <v>1130</v>
      </c>
    </row>
    <row r="28" spans="1:15" ht="7.5" customHeight="1" thickTop="1" x14ac:dyDescent="0.2">
      <c r="A28" s="73"/>
      <c r="B28" s="128"/>
      <c r="C28" s="128"/>
      <c r="D28" s="128"/>
      <c r="E28" s="128"/>
      <c r="F28" s="128"/>
      <c r="G28" s="128"/>
      <c r="H28" s="129"/>
      <c r="I28" s="129"/>
      <c r="J28" s="128"/>
      <c r="K28" s="128"/>
      <c r="L28" s="108"/>
    </row>
    <row r="29" spans="1:15" x14ac:dyDescent="0.2">
      <c r="A29" s="73" t="s">
        <v>40</v>
      </c>
      <c r="B29" s="128"/>
      <c r="C29" s="128"/>
      <c r="D29" s="128"/>
      <c r="E29" s="128"/>
      <c r="F29" s="128"/>
      <c r="G29" s="128"/>
      <c r="H29" s="129"/>
      <c r="I29" s="129"/>
      <c r="J29" s="128"/>
      <c r="K29" s="128"/>
      <c r="L29" s="108"/>
    </row>
    <row r="30" spans="1:15" x14ac:dyDescent="0.2">
      <c r="A30" s="73" t="s">
        <v>59</v>
      </c>
      <c r="B30" s="128">
        <f>'[3]Shuttle America'!$HL$52</f>
        <v>0</v>
      </c>
      <c r="C30" s="128">
        <f>'[3]Shuttle America_Delta'!$HL$52</f>
        <v>0</v>
      </c>
      <c r="D30" s="128">
        <f>[3]Horizon_AS!$HL$52</f>
        <v>266</v>
      </c>
      <c r="E30" s="128">
        <f>'[3]Air Wisconsin'!$HL$52</f>
        <v>0</v>
      </c>
      <c r="F30" s="128">
        <f>[3]Jazz_AC!$HL$52</f>
        <v>0</v>
      </c>
      <c r="G30" s="128">
        <f>[3]PSA!$HL$52</f>
        <v>0</v>
      </c>
      <c r="H30" s="129">
        <f>'[3]Atlantic Southeast'!$HL$52</f>
        <v>0</v>
      </c>
      <c r="I30" s="129">
        <f>'[3]Continental Express'!$HL$52</f>
        <v>0</v>
      </c>
      <c r="J30" s="128">
        <f>'[3]Go Jet_UA'!$HL$52</f>
        <v>0</v>
      </c>
      <c r="K30" s="128">
        <f>'[3]Go Jet'!$HL$52</f>
        <v>0</v>
      </c>
      <c r="L30" s="108">
        <f>SUM(B30:K30)</f>
        <v>266</v>
      </c>
    </row>
    <row r="31" spans="1:15" x14ac:dyDescent="0.2">
      <c r="A31" s="73" t="s">
        <v>60</v>
      </c>
      <c r="B31" s="128">
        <f>'[3]Shuttle America'!$HL$53</f>
        <v>0</v>
      </c>
      <c r="C31" s="128">
        <f>'[3]Shuttle America_Delta'!$HL$53</f>
        <v>0</v>
      </c>
      <c r="D31" s="128">
        <f>[3]Horizon_AS!$HL$53</f>
        <v>1889</v>
      </c>
      <c r="E31" s="128">
        <f>'[3]Air Wisconsin'!$HL$53</f>
        <v>0</v>
      </c>
      <c r="F31" s="128">
        <f>[3]Jazz_AC!$HL$53</f>
        <v>0</v>
      </c>
      <c r="G31" s="128">
        <f>[3]PSA!$HL$53</f>
        <v>0</v>
      </c>
      <c r="H31" s="129">
        <f>'[3]Atlantic Southeast'!$HL$53</f>
        <v>0</v>
      </c>
      <c r="I31" s="129">
        <f>'[3]Continental Express'!$HL$53</f>
        <v>0</v>
      </c>
      <c r="J31" s="128">
        <f>'[3]Go Jet_UA'!$HL$53</f>
        <v>0</v>
      </c>
      <c r="K31" s="128">
        <f>'[3]Go Jet'!$HL$53</f>
        <v>0</v>
      </c>
      <c r="L31" s="108">
        <f>SUM(B31:K31)</f>
        <v>1889</v>
      </c>
    </row>
    <row r="32" spans="1:15" ht="15" thickBot="1" x14ac:dyDescent="0.25">
      <c r="A32" s="71" t="s">
        <v>41</v>
      </c>
      <c r="B32" s="131">
        <f t="shared" ref="B32:J32" si="20">SUM(B30:B31)</f>
        <v>0</v>
      </c>
      <c r="C32" s="131">
        <f t="shared" si="20"/>
        <v>0</v>
      </c>
      <c r="D32" s="131">
        <f t="shared" ref="D32:F32" si="21">SUM(D30:D31)</f>
        <v>2155</v>
      </c>
      <c r="E32" s="131">
        <f t="shared" si="21"/>
        <v>0</v>
      </c>
      <c r="F32" s="131">
        <f t="shared" si="21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si="20"/>
        <v>0</v>
      </c>
      <c r="K32" s="131">
        <f t="shared" ref="K32" si="22">SUM(K30:K31)</f>
        <v>0</v>
      </c>
      <c r="L32" s="132">
        <f>SUM(B32:K32)</f>
        <v>2155</v>
      </c>
    </row>
    <row r="33" spans="1:12" ht="13.5" hidden="1" thickTop="1" x14ac:dyDescent="0.2">
      <c r="A33" s="73"/>
      <c r="B33" s="128"/>
      <c r="C33" s="128"/>
      <c r="D33" s="128"/>
      <c r="E33" s="128"/>
      <c r="F33" s="128"/>
      <c r="G33" s="128"/>
      <c r="H33" s="129"/>
      <c r="I33" s="129"/>
      <c r="J33" s="128"/>
      <c r="K33" s="128"/>
      <c r="L33" s="108"/>
    </row>
    <row r="34" spans="1:12" ht="13.5" hidden="1" thickTop="1" x14ac:dyDescent="0.2">
      <c r="A34" s="73" t="s">
        <v>42</v>
      </c>
      <c r="B34" s="128"/>
      <c r="C34" s="128"/>
      <c r="D34" s="128"/>
      <c r="E34" s="128"/>
      <c r="F34" s="128"/>
      <c r="G34" s="128"/>
      <c r="H34" s="129"/>
      <c r="I34" s="129"/>
      <c r="J34" s="128"/>
      <c r="K34" s="128"/>
      <c r="L34" s="108"/>
    </row>
    <row r="35" spans="1:12" ht="13.5" hidden="1" thickTop="1" x14ac:dyDescent="0.2">
      <c r="A35" s="73" t="s">
        <v>37</v>
      </c>
      <c r="B35" s="128">
        <f>'[3]Shuttle America'!$HL$57</f>
        <v>0</v>
      </c>
      <c r="C35" s="128">
        <f>'[3]Shuttle America_Delta'!$HL$57</f>
        <v>0</v>
      </c>
      <c r="D35" s="128">
        <f>[3]Horizon_AS!$HL$57</f>
        <v>0</v>
      </c>
      <c r="E35" s="128">
        <f>'[3]Air Wisconsin'!$HL$57</f>
        <v>0</v>
      </c>
      <c r="F35" s="128">
        <f>[3]Jazz_AC!$HL$57</f>
        <v>0</v>
      </c>
      <c r="G35" s="128">
        <f>[3]PSA!$HL$57</f>
        <v>0</v>
      </c>
      <c r="H35" s="129">
        <f>'[3]Atlantic Southeast'!$HL$57</f>
        <v>0</v>
      </c>
      <c r="I35" s="129">
        <f>'[3]Continental Express'!$HL$57</f>
        <v>0</v>
      </c>
      <c r="J35" s="128">
        <f>'[3]Go Jet_UA'!$AJ$57</f>
        <v>0</v>
      </c>
      <c r="K35" s="128">
        <f>'[3]Go Jet'!$HL$57</f>
        <v>0</v>
      </c>
      <c r="L35" s="108">
        <f>SUM(B35:K35)</f>
        <v>0</v>
      </c>
    </row>
    <row r="36" spans="1:12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[3]Jazz_AC!BF$58</f>
        <v>0</v>
      </c>
      <c r="G36" s="128">
        <f>[3]PSA!BG$58</f>
        <v>0</v>
      </c>
      <c r="H36" s="129">
        <f>'[3]Atlantic Southeast'!BG$58</f>
        <v>0</v>
      </c>
      <c r="I36" s="129">
        <f>'[3]Continental Express'!BG$58</f>
        <v>0</v>
      </c>
      <c r="J36" s="128">
        <f>'[3]Go Jet_UA'!$AJ$58</f>
        <v>0</v>
      </c>
      <c r="K36" s="128">
        <f>'[3]Go Jet'!BK$58</f>
        <v>0</v>
      </c>
      <c r="L36" s="108">
        <f>SUM(B36:K36)</f>
        <v>0</v>
      </c>
    </row>
    <row r="37" spans="1:12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G37" si="23">SUM(D35:D36)</f>
        <v>0</v>
      </c>
      <c r="E37" s="139">
        <f t="shared" ref="E37:F37" si="24">SUM(E35:E36)</f>
        <v>0</v>
      </c>
      <c r="F37" s="139">
        <f t="shared" si="24"/>
        <v>0</v>
      </c>
      <c r="G37" s="139">
        <f t="shared" si="23"/>
        <v>0</v>
      </c>
      <c r="H37" s="140">
        <f t="shared" ref="H37:J37" si="25">SUM(H35:H36)</f>
        <v>0</v>
      </c>
      <c r="I37" s="140">
        <f t="shared" si="25"/>
        <v>0</v>
      </c>
      <c r="J37" s="139">
        <f t="shared" si="25"/>
        <v>0</v>
      </c>
      <c r="K37" s="139">
        <f>SUM(K35:K36)</f>
        <v>0</v>
      </c>
      <c r="L37" s="141">
        <f>SUM(B37:K37)</f>
        <v>0</v>
      </c>
    </row>
    <row r="38" spans="1:12" ht="6.75" customHeight="1" thickTop="1" x14ac:dyDescent="0.2">
      <c r="A38" s="73"/>
      <c r="B38" s="128"/>
      <c r="C38" s="128"/>
      <c r="D38" s="128"/>
      <c r="E38" s="128"/>
      <c r="F38" s="128"/>
      <c r="G38" s="128"/>
      <c r="H38" s="129"/>
      <c r="I38" s="129"/>
      <c r="J38" s="128"/>
      <c r="K38" s="128"/>
      <c r="L38" s="108"/>
    </row>
    <row r="39" spans="1:12" x14ac:dyDescent="0.2">
      <c r="A39" s="73" t="s">
        <v>44</v>
      </c>
      <c r="B39" s="128"/>
      <c r="C39" s="128"/>
      <c r="D39" s="128"/>
      <c r="E39" s="128"/>
      <c r="F39" s="128"/>
      <c r="G39" s="128"/>
      <c r="H39" s="129"/>
      <c r="I39" s="129"/>
      <c r="J39" s="128"/>
      <c r="K39" s="128"/>
      <c r="L39" s="108"/>
    </row>
    <row r="40" spans="1:12" x14ac:dyDescent="0.2">
      <c r="A40" s="73" t="s">
        <v>45</v>
      </c>
      <c r="B40" s="128">
        <f t="shared" ref="B40:I40" si="26">SUM(B35,B30,B25)</f>
        <v>0</v>
      </c>
      <c r="C40" s="128">
        <f>SUM(C35,C30,C25)</f>
        <v>0</v>
      </c>
      <c r="D40" s="128">
        <f t="shared" ref="D40:G41" si="27">SUM(D35,D30,D25)</f>
        <v>1396</v>
      </c>
      <c r="E40" s="128">
        <f t="shared" ref="E40:F40" si="28">SUM(E35,E30,E25)</f>
        <v>0</v>
      </c>
      <c r="F40" s="128">
        <f t="shared" si="28"/>
        <v>0</v>
      </c>
      <c r="G40" s="128">
        <f t="shared" si="27"/>
        <v>0</v>
      </c>
      <c r="H40" s="128">
        <f t="shared" si="26"/>
        <v>0</v>
      </c>
      <c r="I40" s="128">
        <f t="shared" si="26"/>
        <v>0</v>
      </c>
      <c r="J40" s="128">
        <f>SUM(J35,J30,J25)</f>
        <v>0</v>
      </c>
      <c r="K40" s="128">
        <f t="shared" ref="K40" si="29">SUM(K35,K30,K25)</f>
        <v>0</v>
      </c>
      <c r="L40" s="108">
        <f>SUM(B40:K40)</f>
        <v>1396</v>
      </c>
    </row>
    <row r="41" spans="1:12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1889</v>
      </c>
      <c r="E41" s="128">
        <f t="shared" ref="E41:F41" si="30">SUM(E36,E31,E26)</f>
        <v>0</v>
      </c>
      <c r="F41" s="128">
        <f t="shared" si="30"/>
        <v>0</v>
      </c>
      <c r="G41" s="128">
        <f t="shared" si="27"/>
        <v>0</v>
      </c>
      <c r="H41" s="128">
        <f t="shared" ref="H41:I41" si="31">SUM(H36,H31,H26)</f>
        <v>0</v>
      </c>
      <c r="I41" s="128">
        <f t="shared" si="31"/>
        <v>0</v>
      </c>
      <c r="J41" s="128">
        <f>SUM(J36,J31,J26)</f>
        <v>0</v>
      </c>
      <c r="K41" s="128">
        <f t="shared" ref="K41" si="32">SUM(K36,K31,K26)</f>
        <v>0</v>
      </c>
      <c r="L41" s="108">
        <f>SUM(B41:K41)</f>
        <v>1889</v>
      </c>
    </row>
    <row r="42" spans="1:12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G42" si="33">SUM(D40:D41)</f>
        <v>3285</v>
      </c>
      <c r="E42" s="134">
        <f t="shared" ref="E42:F42" si="34">SUM(E40:E41)</f>
        <v>0</v>
      </c>
      <c r="F42" s="134">
        <f t="shared" si="34"/>
        <v>0</v>
      </c>
      <c r="G42" s="134">
        <f t="shared" si="33"/>
        <v>0</v>
      </c>
      <c r="H42" s="134">
        <f t="shared" ref="H42:J42" si="35">SUM(H40:H41)</f>
        <v>0</v>
      </c>
      <c r="I42" s="134">
        <f t="shared" si="35"/>
        <v>0</v>
      </c>
      <c r="J42" s="134">
        <f t="shared" si="35"/>
        <v>0</v>
      </c>
      <c r="K42" s="134">
        <f t="shared" ref="K42" si="36">SUM(K40:K41)</f>
        <v>0</v>
      </c>
      <c r="L42" s="135">
        <f>SUM(B42:K42)</f>
        <v>3285</v>
      </c>
    </row>
    <row r="43" spans="1:12" ht="4.5" customHeight="1" x14ac:dyDescent="0.2"/>
    <row r="44" spans="1:12" hidden="1" x14ac:dyDescent="0.2">
      <c r="A44" s="295" t="s">
        <v>124</v>
      </c>
      <c r="H44" s="280"/>
      <c r="K44" s="294">
        <f>'[3]Go Jet'!BK$70+'[3]Go Jet'!BK$73</f>
        <v>0</v>
      </c>
      <c r="L44" s="282" t="e">
        <f>SUM(#REF!)</f>
        <v>#REF!</v>
      </c>
    </row>
    <row r="45" spans="1:12" hidden="1" x14ac:dyDescent="0.2">
      <c r="A45" s="295" t="s">
        <v>125</v>
      </c>
      <c r="H45" s="298"/>
      <c r="K45" s="294">
        <f>'[3]Go Jet'!BK$71+'[3]Go Jet'!BK$74</f>
        <v>0</v>
      </c>
      <c r="L45" s="282" t="e">
        <f>SUM(#REF!)</f>
        <v>#REF!</v>
      </c>
    </row>
    <row r="46" spans="1:12" x14ac:dyDescent="0.2">
      <c r="A46" s="348" t="s">
        <v>121</v>
      </c>
      <c r="C46" s="294">
        <f>'[3]Shuttle America_Delta'!$HL$70+'[3]Shuttle America_Delta'!$HL$73</f>
        <v>0</v>
      </c>
      <c r="D46" s="5"/>
      <c r="E46" s="5"/>
      <c r="H46" s="294">
        <f>'[3]Atlantic Southeast'!$HL$70+'[3]Atlantic Southeast'!$HL$73</f>
        <v>0</v>
      </c>
      <c r="K46" s="294">
        <f>'[3]Go Jet'!$HL$70+'[3]Go Jet'!$HL$73</f>
        <v>0</v>
      </c>
      <c r="L46" s="361">
        <f>SUM(B46:K46)</f>
        <v>0</v>
      </c>
    </row>
    <row r="47" spans="1:12" x14ac:dyDescent="0.2">
      <c r="A47" s="362" t="s">
        <v>122</v>
      </c>
      <c r="C47" s="294">
        <f>'[3]Shuttle America_Delta'!$HL$71+'[3]Shuttle America_Delta'!$HL$74</f>
        <v>0</v>
      </c>
      <c r="D47" s="5"/>
      <c r="E47" s="5"/>
      <c r="H47" s="294">
        <f>'[3]Atlantic Southeast'!$HL$71+'[3]Atlantic Southeast'!$HL$74</f>
        <v>0</v>
      </c>
      <c r="K47" s="294">
        <f>'[3]Go Jet'!$HL$71+'[3]Go Jet'!$HL$74</f>
        <v>0</v>
      </c>
      <c r="L47" s="361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September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J41" sqref="J4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44440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89"/>
      <c r="C4" s="179"/>
      <c r="D4" s="179"/>
      <c r="E4" s="179"/>
      <c r="F4" s="179"/>
      <c r="G4" s="227"/>
    </row>
    <row r="5" spans="1:17" x14ac:dyDescent="0.2">
      <c r="A5" s="60" t="s">
        <v>30</v>
      </c>
      <c r="B5" s="389">
        <f>'[3]Charter Misc'!$HL$22</f>
        <v>303</v>
      </c>
      <c r="C5" s="179">
        <f>[3]Ryan!$HL$22</f>
        <v>0</v>
      </c>
      <c r="D5" s="179">
        <f>'[3]Charter Misc'!$HL$32</f>
        <v>0</v>
      </c>
      <c r="E5" s="179">
        <f>[3]Omni!$HL$32+[3]Omni!$HL$22</f>
        <v>0</v>
      </c>
      <c r="F5" s="179">
        <f>[3]Xtra!$HL$32+[3]Xtra!$HL$22</f>
        <v>0</v>
      </c>
      <c r="G5" s="312">
        <f>SUM(B5:F5)</f>
        <v>303</v>
      </c>
    </row>
    <row r="6" spans="1:17" x14ac:dyDescent="0.2">
      <c r="A6" s="60" t="s">
        <v>31</v>
      </c>
      <c r="B6" s="390">
        <f>'[3]Charter Misc'!$HL$23</f>
        <v>303</v>
      </c>
      <c r="C6" s="182">
        <f>[3]Ryan!$HL$23</f>
        <v>0</v>
      </c>
      <c r="D6" s="182">
        <f>'[3]Charter Misc'!$HL$33</f>
        <v>0</v>
      </c>
      <c r="E6" s="182">
        <f>[3]Omni!$HL$33+[3]Omni!$HL$23</f>
        <v>0</v>
      </c>
      <c r="F6" s="182">
        <f>[3]Xtra!$HL$33+[3]Xtra!$HL$23</f>
        <v>0</v>
      </c>
      <c r="G6" s="311">
        <f>SUM(B6:F6)</f>
        <v>303</v>
      </c>
    </row>
    <row r="7" spans="1:17" ht="15.75" thickBot="1" x14ac:dyDescent="0.3">
      <c r="A7" s="178" t="s">
        <v>7</v>
      </c>
      <c r="B7" s="391">
        <f>SUM(B5:B6)</f>
        <v>606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606</v>
      </c>
    </row>
    <row r="8" spans="1:17" ht="13.5" thickBot="1" x14ac:dyDescent="0.25"/>
    <row r="9" spans="1:17" x14ac:dyDescent="0.2">
      <c r="A9" s="176" t="s">
        <v>9</v>
      </c>
      <c r="B9" s="392"/>
      <c r="C9" s="44"/>
      <c r="D9" s="44"/>
      <c r="E9" s="44"/>
      <c r="F9" s="44"/>
      <c r="G9" s="55"/>
    </row>
    <row r="10" spans="1:17" x14ac:dyDescent="0.2">
      <c r="A10" s="177" t="s">
        <v>79</v>
      </c>
      <c r="B10" s="389">
        <f>'[3]Charter Misc'!$HL$4</f>
        <v>3</v>
      </c>
      <c r="C10" s="179">
        <f>[3]Ryan!$HL$4</f>
        <v>0</v>
      </c>
      <c r="D10" s="179">
        <f>'[3]Charter Misc'!$HL$15</f>
        <v>0</v>
      </c>
      <c r="E10" s="179">
        <f>[3]Omni!$HL$15</f>
        <v>0</v>
      </c>
      <c r="F10" s="179">
        <f>[3]Xtra!$HL$15+[3]Xtra!$HL$4</f>
        <v>0</v>
      </c>
      <c r="G10" s="311">
        <f>SUM(B10:F10)</f>
        <v>3</v>
      </c>
    </row>
    <row r="11" spans="1:17" x14ac:dyDescent="0.2">
      <c r="A11" s="177" t="s">
        <v>80</v>
      </c>
      <c r="B11" s="389">
        <f>'[3]Charter Misc'!$HL$5</f>
        <v>3</v>
      </c>
      <c r="C11" s="179">
        <f>[3]Ryan!$HL$5</f>
        <v>0</v>
      </c>
      <c r="D11" s="179">
        <f>'[3]Charter Misc'!$HL$16</f>
        <v>0</v>
      </c>
      <c r="E11" s="179">
        <f>[3]Omni!$HL$16+[3]Omni!$HL$5</f>
        <v>0</v>
      </c>
      <c r="F11" s="179">
        <f>[3]Xtra!$HL$16+[3]Xtra!$HL$5</f>
        <v>0</v>
      </c>
      <c r="G11" s="311">
        <f>SUM(B11:F11)</f>
        <v>3</v>
      </c>
    </row>
    <row r="12" spans="1:17" ht="15.75" thickBot="1" x14ac:dyDescent="0.3">
      <c r="A12" s="250" t="s">
        <v>28</v>
      </c>
      <c r="B12" s="393">
        <f>SUM(B10:B11)</f>
        <v>6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6</v>
      </c>
      <c r="Q12" s="128"/>
    </row>
    <row r="17" spans="1:16" x14ac:dyDescent="0.2">
      <c r="B17" s="553" t="s">
        <v>150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5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6" t="s">
        <v>118</v>
      </c>
      <c r="C19" s="557"/>
      <c r="D19" s="557"/>
      <c r="E19" s="558"/>
      <c r="G19" s="556" t="s">
        <v>119</v>
      </c>
      <c r="H19" s="559"/>
      <c r="I19" s="559"/>
      <c r="J19" s="560"/>
      <c r="L19" s="561" t="s">
        <v>120</v>
      </c>
      <c r="M19" s="562"/>
      <c r="N19" s="562"/>
      <c r="O19" s="563"/>
    </row>
    <row r="20" spans="1:16" ht="13.5" thickBot="1" x14ac:dyDescent="0.25">
      <c r="A20" s="210" t="s">
        <v>99</v>
      </c>
      <c r="B20" s="537" t="s">
        <v>100</v>
      </c>
      <c r="C20" s="540" t="s">
        <v>101</v>
      </c>
      <c r="D20" s="540" t="s">
        <v>230</v>
      </c>
      <c r="E20" s="536" t="s">
        <v>205</v>
      </c>
      <c r="F20" s="216" t="s">
        <v>96</v>
      </c>
      <c r="G20" s="8" t="s">
        <v>100</v>
      </c>
      <c r="H20" s="8" t="s">
        <v>101</v>
      </c>
      <c r="I20" s="516" t="s">
        <v>230</v>
      </c>
      <c r="J20" s="516" t="s">
        <v>205</v>
      </c>
      <c r="K20" s="216" t="s">
        <v>96</v>
      </c>
      <c r="L20" s="215" t="s">
        <v>100</v>
      </c>
      <c r="M20" s="209" t="s">
        <v>101</v>
      </c>
      <c r="N20" s="516" t="s">
        <v>230</v>
      </c>
      <c r="O20" s="516" t="s">
        <v>205</v>
      </c>
      <c r="P20" s="216" t="s">
        <v>96</v>
      </c>
    </row>
    <row r="21" spans="1:16" ht="14.1" customHeight="1" x14ac:dyDescent="0.2">
      <c r="A21" s="219" t="s">
        <v>102</v>
      </c>
      <c r="B21" s="539">
        <f>+[4]Charter!$B$21</f>
        <v>31072</v>
      </c>
      <c r="C21" s="538">
        <f>+[4]Charter!$C$21</f>
        <v>25325</v>
      </c>
      <c r="D21" s="538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38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38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38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38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+[16]Charter!$B27</f>
        <v>30108</v>
      </c>
      <c r="C27" s="303">
        <f>+[16]Charter!C27</f>
        <v>33469</v>
      </c>
      <c r="D27" s="538">
        <f t="shared" ref="D27" si="20">SUM(B27:C27)</f>
        <v>63577</v>
      </c>
      <c r="E27" s="309">
        <f>[17]Charter!$D27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[17]Charter!I27</f>
        <v>942455</v>
      </c>
      <c r="K27" s="217">
        <f t="shared" si="4"/>
        <v>1.9657702489774047</v>
      </c>
      <c r="L27" s="301">
        <f>+[16]Charter!$L$27</f>
        <v>1423419</v>
      </c>
      <c r="M27" s="303">
        <f>+[16]Charter!$M$27</f>
        <v>1435263</v>
      </c>
      <c r="N27" s="302">
        <f t="shared" ref="N27" si="24">SUM(L27:M27)</f>
        <v>2858682</v>
      </c>
      <c r="O27" s="309">
        <f>[17]Charter!N27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+[2]Charter!$B28</f>
        <v>36195</v>
      </c>
      <c r="C28" s="303">
        <f>+[2]Charter!C28</f>
        <v>31727</v>
      </c>
      <c r="D28" s="538">
        <f t="shared" ref="D28" si="25">SUM(B28:C28)</f>
        <v>67922</v>
      </c>
      <c r="E28" s="309">
        <f>[18]Charter!$D28</f>
        <v>2970</v>
      </c>
      <c r="F28" s="222">
        <f t="shared" si="1"/>
        <v>21.869360269360268</v>
      </c>
      <c r="G28" s="301">
        <f t="shared" ref="G28" si="26">L28-B28</f>
        <v>1303776</v>
      </c>
      <c r="H28" s="303">
        <f t="shared" ref="H28" si="27">M28-C28</f>
        <v>1291669</v>
      </c>
      <c r="I28" s="302">
        <f t="shared" ref="I28" si="28">SUM(G28:H28)</f>
        <v>2595445</v>
      </c>
      <c r="J28" s="309">
        <f>[18]Charter!I28</f>
        <v>1129424</v>
      </c>
      <c r="K28" s="223">
        <f t="shared" si="4"/>
        <v>1.2980253651418776</v>
      </c>
      <c r="L28" s="301">
        <f>+[2]Charter!$L$28</f>
        <v>1339971</v>
      </c>
      <c r="M28" s="303">
        <f>+[2]Charter!$M$28</f>
        <v>1323396</v>
      </c>
      <c r="N28" s="302">
        <f t="shared" ref="N28" si="29">SUM(L28:M28)</f>
        <v>2663367</v>
      </c>
      <c r="O28" s="309">
        <f>[18]Charter!N28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>
        <f>'Intl Detail'!$P$4+'Intl Detail'!$P$9</f>
        <v>30227</v>
      </c>
      <c r="C29" s="303">
        <f>'Intl Detail'!$P$5+'Intl Detail'!$P$10</f>
        <v>30154</v>
      </c>
      <c r="D29" s="303">
        <f t="shared" ref="D29" si="30">SUM(B29:C29)</f>
        <v>60381</v>
      </c>
      <c r="E29" s="309">
        <f>[1]Charter!$D29</f>
        <v>2462</v>
      </c>
      <c r="F29" s="211">
        <f t="shared" si="1"/>
        <v>23.52518277822908</v>
      </c>
      <c r="G29" s="301">
        <f t="shared" ref="G29" si="31">L29-B29</f>
        <v>1130331</v>
      </c>
      <c r="H29" s="303">
        <f t="shared" ref="H29" si="32">M29-C29</f>
        <v>1137001</v>
      </c>
      <c r="I29" s="302">
        <f t="shared" ref="I29" si="33">SUM(G29:H29)</f>
        <v>2267332</v>
      </c>
      <c r="J29" s="309">
        <f>[1]Charter!I29</f>
        <v>1033240</v>
      </c>
      <c r="K29" s="217">
        <f t="shared" si="4"/>
        <v>1.1943904610739033</v>
      </c>
      <c r="L29" s="301">
        <f>'Monthly Summary'!$B$11</f>
        <v>1160558</v>
      </c>
      <c r="M29" s="303">
        <f>'Monthly Summary'!$C$11</f>
        <v>1167155</v>
      </c>
      <c r="N29" s="302">
        <f t="shared" ref="N29" si="34">SUM(L29:M29)</f>
        <v>2327713</v>
      </c>
      <c r="O29" s="309">
        <f>[1]Charter!N29</f>
        <v>1035702</v>
      </c>
      <c r="P29" s="211">
        <f t="shared" si="7"/>
        <v>1.247473694170717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4"/>
        <v>#DIV/0!</v>
      </c>
      <c r="L30" s="301"/>
      <c r="M30" s="303"/>
      <c r="N30" s="302">
        <f>SUM(L30:M30)</f>
        <v>0</v>
      </c>
      <c r="O30" s="308"/>
      <c r="P30" s="222" t="e">
        <f t="shared" si="7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ref="I31:I32" si="35">SUM(G31:H31)</f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35"/>
        <v>0</v>
      </c>
      <c r="J32" s="308"/>
      <c r="K32" s="225" t="e">
        <f t="shared" si="4"/>
        <v>#DIV/0!</v>
      </c>
      <c r="L32" s="301"/>
      <c r="M32" s="303"/>
      <c r="N32" s="159">
        <f t="shared" ref="N32" si="36">SUM(L32:M32)</f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251306</v>
      </c>
      <c r="C33" s="229">
        <f>SUM(C21:C32)</f>
        <v>245714</v>
      </c>
      <c r="D33" s="229">
        <f>SUM(D21:D32)</f>
        <v>497020</v>
      </c>
      <c r="E33" s="230">
        <f>SUM(E21:E32)</f>
        <v>802534</v>
      </c>
      <c r="F33" s="213">
        <f>(D33-E33)/E33</f>
        <v>-0.38068667495707348</v>
      </c>
      <c r="G33" s="231">
        <f>SUM(G21:G32)</f>
        <v>8792862</v>
      </c>
      <c r="H33" s="229">
        <f>SUM(H21:H32)</f>
        <v>8725980</v>
      </c>
      <c r="I33" s="229">
        <f>SUM(I21:I32)</f>
        <v>17518842</v>
      </c>
      <c r="J33" s="232">
        <f>SUM(J21:J32)</f>
        <v>10823724</v>
      </c>
      <c r="K33" s="214">
        <f>(I33-J33)/J33</f>
        <v>0.61855956415740088</v>
      </c>
      <c r="L33" s="231">
        <f>SUM(L21:L32)</f>
        <v>9044168</v>
      </c>
      <c r="M33" s="229">
        <f>SUM(M21:M32)</f>
        <v>8971694</v>
      </c>
      <c r="N33" s="229">
        <f>SUM(N21:N32)</f>
        <v>18015862</v>
      </c>
      <c r="O33" s="230">
        <f>SUM(O21:O32)</f>
        <v>11626258</v>
      </c>
      <c r="P33" s="212">
        <f>(N33-O33)/O33</f>
        <v>0.54958388158941596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opLeftCell="A13" zoomScaleNormal="100" workbookViewId="0">
      <selection activeCell="R34" sqref="R3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4" t="s">
        <v>212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6"/>
    </row>
    <row r="2" spans="1:22" s="185" customFormat="1" ht="43.5" customHeight="1" thickBot="1" x14ac:dyDescent="0.25">
      <c r="A2" s="351">
        <v>44440</v>
      </c>
      <c r="B2" s="541" t="s">
        <v>200</v>
      </c>
      <c r="C2" s="541" t="s">
        <v>176</v>
      </c>
      <c r="D2" s="541" t="s">
        <v>242</v>
      </c>
      <c r="E2" s="543" t="s">
        <v>245</v>
      </c>
      <c r="F2" s="543" t="s">
        <v>244</v>
      </c>
      <c r="G2" s="541" t="s">
        <v>213</v>
      </c>
      <c r="H2" s="543" t="s">
        <v>202</v>
      </c>
      <c r="I2" s="542" t="s">
        <v>81</v>
      </c>
      <c r="J2" s="543" t="s">
        <v>177</v>
      </c>
      <c r="K2" s="541" t="s">
        <v>214</v>
      </c>
      <c r="L2" s="543" t="s">
        <v>85</v>
      </c>
      <c r="M2" s="541" t="s">
        <v>215</v>
      </c>
      <c r="N2" s="541" t="s">
        <v>216</v>
      </c>
      <c r="O2" s="541" t="s">
        <v>217</v>
      </c>
      <c r="P2" s="542" t="s">
        <v>82</v>
      </c>
      <c r="Q2" s="465" t="s">
        <v>127</v>
      </c>
      <c r="R2" s="465" t="s">
        <v>21</v>
      </c>
    </row>
    <row r="3" spans="1:22" ht="15" x14ac:dyDescent="0.25">
      <c r="A3" s="187" t="s">
        <v>9</v>
      </c>
      <c r="B3" s="480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81"/>
      <c r="T3" s="482"/>
      <c r="U3" s="482"/>
      <c r="V3" s="482"/>
    </row>
    <row r="4" spans="1:22" x14ac:dyDescent="0.2">
      <c r="A4" s="52" t="s">
        <v>53</v>
      </c>
      <c r="B4" s="226">
        <f>'[3]Atlas Air'!$HL$4</f>
        <v>31</v>
      </c>
      <c r="C4" s="471">
        <f>[3]DHL!$HL$4+[3]DHL_Atlas!$HL$4+[3]DHL_Atlas!$HL$8+[3]DHL_Atlas!$HL$15</f>
        <v>0</v>
      </c>
      <c r="D4" s="471">
        <f>[3]Airborne!$HL$4+[3]Airborne!$HL$15</f>
        <v>0</v>
      </c>
      <c r="E4" s="128">
        <f>[3]DHL_Bemidji!$HL$4</f>
        <v>44</v>
      </c>
      <c r="F4" s="128">
        <f>[3]Bemidji!$HL$4</f>
        <v>202</v>
      </c>
      <c r="G4" s="471">
        <f>[3]DHL_Encore!$HL$4+[3]DHL_Encore!$HL$15</f>
        <v>0</v>
      </c>
      <c r="H4" s="471">
        <f>[3]Encore!$HL$4+[3]Encore!$HL$15</f>
        <v>0</v>
      </c>
      <c r="I4" s="471">
        <f>[3]FedEx!$HL$4+[3]FedEx!$HL$15</f>
        <v>142</v>
      </c>
      <c r="J4" s="471">
        <f>[3]IFL!$HL$4+[3]IFL!$HL$15</f>
        <v>16</v>
      </c>
      <c r="K4" s="471">
        <f>[3]DHL_Kalitta!$HL$4+[3]DHL_Kalitta!$HL$15</f>
        <v>19</v>
      </c>
      <c r="L4" s="128">
        <f>'[3]Mountain Cargo'!$HL$4</f>
        <v>22</v>
      </c>
      <c r="M4" s="471">
        <f>[3]DHL_Southair!$HL$4+[3]DHL_Southair!$HL$15</f>
        <v>0</v>
      </c>
      <c r="N4" s="471">
        <f>[3]DHL_Swift!$HL$4+[3]DHL_Swift!$HL$15</f>
        <v>3</v>
      </c>
      <c r="O4" s="471">
        <f>+'[3]Sun Country Cargo'!$HL$4+'[3]Sun Country Cargo'!$HL$8+'[3]Sun Country Cargo'!$HL$15</f>
        <v>61</v>
      </c>
      <c r="P4" s="471">
        <f>[3]UPS!$HL$4+[3]UPS!$HL$15</f>
        <v>152</v>
      </c>
      <c r="Q4" s="128">
        <f>'[3]Misc Cargo'!$HL$4</f>
        <v>0</v>
      </c>
      <c r="R4" s="483">
        <f>SUM(B4:Q4)</f>
        <v>692</v>
      </c>
      <c r="T4" s="482"/>
      <c r="U4" s="482"/>
      <c r="V4" s="283"/>
    </row>
    <row r="5" spans="1:22" x14ac:dyDescent="0.2">
      <c r="A5" s="52" t="s">
        <v>54</v>
      </c>
      <c r="B5" s="484">
        <f>'[3]Atlas Air'!$HL$5</f>
        <v>31</v>
      </c>
      <c r="C5" s="186">
        <f>[3]DHL!$HL$5+[3]DHL_Atlas!$HL$5+[3]DHL_Atlas!$HL$9+[3]DHL_Atlas!$HL$16</f>
        <v>0</v>
      </c>
      <c r="D5" s="186">
        <f>[3]Airborne!$HL$5</f>
        <v>0</v>
      </c>
      <c r="E5" s="118">
        <f>[3]DHL_Bemidji!$HL$5</f>
        <v>44</v>
      </c>
      <c r="F5" s="118">
        <f>[3]Bemidji!$HL$5</f>
        <v>202</v>
      </c>
      <c r="G5" s="186">
        <f>[3]DHL_Encore!$HL$5</f>
        <v>0</v>
      </c>
      <c r="H5" s="186">
        <f>[3]Encore!$HL$5</f>
        <v>0</v>
      </c>
      <c r="I5" s="186">
        <f>[3]FedEx!$HL$5</f>
        <v>142</v>
      </c>
      <c r="J5" s="186">
        <f>[3]IFL!$HL$5</f>
        <v>16</v>
      </c>
      <c r="K5" s="186">
        <f>[3]DHL_Kalitta!$HL$5</f>
        <v>19</v>
      </c>
      <c r="L5" s="118">
        <f>'[3]Mountain Cargo'!$HL$5</f>
        <v>22</v>
      </c>
      <c r="M5" s="186">
        <f>[3]DHL_Southair!$HL$5</f>
        <v>0</v>
      </c>
      <c r="N5" s="186">
        <f>[3]DHL_Swift!$HL$5</f>
        <v>3</v>
      </c>
      <c r="O5" s="186">
        <f>+'[3]Sun Country Cargo'!$HL$5+'[3]Sun Country Cargo'!$HL$9+'[3]Sun Country Cargo'!$HL$16</f>
        <v>61</v>
      </c>
      <c r="P5" s="186">
        <f>[3]UPS!$HL$5+[3]UPS!$HL$16</f>
        <v>152</v>
      </c>
      <c r="Q5" s="118">
        <f>'[3]Misc Cargo'!$HL$5</f>
        <v>0</v>
      </c>
      <c r="R5" s="483">
        <f>SUM(B5:Q5)</f>
        <v>692</v>
      </c>
      <c r="T5" s="482"/>
      <c r="U5" s="482"/>
      <c r="V5" s="283"/>
    </row>
    <row r="6" spans="1:22" s="183" customFormat="1" x14ac:dyDescent="0.2">
      <c r="A6" s="189" t="s">
        <v>55</v>
      </c>
      <c r="B6" s="485">
        <f t="shared" ref="B6:Q6" si="0">SUM(B4:B5)</f>
        <v>62</v>
      </c>
      <c r="C6" s="486">
        <f t="shared" si="0"/>
        <v>0</v>
      </c>
      <c r="D6" s="486">
        <f t="shared" ref="D6:E6" si="1">SUM(D4:D5)</f>
        <v>0</v>
      </c>
      <c r="E6" s="466">
        <f t="shared" si="1"/>
        <v>88</v>
      </c>
      <c r="F6" s="466">
        <f t="shared" si="0"/>
        <v>404</v>
      </c>
      <c r="G6" s="486">
        <f t="shared" si="0"/>
        <v>0</v>
      </c>
      <c r="H6" s="486">
        <f t="shared" si="0"/>
        <v>0</v>
      </c>
      <c r="I6" s="486">
        <f t="shared" si="0"/>
        <v>284</v>
      </c>
      <c r="J6" s="486">
        <f t="shared" si="0"/>
        <v>32</v>
      </c>
      <c r="K6" s="486">
        <f t="shared" si="0"/>
        <v>38</v>
      </c>
      <c r="L6" s="466">
        <f t="shared" si="0"/>
        <v>44</v>
      </c>
      <c r="M6" s="486">
        <f t="shared" si="0"/>
        <v>0</v>
      </c>
      <c r="N6" s="486">
        <f t="shared" si="0"/>
        <v>6</v>
      </c>
      <c r="O6" s="486">
        <f t="shared" si="0"/>
        <v>122</v>
      </c>
      <c r="P6" s="486">
        <f t="shared" si="0"/>
        <v>304</v>
      </c>
      <c r="Q6" s="466">
        <f t="shared" si="0"/>
        <v>0</v>
      </c>
      <c r="R6" s="483">
        <f>SUM(B6:Q6)</f>
        <v>1384</v>
      </c>
      <c r="V6" s="487"/>
    </row>
    <row r="7" spans="1:22" x14ac:dyDescent="0.2">
      <c r="A7" s="52"/>
      <c r="B7" s="226"/>
      <c r="C7" s="471"/>
      <c r="D7" s="471"/>
      <c r="E7" s="128"/>
      <c r="F7" s="128"/>
      <c r="G7" s="471"/>
      <c r="H7" s="471"/>
      <c r="I7" s="471"/>
      <c r="J7" s="471"/>
      <c r="K7" s="471"/>
      <c r="L7" s="128"/>
      <c r="M7" s="471"/>
      <c r="N7" s="471"/>
      <c r="O7" s="471"/>
      <c r="P7" s="471"/>
      <c r="Q7" s="128"/>
      <c r="R7" s="483"/>
      <c r="T7" s="488"/>
      <c r="U7" s="482"/>
      <c r="V7" s="283"/>
    </row>
    <row r="8" spans="1:22" x14ac:dyDescent="0.2">
      <c r="A8" s="52" t="s">
        <v>56</v>
      </c>
      <c r="B8" s="226"/>
      <c r="C8" s="471"/>
      <c r="D8" s="471"/>
      <c r="E8" s="128"/>
      <c r="F8" s="128"/>
      <c r="G8" s="471"/>
      <c r="H8" s="471"/>
      <c r="I8" s="471"/>
      <c r="J8" s="471"/>
      <c r="K8" s="471"/>
      <c r="L8" s="128"/>
      <c r="M8" s="471"/>
      <c r="N8" s="471"/>
      <c r="O8" s="471"/>
      <c r="P8" s="471"/>
      <c r="Q8" s="128">
        <f>'[3]Misc Cargo'!$HL$8</f>
        <v>0</v>
      </c>
      <c r="R8" s="483">
        <f>SUM(B8:Q8)</f>
        <v>0</v>
      </c>
      <c r="T8" s="482"/>
      <c r="U8" s="482"/>
      <c r="V8" s="283"/>
    </row>
    <row r="9" spans="1:22" ht="15" x14ac:dyDescent="0.25">
      <c r="A9" s="52" t="s">
        <v>57</v>
      </c>
      <c r="B9" s="484"/>
      <c r="C9" s="186"/>
      <c r="D9" s="186"/>
      <c r="E9" s="118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Cargo'!$HL$9</f>
        <v>0</v>
      </c>
      <c r="R9" s="483">
        <f>SUM(B9:Q9)</f>
        <v>0</v>
      </c>
      <c r="T9" s="482"/>
      <c r="U9" s="489"/>
      <c r="V9" s="283"/>
    </row>
    <row r="10" spans="1:22" s="183" customFormat="1" x14ac:dyDescent="0.2">
      <c r="A10" s="189" t="s">
        <v>58</v>
      </c>
      <c r="B10" s="485">
        <f t="shared" ref="B10:Q10" si="2">SUM(B8:B9)</f>
        <v>0</v>
      </c>
      <c r="C10" s="486">
        <f t="shared" si="2"/>
        <v>0</v>
      </c>
      <c r="D10" s="486">
        <f t="shared" ref="D10:E10" si="3">SUM(D8:D9)</f>
        <v>0</v>
      </c>
      <c r="E10" s="466">
        <f t="shared" si="3"/>
        <v>0</v>
      </c>
      <c r="F10" s="466">
        <f t="shared" si="2"/>
        <v>0</v>
      </c>
      <c r="G10" s="486">
        <f t="shared" si="2"/>
        <v>0</v>
      </c>
      <c r="H10" s="486">
        <f t="shared" si="2"/>
        <v>0</v>
      </c>
      <c r="I10" s="486">
        <f t="shared" si="2"/>
        <v>0</v>
      </c>
      <c r="J10" s="486">
        <f t="shared" si="2"/>
        <v>0</v>
      </c>
      <c r="K10" s="486">
        <f t="shared" si="2"/>
        <v>0</v>
      </c>
      <c r="L10" s="466">
        <f t="shared" si="2"/>
        <v>0</v>
      </c>
      <c r="M10" s="486">
        <f t="shared" si="2"/>
        <v>0</v>
      </c>
      <c r="N10" s="486">
        <f t="shared" si="2"/>
        <v>0</v>
      </c>
      <c r="O10" s="486">
        <f t="shared" si="2"/>
        <v>0</v>
      </c>
      <c r="P10" s="486">
        <f t="shared" si="2"/>
        <v>0</v>
      </c>
      <c r="Q10" s="466">
        <f t="shared" si="2"/>
        <v>0</v>
      </c>
      <c r="R10" s="483">
        <f>SUM(B10:Q10)</f>
        <v>0</v>
      </c>
      <c r="V10" s="487"/>
    </row>
    <row r="11" spans="1:22" x14ac:dyDescent="0.2">
      <c r="A11" s="52"/>
      <c r="B11" s="226"/>
      <c r="C11" s="471"/>
      <c r="D11" s="471"/>
      <c r="E11" s="128"/>
      <c r="F11" s="128"/>
      <c r="G11" s="471"/>
      <c r="H11" s="471"/>
      <c r="I11" s="471"/>
      <c r="J11" s="471"/>
      <c r="K11" s="471"/>
      <c r="L11" s="128"/>
      <c r="M11" s="471"/>
      <c r="N11" s="471"/>
      <c r="O11" s="471"/>
      <c r="P11" s="471"/>
      <c r="Q11" s="128"/>
      <c r="R11" s="490"/>
      <c r="T11" s="482"/>
      <c r="U11" s="482"/>
      <c r="V11" s="283"/>
    </row>
    <row r="12" spans="1:22" ht="18" customHeight="1" thickBot="1" x14ac:dyDescent="0.25">
      <c r="A12" s="190" t="s">
        <v>28</v>
      </c>
      <c r="B12" s="491">
        <f>B6+B10</f>
        <v>62</v>
      </c>
      <c r="C12" s="191">
        <f t="shared" ref="C12:Q12" si="4">C6+C10</f>
        <v>0</v>
      </c>
      <c r="D12" s="191">
        <f t="shared" ref="D12" si="5">D6+D10</f>
        <v>0</v>
      </c>
      <c r="E12" s="192">
        <f>E6+E10</f>
        <v>88</v>
      </c>
      <c r="F12" s="192">
        <f t="shared" si="4"/>
        <v>404</v>
      </c>
      <c r="G12" s="191">
        <f t="shared" si="4"/>
        <v>0</v>
      </c>
      <c r="H12" s="191">
        <f t="shared" si="4"/>
        <v>0</v>
      </c>
      <c r="I12" s="191">
        <f t="shared" si="4"/>
        <v>284</v>
      </c>
      <c r="J12" s="191">
        <f t="shared" si="4"/>
        <v>32</v>
      </c>
      <c r="K12" s="191">
        <f t="shared" si="4"/>
        <v>38</v>
      </c>
      <c r="L12" s="192">
        <f t="shared" si="4"/>
        <v>44</v>
      </c>
      <c r="M12" s="191">
        <f t="shared" si="4"/>
        <v>0</v>
      </c>
      <c r="N12" s="191">
        <f t="shared" si="4"/>
        <v>6</v>
      </c>
      <c r="O12" s="191">
        <f t="shared" si="4"/>
        <v>122</v>
      </c>
      <c r="P12" s="191">
        <f t="shared" si="4"/>
        <v>304</v>
      </c>
      <c r="Q12" s="192">
        <f t="shared" si="4"/>
        <v>0</v>
      </c>
      <c r="R12" s="492">
        <f>SUM(B12:Q12)</f>
        <v>1384</v>
      </c>
      <c r="T12" s="482"/>
      <c r="U12" s="482"/>
      <c r="V12" s="283"/>
    </row>
    <row r="13" spans="1:22" ht="18" customHeight="1" thickBot="1" x14ac:dyDescent="0.25">
      <c r="A13" s="174"/>
      <c r="B13" s="493"/>
      <c r="C13" s="494"/>
      <c r="D13" s="494"/>
      <c r="E13" s="467"/>
      <c r="F13" s="467"/>
      <c r="G13" s="494"/>
      <c r="H13" s="494"/>
      <c r="I13" s="494"/>
      <c r="J13" s="494"/>
      <c r="K13" s="494"/>
      <c r="L13" s="467"/>
      <c r="M13" s="494"/>
      <c r="N13" s="494"/>
      <c r="O13" s="494"/>
      <c r="P13" s="494"/>
      <c r="Q13" s="467"/>
      <c r="R13" s="2"/>
      <c r="T13" s="482"/>
      <c r="U13" s="482"/>
      <c r="V13" s="283"/>
    </row>
    <row r="14" spans="1:22" ht="15" x14ac:dyDescent="0.25">
      <c r="A14" s="193" t="s">
        <v>92</v>
      </c>
      <c r="B14" s="495"/>
      <c r="C14" s="194"/>
      <c r="D14" s="194"/>
      <c r="E14" s="79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6"/>
      <c r="T14" s="482"/>
      <c r="U14" s="482"/>
      <c r="V14" s="283"/>
    </row>
    <row r="15" spans="1:22" x14ac:dyDescent="0.2">
      <c r="A15" s="195" t="s">
        <v>93</v>
      </c>
      <c r="B15" s="226"/>
      <c r="C15" s="471"/>
      <c r="D15" s="471"/>
      <c r="E15" s="2"/>
      <c r="F15" s="2"/>
      <c r="G15" s="471"/>
      <c r="H15" s="471"/>
      <c r="I15" s="471"/>
      <c r="J15" s="471"/>
      <c r="K15" s="471"/>
      <c r="L15" s="2"/>
      <c r="M15" s="471"/>
      <c r="N15" s="471"/>
      <c r="O15" s="471"/>
      <c r="P15" s="471"/>
      <c r="Q15" s="2"/>
      <c r="R15" s="177"/>
      <c r="T15" s="482"/>
      <c r="U15" s="482"/>
      <c r="V15" s="283"/>
    </row>
    <row r="16" spans="1:22" ht="12.75" customHeight="1" x14ac:dyDescent="0.2">
      <c r="A16" s="52" t="s">
        <v>37</v>
      </c>
      <c r="B16" s="226">
        <f>'[3]Atlas Air'!$HL$47</f>
        <v>2263681</v>
      </c>
      <c r="C16" s="471">
        <f>[3]DHL!$HL$47+[3]DHL_Atlas!$HL$47</f>
        <v>0</v>
      </c>
      <c r="D16" s="471">
        <f>[3]Airborne!$HL$47</f>
        <v>0</v>
      </c>
      <c r="E16" s="471">
        <f>[3]DHL_Bemidji!$HL$47</f>
        <v>86357</v>
      </c>
      <c r="F16" s="567" t="s">
        <v>86</v>
      </c>
      <c r="G16" s="471">
        <f>[3]DHL_Encore!$HL$47</f>
        <v>0</v>
      </c>
      <c r="H16" s="471">
        <f>[3]Encore!$HL$47</f>
        <v>0</v>
      </c>
      <c r="I16" s="471">
        <f>[3]FedEx!$HL$47</f>
        <v>9106443</v>
      </c>
      <c r="J16" s="471">
        <f>[3]IFL!$HL$47</f>
        <v>59474</v>
      </c>
      <c r="K16" s="471">
        <f>[3]DHL_Kalitta!$HL$47</f>
        <v>615707</v>
      </c>
      <c r="L16" s="128">
        <f>'[3]Mountain Cargo'!$HL$47</f>
        <v>0</v>
      </c>
      <c r="M16" s="471">
        <f>[3]DHL_Southair!$HL$47</f>
        <v>0</v>
      </c>
      <c r="N16" s="471">
        <f>[3]DHL_Swift!$HL$47</f>
        <v>97410</v>
      </c>
      <c r="O16" s="471">
        <f>+'[3]Sun Country Cargo'!$HL$47</f>
        <v>2299224</v>
      </c>
      <c r="P16" s="471">
        <f>[3]UPS!$HL$47</f>
        <v>6257135</v>
      </c>
      <c r="Q16" s="128">
        <f>'[3]Misc Cargo'!$HL$47</f>
        <v>0</v>
      </c>
      <c r="R16" s="483">
        <f>SUM(B16:E16)+SUM(G16:Q16)</f>
        <v>20785431</v>
      </c>
      <c r="T16" s="482"/>
      <c r="U16" s="482"/>
      <c r="V16" s="283"/>
    </row>
    <row r="17" spans="1:22" x14ac:dyDescent="0.2">
      <c r="A17" s="52" t="s">
        <v>38</v>
      </c>
      <c r="B17" s="226">
        <f>'[3]Atlas Air'!$HL$48</f>
        <v>0</v>
      </c>
      <c r="C17" s="471">
        <f>[3]DHL!$HL$48</f>
        <v>0</v>
      </c>
      <c r="D17" s="471">
        <f>[3]Airborne!$HL$48</f>
        <v>0</v>
      </c>
      <c r="E17" s="471">
        <f>[3]DHL_Bemidji!$HL$48</f>
        <v>0</v>
      </c>
      <c r="F17" s="568"/>
      <c r="G17" s="471">
        <f>[3]DHL_Encore!$HL$48</f>
        <v>0</v>
      </c>
      <c r="H17" s="471">
        <f>[3]Encore!$HL$48</f>
        <v>0</v>
      </c>
      <c r="I17" s="471">
        <f>[3]FedEx!$HL$48</f>
        <v>0</v>
      </c>
      <c r="J17" s="471">
        <f>[3]IFL!$HL$48</f>
        <v>0</v>
      </c>
      <c r="K17" s="471">
        <f>[3]DHL_Kalitta!$HL$48</f>
        <v>0</v>
      </c>
      <c r="L17" s="128">
        <f>'[3]Mountain Cargo'!$HL$48</f>
        <v>62557</v>
      </c>
      <c r="M17" s="471">
        <f>[3]DHL_Southair!$HL$48</f>
        <v>0</v>
      </c>
      <c r="N17" s="471">
        <f>[3]DHL_Swift!$HL$48</f>
        <v>0</v>
      </c>
      <c r="O17" s="471">
        <f>+'[3]Sun Country Cargo'!$HL$48</f>
        <v>0</v>
      </c>
      <c r="P17" s="471">
        <f>[3]UPS!$HL$48</f>
        <v>814014</v>
      </c>
      <c r="Q17" s="128">
        <f>'[3]Misc Cargo'!$HL$48</f>
        <v>0</v>
      </c>
      <c r="R17" s="483">
        <f>SUM(B17:E17)+SUM(G17:Q17)</f>
        <v>876571</v>
      </c>
      <c r="T17" s="482"/>
      <c r="U17" s="482"/>
      <c r="V17" s="283"/>
    </row>
    <row r="18" spans="1:22" ht="18" customHeight="1" x14ac:dyDescent="0.2">
      <c r="A18" s="196" t="s">
        <v>39</v>
      </c>
      <c r="B18" s="497">
        <f>SUM(B16:B17)</f>
        <v>2263681</v>
      </c>
      <c r="C18" s="274">
        <f>SUM(C16:C17)</f>
        <v>0</v>
      </c>
      <c r="D18" s="274">
        <f>SUM(D16:D17)</f>
        <v>0</v>
      </c>
      <c r="E18" s="274">
        <f>SUM(E16:E17)</f>
        <v>86357</v>
      </c>
      <c r="F18" s="568"/>
      <c r="G18" s="274">
        <f>SUM(G16:G17)</f>
        <v>0</v>
      </c>
      <c r="H18" s="274">
        <f>SUM(H16:H17)</f>
        <v>0</v>
      </c>
      <c r="I18" s="274">
        <f>SUM(I16:I17)</f>
        <v>9106443</v>
      </c>
      <c r="J18" s="274">
        <f>SUM(J16:J17)</f>
        <v>59474</v>
      </c>
      <c r="K18" s="274">
        <f t="shared" ref="K18:Q18" si="6">SUM(K16:K17)</f>
        <v>615707</v>
      </c>
      <c r="L18" s="275">
        <f t="shared" si="6"/>
        <v>62557</v>
      </c>
      <c r="M18" s="274">
        <f t="shared" si="6"/>
        <v>0</v>
      </c>
      <c r="N18" s="274">
        <f t="shared" si="6"/>
        <v>97410</v>
      </c>
      <c r="O18" s="274">
        <f t="shared" si="6"/>
        <v>2299224</v>
      </c>
      <c r="P18" s="274">
        <f t="shared" si="6"/>
        <v>7071149</v>
      </c>
      <c r="Q18" s="275">
        <f t="shared" si="6"/>
        <v>0</v>
      </c>
      <c r="R18" s="498">
        <f>SUM(B18:D18)+SUM(G18:Q18)</f>
        <v>21575645</v>
      </c>
      <c r="T18" s="482"/>
      <c r="U18" s="482"/>
      <c r="V18" s="283"/>
    </row>
    <row r="19" spans="1:22" x14ac:dyDescent="0.2">
      <c r="A19" s="52"/>
      <c r="B19" s="226"/>
      <c r="C19" s="471"/>
      <c r="D19" s="471"/>
      <c r="E19" s="471"/>
      <c r="F19" s="568"/>
      <c r="G19" s="471"/>
      <c r="H19" s="471"/>
      <c r="I19" s="471"/>
      <c r="J19" s="471"/>
      <c r="K19" s="471"/>
      <c r="L19" s="128"/>
      <c r="M19" s="471"/>
      <c r="N19" s="471"/>
      <c r="O19" s="471"/>
      <c r="P19" s="471"/>
      <c r="Q19" s="128"/>
      <c r="R19" s="483"/>
      <c r="T19" s="488"/>
      <c r="U19" s="482"/>
      <c r="V19" s="283"/>
    </row>
    <row r="20" spans="1:22" x14ac:dyDescent="0.2">
      <c r="A20" s="195" t="s">
        <v>87</v>
      </c>
      <c r="B20" s="226"/>
      <c r="C20" s="471"/>
      <c r="D20" s="471"/>
      <c r="E20" s="471"/>
      <c r="F20" s="568"/>
      <c r="G20" s="471"/>
      <c r="H20" s="471"/>
      <c r="I20" s="471"/>
      <c r="J20" s="471"/>
      <c r="K20" s="471"/>
      <c r="L20" s="128"/>
      <c r="M20" s="471"/>
      <c r="N20" s="471"/>
      <c r="O20" s="471"/>
      <c r="P20" s="471"/>
      <c r="Q20" s="128"/>
      <c r="R20" s="483"/>
      <c r="T20" s="488"/>
      <c r="U20" s="482"/>
      <c r="V20" s="283"/>
    </row>
    <row r="21" spans="1:22" x14ac:dyDescent="0.2">
      <c r="A21" s="52" t="s">
        <v>59</v>
      </c>
      <c r="B21" s="226">
        <f>'[3]Atlas Air'!$HL$52</f>
        <v>1238855</v>
      </c>
      <c r="C21" s="471">
        <f>[3]DHL!$HL$52+[3]DHL_Atlas!$HL$52</f>
        <v>0</v>
      </c>
      <c r="D21" s="471">
        <f>[3]Airborne!$HL$52</f>
        <v>0</v>
      </c>
      <c r="E21" s="471">
        <f>[3]DHL_Bemidji!$HL$52</f>
        <v>58245</v>
      </c>
      <c r="F21" s="568"/>
      <c r="G21" s="471">
        <f>[3]DHL_Encore!$HL$52</f>
        <v>0</v>
      </c>
      <c r="H21" s="471">
        <f>[3]Encore!$HL$52</f>
        <v>0</v>
      </c>
      <c r="I21" s="471">
        <f>[3]FedEx!$HL$52</f>
        <v>8676699</v>
      </c>
      <c r="J21" s="471">
        <f>[3]IFL!$HL$52</f>
        <v>0</v>
      </c>
      <c r="K21" s="471">
        <f>[3]DHL_Kalitta!$HL$52</f>
        <v>427919</v>
      </c>
      <c r="L21" s="128">
        <f>'[3]Mountain Cargo'!$HL$52</f>
        <v>0</v>
      </c>
      <c r="M21" s="471">
        <f>[3]DHL_Southair!$HL$52</f>
        <v>0</v>
      </c>
      <c r="N21" s="471">
        <f>[3]DHL_Swift!$HL$52</f>
        <v>87701</v>
      </c>
      <c r="O21" s="471">
        <f>+'[3]Sun Country Cargo'!$HL$52</f>
        <v>1246576</v>
      </c>
      <c r="P21" s="471">
        <f>[3]UPS!$HL$52</f>
        <v>6073437</v>
      </c>
      <c r="Q21" s="128">
        <f>'[3]Misc Cargo'!$HL$52</f>
        <v>0</v>
      </c>
      <c r="R21" s="483">
        <f>SUM(B21:E21)+SUM(G21:Q21)</f>
        <v>17809432</v>
      </c>
      <c r="T21" s="482"/>
      <c r="U21" s="482"/>
      <c r="V21" s="283"/>
    </row>
    <row r="22" spans="1:22" x14ac:dyDescent="0.2">
      <c r="A22" s="52" t="s">
        <v>60</v>
      </c>
      <c r="B22" s="226">
        <f>'[3]Atlas Air'!$HL$53</f>
        <v>0</v>
      </c>
      <c r="C22" s="471">
        <f>[3]DHL!$HL$53</f>
        <v>0</v>
      </c>
      <c r="D22" s="471">
        <f>[3]Airborne!$HL$53</f>
        <v>0</v>
      </c>
      <c r="E22" s="471">
        <f>[3]DHL_Bemidji!$HL$53</f>
        <v>0</v>
      </c>
      <c r="F22" s="568"/>
      <c r="G22" s="471">
        <f>[3]DHL_Encore!$HL$53</f>
        <v>0</v>
      </c>
      <c r="H22" s="471">
        <f>[3]Encore!$HL$53</f>
        <v>0</v>
      </c>
      <c r="I22" s="471">
        <f>[3]FedEx!$HL$53</f>
        <v>0</v>
      </c>
      <c r="J22" s="471">
        <f>[3]IFL!$HL$53</f>
        <v>0</v>
      </c>
      <c r="K22" s="471">
        <f>[3]DHL_Kalitta!$HL$53</f>
        <v>0</v>
      </c>
      <c r="L22" s="128">
        <f>'[3]Mountain Cargo'!$HL$53</f>
        <v>136712</v>
      </c>
      <c r="M22" s="471">
        <f>[3]DHL_Southair!$HL$53</f>
        <v>0</v>
      </c>
      <c r="N22" s="471">
        <f>[3]DHL_Swift!$HL$53</f>
        <v>0</v>
      </c>
      <c r="O22" s="471">
        <f>+'[3]Sun Country Cargo'!$HL$53</f>
        <v>0</v>
      </c>
      <c r="P22" s="471">
        <f>[3]UPS!$HL$53</f>
        <v>572067</v>
      </c>
      <c r="Q22" s="128">
        <f>'[3]Misc Cargo'!$HL$53</f>
        <v>0</v>
      </c>
      <c r="R22" s="483">
        <f>SUM(B22:E22)+SUM(G22:Q22)</f>
        <v>708779</v>
      </c>
      <c r="T22" s="482"/>
      <c r="U22" s="482"/>
      <c r="V22" s="283"/>
    </row>
    <row r="23" spans="1:22" ht="18" customHeight="1" x14ac:dyDescent="0.2">
      <c r="A23" s="196" t="s">
        <v>41</v>
      </c>
      <c r="B23" s="497">
        <f>SUM(B21:B22)</f>
        <v>1238855</v>
      </c>
      <c r="C23" s="274">
        <f>SUM(C21:C22)</f>
        <v>0</v>
      </c>
      <c r="D23" s="274">
        <f t="shared" ref="D23:E23" si="7">SUM(D21:D22)</f>
        <v>0</v>
      </c>
      <c r="E23" s="274">
        <f t="shared" si="7"/>
        <v>58245</v>
      </c>
      <c r="F23" s="568"/>
      <c r="G23" s="274">
        <f t="shared" ref="G23:Q23" si="8">SUM(G21:G22)</f>
        <v>0</v>
      </c>
      <c r="H23" s="274">
        <f t="shared" si="8"/>
        <v>0</v>
      </c>
      <c r="I23" s="274">
        <f t="shared" si="8"/>
        <v>8676699</v>
      </c>
      <c r="J23" s="274">
        <f t="shared" si="8"/>
        <v>0</v>
      </c>
      <c r="K23" s="274">
        <f t="shared" si="8"/>
        <v>427919</v>
      </c>
      <c r="L23" s="275">
        <f t="shared" si="8"/>
        <v>136712</v>
      </c>
      <c r="M23" s="274">
        <f t="shared" si="8"/>
        <v>0</v>
      </c>
      <c r="N23" s="274">
        <f t="shared" si="8"/>
        <v>87701</v>
      </c>
      <c r="O23" s="274">
        <f t="shared" si="8"/>
        <v>1246576</v>
      </c>
      <c r="P23" s="274">
        <f t="shared" si="8"/>
        <v>6645504</v>
      </c>
      <c r="Q23" s="275">
        <f t="shared" si="8"/>
        <v>0</v>
      </c>
      <c r="R23" s="498">
        <f>SUM(B23:D23)+SUM(G23:Q23)</f>
        <v>18459966</v>
      </c>
      <c r="T23" s="482"/>
      <c r="U23" s="482"/>
      <c r="V23" s="283"/>
    </row>
    <row r="24" spans="1:22" x14ac:dyDescent="0.2">
      <c r="A24" s="52"/>
      <c r="B24" s="226"/>
      <c r="C24" s="471"/>
      <c r="D24" s="471"/>
      <c r="E24" s="471"/>
      <c r="F24" s="568"/>
      <c r="G24" s="471"/>
      <c r="H24" s="471"/>
      <c r="I24" s="471"/>
      <c r="J24" s="471"/>
      <c r="K24" s="471"/>
      <c r="L24" s="128"/>
      <c r="M24" s="471"/>
      <c r="N24" s="471"/>
      <c r="O24" s="471"/>
      <c r="P24" s="471"/>
      <c r="Q24" s="128"/>
      <c r="R24" s="483"/>
      <c r="T24" s="482"/>
      <c r="U24" s="482"/>
      <c r="V24" s="283"/>
    </row>
    <row r="25" spans="1:22" x14ac:dyDescent="0.2">
      <c r="A25" s="195" t="s">
        <v>94</v>
      </c>
      <c r="B25" s="226"/>
      <c r="C25" s="471"/>
      <c r="D25" s="471"/>
      <c r="E25" s="471"/>
      <c r="F25" s="568"/>
      <c r="G25" s="471"/>
      <c r="H25" s="471"/>
      <c r="I25" s="471"/>
      <c r="J25" s="471"/>
      <c r="K25" s="471"/>
      <c r="L25" s="128"/>
      <c r="M25" s="471"/>
      <c r="N25" s="471"/>
      <c r="O25" s="471"/>
      <c r="P25" s="471"/>
      <c r="Q25" s="128"/>
      <c r="R25" s="483"/>
      <c r="T25" s="482"/>
      <c r="U25" s="482"/>
      <c r="V25" s="283"/>
    </row>
    <row r="26" spans="1:22" x14ac:dyDescent="0.2">
      <c r="A26" s="52" t="s">
        <v>59</v>
      </c>
      <c r="B26" s="226">
        <f>'[3]Atlas Air'!$HL$57</f>
        <v>0</v>
      </c>
      <c r="C26" s="471">
        <f>[3]DHL!$HL$57</f>
        <v>0</v>
      </c>
      <c r="D26" s="471">
        <f>[3]Airborne!$HL$57</f>
        <v>0</v>
      </c>
      <c r="E26" s="471">
        <f>[3]DHL_Bemidji!$HL$57</f>
        <v>0</v>
      </c>
      <c r="F26" s="568"/>
      <c r="G26" s="471">
        <f>[3]DHL_Encore!$HL$57</f>
        <v>0</v>
      </c>
      <c r="H26" s="471">
        <f>[3]Encore!$HL$57</f>
        <v>0</v>
      </c>
      <c r="I26" s="471">
        <f>[3]FedEx!$HL$57</f>
        <v>0</v>
      </c>
      <c r="J26" s="471">
        <f>[3]IFL!$HL$57</f>
        <v>0</v>
      </c>
      <c r="K26" s="471">
        <f>[3]DHL_Kalitta!$HL$57</f>
        <v>0</v>
      </c>
      <c r="L26" s="128">
        <f>'[3]Mountain Cargo'!$HL$57</f>
        <v>0</v>
      </c>
      <c r="M26" s="471">
        <f>[3]DHL_Southair!$HL$57</f>
        <v>0</v>
      </c>
      <c r="N26" s="471">
        <f>[3]DHL_Swift!$HL$57</f>
        <v>0</v>
      </c>
      <c r="O26" s="471">
        <f>+'[3]Sun Country Cargo'!$HL$57</f>
        <v>0</v>
      </c>
      <c r="P26" s="471">
        <f>[3]UPS!$HL$57</f>
        <v>0</v>
      </c>
      <c r="Q26" s="128">
        <f>'[3]Misc Cargo'!$HL$57</f>
        <v>0</v>
      </c>
      <c r="R26" s="483">
        <f>SUM(B26:D26)+SUM(G26:Q26)</f>
        <v>0</v>
      </c>
      <c r="T26" s="482"/>
      <c r="U26" s="482"/>
      <c r="V26" s="482"/>
    </row>
    <row r="27" spans="1:22" x14ac:dyDescent="0.2">
      <c r="A27" s="52" t="s">
        <v>60</v>
      </c>
      <c r="B27" s="226">
        <f>'[3]Atlas Air'!$HL$58</f>
        <v>0</v>
      </c>
      <c r="C27" s="471">
        <f>[3]DHL!$HL$58</f>
        <v>0</v>
      </c>
      <c r="D27" s="471">
        <f>[3]Airborne!$HL$58</f>
        <v>0</v>
      </c>
      <c r="E27" s="471">
        <f>[3]DHL_Bemidji!$HL$58</f>
        <v>0</v>
      </c>
      <c r="F27" s="568"/>
      <c r="G27" s="471">
        <f>[3]DHL_Encore!$HL$58</f>
        <v>0</v>
      </c>
      <c r="H27" s="471">
        <f>[3]Encore!$HL$58</f>
        <v>0</v>
      </c>
      <c r="I27" s="471">
        <f>[3]FedEx!$HL$58</f>
        <v>0</v>
      </c>
      <c r="J27" s="471">
        <f>[3]IFL!$HL$58</f>
        <v>0</v>
      </c>
      <c r="K27" s="471">
        <f>[3]DHL_Kalitta!$HL$58</f>
        <v>0</v>
      </c>
      <c r="L27" s="128">
        <f>'[3]Mountain Cargo'!$HL$58</f>
        <v>0</v>
      </c>
      <c r="M27" s="471">
        <f>[3]DHL_Southair!$HL$58</f>
        <v>0</v>
      </c>
      <c r="N27" s="471">
        <f>[3]DHL_Swift!$HL$58</f>
        <v>0</v>
      </c>
      <c r="O27" s="471">
        <f>+'[3]Sun Country Cargo'!$HL$58</f>
        <v>0</v>
      </c>
      <c r="P27" s="471">
        <f>[3]UPS!$HL$58</f>
        <v>0</v>
      </c>
      <c r="Q27" s="128">
        <f>'[3]Misc Cargo'!$HL$58</f>
        <v>0</v>
      </c>
      <c r="R27" s="483">
        <f>SUM(B27:D27)+SUM(G27:Q27)</f>
        <v>0</v>
      </c>
      <c r="T27" s="482"/>
      <c r="U27" s="482"/>
      <c r="V27" s="283"/>
    </row>
    <row r="28" spans="1:22" ht="18" customHeight="1" x14ac:dyDescent="0.2">
      <c r="A28" s="196" t="s">
        <v>43</v>
      </c>
      <c r="B28" s="497">
        <f>SUM(B26:B27)</f>
        <v>0</v>
      </c>
      <c r="C28" s="274">
        <f>SUM(C26:C27)</f>
        <v>0</v>
      </c>
      <c r="D28" s="274">
        <f t="shared" ref="D28:E28" si="9">SUM(D26:D27)</f>
        <v>0</v>
      </c>
      <c r="E28" s="274">
        <f t="shared" si="9"/>
        <v>0</v>
      </c>
      <c r="F28" s="568"/>
      <c r="G28" s="274">
        <f t="shared" ref="G28:Q28" si="10">SUM(G26:G27)</f>
        <v>0</v>
      </c>
      <c r="H28" s="274">
        <f t="shared" si="10"/>
        <v>0</v>
      </c>
      <c r="I28" s="274">
        <f t="shared" si="10"/>
        <v>0</v>
      </c>
      <c r="J28" s="274">
        <f t="shared" si="10"/>
        <v>0</v>
      </c>
      <c r="K28" s="274">
        <f t="shared" si="10"/>
        <v>0</v>
      </c>
      <c r="L28" s="275">
        <f t="shared" si="10"/>
        <v>0</v>
      </c>
      <c r="M28" s="274">
        <f t="shared" si="10"/>
        <v>0</v>
      </c>
      <c r="N28" s="274">
        <f t="shared" si="10"/>
        <v>0</v>
      </c>
      <c r="O28" s="274">
        <f t="shared" si="10"/>
        <v>0</v>
      </c>
      <c r="P28" s="274">
        <f t="shared" si="10"/>
        <v>0</v>
      </c>
      <c r="Q28" s="275">
        <f t="shared" si="10"/>
        <v>0</v>
      </c>
      <c r="R28" s="498">
        <f>SUM(B28:D28)+SUM(G28:Q28)</f>
        <v>0</v>
      </c>
      <c r="T28" s="482"/>
      <c r="U28" s="482"/>
      <c r="V28" s="482"/>
    </row>
    <row r="29" spans="1:22" x14ac:dyDescent="0.2">
      <c r="A29" s="52"/>
      <c r="B29" s="226"/>
      <c r="C29" s="471"/>
      <c r="D29" s="471"/>
      <c r="E29" s="471"/>
      <c r="F29" s="568"/>
      <c r="G29" s="471"/>
      <c r="H29" s="471"/>
      <c r="I29" s="471"/>
      <c r="J29" s="471"/>
      <c r="K29" s="471"/>
      <c r="L29" s="128"/>
      <c r="M29" s="471"/>
      <c r="N29" s="471"/>
      <c r="O29" s="471"/>
      <c r="P29" s="471"/>
      <c r="Q29" s="128"/>
      <c r="R29" s="483"/>
      <c r="T29" s="482"/>
      <c r="U29" s="482"/>
      <c r="V29" s="482"/>
    </row>
    <row r="30" spans="1:22" x14ac:dyDescent="0.2">
      <c r="A30" s="197" t="s">
        <v>44</v>
      </c>
      <c r="B30" s="226"/>
      <c r="C30" s="471"/>
      <c r="D30" s="471"/>
      <c r="E30" s="471"/>
      <c r="F30" s="568"/>
      <c r="G30" s="471"/>
      <c r="H30" s="471"/>
      <c r="I30" s="471"/>
      <c r="J30" s="471"/>
      <c r="K30" s="471"/>
      <c r="L30" s="128"/>
      <c r="M30" s="471"/>
      <c r="N30" s="471"/>
      <c r="O30" s="471"/>
      <c r="P30" s="471"/>
      <c r="Q30" s="128"/>
      <c r="R30" s="483"/>
      <c r="T30" s="482"/>
      <c r="U30" s="482"/>
      <c r="V30" s="482"/>
    </row>
    <row r="31" spans="1:22" x14ac:dyDescent="0.2">
      <c r="A31" s="52" t="s">
        <v>88</v>
      </c>
      <c r="B31" s="226">
        <f>B26+B21+B16</f>
        <v>3502536</v>
      </c>
      <c r="C31" s="471">
        <f t="shared" ref="C31:Q33" si="11">C26+C21+C16</f>
        <v>0</v>
      </c>
      <c r="D31" s="471">
        <f t="shared" si="11"/>
        <v>0</v>
      </c>
      <c r="E31" s="471">
        <f t="shared" si="11"/>
        <v>144602</v>
      </c>
      <c r="F31" s="568"/>
      <c r="G31" s="471">
        <f t="shared" ref="G31:O33" si="12">G26+G21+G16</f>
        <v>0</v>
      </c>
      <c r="H31" s="471">
        <f t="shared" si="12"/>
        <v>0</v>
      </c>
      <c r="I31" s="471">
        <f t="shared" si="12"/>
        <v>17783142</v>
      </c>
      <c r="J31" s="471">
        <f t="shared" si="12"/>
        <v>59474</v>
      </c>
      <c r="K31" s="471">
        <f t="shared" si="12"/>
        <v>1043626</v>
      </c>
      <c r="L31" s="128">
        <f>L26+L21+L16</f>
        <v>0</v>
      </c>
      <c r="M31" s="471">
        <f t="shared" si="12"/>
        <v>0</v>
      </c>
      <c r="N31" s="471">
        <f t="shared" si="12"/>
        <v>185111</v>
      </c>
      <c r="O31" s="471">
        <f t="shared" si="12"/>
        <v>3545800</v>
      </c>
      <c r="P31" s="471">
        <f t="shared" si="11"/>
        <v>12330572</v>
      </c>
      <c r="Q31" s="128">
        <f>Q26+Q21+Q16</f>
        <v>0</v>
      </c>
      <c r="R31" s="483">
        <f>SUM(B31:E31)+SUM(G31:Q31)</f>
        <v>38594863</v>
      </c>
    </row>
    <row r="32" spans="1:22" x14ac:dyDescent="0.2">
      <c r="A32" s="52" t="s">
        <v>60</v>
      </c>
      <c r="B32" s="226">
        <f>B27+B22+B17</f>
        <v>0</v>
      </c>
      <c r="C32" s="471">
        <f t="shared" si="11"/>
        <v>0</v>
      </c>
      <c r="D32" s="471">
        <f t="shared" si="11"/>
        <v>0</v>
      </c>
      <c r="E32" s="471">
        <f t="shared" si="11"/>
        <v>0</v>
      </c>
      <c r="F32" s="569"/>
      <c r="G32" s="471">
        <f t="shared" si="12"/>
        <v>0</v>
      </c>
      <c r="H32" s="471">
        <f t="shared" si="12"/>
        <v>0</v>
      </c>
      <c r="I32" s="471">
        <f t="shared" si="12"/>
        <v>0</v>
      </c>
      <c r="J32" s="471">
        <f t="shared" si="12"/>
        <v>0</v>
      </c>
      <c r="K32" s="471">
        <f t="shared" si="12"/>
        <v>0</v>
      </c>
      <c r="L32" s="128">
        <f>L27+L22+L17</f>
        <v>199269</v>
      </c>
      <c r="M32" s="471">
        <f t="shared" si="12"/>
        <v>0</v>
      </c>
      <c r="N32" s="471">
        <f t="shared" si="12"/>
        <v>0</v>
      </c>
      <c r="O32" s="471">
        <f t="shared" si="12"/>
        <v>0</v>
      </c>
      <c r="P32" s="471">
        <f t="shared" si="11"/>
        <v>1386081</v>
      </c>
      <c r="Q32" s="128">
        <f>Q27+Q22+Q17</f>
        <v>0</v>
      </c>
      <c r="R32" s="483">
        <f>SUM(B32:E32)+SUM(G32:Q32)</f>
        <v>1585350</v>
      </c>
    </row>
    <row r="33" spans="1:18" ht="18" customHeight="1" thickBot="1" x14ac:dyDescent="0.25">
      <c r="A33" s="190" t="s">
        <v>46</v>
      </c>
      <c r="B33" s="491">
        <f>B28+B23+B18</f>
        <v>3502536</v>
      </c>
      <c r="C33" s="191">
        <f t="shared" ref="C33:H33" si="13">C28+C23+C18</f>
        <v>0</v>
      </c>
      <c r="D33" s="191">
        <f t="shared" si="13"/>
        <v>0</v>
      </c>
      <c r="E33" s="191">
        <f t="shared" si="13"/>
        <v>144602</v>
      </c>
      <c r="F33" s="276">
        <f t="shared" si="13"/>
        <v>0</v>
      </c>
      <c r="G33" s="191">
        <f t="shared" si="13"/>
        <v>0</v>
      </c>
      <c r="H33" s="191">
        <f t="shared" si="13"/>
        <v>0</v>
      </c>
      <c r="I33" s="191">
        <f t="shared" si="12"/>
        <v>17783142</v>
      </c>
      <c r="J33" s="191">
        <f t="shared" si="12"/>
        <v>59474</v>
      </c>
      <c r="K33" s="191">
        <f t="shared" si="12"/>
        <v>1043626</v>
      </c>
      <c r="L33" s="192">
        <f>L28+L23+L18</f>
        <v>199269</v>
      </c>
      <c r="M33" s="191">
        <f t="shared" si="12"/>
        <v>0</v>
      </c>
      <c r="N33" s="191">
        <f t="shared" si="12"/>
        <v>185111</v>
      </c>
      <c r="O33" s="191">
        <f t="shared" si="11"/>
        <v>3545800</v>
      </c>
      <c r="P33" s="191">
        <f t="shared" si="11"/>
        <v>13716653</v>
      </c>
      <c r="Q33" s="192">
        <f t="shared" si="11"/>
        <v>0</v>
      </c>
      <c r="R33" s="492">
        <f>SUM(B33:E33)+SUM(G33:Q33)</f>
        <v>40180213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8" orientation="landscape" r:id="rId1"/>
  <headerFooter alignWithMargins="0">
    <oddHeader>&amp;L
Schedule 7
&amp;CMinneapolis-St. Paul International Airport
&amp;"Arial,Bold"Cargo
September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11" sqref="J1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44440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2548983</v>
      </c>
      <c r="C5" s="116">
        <f>'Regional Major'!M25</f>
        <v>3653</v>
      </c>
      <c r="D5" s="116">
        <f>Cargo!R16</f>
        <v>20785431</v>
      </c>
      <c r="E5" s="116">
        <f>SUM(B5:D5)</f>
        <v>23338067</v>
      </c>
      <c r="F5" s="116">
        <f>E5*0.00045359237</f>
        <v>10585.969121748789</v>
      </c>
      <c r="G5" s="144">
        <f>'[1]Cargo Summary'!F5</f>
        <v>8758.4862863320905</v>
      </c>
      <c r="H5" s="96">
        <f>(F5-G5)/G5</f>
        <v>0.20865281689925647</v>
      </c>
      <c r="I5" s="144">
        <f>+F5+'[2]Cargo Summary'!I5</f>
        <v>84993.84365060422</v>
      </c>
      <c r="J5" s="144">
        <f>'[1]Cargo Summary'!I5</f>
        <v>75571.012176354299</v>
      </c>
      <c r="K5" s="83">
        <f>(I5-J5)/J5</f>
        <v>0.12468843810455493</v>
      </c>
      <c r="M5" s="34"/>
    </row>
    <row r="6" spans="1:18" x14ac:dyDescent="0.2">
      <c r="A6" s="60" t="s">
        <v>16</v>
      </c>
      <c r="B6" s="167">
        <f>'Major Airline Stats'!K29</f>
        <v>1094708</v>
      </c>
      <c r="C6" s="116">
        <f>'Regional Major'!M26</f>
        <v>0</v>
      </c>
      <c r="D6" s="116">
        <f>Cargo!R17</f>
        <v>876571</v>
      </c>
      <c r="E6" s="116">
        <f>SUM(B6:D6)</f>
        <v>1971279</v>
      </c>
      <c r="F6" s="116">
        <f>E6*0.00045359237</f>
        <v>894.15711354122993</v>
      </c>
      <c r="G6" s="144">
        <f>'[1]Cargo Summary'!F6</f>
        <v>790.46272261263994</v>
      </c>
      <c r="H6" s="36">
        <f>(F6-G6)/G6</f>
        <v>0.13118188620692822</v>
      </c>
      <c r="I6" s="144">
        <f>+F6+'[2]Cargo Summary'!I6</f>
        <v>8073.0202183423089</v>
      </c>
      <c r="J6" s="144">
        <f>'[1]Cargo Summary'!I6</f>
        <v>4806.89116358297</v>
      </c>
      <c r="K6" s="83">
        <f>(I6-J6)/J6</f>
        <v>0.67946806857279152</v>
      </c>
      <c r="M6" s="34"/>
    </row>
    <row r="7" spans="1:18" ht="18" customHeight="1" thickBot="1" x14ac:dyDescent="0.25">
      <c r="A7" s="71" t="s">
        <v>71</v>
      </c>
      <c r="B7" s="169">
        <f>SUM(B5:B6)</f>
        <v>3643691</v>
      </c>
      <c r="C7" s="131">
        <f t="shared" ref="C7:J7" si="0">SUM(C5:C6)</f>
        <v>3653</v>
      </c>
      <c r="D7" s="131">
        <f t="shared" si="0"/>
        <v>21662002</v>
      </c>
      <c r="E7" s="131">
        <f t="shared" si="0"/>
        <v>25309346</v>
      </c>
      <c r="F7" s="131">
        <f t="shared" si="0"/>
        <v>11480.126235290019</v>
      </c>
      <c r="G7" s="131">
        <f t="shared" si="0"/>
        <v>9548.9490089447299</v>
      </c>
      <c r="H7" s="43">
        <f>(F7-G7)/G7</f>
        <v>0.20223976738553209</v>
      </c>
      <c r="I7" s="131">
        <f t="shared" si="0"/>
        <v>93066.86386894653</v>
      </c>
      <c r="J7" s="131">
        <f t="shared" si="0"/>
        <v>80377.903339937271</v>
      </c>
      <c r="K7" s="290">
        <f>(I7-J7)/J7</f>
        <v>0.15786627918551976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1239191</v>
      </c>
      <c r="C10" s="116">
        <f>'Regional Major'!M30</f>
        <v>1301</v>
      </c>
      <c r="D10" s="116">
        <f>Cargo!R21</f>
        <v>17809432</v>
      </c>
      <c r="E10" s="116">
        <f>SUM(B10:D10)</f>
        <v>19049924</v>
      </c>
      <c r="F10" s="116">
        <f>E10*0.00045359237</f>
        <v>8640.9001754798792</v>
      </c>
      <c r="G10" s="144">
        <f>'[1]Cargo Summary'!F10</f>
        <v>6868.8231944663103</v>
      </c>
      <c r="H10" s="36">
        <f>(F10-G10)/G10</f>
        <v>0.25798844006367744</v>
      </c>
      <c r="I10" s="144">
        <f>+F10+'[2]Cargo Summary'!I10</f>
        <v>68068.811352464501</v>
      </c>
      <c r="J10" s="144">
        <f>'[1]Cargo Summary'!I10</f>
        <v>60484.18476636074</v>
      </c>
      <c r="K10" s="83">
        <f>(I10-J10)/J10</f>
        <v>0.12539850897225077</v>
      </c>
      <c r="M10" s="34"/>
    </row>
    <row r="11" spans="1:18" x14ac:dyDescent="0.2">
      <c r="A11" s="60" t="s">
        <v>16</v>
      </c>
      <c r="B11" s="167">
        <f>'Major Airline Stats'!K34</f>
        <v>907242</v>
      </c>
      <c r="C11" s="116">
        <f>'Regional Major'!M31</f>
        <v>1889</v>
      </c>
      <c r="D11" s="116">
        <f>Cargo!R22</f>
        <v>708779</v>
      </c>
      <c r="E11" s="116">
        <f>SUM(B11:D11)</f>
        <v>1617910</v>
      </c>
      <c r="F11" s="116">
        <f>E11*0.00045359237</f>
        <v>733.87163134669993</v>
      </c>
      <c r="G11" s="144">
        <f>'[1]Cargo Summary'!F11</f>
        <v>980.74925775134</v>
      </c>
      <c r="H11" s="34">
        <f>(F11-G11)/G11</f>
        <v>-0.25172349043697534</v>
      </c>
      <c r="I11" s="144">
        <f>+F11+'[2]Cargo Summary'!I11</f>
        <v>7958.7607539316796</v>
      </c>
      <c r="J11" s="144">
        <f>'[1]Cargo Summary'!I11</f>
        <v>7735.134272413241</v>
      </c>
      <c r="K11" s="83">
        <f>(I11-J11)/J11</f>
        <v>2.891048476249277E-2</v>
      </c>
      <c r="M11" s="34"/>
    </row>
    <row r="12" spans="1:18" ht="18" customHeight="1" thickBot="1" x14ac:dyDescent="0.25">
      <c r="A12" s="71" t="s">
        <v>72</v>
      </c>
      <c r="B12" s="169">
        <f>SUM(B10:B11)</f>
        <v>2146433</v>
      </c>
      <c r="C12" s="131">
        <f t="shared" ref="C12:J12" si="1">SUM(C10:C11)</f>
        <v>3190</v>
      </c>
      <c r="D12" s="131">
        <f t="shared" si="1"/>
        <v>18518211</v>
      </c>
      <c r="E12" s="131">
        <f t="shared" si="1"/>
        <v>20667834</v>
      </c>
      <c r="F12" s="131">
        <f t="shared" si="1"/>
        <v>9374.7718068265785</v>
      </c>
      <c r="G12" s="131">
        <f t="shared" si="1"/>
        <v>7849.5724522176506</v>
      </c>
      <c r="H12" s="43">
        <f>(F12-G12)/G12</f>
        <v>0.19430349409387651</v>
      </c>
      <c r="I12" s="131">
        <f>SUM(I10:I11)</f>
        <v>76027.572106396183</v>
      </c>
      <c r="J12" s="131">
        <f t="shared" si="1"/>
        <v>68219.319038773974</v>
      </c>
      <c r="K12" s="290">
        <f>(I12-J12)/J12</f>
        <v>0.11445809160282315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319</v>
      </c>
      <c r="C15" s="116">
        <f>'Regional Major'!M35</f>
        <v>0</v>
      </c>
      <c r="D15" s="116">
        <f>Cargo!R26</f>
        <v>0</v>
      </c>
      <c r="E15" s="116">
        <f>SUM(B15:D15)</f>
        <v>319</v>
      </c>
      <c r="F15" s="116">
        <f>E15*0.00045359237</f>
        <v>0.14469596602999998</v>
      </c>
      <c r="G15" s="144">
        <f>'[1]Cargo Summary'!F15</f>
        <v>0</v>
      </c>
      <c r="H15" s="394" t="e">
        <f>(F15-G15)/G15</f>
        <v>#DIV/0!</v>
      </c>
      <c r="I15" s="144">
        <f>+F15+'[2]Cargo Summary'!I15</f>
        <v>0.14469596602999998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319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319</v>
      </c>
      <c r="F17" s="131">
        <f t="shared" si="2"/>
        <v>0.14469596602999998</v>
      </c>
      <c r="G17" s="131">
        <f t="shared" si="2"/>
        <v>0</v>
      </c>
      <c r="H17" s="43" t="e">
        <f>(F17-G17)/G17</f>
        <v>#DIV/0!</v>
      </c>
      <c r="I17" s="131">
        <f>SUM(I15:I16)</f>
        <v>0.14469596602999998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3788493</v>
      </c>
      <c r="C20" s="116">
        <f t="shared" si="3"/>
        <v>4954</v>
      </c>
      <c r="D20" s="116">
        <f t="shared" si="3"/>
        <v>38594863</v>
      </c>
      <c r="E20" s="116">
        <f>SUM(B20:D20)</f>
        <v>42388310</v>
      </c>
      <c r="F20" s="116">
        <f>E20*0.00045359237</f>
        <v>19227.013993194698</v>
      </c>
      <c r="G20" s="144">
        <f>'[1]Cargo Summary'!F20</f>
        <v>15627.3094807984</v>
      </c>
      <c r="H20" s="36">
        <f>(F20-G20)/G20</f>
        <v>0.23034704194086192</v>
      </c>
      <c r="I20" s="144">
        <f>+F20+'[2]Cargo Summary'!I20</f>
        <v>153062.79969903475</v>
      </c>
      <c r="J20" s="144">
        <f>+J5+J10+J15</f>
        <v>136055.19694271503</v>
      </c>
      <c r="K20" s="83">
        <f>(I20-J20)/J20</f>
        <v>0.12500516803838541</v>
      </c>
      <c r="M20" s="34"/>
    </row>
    <row r="21" spans="1:13" x14ac:dyDescent="0.2">
      <c r="A21" s="60" t="s">
        <v>16</v>
      </c>
      <c r="B21" s="167">
        <f t="shared" si="3"/>
        <v>2001950</v>
      </c>
      <c r="C21" s="118">
        <f t="shared" si="3"/>
        <v>1889</v>
      </c>
      <c r="D21" s="118">
        <f t="shared" si="3"/>
        <v>1585350</v>
      </c>
      <c r="E21" s="116">
        <f>SUM(B21:D21)</f>
        <v>3589189</v>
      </c>
      <c r="F21" s="116">
        <f>E21*0.00045359237</f>
        <v>1628.0287448879299</v>
      </c>
      <c r="G21" s="144">
        <f>'[1]Cargo Summary'!F21</f>
        <v>1771.21198036398</v>
      </c>
      <c r="H21" s="36">
        <f>(F21-G21)/G21</f>
        <v>-8.0839129964910439E-2</v>
      </c>
      <c r="I21" s="144">
        <f>+F21+'[2]Cargo Summary'!I21</f>
        <v>16031.780972273989</v>
      </c>
      <c r="J21" s="144">
        <f>+J6+J11+J16</f>
        <v>12542.025435996211</v>
      </c>
      <c r="K21" s="83">
        <f>(I21-J21)/J21</f>
        <v>0.27824497359589256</v>
      </c>
      <c r="M21" s="34"/>
    </row>
    <row r="22" spans="1:13" ht="18" customHeight="1" thickBot="1" x14ac:dyDescent="0.25">
      <c r="A22" s="86" t="s">
        <v>62</v>
      </c>
      <c r="B22" s="170">
        <f>SUM(B20:B21)</f>
        <v>5790443</v>
      </c>
      <c r="C22" s="171">
        <f t="shared" ref="C22:J22" si="4">SUM(C20:C21)</f>
        <v>6843</v>
      </c>
      <c r="D22" s="171">
        <f t="shared" si="4"/>
        <v>40180213</v>
      </c>
      <c r="E22" s="171">
        <f t="shared" si="4"/>
        <v>45977499</v>
      </c>
      <c r="F22" s="171">
        <f t="shared" si="4"/>
        <v>20855.04273808263</v>
      </c>
      <c r="G22" s="171">
        <f t="shared" si="4"/>
        <v>17398.521461162381</v>
      </c>
      <c r="H22" s="296">
        <f>(F22-G22)/G22</f>
        <v>0.1986675295734768</v>
      </c>
      <c r="I22" s="171">
        <f>SUM(I20:I21)</f>
        <v>169094.58067130874</v>
      </c>
      <c r="J22" s="171">
        <f t="shared" si="4"/>
        <v>148597.22237871125</v>
      </c>
      <c r="K22" s="297">
        <f>(I22-J22)/J22</f>
        <v>0.13793904061247139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F13" sqref="F13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1.42578125" style="205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533" customWidth="1"/>
  </cols>
  <sheetData>
    <row r="1" spans="1:20" ht="13.5" thickBot="1" x14ac:dyDescent="0.25">
      <c r="F1" s="499"/>
      <c r="J1" s="3"/>
      <c r="K1"/>
    </row>
    <row r="2" spans="1:20" s="198" customFormat="1" ht="26.25" thickBot="1" x14ac:dyDescent="0.25">
      <c r="A2" s="576" t="s">
        <v>187</v>
      </c>
      <c r="B2" s="577"/>
      <c r="C2" s="428" t="s">
        <v>232</v>
      </c>
      <c r="D2" s="429" t="s">
        <v>207</v>
      </c>
      <c r="E2" s="544" t="s">
        <v>95</v>
      </c>
      <c r="F2" s="431" t="s">
        <v>233</v>
      </c>
      <c r="G2" s="429" t="s">
        <v>208</v>
      </c>
      <c r="H2" s="545" t="s">
        <v>96</v>
      </c>
      <c r="I2" s="430" t="s">
        <v>137</v>
      </c>
      <c r="J2" s="576" t="s">
        <v>183</v>
      </c>
      <c r="K2" s="577"/>
      <c r="L2" s="428" t="s">
        <v>232</v>
      </c>
      <c r="M2" s="429" t="s">
        <v>207</v>
      </c>
      <c r="N2" s="544" t="s">
        <v>95</v>
      </c>
      <c r="O2" s="431" t="s">
        <v>233</v>
      </c>
      <c r="P2" s="429" t="s">
        <v>208</v>
      </c>
      <c r="Q2" s="546" t="s">
        <v>96</v>
      </c>
      <c r="R2" s="430" t="s">
        <v>137</v>
      </c>
      <c r="T2" s="534"/>
    </row>
    <row r="3" spans="1:20" s="198" customFormat="1" ht="13.5" customHeight="1" thickBot="1" x14ac:dyDescent="0.25">
      <c r="A3" s="578">
        <v>44440</v>
      </c>
      <c r="B3" s="579"/>
      <c r="C3" s="580" t="s">
        <v>9</v>
      </c>
      <c r="D3" s="581"/>
      <c r="E3" s="581"/>
      <c r="F3" s="581"/>
      <c r="G3" s="581"/>
      <c r="H3" s="582"/>
      <c r="I3" s="479"/>
      <c r="J3" s="578">
        <f>+A3</f>
        <v>44440</v>
      </c>
      <c r="K3" s="579"/>
      <c r="L3" s="573" t="s">
        <v>184</v>
      </c>
      <c r="M3" s="574"/>
      <c r="N3" s="574"/>
      <c r="O3" s="574"/>
      <c r="P3" s="574"/>
      <c r="Q3" s="574"/>
      <c r="R3" s="575"/>
      <c r="T3" s="534"/>
    </row>
    <row r="4" spans="1:20" x14ac:dyDescent="0.2">
      <c r="A4" s="315"/>
      <c r="B4" s="316"/>
      <c r="C4" s="317"/>
      <c r="D4" s="318"/>
      <c r="E4" s="319"/>
      <c r="F4" s="500"/>
      <c r="G4" s="318"/>
      <c r="H4" s="441"/>
      <c r="I4" s="319"/>
      <c r="J4" s="320"/>
      <c r="K4" s="316"/>
      <c r="L4" s="450"/>
      <c r="N4" s="83"/>
      <c r="O4" s="52"/>
      <c r="R4" s="54"/>
    </row>
    <row r="5" spans="1:20" ht="14.1" customHeight="1" x14ac:dyDescent="0.2">
      <c r="A5" s="322" t="s">
        <v>218</v>
      </c>
      <c r="B5" s="54"/>
      <c r="C5" s="501">
        <f>SUM(C6:C7)</f>
        <v>184</v>
      </c>
      <c r="D5" s="501">
        <f>SUM(D6:D7)</f>
        <v>123</v>
      </c>
      <c r="E5" s="502">
        <f>(C5-D5)/D5</f>
        <v>0.49593495934959347</v>
      </c>
      <c r="F5" s="501">
        <f>SUM(F6:F7)</f>
        <v>1359</v>
      </c>
      <c r="G5" s="501">
        <f>SUM(G6:G7)</f>
        <v>809</v>
      </c>
      <c r="H5" s="503">
        <f>(F5-G5)/G5</f>
        <v>0.67985166872682323</v>
      </c>
      <c r="I5" s="502">
        <f>+F5/$F$33</f>
        <v>0.110595703125</v>
      </c>
      <c r="J5" s="322" t="s">
        <v>218</v>
      </c>
      <c r="K5" s="54"/>
      <c r="L5" s="501">
        <f>SUM(L6:L7)</f>
        <v>7048336</v>
      </c>
      <c r="M5" s="501">
        <f>SUM(M6:M7)</f>
        <v>2096561</v>
      </c>
      <c r="N5" s="502">
        <f>(L5-M5)/M5</f>
        <v>2.3618559154730057</v>
      </c>
      <c r="O5" s="501">
        <f>SUM(O6:O7)</f>
        <v>44710966</v>
      </c>
      <c r="P5" s="501">
        <f>SUM(P6:P7)</f>
        <v>21702647</v>
      </c>
      <c r="Q5" s="503">
        <f>(O5-P5)/P5</f>
        <v>1.0601618779497266</v>
      </c>
      <c r="R5" s="502">
        <f>O5/$O$33</f>
        <v>0.13567092213705592</v>
      </c>
      <c r="S5" s="19"/>
    </row>
    <row r="6" spans="1:20" ht="14.1" customHeight="1" x14ac:dyDescent="0.2">
      <c r="A6" s="52"/>
      <c r="B6" s="396" t="s">
        <v>219</v>
      </c>
      <c r="C6" s="504">
        <f>+'[3]Atlas Air'!$HL$19</f>
        <v>62</v>
      </c>
      <c r="D6" s="283">
        <f>+'[3]Atlas Air'!$GX$19</f>
        <v>2</v>
      </c>
      <c r="E6" s="505">
        <f>(C6-D6)/D6</f>
        <v>30</v>
      </c>
      <c r="F6" s="504">
        <f>+SUM('[3]Atlas Air'!$HD$19:$HL$19)</f>
        <v>409</v>
      </c>
      <c r="G6" s="283">
        <f>+SUM('[3]Atlas Air'!$GP$19:$GX$19)</f>
        <v>280</v>
      </c>
      <c r="H6" s="488">
        <f>(F6-G6)/G6</f>
        <v>0.46071428571428569</v>
      </c>
      <c r="I6" s="505">
        <f>+F6/$F$33</f>
        <v>3.3284505208333336E-2</v>
      </c>
      <c r="J6" s="52"/>
      <c r="K6" s="396" t="s">
        <v>219</v>
      </c>
      <c r="L6" s="504">
        <f>+'[3]Atlas Air'!$HL$64</f>
        <v>3502536</v>
      </c>
      <c r="M6" s="283">
        <f>+'[3]Atlas Air'!$GX$64</f>
        <v>50177</v>
      </c>
      <c r="N6" s="505">
        <f>(L6-M6)/M6</f>
        <v>68.803615202184261</v>
      </c>
      <c r="O6" s="283">
        <f>+SUM('[3]Atlas Air'!$HD$64:$HL$64)</f>
        <v>18684236</v>
      </c>
      <c r="P6" s="283">
        <f>+SUM('[3]Atlas Air'!$GP$64:$GX$64)</f>
        <v>12408613</v>
      </c>
      <c r="Q6" s="488">
        <f>(O6-P6)/P6</f>
        <v>0.50574733856233567</v>
      </c>
      <c r="R6" s="505">
        <f>O6/$O$33</f>
        <v>5.6695431889044343E-2</v>
      </c>
      <c r="S6" s="19"/>
    </row>
    <row r="7" spans="1:20" ht="14.1" customHeight="1" x14ac:dyDescent="0.2">
      <c r="A7" s="52"/>
      <c r="B7" s="396" t="s">
        <v>49</v>
      </c>
      <c r="C7" s="504">
        <f>+'[3]Sun Country Cargo'!$HL$19</f>
        <v>122</v>
      </c>
      <c r="D7" s="283">
        <f>+'[3]Sun Country Cargo'!$GX$19</f>
        <v>121</v>
      </c>
      <c r="E7" s="505">
        <f>(C7-D7)/D7</f>
        <v>8.2644628099173556E-3</v>
      </c>
      <c r="F7" s="504">
        <f>+SUM('[3]Sun Country Cargo'!$HD$19:$HL$19)</f>
        <v>950</v>
      </c>
      <c r="G7" s="283">
        <f>+SUM('[3]Sun Country Cargo'!$GP$19:$GX$19)</f>
        <v>529</v>
      </c>
      <c r="H7" s="488">
        <f>(F7-G7)/G7</f>
        <v>0.79584120982986772</v>
      </c>
      <c r="I7" s="505">
        <f>+F7/$F$33</f>
        <v>7.7311197916666671E-2</v>
      </c>
      <c r="J7" s="52"/>
      <c r="K7" s="396" t="s">
        <v>49</v>
      </c>
      <c r="L7" s="504">
        <f>+'[3]Sun Country Cargo'!$HL$64</f>
        <v>3545800</v>
      </c>
      <c r="M7" s="283">
        <f>+'[3]Sun Country Cargo'!$GX$64</f>
        <v>2046384</v>
      </c>
      <c r="N7" s="505">
        <f>(L7-M7)/M7</f>
        <v>0.73271487658230328</v>
      </c>
      <c r="O7" s="283">
        <f>+SUM('[3]Sun Country Cargo'!$HD$64:$HL$64)</f>
        <v>26026730</v>
      </c>
      <c r="P7" s="283">
        <f>+SUM('[3]Sun Country Cargo'!$GP$64:$GX$64)</f>
        <v>9294034</v>
      </c>
      <c r="Q7" s="488">
        <f>(O7-P7)/P7</f>
        <v>1.8003695704147413</v>
      </c>
      <c r="R7" s="505">
        <f>O7/$O$33</f>
        <v>7.8975490248011593E-2</v>
      </c>
      <c r="S7" s="19"/>
    </row>
    <row r="8" spans="1:20" ht="14.1" customHeight="1" x14ac:dyDescent="0.2">
      <c r="A8" s="52"/>
      <c r="B8" s="54"/>
      <c r="F8" s="506"/>
      <c r="I8" s="83"/>
      <c r="J8" s="474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1">
        <f>SUM(C10:C17)</f>
        <v>132</v>
      </c>
      <c r="D9" s="501">
        <f>SUM(D10:D17)</f>
        <v>134</v>
      </c>
      <c r="E9" s="502">
        <f>(C9-D9)/D9</f>
        <v>-1.4925373134328358E-2</v>
      </c>
      <c r="F9" s="501">
        <f>SUM(F10:F17)</f>
        <v>1198</v>
      </c>
      <c r="G9" s="501">
        <f>SUM(G10:G17)</f>
        <v>1187</v>
      </c>
      <c r="H9" s="503">
        <f>(F9-G9)/G9</f>
        <v>9.2670598146588033E-3</v>
      </c>
      <c r="I9" s="502">
        <f t="shared" ref="I9:I17" si="0">+F9/$F$33</f>
        <v>9.7493489583333329E-2</v>
      </c>
      <c r="J9" s="322" t="s">
        <v>220</v>
      </c>
      <c r="K9" s="54"/>
      <c r="L9" s="501">
        <f>SUM(L10:L17)</f>
        <v>1373339</v>
      </c>
      <c r="M9" s="501">
        <f>SUM(M10:M17)</f>
        <v>1125082</v>
      </c>
      <c r="N9" s="502">
        <f t="shared" ref="N9:N17" si="1">(L9-M9)/M9</f>
        <v>0.22065680545951316</v>
      </c>
      <c r="O9" s="501">
        <f>SUM(O10:O17)</f>
        <v>12180930.779999999</v>
      </c>
      <c r="P9" s="501">
        <f>SUM(P10:P17)</f>
        <v>12933049</v>
      </c>
      <c r="Q9" s="503">
        <f t="shared" ref="Q9:Q17" si="2">(O9-P9)/P9</f>
        <v>-5.8154749123737234E-2</v>
      </c>
      <c r="R9" s="502">
        <f t="shared" ref="R9:R17" si="3">O9/$O$33</f>
        <v>3.6961807342973711E-2</v>
      </c>
      <c r="S9" s="19"/>
    </row>
    <row r="10" spans="1:20" ht="14.1" customHeight="1" x14ac:dyDescent="0.2">
      <c r="A10" s="322"/>
      <c r="B10" s="396" t="s">
        <v>221</v>
      </c>
      <c r="C10" s="504">
        <f>+[3]Airborne!$HL$19</f>
        <v>0</v>
      </c>
      <c r="D10" s="283">
        <f>+[3]Airborne!$GX$19</f>
        <v>0</v>
      </c>
      <c r="E10" s="505" t="e">
        <f>(C10-D10)/D10</f>
        <v>#DIV/0!</v>
      </c>
      <c r="F10" s="504">
        <f>+SUM([3]Airborne!$HD$19:$HL$19)</f>
        <v>2</v>
      </c>
      <c r="G10" s="283">
        <f>+SUM([3]Airborne!$GP$19:$GX$19)</f>
        <v>0</v>
      </c>
      <c r="H10" s="488" t="e">
        <f>(F10-G10)/G10</f>
        <v>#DIV/0!</v>
      </c>
      <c r="I10" s="505">
        <f t="shared" si="0"/>
        <v>1.6276041666666666E-4</v>
      </c>
      <c r="J10" s="322"/>
      <c r="K10" s="396" t="s">
        <v>221</v>
      </c>
      <c r="L10" s="504">
        <f>+[3]Airborne!$HL$64</f>
        <v>0</v>
      </c>
      <c r="M10" s="283">
        <f>+[3]Airborne!$GX$64</f>
        <v>0</v>
      </c>
      <c r="N10" s="505" t="e">
        <f t="shared" si="1"/>
        <v>#DIV/0!</v>
      </c>
      <c r="O10" s="504">
        <f>+SUM([3]Airborne!$HD$64:$HL$64)</f>
        <v>59711</v>
      </c>
      <c r="P10" s="283">
        <f>+SUM([3]Airborne!$GP$64:$GX$64)</f>
        <v>0</v>
      </c>
      <c r="Q10" s="488" t="e">
        <f t="shared" si="2"/>
        <v>#DIV/0!</v>
      </c>
      <c r="R10" s="505">
        <f t="shared" si="3"/>
        <v>1.8118701420420544E-4</v>
      </c>
      <c r="S10" s="19"/>
    </row>
    <row r="11" spans="1:20" ht="14.1" customHeight="1" x14ac:dyDescent="0.2">
      <c r="A11" s="322"/>
      <c r="B11" s="54" t="s">
        <v>219</v>
      </c>
      <c r="C11" s="504">
        <f>+[3]DHL_Atlas!$HL$19</f>
        <v>0</v>
      </c>
      <c r="D11" s="283">
        <f>+[3]DHL_Atlas!$GX$19</f>
        <v>0</v>
      </c>
      <c r="E11" s="505" t="e">
        <f t="shared" ref="E11:E17" si="4">(C11-D11)/D11</f>
        <v>#DIV/0!</v>
      </c>
      <c r="F11" s="504">
        <f>+SUM([3]DHL_Atlas!$HD$19:$HL$19)</f>
        <v>12</v>
      </c>
      <c r="G11" s="283">
        <f>+SUM([3]DHL_Atlas!$GP$19:$GX$19)</f>
        <v>6</v>
      </c>
      <c r="H11" s="488">
        <f t="shared" ref="H11:H17" si="5">(F11-G11)/G11</f>
        <v>1</v>
      </c>
      <c r="I11" s="505">
        <f t="shared" si="0"/>
        <v>9.765625E-4</v>
      </c>
      <c r="J11" s="322"/>
      <c r="K11" s="54" t="s">
        <v>219</v>
      </c>
      <c r="L11" s="504">
        <f>+[3]DHL_Atlas!$HL$64</f>
        <v>0</v>
      </c>
      <c r="M11" s="283">
        <f>+[3]DHL_Atlas!$GX$64</f>
        <v>0</v>
      </c>
      <c r="N11" s="505" t="e">
        <f t="shared" si="1"/>
        <v>#DIV/0!</v>
      </c>
      <c r="O11" s="504">
        <f>+SUM([3]DHL_Atlas!$HD$64:$HL$64)</f>
        <v>259570</v>
      </c>
      <c r="P11" s="283">
        <f>+SUM([3]DHL_Atlas!$GP$64:$GX$64)</f>
        <v>186366</v>
      </c>
      <c r="Q11" s="488">
        <f t="shared" si="2"/>
        <v>0.39279696940429049</v>
      </c>
      <c r="R11" s="505">
        <f t="shared" si="3"/>
        <v>7.8763901587623059E-4</v>
      </c>
      <c r="S11" s="19"/>
    </row>
    <row r="12" spans="1:20" ht="14.1" customHeight="1" x14ac:dyDescent="0.2">
      <c r="A12" s="322"/>
      <c r="B12" s="54" t="s">
        <v>222</v>
      </c>
      <c r="C12" s="504">
        <f>+[3]DHL!$HL$19</f>
        <v>0</v>
      </c>
      <c r="D12" s="283">
        <f>+[3]DHL!$GX$19</f>
        <v>0</v>
      </c>
      <c r="E12" s="505" t="e">
        <f t="shared" si="4"/>
        <v>#DIV/0!</v>
      </c>
      <c r="F12" s="504">
        <f>+SUM([3]DHL!$HD$19:$HL$19)</f>
        <v>0</v>
      </c>
      <c r="G12" s="283">
        <f>+SUM([3]DHL!$GP$19:$GX$19)</f>
        <v>163</v>
      </c>
      <c r="H12" s="488">
        <f t="shared" si="5"/>
        <v>-1</v>
      </c>
      <c r="I12" s="505">
        <f t="shared" si="0"/>
        <v>0</v>
      </c>
      <c r="J12" s="322"/>
      <c r="K12" s="54" t="s">
        <v>222</v>
      </c>
      <c r="L12" s="504">
        <f>+[3]DHL!$HL$64</f>
        <v>0</v>
      </c>
      <c r="M12" s="283">
        <f>+[3]DHL!$GX$64</f>
        <v>0</v>
      </c>
      <c r="N12" s="505" t="e">
        <f t="shared" si="1"/>
        <v>#DIV/0!</v>
      </c>
      <c r="O12" s="504">
        <f>+SUM([3]DHL!$HD$64:$HL$64)</f>
        <v>0</v>
      </c>
      <c r="P12" s="283">
        <f>+SUM([3]DHL!$GP$64:$GX$64)</f>
        <v>5299897</v>
      </c>
      <c r="Q12" s="488">
        <f t="shared" si="2"/>
        <v>-1</v>
      </c>
      <c r="R12" s="505">
        <f t="shared" si="3"/>
        <v>0</v>
      </c>
      <c r="S12" s="19"/>
    </row>
    <row r="13" spans="1:20" ht="14.1" customHeight="1" x14ac:dyDescent="0.2">
      <c r="A13" s="322"/>
      <c r="B13" s="396" t="s">
        <v>83</v>
      </c>
      <c r="C13" s="504">
        <f>+[3]DHL_Bemidji!$HL$19</f>
        <v>88</v>
      </c>
      <c r="D13" s="283">
        <f>+[3]DHL_Bemidji!$GX$19</f>
        <v>0</v>
      </c>
      <c r="E13" s="505" t="e">
        <f>(C13-D13)/D13</f>
        <v>#DIV/0!</v>
      </c>
      <c r="F13" s="504">
        <f>+SUM([3]DHL_Bemidji!$HD$19:$HL$19)</f>
        <v>116</v>
      </c>
      <c r="G13" s="283">
        <f>+SUM([3]DHL_Bemidji!$GP$19:$GX$19)</f>
        <v>0</v>
      </c>
      <c r="H13" s="488" t="e">
        <f t="shared" si="5"/>
        <v>#DIV/0!</v>
      </c>
      <c r="I13" s="505">
        <f t="shared" si="0"/>
        <v>9.4401041666666661E-3</v>
      </c>
      <c r="J13" s="322"/>
      <c r="K13" s="396" t="s">
        <v>83</v>
      </c>
      <c r="L13" s="504">
        <f>+[3]DHL_Bemidji!$HL$64</f>
        <v>144602</v>
      </c>
      <c r="M13" s="283">
        <f>+[3]DHL_Bemidji!$GX$64</f>
        <v>0</v>
      </c>
      <c r="N13" s="505" t="e">
        <f t="shared" ref="N13" si="6">(L13-M13)/M13</f>
        <v>#DIV/0!</v>
      </c>
      <c r="O13" s="504">
        <f>+SUM([3]DHL_Bemidji!$HD$64:$HL$64)</f>
        <v>192564</v>
      </c>
      <c r="P13" s="283">
        <f>+SUM([3]DHL_Bemidji!$GP$64:$GX$64)</f>
        <v>0</v>
      </c>
      <c r="Q13" s="488" t="e">
        <f t="shared" ref="Q13" si="7">(O13-P13)/P13</f>
        <v>#DIV/0!</v>
      </c>
      <c r="R13" s="505">
        <f t="shared" si="3"/>
        <v>5.8431605907150472E-4</v>
      </c>
      <c r="S13" s="19"/>
    </row>
    <row r="14" spans="1:20" ht="14.1" customHeight="1" x14ac:dyDescent="0.2">
      <c r="A14" s="322"/>
      <c r="B14" s="54" t="s">
        <v>201</v>
      </c>
      <c r="C14" s="504">
        <f>+[3]Encore!$HL$19+[3]DHL_Encore!$HL$12</f>
        <v>0</v>
      </c>
      <c r="D14" s="283">
        <f>+[3]Encore!$GX$19+[3]DHL_Encore!$GX$19</f>
        <v>90</v>
      </c>
      <c r="E14" s="505">
        <f t="shared" si="4"/>
        <v>-1</v>
      </c>
      <c r="F14" s="504">
        <f>+SUM([3]Encore!$HD$19:$HL$19)+SUM([3]DHL_Encore!$HD$19:$HL$19)</f>
        <v>650</v>
      </c>
      <c r="G14" s="283">
        <f>+SUM([3]Encore!$GP$19:$GX$19)+SUM([3]DHL_Encore!$GP$19:$GX$19)</f>
        <v>774</v>
      </c>
      <c r="H14" s="488">
        <f t="shared" si="5"/>
        <v>-0.16020671834625322</v>
      </c>
      <c r="I14" s="505">
        <f t="shared" si="0"/>
        <v>5.2897135416666664E-2</v>
      </c>
      <c r="J14" s="322"/>
      <c r="K14" s="54" t="s">
        <v>201</v>
      </c>
      <c r="L14" s="504">
        <f>+[3]Encore!$HL$64+[3]DHL_Encore!$HL$64</f>
        <v>0</v>
      </c>
      <c r="M14" s="283">
        <f>+[3]Encore!$GX$64+[3]DHL_Encore!$GX$64</f>
        <v>115212</v>
      </c>
      <c r="N14" s="505">
        <f t="shared" si="1"/>
        <v>-1</v>
      </c>
      <c r="O14" s="504">
        <f>+SUM([3]Encore!$HD$64:$HL$64)+SUM([3]DHL_Encore!$HD$64:$HL$64)</f>
        <v>1112668</v>
      </c>
      <c r="P14" s="283">
        <f>+SUM([3]Encore!$GP$64:$GX$64)+SUM([3]DHL_Encore!$GP$64:$GX$64)</f>
        <v>1076679</v>
      </c>
      <c r="Q14" s="488">
        <f t="shared" si="2"/>
        <v>3.3425932891790404E-2</v>
      </c>
      <c r="R14" s="505">
        <f t="shared" si="3"/>
        <v>3.3762789556457747E-3</v>
      </c>
      <c r="S14" s="19"/>
    </row>
    <row r="15" spans="1:20" ht="14.1" customHeight="1" x14ac:dyDescent="0.2">
      <c r="A15" s="322"/>
      <c r="B15" s="54" t="s">
        <v>223</v>
      </c>
      <c r="C15" s="504">
        <f>+[3]DHL_Kalitta!$HL$19</f>
        <v>38</v>
      </c>
      <c r="D15" s="283">
        <f>+[3]DHL_Kalitta!$GX$19</f>
        <v>0</v>
      </c>
      <c r="E15" s="505" t="e">
        <f t="shared" si="4"/>
        <v>#DIV/0!</v>
      </c>
      <c r="F15" s="504">
        <f>+SUM([3]DHL_Kalitta!$HD$19:$HL$19)</f>
        <v>130</v>
      </c>
      <c r="G15" s="283">
        <f>+SUM([3]DHL_Kalitta!$GP$19:$GX$19)</f>
        <v>36</v>
      </c>
      <c r="H15" s="488">
        <f t="shared" si="5"/>
        <v>2.6111111111111112</v>
      </c>
      <c r="I15" s="505">
        <f t="shared" si="0"/>
        <v>1.0579427083333334E-2</v>
      </c>
      <c r="J15" s="322"/>
      <c r="K15" s="54" t="s">
        <v>223</v>
      </c>
      <c r="L15" s="504">
        <f>+[3]DHL_Kalitta!$HL$64</f>
        <v>1043626</v>
      </c>
      <c r="M15" s="283">
        <f>+[3]DHL_Kalitta!$GX$64</f>
        <v>0</v>
      </c>
      <c r="N15" s="505" t="e">
        <f t="shared" si="1"/>
        <v>#DIV/0!</v>
      </c>
      <c r="O15" s="504">
        <f>+SUM([3]DHL_Kalitta!$HD$64:$HL$64)</f>
        <v>3477119.78</v>
      </c>
      <c r="P15" s="283">
        <f>+SUM([3]DHL_Kalitta!$GP$64:$GX$64)</f>
        <v>872820</v>
      </c>
      <c r="Q15" s="488">
        <f t="shared" si="2"/>
        <v>2.9837764716665518</v>
      </c>
      <c r="R15" s="505">
        <f t="shared" si="3"/>
        <v>1.0550969686801153E-2</v>
      </c>
      <c r="S15" s="19"/>
    </row>
    <row r="16" spans="1:20" ht="14.1" customHeight="1" x14ac:dyDescent="0.2">
      <c r="A16" s="322"/>
      <c r="B16" s="54" t="s">
        <v>224</v>
      </c>
      <c r="C16" s="504">
        <f>+[3]DHL_Southair!$HL$19</f>
        <v>0</v>
      </c>
      <c r="D16" s="283">
        <f>+[3]DHL_Southair!$GX$19</f>
        <v>0</v>
      </c>
      <c r="E16" s="505" t="e">
        <f t="shared" si="4"/>
        <v>#DIV/0!</v>
      </c>
      <c r="F16" s="504">
        <f>+SUM([3]DHL_Southair!$HD$19:$HL$19)</f>
        <v>0</v>
      </c>
      <c r="G16" s="283">
        <f>+SUM([3]DHL_Southair!$GP$19:$GX$19)</f>
        <v>4</v>
      </c>
      <c r="H16" s="488">
        <f t="shared" si="5"/>
        <v>-1</v>
      </c>
      <c r="I16" s="505">
        <f t="shared" si="0"/>
        <v>0</v>
      </c>
      <c r="J16" s="322"/>
      <c r="K16" s="54" t="s">
        <v>224</v>
      </c>
      <c r="L16" s="504">
        <f>+[3]DHL_Southair!$HL$64</f>
        <v>0</v>
      </c>
      <c r="M16" s="283">
        <f>+[3]DHL_Southair!$GX$64</f>
        <v>0</v>
      </c>
      <c r="N16" s="505" t="e">
        <f t="shared" si="1"/>
        <v>#DIV/0!</v>
      </c>
      <c r="O16" s="504">
        <f>+SUM([3]DHL_Southair!$HD$64:$HL$64)</f>
        <v>0</v>
      </c>
      <c r="P16" s="283">
        <f>+SUM([3]DHL_Southair!$GP$64:$GX$64)</f>
        <v>46833</v>
      </c>
      <c r="Q16" s="488">
        <f t="shared" si="2"/>
        <v>-1</v>
      </c>
      <c r="R16" s="505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4">
        <f>+[3]DHL_Swift!$HL$19</f>
        <v>6</v>
      </c>
      <c r="D17" s="283">
        <f>+[3]DHL_Swift!$GX$19</f>
        <v>44</v>
      </c>
      <c r="E17" s="505">
        <f t="shared" si="4"/>
        <v>-0.86363636363636365</v>
      </c>
      <c r="F17" s="504">
        <f>+SUM([3]DHL_Swift!$HD$19:$HL$19)</f>
        <v>288</v>
      </c>
      <c r="G17" s="283">
        <f>+SUM([3]DHL_Swift!$GP$19:$GX$19)</f>
        <v>204</v>
      </c>
      <c r="H17" s="488">
        <f t="shared" si="5"/>
        <v>0.41176470588235292</v>
      </c>
      <c r="I17" s="505">
        <f t="shared" si="0"/>
        <v>2.34375E-2</v>
      </c>
      <c r="J17" s="322"/>
      <c r="K17" s="54" t="s">
        <v>225</v>
      </c>
      <c r="L17" s="504">
        <f>+[3]DHL_Swift!$HL$64</f>
        <v>185111</v>
      </c>
      <c r="M17" s="283">
        <f>+[3]DHL_Swift!$GX$64</f>
        <v>1009870</v>
      </c>
      <c r="N17" s="505">
        <f t="shared" si="1"/>
        <v>-0.81669818887579593</v>
      </c>
      <c r="O17" s="504">
        <f>+SUM([3]DHL_Swift!$HD$64:$HL$64)</f>
        <v>7079298</v>
      </c>
      <c r="P17" s="283">
        <f>+SUM([3]DHL_Swift!$GP$64:$GX$64)</f>
        <v>5450454</v>
      </c>
      <c r="Q17" s="488">
        <f t="shared" si="2"/>
        <v>0.2988455640575996</v>
      </c>
      <c r="R17" s="505">
        <f t="shared" si="3"/>
        <v>2.1481416611374843E-2</v>
      </c>
      <c r="S17" s="19"/>
    </row>
    <row r="18" spans="1:20" ht="14.1" customHeight="1" x14ac:dyDescent="0.2">
      <c r="A18" s="322"/>
      <c r="B18" s="54"/>
      <c r="C18" s="475"/>
      <c r="D18" s="467"/>
      <c r="E18" s="476"/>
      <c r="F18" s="475"/>
      <c r="G18" s="467"/>
      <c r="H18" s="477"/>
      <c r="I18" s="476"/>
      <c r="J18" s="322"/>
      <c r="K18" s="54"/>
      <c r="L18" s="450"/>
      <c r="N18" s="83"/>
      <c r="O18" s="450"/>
      <c r="P18" s="467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07">
        <f>SUM(C20:C23)</f>
        <v>360</v>
      </c>
      <c r="D19" s="501">
        <f>SUM(D20:D23)</f>
        <v>362</v>
      </c>
      <c r="E19" s="502">
        <f>(C19-D19)/D19</f>
        <v>-5.5248618784530384E-3</v>
      </c>
      <c r="F19" s="507">
        <f>SUM(F20:F23)</f>
        <v>3226</v>
      </c>
      <c r="G19" s="501">
        <f>SUM(G20:G23)</f>
        <v>2845</v>
      </c>
      <c r="H19" s="503">
        <f t="shared" ref="H19:H20" si="8">(F19-G19)/G19</f>
        <v>0.13391915641476274</v>
      </c>
      <c r="I19" s="502">
        <f>+F19/$F$33</f>
        <v>0.26253255208333331</v>
      </c>
      <c r="J19" s="322" t="s">
        <v>185</v>
      </c>
      <c r="K19" s="54"/>
      <c r="L19" s="507">
        <f>SUM(L20:L23)</f>
        <v>18041885</v>
      </c>
      <c r="M19" s="501">
        <f>SUM(M20:M23)</f>
        <v>16815003</v>
      </c>
      <c r="N19" s="502">
        <f>(L19-M19)/M19</f>
        <v>7.2963531436777029E-2</v>
      </c>
      <c r="O19" s="507">
        <f>SUM(O20:O23)</f>
        <v>150414171</v>
      </c>
      <c r="P19" s="501">
        <f>SUM(P20:P23)</f>
        <v>143434027</v>
      </c>
      <c r="Q19" s="503">
        <f t="shared" ref="Q19:Q21" si="9">(O19-P19)/P19</f>
        <v>4.866449158538929E-2</v>
      </c>
      <c r="R19" s="502">
        <f>O19/$O$33</f>
        <v>0.45641664915159325</v>
      </c>
      <c r="S19" s="19"/>
    </row>
    <row r="20" spans="1:20" ht="14.1" customHeight="1" x14ac:dyDescent="0.2">
      <c r="A20" s="52"/>
      <c r="B20" s="396" t="s">
        <v>185</v>
      </c>
      <c r="C20" s="504">
        <f>+[3]FedEx!$HL$19</f>
        <v>284</v>
      </c>
      <c r="D20" s="283">
        <f>+[3]FedEx!$GX$19</f>
        <v>284</v>
      </c>
      <c r="E20" s="505">
        <f>(C20-D20)/D20</f>
        <v>0</v>
      </c>
      <c r="F20" s="504">
        <f>+SUM([3]FedEx!$HD$19:$HL$19)</f>
        <v>2552</v>
      </c>
      <c r="G20" s="283">
        <f>+SUM([3]FedEx!$GP$19:$GX$19)</f>
        <v>2168</v>
      </c>
      <c r="H20" s="488">
        <f t="shared" si="8"/>
        <v>0.17712177121771217</v>
      </c>
      <c r="I20" s="505">
        <f>+F20/$F$33</f>
        <v>0.20768229166666666</v>
      </c>
      <c r="J20" s="322"/>
      <c r="K20" s="396" t="s">
        <v>185</v>
      </c>
      <c r="L20" s="504">
        <f>+[3]FedEx!$HL$64</f>
        <v>17783142</v>
      </c>
      <c r="M20" s="283">
        <f>+[3]FedEx!$GX$64</f>
        <v>16585449</v>
      </c>
      <c r="N20" s="505">
        <f>(L20-M20)/M20</f>
        <v>7.2213480623889048E-2</v>
      </c>
      <c r="O20" s="504">
        <f>+SUM([3]FedEx!$HD$64:$HL$64)</f>
        <v>148613148</v>
      </c>
      <c r="P20" s="283">
        <f>+SUM([3]FedEx!$GP$64:$GX$64)</f>
        <v>140937756</v>
      </c>
      <c r="Q20" s="488">
        <f t="shared" si="9"/>
        <v>5.4459445203597537E-2</v>
      </c>
      <c r="R20" s="505">
        <f>O20/$O$33</f>
        <v>0.45095162629344149</v>
      </c>
      <c r="S20" s="19"/>
    </row>
    <row r="21" spans="1:20" ht="14.1" customHeight="1" x14ac:dyDescent="0.2">
      <c r="A21" s="52"/>
      <c r="B21" s="396" t="s">
        <v>226</v>
      </c>
      <c r="C21" s="504">
        <f>+'[3]Mountain Cargo'!$HL$19</f>
        <v>44</v>
      </c>
      <c r="D21" s="283">
        <f>+'[3]Mountain Cargo'!$GX$19</f>
        <v>42</v>
      </c>
      <c r="E21" s="505">
        <f>(C21-D21)/D21</f>
        <v>4.7619047619047616E-2</v>
      </c>
      <c r="F21" s="504">
        <f>+SUM('[3]Mountain Cargo'!$HD$19:$HL$19)</f>
        <v>386</v>
      </c>
      <c r="G21" s="283">
        <f>+SUM('[3]Mountain Cargo'!$GP$19:$GX$19)</f>
        <v>386</v>
      </c>
      <c r="H21" s="488">
        <f>(F21-G21)/G21</f>
        <v>0</v>
      </c>
      <c r="I21" s="505">
        <f>+F21/$F$33</f>
        <v>3.1412760416666664E-2</v>
      </c>
      <c r="J21" s="474"/>
      <c r="K21" s="396" t="s">
        <v>226</v>
      </c>
      <c r="L21" s="504">
        <f>+'[3]Mountain Cargo'!$HL$64</f>
        <v>199269</v>
      </c>
      <c r="M21" s="283">
        <f>+'[3]Mountain Cargo'!$GX$64</f>
        <v>160830</v>
      </c>
      <c r="N21" s="505">
        <f>(L21-M21)/M21</f>
        <v>0.23900391717963065</v>
      </c>
      <c r="O21" s="504">
        <f>+SUM('[3]Mountain Cargo'!$HD$64:$HL$64)</f>
        <v>1345771</v>
      </c>
      <c r="P21" s="283">
        <f>+SUM('[3]Mountain Cargo'!$GP$64:$GX$64)</f>
        <v>2022412</v>
      </c>
      <c r="Q21" s="488">
        <f t="shared" si="9"/>
        <v>-0.33457129407855568</v>
      </c>
      <c r="R21" s="505">
        <f>O21/$O$33</f>
        <v>4.0836065263118648E-3</v>
      </c>
      <c r="S21" s="19"/>
    </row>
    <row r="22" spans="1:20" ht="14.1" customHeight="1" x14ac:dyDescent="0.2">
      <c r="A22" s="52"/>
      <c r="B22" s="396" t="s">
        <v>177</v>
      </c>
      <c r="C22" s="504">
        <f>+[3]IFL!$HL$19</f>
        <v>32</v>
      </c>
      <c r="D22" s="283">
        <f>+[3]IFL!$GX$19</f>
        <v>36</v>
      </c>
      <c r="E22" s="505">
        <f>(C22-D22)/D22</f>
        <v>-0.1111111111111111</v>
      </c>
      <c r="F22" s="504">
        <f>+SUM([3]IFL!$HD$19:$HL$19)</f>
        <v>288</v>
      </c>
      <c r="G22" s="283">
        <f>+SUM([3]IFL!$GP$19:$GX$19)</f>
        <v>291</v>
      </c>
      <c r="H22" s="488">
        <f>(F22-G22)/G22</f>
        <v>-1.0309278350515464E-2</v>
      </c>
      <c r="I22" s="505">
        <f>+F22/$F$33</f>
        <v>2.34375E-2</v>
      </c>
      <c r="J22" s="474"/>
      <c r="K22" s="396" t="s">
        <v>177</v>
      </c>
      <c r="L22" s="504">
        <f>+[3]IFL!$HL$64</f>
        <v>59474</v>
      </c>
      <c r="M22" s="283">
        <f>+[3]IFL!$GX$64</f>
        <v>68724</v>
      </c>
      <c r="N22" s="505">
        <f>(L22-M22)/M22</f>
        <v>-0.13459635644025378</v>
      </c>
      <c r="O22" s="504">
        <f>+SUM([3]IFL!$HD$64:$HL$64)</f>
        <v>455252</v>
      </c>
      <c r="P22" s="283">
        <f>+SUM([3]IFL!$GP$64:$GX$64)</f>
        <v>473859</v>
      </c>
      <c r="Q22" s="488">
        <f>(O22-P22)/P22</f>
        <v>-3.9266954938072293E-2</v>
      </c>
      <c r="R22" s="505">
        <f>O22/$O$33</f>
        <v>1.3814163318399111E-3</v>
      </c>
      <c r="S22" s="19"/>
    </row>
    <row r="23" spans="1:20" ht="14.1" customHeight="1" x14ac:dyDescent="0.2">
      <c r="A23" s="322"/>
      <c r="B23" s="396" t="s">
        <v>84</v>
      </c>
      <c r="C23" s="504">
        <f>+'[3]CSA Air'!$HL$19</f>
        <v>0</v>
      </c>
      <c r="D23" s="283">
        <f>+'[3]CSA Air'!$GX$19</f>
        <v>0</v>
      </c>
      <c r="E23" s="505" t="e">
        <f>(C23-D23)/D23</f>
        <v>#DIV/0!</v>
      </c>
      <c r="F23" s="504">
        <f>+SUM('[3]CSA Air'!$HD$19:$HL$19)</f>
        <v>0</v>
      </c>
      <c r="G23" s="283">
        <f>+SUM('[3]CSA Air'!$GP$19:$GX$19)</f>
        <v>0</v>
      </c>
      <c r="H23" s="488" t="e">
        <f t="shared" ref="H23" si="10">(F23-G23)/G23</f>
        <v>#DIV/0!</v>
      </c>
      <c r="I23" s="505">
        <f>+F23/$F$33</f>
        <v>0</v>
      </c>
      <c r="J23" s="322"/>
      <c r="K23" s="396" t="s">
        <v>84</v>
      </c>
      <c r="L23" s="504">
        <f>+'[3]CSA Air'!$HL$64</f>
        <v>0</v>
      </c>
      <c r="M23" s="283">
        <f>+'[3]CSA Air'!$GX$64</f>
        <v>0</v>
      </c>
      <c r="N23" s="505" t="e">
        <f>(L23-M23)/M23</f>
        <v>#DIV/0!</v>
      </c>
      <c r="O23" s="504">
        <f>+SUM('[3]CSA Air'!$HD$64:$HL$64)</f>
        <v>0</v>
      </c>
      <c r="P23" s="283">
        <f>+SUM('[3]CSA Air'!$GP$64:$GX$64)</f>
        <v>0</v>
      </c>
      <c r="Q23" s="488" t="e">
        <f t="shared" ref="Q23" si="11">(O23-P23)/P23</f>
        <v>#DIV/0!</v>
      </c>
      <c r="R23" s="505">
        <f>O23/$O$33</f>
        <v>0</v>
      </c>
      <c r="S23" s="19"/>
    </row>
    <row r="24" spans="1:20" ht="14.1" customHeight="1" x14ac:dyDescent="0.2">
      <c r="A24" s="322"/>
      <c r="B24" s="54"/>
      <c r="C24" s="475"/>
      <c r="D24" s="467"/>
      <c r="E24" s="476"/>
      <c r="F24" s="475"/>
      <c r="G24" s="467"/>
      <c r="H24" s="477"/>
      <c r="I24" s="476"/>
      <c r="J24" s="322"/>
      <c r="K24" s="54"/>
      <c r="L24" s="450"/>
      <c r="N24" s="83"/>
      <c r="O24" s="450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1">
        <f>SUM(C26:C27)</f>
        <v>708</v>
      </c>
      <c r="D25" s="501">
        <f>SUM(D26:D27)</f>
        <v>689</v>
      </c>
      <c r="E25" s="502">
        <f>(C25-D25)/D25</f>
        <v>2.7576197387518143E-2</v>
      </c>
      <c r="F25" s="501">
        <f>SUM(F26:F27)</f>
        <v>6499</v>
      </c>
      <c r="G25" s="501">
        <f>SUM(G26:G27)</f>
        <v>5994</v>
      </c>
      <c r="H25" s="503">
        <f>(F25-G25)/G25</f>
        <v>8.425091758425092E-2</v>
      </c>
      <c r="I25" s="502">
        <f>+F25/$F$33</f>
        <v>0.52888997395833337</v>
      </c>
      <c r="J25" s="322" t="s">
        <v>82</v>
      </c>
      <c r="K25" s="54"/>
      <c r="L25" s="501">
        <f>SUM(L26:L27)</f>
        <v>13716653</v>
      </c>
      <c r="M25" s="501">
        <f>SUM(M26:M27)</f>
        <v>14449568</v>
      </c>
      <c r="N25" s="502">
        <f>(L25-M25)/M25</f>
        <v>-5.0722277648715862E-2</v>
      </c>
      <c r="O25" s="501">
        <f>SUM(O26:O27)</f>
        <v>122240950</v>
      </c>
      <c r="P25" s="501">
        <f>SUM(P26:P27)</f>
        <v>108483790</v>
      </c>
      <c r="Q25" s="503">
        <f>(O25-P25)/P25</f>
        <v>0.12681304736864374</v>
      </c>
      <c r="R25" s="502">
        <f>O25/$O$33</f>
        <v>0.37092784820193209</v>
      </c>
      <c r="S25" s="432"/>
      <c r="T25" s="535"/>
    </row>
    <row r="26" spans="1:20" s="7" customFormat="1" ht="14.1" customHeight="1" x14ac:dyDescent="0.2">
      <c r="A26" s="322"/>
      <c r="B26" s="396" t="s">
        <v>82</v>
      </c>
      <c r="C26" s="504">
        <f>+[3]UPS!$HL$19</f>
        <v>304</v>
      </c>
      <c r="D26" s="283">
        <f>+[3]UPS!$GX$19</f>
        <v>287</v>
      </c>
      <c r="E26" s="505">
        <f>(C26-D26)/D26</f>
        <v>5.9233449477351915E-2</v>
      </c>
      <c r="F26" s="504">
        <f>+SUM([3]UPS!$HD$19:$HL$19)</f>
        <v>2761</v>
      </c>
      <c r="G26" s="283">
        <f>+SUM([3]UPS!$GP$19:$GX$19)</f>
        <v>2454</v>
      </c>
      <c r="H26" s="488">
        <f>(F26-G26)/G26</f>
        <v>0.12510187449062754</v>
      </c>
      <c r="I26" s="505">
        <f>+F26/$F$33</f>
        <v>0.22469075520833334</v>
      </c>
      <c r="J26" s="322"/>
      <c r="K26" s="396" t="s">
        <v>82</v>
      </c>
      <c r="L26" s="504">
        <f>+[3]UPS!$HL$64</f>
        <v>13716653</v>
      </c>
      <c r="M26" s="283">
        <f>+[3]UPS!$GX$64</f>
        <v>14449568</v>
      </c>
      <c r="N26" s="505">
        <f>(L26-M26)/M26</f>
        <v>-5.0722277648715862E-2</v>
      </c>
      <c r="O26" s="504">
        <f>+SUM([3]UPS!$HD$64:$HL$64)</f>
        <v>122240950</v>
      </c>
      <c r="P26" s="283">
        <f>+SUM([3]UPS!$GP$64:$GX$64)</f>
        <v>108483790</v>
      </c>
      <c r="Q26" s="488">
        <f>(O26-P26)/P26</f>
        <v>0.12681304736864374</v>
      </c>
      <c r="R26" s="505">
        <f>O26/$O$33</f>
        <v>0.37092784820193209</v>
      </c>
      <c r="S26" s="432"/>
      <c r="T26" s="535"/>
    </row>
    <row r="27" spans="1:20" x14ac:dyDescent="0.2">
      <c r="A27" s="322"/>
      <c r="B27" s="396" t="s">
        <v>83</v>
      </c>
      <c r="C27" s="504">
        <f>+[3]Bemidji!$HL$19</f>
        <v>404</v>
      </c>
      <c r="D27" s="283">
        <f>+[3]Bemidji!$GX$19</f>
        <v>402</v>
      </c>
      <c r="E27" s="505">
        <f>(C27-D27)/D27</f>
        <v>4.9751243781094526E-3</v>
      </c>
      <c r="F27" s="504">
        <f>+SUM([3]Bemidji!$HD$19:$HL$19)</f>
        <v>3738</v>
      </c>
      <c r="G27" s="283">
        <f>+SUM([3]Bemidji!$GP$19:$GX$19)</f>
        <v>3540</v>
      </c>
      <c r="H27" s="488">
        <f t="shared" ref="H27" si="12">(F27-G27)/G27</f>
        <v>5.5932203389830508E-2</v>
      </c>
      <c r="I27" s="505">
        <f>+F27/$F$33</f>
        <v>0.30419921875</v>
      </c>
      <c r="J27" s="322"/>
      <c r="K27" s="396" t="s">
        <v>83</v>
      </c>
      <c r="L27" s="570" t="s">
        <v>188</v>
      </c>
      <c r="M27" s="571"/>
      <c r="N27" s="571"/>
      <c r="O27" s="571"/>
      <c r="P27" s="571"/>
      <c r="Q27" s="571"/>
      <c r="R27" s="572"/>
    </row>
    <row r="28" spans="1:20" s="435" customFormat="1" x14ac:dyDescent="0.2">
      <c r="A28" s="52"/>
      <c r="B28" s="54"/>
      <c r="C28" s="475"/>
      <c r="D28" s="2"/>
      <c r="E28" s="83"/>
      <c r="F28" s="450"/>
      <c r="G28" s="2"/>
      <c r="H28" s="3"/>
      <c r="I28" s="83"/>
      <c r="J28" s="52"/>
      <c r="K28" s="54"/>
      <c r="L28" s="450"/>
      <c r="M28" s="2"/>
      <c r="N28" s="83"/>
      <c r="O28" s="450"/>
      <c r="P28" s="2"/>
      <c r="Q28" s="3"/>
      <c r="R28" s="83"/>
      <c r="T28" s="533"/>
    </row>
    <row r="29" spans="1:20" x14ac:dyDescent="0.2">
      <c r="A29" s="322" t="s">
        <v>127</v>
      </c>
      <c r="B29" s="54"/>
      <c r="C29" s="507">
        <f>+'[3]Misc Cargo'!$HL$19</f>
        <v>0</v>
      </c>
      <c r="D29" s="501">
        <f>+'[3]Misc Cargo'!$GX$19</f>
        <v>0</v>
      </c>
      <c r="E29" s="502" t="e">
        <f>(C29-D29)/D29</f>
        <v>#DIV/0!</v>
      </c>
      <c r="F29" s="507">
        <f>+SUM('[3]Misc Cargo'!$HD$19:$HL$19)</f>
        <v>6</v>
      </c>
      <c r="G29" s="501">
        <f>+SUM('[3]Misc Cargo'!$GP$19:$GX$19)</f>
        <v>13</v>
      </c>
      <c r="H29" s="503">
        <f>(F29-G29)/G29</f>
        <v>-0.53846153846153844</v>
      </c>
      <c r="I29" s="502">
        <f>+F29/$F$33</f>
        <v>4.8828125E-4</v>
      </c>
      <c r="J29" s="322" t="s">
        <v>127</v>
      </c>
      <c r="K29" s="54"/>
      <c r="L29" s="507">
        <f>+'[3]Misc Cargo'!$HL$64</f>
        <v>0</v>
      </c>
      <c r="M29" s="501">
        <f>+'[3]Misc Cargo'!$GX$64</f>
        <v>0</v>
      </c>
      <c r="N29" s="502" t="e">
        <f>(L29-M29)/M29</f>
        <v>#DIV/0!</v>
      </c>
      <c r="O29" s="507">
        <f>+SUM('[3]Misc Cargo'!$HD$64:$HL$64)</f>
        <v>7505</v>
      </c>
      <c r="P29" s="501">
        <f>+SUM('[3]Misc Cargo'!$GP$64:$GX$64)</f>
        <v>268555</v>
      </c>
      <c r="Q29" s="503">
        <f>(O29-P29)/P29</f>
        <v>-0.97205414160972614</v>
      </c>
      <c r="R29" s="502">
        <f>O29/$O$33</f>
        <v>2.2773166445086531E-5</v>
      </c>
    </row>
    <row r="30" spans="1:20" x14ac:dyDescent="0.2">
      <c r="A30" s="52"/>
      <c r="B30" s="54"/>
      <c r="C30" s="475"/>
      <c r="E30" s="83"/>
      <c r="F30" s="450"/>
      <c r="I30" s="83"/>
      <c r="J30" s="52"/>
      <c r="K30" s="54"/>
      <c r="L30" s="450"/>
      <c r="N30" s="83"/>
      <c r="O30" s="450"/>
      <c r="P30" s="2"/>
      <c r="Q30" s="3"/>
      <c r="R30" s="83"/>
    </row>
    <row r="31" spans="1:20" ht="13.5" thickBot="1" x14ac:dyDescent="0.25">
      <c r="A31" s="433"/>
      <c r="B31" s="508"/>
      <c r="C31" s="509"/>
      <c r="D31" s="510"/>
      <c r="E31" s="511"/>
      <c r="F31" s="509"/>
      <c r="G31" s="510"/>
      <c r="H31" s="512"/>
      <c r="I31" s="511"/>
      <c r="J31" s="322"/>
      <c r="K31" s="54"/>
      <c r="L31" s="513"/>
      <c r="M31" s="340"/>
      <c r="N31" s="514"/>
      <c r="O31" s="513"/>
      <c r="P31" s="340"/>
      <c r="Q31" s="515"/>
      <c r="R31" s="508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6" t="s">
        <v>186</v>
      </c>
      <c r="C33" s="437">
        <f>+C29+C25+C19+C9+C5</f>
        <v>1384</v>
      </c>
      <c r="D33" s="437">
        <f>+D29+D25+D19+D9+D5</f>
        <v>1308</v>
      </c>
      <c r="E33" s="438">
        <f>(C33-D33)/D33</f>
        <v>5.8103975535168197E-2</v>
      </c>
      <c r="F33" s="437">
        <f>+F29+F25+F19+F9+F5</f>
        <v>12288</v>
      </c>
      <c r="G33" s="437">
        <f>+G29+G25+G19+G9+G5</f>
        <v>10848</v>
      </c>
      <c r="H33" s="439">
        <f>(F33-G33)/G33</f>
        <v>0.13274336283185842</v>
      </c>
      <c r="I33" s="454"/>
      <c r="J33"/>
      <c r="K33" s="436" t="s">
        <v>186</v>
      </c>
      <c r="L33" s="437">
        <f>+L29+L25+L19+L9+L5</f>
        <v>40180213</v>
      </c>
      <c r="M33" s="437">
        <f>+M29+M25+M19+M9+M5</f>
        <v>34486214</v>
      </c>
      <c r="N33" s="440">
        <f>(L33-M33)/M33</f>
        <v>0.16510942604485376</v>
      </c>
      <c r="O33" s="437">
        <f>+O29+O25+O19+O9+O5</f>
        <v>329554522.77999997</v>
      </c>
      <c r="P33" s="437">
        <f>+P29+P25+P19+P9+P5</f>
        <v>286822068</v>
      </c>
      <c r="Q33" s="439">
        <f t="shared" ref="Q33" si="13">(O33-P33)/P33</f>
        <v>0.14898593779053282</v>
      </c>
      <c r="R33" s="454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 s="128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3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6" fitToHeight="0" orientation="landscape" r:id="rId1"/>
  <headerFooter>
    <oddHeader>&amp;CMinneapolis-St. Paul International Airport&amp;"Arial,Bold"
Cargo YTD
September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2022-04-01T16:03:54Z</dcterms:modified>
</cp:coreProperties>
</file>