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112A3966-56E1-4ADF-A708-609839FBE2EC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6" l="1"/>
  <c r="J35" i="16"/>
  <c r="J29" i="16"/>
  <c r="J28" i="16"/>
  <c r="J23" i="16"/>
  <c r="J22" i="16"/>
  <c r="J18" i="16"/>
  <c r="J17" i="16"/>
  <c r="J10" i="16"/>
  <c r="J9" i="16"/>
  <c r="J5" i="16"/>
  <c r="J4" i="16"/>
  <c r="Y57" i="9"/>
  <c r="V57" i="9"/>
  <c r="P57" i="9"/>
  <c r="M57" i="9"/>
  <c r="G57" i="9"/>
  <c r="D57" i="9"/>
  <c r="Y55" i="9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X57" i="9"/>
  <c r="U57" i="9"/>
  <c r="O57" i="9"/>
  <c r="L57" i="9"/>
  <c r="F57" i="9"/>
  <c r="C57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9" i="7"/>
  <c r="M28" i="7"/>
  <c r="L28" i="7"/>
  <c r="J29" i="7"/>
  <c r="C28" i="7"/>
  <c r="B28" i="7"/>
  <c r="N28" i="7" l="1"/>
  <c r="E29" i="7"/>
  <c r="D28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M27" i="7"/>
  <c r="L27" i="7"/>
  <c r="O28" i="7"/>
  <c r="J28" i="7"/>
  <c r="C27" i="7"/>
  <c r="B27" i="7"/>
  <c r="E28" i="7"/>
  <c r="E22" i="1" l="1"/>
  <c r="H22" i="1"/>
  <c r="N27" i="7"/>
  <c r="D27" i="7"/>
  <c r="M26" i="7"/>
  <c r="L26" i="7"/>
  <c r="M25" i="7"/>
  <c r="L25" i="7"/>
  <c r="O27" i="7"/>
  <c r="J27" i="7"/>
  <c r="C26" i="7"/>
  <c r="B26" i="7"/>
  <c r="E27" i="7"/>
  <c r="N26" i="7" l="1"/>
  <c r="N25" i="7"/>
  <c r="D26" i="7"/>
  <c r="H6" i="7"/>
  <c r="H5" i="7"/>
  <c r="L5" i="15"/>
  <c r="W57" i="9"/>
  <c r="N57" i="9"/>
  <c r="Q57" i="9"/>
  <c r="Z57" i="9"/>
  <c r="F12" i="7"/>
  <c r="F7" i="7"/>
  <c r="E57" i="9"/>
  <c r="H57" i="9"/>
  <c r="O26" i="7" l="1"/>
  <c r="J26" i="7"/>
  <c r="C25" i="7"/>
  <c r="B25" i="7"/>
  <c r="E26" i="7"/>
  <c r="E25" i="7"/>
  <c r="O25" i="7"/>
  <c r="M24" i="7"/>
  <c r="L24" i="7"/>
  <c r="J25" i="7"/>
  <c r="C24" i="7"/>
  <c r="B24" i="7"/>
  <c r="N24" i="7" l="1"/>
  <c r="K16" i="3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D25" i="7"/>
  <c r="O24" i="7"/>
  <c r="M23" i="7"/>
  <c r="L23" i="7"/>
  <c r="J24" i="7"/>
  <c r="B23" i="7"/>
  <c r="C23" i="7"/>
  <c r="E24" i="7"/>
  <c r="N23" i="7" l="1"/>
  <c r="E61" i="9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C29" i="7" l="1"/>
  <c r="B29" i="7"/>
  <c r="H18" i="8"/>
  <c r="H31" i="8"/>
  <c r="H32" i="8"/>
  <c r="H28" i="8"/>
  <c r="D29" i="7" l="1"/>
  <c r="D24" i="7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K18" i="3" s="1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H11" i="1" s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G21" i="1" l="1"/>
  <c r="B33" i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19" i="1" l="1"/>
  <c r="G18" i="1"/>
  <c r="G7" i="1"/>
  <c r="C22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B8" i="1"/>
  <c r="I21" i="1"/>
  <c r="I20" i="1"/>
  <c r="D6" i="1"/>
  <c r="C8" i="1"/>
  <c r="C33" i="7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D16" i="1"/>
  <c r="C7" i="5"/>
  <c r="E5" i="5"/>
  <c r="F5" i="5" s="1"/>
  <c r="I5" i="5" s="1"/>
  <c r="G6" i="1" l="1"/>
  <c r="G16" i="1"/>
  <c r="D22" i="1"/>
  <c r="F22" i="1" s="1"/>
  <c r="B22" i="1"/>
  <c r="G5" i="1"/>
  <c r="C33" i="1"/>
  <c r="B32" i="1"/>
  <c r="D32" i="1" s="1"/>
  <c r="I7" i="1"/>
  <c r="I19" i="1"/>
  <c r="B20" i="5"/>
  <c r="E20" i="5" s="1"/>
  <c r="D10" i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M29" i="7" s="1"/>
  <c r="H29" i="7" s="1"/>
  <c r="B11" i="1"/>
  <c r="L29" i="7" s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D27" i="1" s="1"/>
  <c r="G27" i="1" s="1"/>
  <c r="F17" i="1"/>
  <c r="G10" i="1" l="1"/>
  <c r="G22" i="1"/>
  <c r="I22" i="1" s="1"/>
  <c r="N29" i="7"/>
  <c r="P29" i="7" s="1"/>
  <c r="G29" i="7"/>
  <c r="G28" i="7"/>
  <c r="H27" i="7"/>
  <c r="H28" i="7"/>
  <c r="P27" i="7"/>
  <c r="G27" i="7"/>
  <c r="G25" i="7"/>
  <c r="G26" i="7"/>
  <c r="H26" i="7"/>
  <c r="H24" i="7"/>
  <c r="H25" i="7"/>
  <c r="P24" i="7"/>
  <c r="G24" i="7"/>
  <c r="H22" i="7"/>
  <c r="G22" i="7"/>
  <c r="N21" i="7"/>
  <c r="P3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8" i="1" s="1"/>
  <c r="I17" i="1"/>
  <c r="D11" i="1"/>
  <c r="F11" i="1" s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9" i="7" l="1"/>
  <c r="I28" i="7"/>
  <c r="K28" i="7" s="1"/>
  <c r="I27" i="7"/>
  <c r="K27" i="7" s="1"/>
  <c r="I24" i="7"/>
  <c r="K24" i="7" s="1"/>
  <c r="I26" i="7"/>
  <c r="K26" i="7" s="1"/>
  <c r="P26" i="7"/>
  <c r="I25" i="7"/>
  <c r="K25" i="7" s="1"/>
  <c r="P25" i="7"/>
  <c r="I22" i="7"/>
  <c r="K22" i="7" s="1"/>
  <c r="K31" i="7"/>
  <c r="P32" i="7"/>
  <c r="K30" i="7"/>
  <c r="P30" i="7"/>
  <c r="K29" i="7"/>
  <c r="I22" i="5"/>
  <c r="P28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1" i="5"/>
  <c r="E32" i="1"/>
  <c r="K20" i="5"/>
  <c r="K22" i="5"/>
  <c r="N33" i="7" l="1"/>
  <c r="P33" i="7" s="1"/>
  <c r="L33" i="7"/>
  <c r="I21" i="7" l="1"/>
  <c r="P21" i="7"/>
  <c r="K21" i="7" l="1"/>
  <c r="G33" i="7"/>
  <c r="B33" i="7"/>
  <c r="D23" i="7"/>
  <c r="D33" i="7" s="1"/>
  <c r="F33" i="7" l="1"/>
  <c r="I23" i="7"/>
  <c r="F23" i="7"/>
  <c r="K23" i="7" l="1"/>
  <c r="I33" i="7"/>
  <c r="K33" i="7" l="1"/>
</calcChain>
</file>

<file path=xl/sharedStrings.xml><?xml version="1.0" encoding="utf-8"?>
<sst xmlns="http://schemas.openxmlformats.org/spreadsheetml/2006/main" count="676" uniqueCount="252">
  <si>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</si>
  <si>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</si>
  <si>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</si>
  <si>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</si>
  <si>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</si>
  <si>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</si>
  <si>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</si>
  <si>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</si>
  <si>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</si>
  <si>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</si>
  <si>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</si>
  <si>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</si>
  <si>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</si>
  <si>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</si>
  <si>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</si>
  <si>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</si>
  <si>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</si>
  <si>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</si>
  <si>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</si>
  <si>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</si>
  <si>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</si>
  <si>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</si>
  <si>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</si>
  <si>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</si>
  <si>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</si>
  <si>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</si>
  <si>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</si>
  <si>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</si>
  <si>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</si>
  <si>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</si>
  <si>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</si>
  <si>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</si>
  <si>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</si>
  <si>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</si>
  <si>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</si>
  <si>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</si>
  <si>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</si>
  <si>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</si>
  <si>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</si>
  <si>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</si>
  <si>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</si>
  <si>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</si>
  <si>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</si>
  <si>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</si>
  <si>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</si>
  <si>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</si>
  <si>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</si>
  <si>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</si>
  <si>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</si>
  <si>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</si>
  <si>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</si>
  <si>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</si>
  <si>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</si>
  <si>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</si>
  <si>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</si>
  <si>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</si>
  <si>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</si>
  <si>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</si>
  <si>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</si>
  <si>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</si>
  <si>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</si>
  <si>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</si>
  <si>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</si>
  <si>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</si>
  <si>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</si>
  <si>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</si>
  <si>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</si>
  <si>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</si>
  <si>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</si>
  <si>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</si>
  <si>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</si>
  <si>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</si>
  <si>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</si>
  <si>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</si>
  <si>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</si>
  <si>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</si>
  <si>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</si>
  <si>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</si>
  <si>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</si>
  <si>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</si>
  <si>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</si>
  <si>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</si>
  <si>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</si>
  <si>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</si>
  <si>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</si>
  <si>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</si>
  <si>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</si>
  <si>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</si>
  <si>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</si>
  <si>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</si>
  <si>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</si>
  <si>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</si>
  <si>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</si>
  <si>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</si>
  <si>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</si>
  <si>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</si>
  <si>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</si>
  <si>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</si>
  <si>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</si>
  <si>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</si>
  <si>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</si>
  <si>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</si>
  <si>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</si>
  <si>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</si>
  <si>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</si>
  <si>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</si>
  <si>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</si>
  <si>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</si>
  <si>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</si>
  <si>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</si>
  <si>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</si>
  <si>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</si>
  <si>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</si>
  <si>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</si>
  <si>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</si>
  <si>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</si>
  <si>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</si>
  <si>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</si>
  <si>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</si>
  <si>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</si>
  <si>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</si>
  <si>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</si>
  <si>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</si>
  <si>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</si>
  <si>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</si>
  <si>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</si>
  <si>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</si>
  <si>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</si>
  <si>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</si>
  <si>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</si>
  <si>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</si>
  <si>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</si>
  <si>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</si>
  <si>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</si>
  <si>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</si>
  <si>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</si>
  <si>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</si>
  <si>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</si>
  <si>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</si>
  <si>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</si>
  <si>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</si>
  <si>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</si>
  <si>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</si>
  <si>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</si>
  <si>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</si>
  <si>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</si>
  <si>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</si>
  <si>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</si>
  <si>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</si>
  <si>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</si>
  <si>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</si>
  <si>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</si>
  <si>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</si>
  <si>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</si>
  <si>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</si>
  <si>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</si>
  <si>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</si>
  <si>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</si>
  <si>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</si>
  <si>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</si>
  <si>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</si>
  <si>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</si>
  <si>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</si>
  <si>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</si>
  <si>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</si>
  <si>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</si>
  <si>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</si>
  <si>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</si>
  <si>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</si>
  <si>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</si>
  <si>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</si>
  <si>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</si>
  <si>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</si>
  <si>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</si>
  <si>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</si>
  <si>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</si>
  <si>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</si>
  <si>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</si>
  <si>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</si>
  <si>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</si>
  <si>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</si>
  <si>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</si>
  <si>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</si>
  <si>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</si>
  <si>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</si>
  <si>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</si>
  <si>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</si>
  <si>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</si>
  <si>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</si>
  <si>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</si>
  <si>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</si>
  <si>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</si>
  <si>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</si>
  <si>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</si>
  <si>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</si>
  <si>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</si>
  <si>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</si>
  <si>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</si>
  <si>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</si>
  <si>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</si>
  <si>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</si>
  <si>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</si>
  <si>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</si>
  <si>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</si>
  <si>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</si>
  <si>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</si>
  <si>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</si>
  <si>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</si>
  <si>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</si>
  <si>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</si>
  <si>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</si>
  <si>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</si>
  <si>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</si>
  <si>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</si>
  <si>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</si>
  <si>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</si>
  <si>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</si>
  <si>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</si>
  <si>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</si>
  <si>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</si>
  <si>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</si>
  <si>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</si>
  <si>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</si>
  <si>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</si>
  <si>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</si>
  <si>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</si>
  <si>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</si>
  <si>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</si>
  <si>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</si>
  <si>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</si>
  <si>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</si>
  <si>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</si>
  <si>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</si>
  <si>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</si>
  <si>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</si>
  <si>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</si>
  <si>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</si>
  <si>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</si>
  <si>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</si>
  <si>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</si>
  <si>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</si>
  <si>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</si>
  <si>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</si>
  <si>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</si>
  <si>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</si>
  <si>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</si>
  <si>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WestJet</t>
  </si>
  <si>
    <t>Red Way</t>
  </si>
  <si>
    <t>.</t>
  </si>
  <si>
    <t>Air Wisconsin-American</t>
  </si>
  <si>
    <t>September 2022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</si>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</sst>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64" fontId="0" fillId="0" borderId="17" xfId="3" applyNumberFormat="1" applyFont="1" applyBorder="1" applyAlignment="1">
      <alignment horizontal="center"/>
    </xf>
    <xf numFmtId="164" fontId="0" fillId="0" borderId="18" xfId="3" applyNumberFormat="1" applyFon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September%202022.xlsx" TargetMode="External"/><Relationship Id="rId1" Type="http://schemas.openxmlformats.org/officeDocument/2006/relationships/externalLinkPath" Target="/data/Finance%20Stats/Monthly%20Operations%20report/2022/MSP%20September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MSP%20July%20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July%202022.xlsx" TargetMode="External"/><Relationship Id="rId1" Type="http://schemas.openxmlformats.org/officeDocument/2006/relationships/externalLinkPath" Target="/data/Finance%20Stats/Monthly%20Operations%20report/2022/MSP%20July%20202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ugus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MSP%20August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2061063</v>
          </cell>
          <cell r="G5">
            <v>18910852</v>
          </cell>
        </row>
        <row r="6">
          <cell r="D6">
            <v>460142</v>
          </cell>
          <cell r="G6">
            <v>3960826</v>
          </cell>
        </row>
        <row r="7">
          <cell r="D7">
            <v>0</v>
          </cell>
          <cell r="G7">
            <v>4836</v>
          </cell>
        </row>
        <row r="10">
          <cell r="D10">
            <v>76398</v>
          </cell>
          <cell r="G10">
            <v>657273</v>
          </cell>
        </row>
        <row r="16">
          <cell r="D16">
            <v>14510</v>
          </cell>
          <cell r="G16">
            <v>135267</v>
          </cell>
        </row>
        <row r="17">
          <cell r="D17">
            <v>8012</v>
          </cell>
          <cell r="G17">
            <v>74723</v>
          </cell>
        </row>
        <row r="18">
          <cell r="D18">
            <v>0</v>
          </cell>
          <cell r="G18">
            <v>47</v>
          </cell>
        </row>
        <row r="19">
          <cell r="D19">
            <v>1254</v>
          </cell>
          <cell r="G19">
            <v>11668</v>
          </cell>
        </row>
        <row r="20">
          <cell r="D20">
            <v>1669</v>
          </cell>
          <cell r="G20">
            <v>13279</v>
          </cell>
        </row>
        <row r="21">
          <cell r="D21">
            <v>87</v>
          </cell>
          <cell r="G21">
            <v>768</v>
          </cell>
        </row>
        <row r="27">
          <cell r="D27">
            <v>17423.29395485756</v>
          </cell>
          <cell r="G27">
            <v>154022.01321659659</v>
          </cell>
        </row>
        <row r="28">
          <cell r="D28">
            <v>2170.7275216049502</v>
          </cell>
          <cell r="G28">
            <v>22802.898283717397</v>
          </cell>
        </row>
        <row r="32">
          <cell r="B32">
            <v>845331</v>
          </cell>
          <cell r="D32">
            <v>7839407</v>
          </cell>
        </row>
        <row r="33">
          <cell r="B33">
            <v>416480</v>
          </cell>
          <cell r="D33">
            <v>3567853</v>
          </cell>
        </row>
      </sheetData>
      <sheetData sheetId="1"/>
      <sheetData sheetId="2"/>
      <sheetData sheetId="3"/>
      <sheetData sheetId="4"/>
      <sheetData sheetId="5">
        <row r="29">
          <cell r="D29">
            <v>146335</v>
          </cell>
          <cell r="I29">
            <v>2451268</v>
          </cell>
          <cell r="N29">
            <v>2597603</v>
          </cell>
        </row>
      </sheetData>
      <sheetData sheetId="6"/>
      <sheetData sheetId="7">
        <row r="5">
          <cell r="F5">
            <v>9508.1288707913191</v>
          </cell>
          <cell r="I5">
            <v>85896.668900728371</v>
          </cell>
        </row>
        <row r="6">
          <cell r="F6">
            <v>1201.71859516632</v>
          </cell>
          <cell r="I6">
            <v>12940.281804818058</v>
          </cell>
        </row>
        <row r="10">
          <cell r="F10">
            <v>7915.1650840662396</v>
          </cell>
          <cell r="I10">
            <v>68125.34431586822</v>
          </cell>
        </row>
        <row r="11">
          <cell r="F11">
            <v>969.00892643862994</v>
          </cell>
          <cell r="I11">
            <v>9862.6164788993374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17423.29395485756</v>
          </cell>
          <cell r="I20">
            <v>154022.01321659662</v>
          </cell>
        </row>
        <row r="21">
          <cell r="F21">
            <v>2170.7275216049497</v>
          </cell>
          <cell r="I21">
            <v>22802.898283717401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  <cell r="L25">
            <v>1454036</v>
          </cell>
          <cell r="M25">
            <v>1408918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121820</v>
          </cell>
          <cell r="C26">
            <v>128458</v>
          </cell>
          <cell r="L26">
            <v>1633239</v>
          </cell>
          <cell r="M26">
            <v>1624341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139115</v>
          </cell>
          <cell r="C27">
            <v>126500</v>
          </cell>
          <cell r="L27">
            <v>1715903</v>
          </cell>
          <cell r="M27">
            <v>1703844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180630</v>
          </cell>
          <cell r="I27">
            <v>2778188</v>
          </cell>
          <cell r="N27">
            <v>2958818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181603</v>
          </cell>
          <cell r="I28">
            <v>2731608</v>
          </cell>
          <cell r="N28">
            <v>2913211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19982735</v>
          </cell>
        </row>
        <row r="6">
          <cell r="G6">
            <v>2725429</v>
          </cell>
        </row>
        <row r="7">
          <cell r="G7">
            <v>3390</v>
          </cell>
        </row>
        <row r="10">
          <cell r="G10">
            <v>643346</v>
          </cell>
        </row>
        <row r="16">
          <cell r="G16">
            <v>143481</v>
          </cell>
        </row>
        <row r="17">
          <cell r="G17">
            <v>49846</v>
          </cell>
        </row>
        <row r="18">
          <cell r="G18">
            <v>58</v>
          </cell>
        </row>
        <row r="19">
          <cell r="G19">
            <v>9248</v>
          </cell>
        </row>
        <row r="20">
          <cell r="G20">
            <v>11738</v>
          </cell>
        </row>
        <row r="21">
          <cell r="G21">
            <v>426</v>
          </cell>
        </row>
        <row r="27">
          <cell r="G27">
            <v>125378.09666862803</v>
          </cell>
        </row>
        <row r="28">
          <cell r="G28">
            <v>7696.2636742660907</v>
          </cell>
        </row>
        <row r="32">
          <cell r="D32">
            <v>7710064</v>
          </cell>
        </row>
        <row r="33">
          <cell r="D33">
            <v>3587136</v>
          </cell>
        </row>
      </sheetData>
      <sheetData sheetId="1"/>
      <sheetData sheetId="2"/>
      <sheetData sheetId="3"/>
      <sheetData sheetId="4"/>
      <sheetData sheetId="5">
        <row r="28">
          <cell r="B28">
            <v>136198</v>
          </cell>
          <cell r="C28">
            <v>125692</v>
          </cell>
          <cell r="L28">
            <v>1683949</v>
          </cell>
          <cell r="M28">
            <v>1659442</v>
          </cell>
        </row>
      </sheetData>
      <sheetData sheetId="6"/>
      <sheetData sheetId="7">
        <row r="5">
          <cell r="I5">
            <v>68911.512289843988</v>
          </cell>
        </row>
        <row r="6">
          <cell r="I6">
            <v>3981.1321506987802</v>
          </cell>
        </row>
        <row r="10">
          <cell r="I10">
            <v>56466.584378784042</v>
          </cell>
        </row>
        <row r="11">
          <cell r="I11">
            <v>3715.1315235673096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125378.09666862803</v>
          </cell>
        </row>
        <row r="21">
          <cell r="I21">
            <v>7696.2636742660907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5">
        <row r="4">
          <cell r="IN4">
            <v>9</v>
          </cell>
        </row>
        <row r="5">
          <cell r="IN5">
            <v>9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</row>
        <row r="22">
          <cell r="IN22">
            <v>890</v>
          </cell>
        </row>
        <row r="23">
          <cell r="IN23">
            <v>915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6"/>
      <sheetData sheetId="7">
        <row r="4">
          <cell r="IN4">
            <v>106</v>
          </cell>
        </row>
        <row r="5">
          <cell r="IN5">
            <v>106</v>
          </cell>
        </row>
        <row r="8">
          <cell r="IN8">
            <v>1</v>
          </cell>
        </row>
        <row r="9">
          <cell r="IN9">
            <v>1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</row>
        <row r="22">
          <cell r="IN22">
            <v>13953</v>
          </cell>
        </row>
        <row r="23">
          <cell r="IN23">
            <v>13441</v>
          </cell>
        </row>
        <row r="27">
          <cell r="IN27">
            <v>448</v>
          </cell>
        </row>
        <row r="28">
          <cell r="IN28">
            <v>471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</row>
        <row r="47">
          <cell r="IN47">
            <v>41037</v>
          </cell>
        </row>
        <row r="48">
          <cell r="IN48">
            <v>25</v>
          </cell>
        </row>
        <row r="52">
          <cell r="IN52">
            <v>13193</v>
          </cell>
        </row>
        <row r="53">
          <cell r="IN53">
            <v>280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</row>
      </sheetData>
      <sheetData sheetId="8"/>
      <sheetData sheetId="9">
        <row r="4">
          <cell r="IN4">
            <v>361</v>
          </cell>
        </row>
        <row r="5">
          <cell r="IN5">
            <v>360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</row>
        <row r="22">
          <cell r="IN22">
            <v>50451</v>
          </cell>
        </row>
        <row r="23">
          <cell r="IN23">
            <v>50989</v>
          </cell>
        </row>
        <row r="27">
          <cell r="IN27">
            <v>1938</v>
          </cell>
        </row>
        <row r="28">
          <cell r="IN28">
            <v>2043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</row>
        <row r="47">
          <cell r="IN47">
            <v>43895</v>
          </cell>
        </row>
        <row r="48">
          <cell r="IN48">
            <v>130</v>
          </cell>
        </row>
        <row r="52">
          <cell r="IN52">
            <v>9105</v>
          </cell>
        </row>
        <row r="53">
          <cell r="IN53">
            <v>1561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</row>
      </sheetData>
      <sheetData sheetId="10"/>
      <sheetData sheetId="11"/>
      <sheetData sheetId="12">
        <row r="15">
          <cell r="IJ15">
            <v>3</v>
          </cell>
          <cell r="IK15">
            <v>11</v>
          </cell>
          <cell r="IL15">
            <v>14</v>
          </cell>
          <cell r="IM15">
            <v>13</v>
          </cell>
          <cell r="IN15">
            <v>3</v>
          </cell>
        </row>
        <row r="16">
          <cell r="IJ16">
            <v>3</v>
          </cell>
          <cell r="IK16">
            <v>11</v>
          </cell>
          <cell r="IL16">
            <v>14</v>
          </cell>
          <cell r="IM16">
            <v>13</v>
          </cell>
          <cell r="IN16">
            <v>3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</row>
        <row r="32">
          <cell r="IJ32">
            <v>608</v>
          </cell>
          <cell r="IK32">
            <v>2259</v>
          </cell>
          <cell r="IL32">
            <v>3092</v>
          </cell>
          <cell r="IM32">
            <v>2862</v>
          </cell>
          <cell r="IN32">
            <v>609</v>
          </cell>
        </row>
        <row r="33">
          <cell r="IJ33">
            <v>760</v>
          </cell>
          <cell r="IK33">
            <v>2746</v>
          </cell>
          <cell r="IL33">
            <v>2974</v>
          </cell>
          <cell r="IM33">
            <v>2506</v>
          </cell>
          <cell r="IN33">
            <v>588</v>
          </cell>
        </row>
        <row r="37">
          <cell r="IJ37">
            <v>2</v>
          </cell>
          <cell r="IK37">
            <v>7</v>
          </cell>
          <cell r="IL37">
            <v>13</v>
          </cell>
          <cell r="IM37">
            <v>12</v>
          </cell>
          <cell r="IN37">
            <v>1</v>
          </cell>
        </row>
        <row r="38">
          <cell r="IJ38">
            <v>1</v>
          </cell>
          <cell r="IK38">
            <v>8</v>
          </cell>
          <cell r="IL38">
            <v>7</v>
          </cell>
          <cell r="IM38">
            <v>7</v>
          </cell>
          <cell r="IN38">
            <v>5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</row>
        <row r="47">
          <cell r="IN47">
            <v>19628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</row>
      </sheetData>
      <sheetData sheetId="13">
        <row r="4">
          <cell r="IN4">
            <v>5682</v>
          </cell>
        </row>
        <row r="5">
          <cell r="IN5">
            <v>5672</v>
          </cell>
        </row>
        <row r="8">
          <cell r="IN8">
            <v>4</v>
          </cell>
        </row>
        <row r="9">
          <cell r="IN9">
            <v>16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  <cell r="IL15">
            <v>549</v>
          </cell>
          <cell r="IM15">
            <v>544</v>
          </cell>
          <cell r="IN15">
            <v>498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  <cell r="IL16">
            <v>549</v>
          </cell>
          <cell r="IM16">
            <v>547</v>
          </cell>
          <cell r="IN16">
            <v>493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</row>
        <row r="22">
          <cell r="IN22">
            <v>751038</v>
          </cell>
        </row>
        <row r="23">
          <cell r="IN23">
            <v>766880</v>
          </cell>
        </row>
        <row r="27">
          <cell r="IN27">
            <v>24198</v>
          </cell>
        </row>
        <row r="28">
          <cell r="IN28">
            <v>23903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  <cell r="IL32">
            <v>105880</v>
          </cell>
          <cell r="IM32">
            <v>104500</v>
          </cell>
          <cell r="IN32">
            <v>89823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  <cell r="IL33">
            <v>96146</v>
          </cell>
          <cell r="IM33">
            <v>95139</v>
          </cell>
          <cell r="IN33">
            <v>86475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  <cell r="IL37">
            <v>2189</v>
          </cell>
          <cell r="IM37">
            <v>1940</v>
          </cell>
          <cell r="IN37">
            <v>2363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  <cell r="IL38">
            <v>2694</v>
          </cell>
          <cell r="IM38">
            <v>2355</v>
          </cell>
          <cell r="IN38">
            <v>2711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</row>
        <row r="47">
          <cell r="IN47">
            <v>3616564</v>
          </cell>
        </row>
        <row r="48">
          <cell r="IN48">
            <v>2374709</v>
          </cell>
        </row>
        <row r="52">
          <cell r="IN52">
            <v>303136</v>
          </cell>
        </row>
        <row r="53">
          <cell r="IN53">
            <v>276578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</row>
        <row r="70">
          <cell r="IN70">
            <v>436434</v>
          </cell>
        </row>
        <row r="71">
          <cell r="IN71">
            <v>330446</v>
          </cell>
        </row>
        <row r="73">
          <cell r="IN73">
            <v>49213</v>
          </cell>
        </row>
        <row r="74">
          <cell r="IN74">
            <v>37262</v>
          </cell>
        </row>
      </sheetData>
      <sheetData sheetId="14">
        <row r="4">
          <cell r="IN4">
            <v>68</v>
          </cell>
        </row>
        <row r="5">
          <cell r="IN5">
            <v>68</v>
          </cell>
        </row>
        <row r="8">
          <cell r="IN8">
            <v>2</v>
          </cell>
        </row>
        <row r="9">
          <cell r="IN9">
            <v>2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</row>
        <row r="22">
          <cell r="IN22">
            <v>836</v>
          </cell>
        </row>
        <row r="23">
          <cell r="IN23">
            <v>817</v>
          </cell>
        </row>
        <row r="27">
          <cell r="IN27">
            <v>35</v>
          </cell>
        </row>
        <row r="28">
          <cell r="IN28">
            <v>35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15">
        <row r="4">
          <cell r="IN4">
            <v>59</v>
          </cell>
        </row>
        <row r="5">
          <cell r="IN5">
            <v>59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</row>
        <row r="22">
          <cell r="IN22">
            <v>10082</v>
          </cell>
        </row>
        <row r="23">
          <cell r="IN23">
            <v>10479</v>
          </cell>
        </row>
        <row r="27">
          <cell r="IN27">
            <v>50</v>
          </cell>
        </row>
        <row r="28">
          <cell r="IN28">
            <v>50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  <cell r="IJ15">
            <v>26</v>
          </cell>
          <cell r="IK15">
            <v>31</v>
          </cell>
          <cell r="IL15">
            <v>31</v>
          </cell>
          <cell r="IM15">
            <v>31</v>
          </cell>
          <cell r="IN15">
            <v>30</v>
          </cell>
        </row>
        <row r="16">
          <cell r="IF16">
            <v>3</v>
          </cell>
          <cell r="IH16">
            <v>6</v>
          </cell>
          <cell r="II16">
            <v>19</v>
          </cell>
          <cell r="IJ16">
            <v>26</v>
          </cell>
          <cell r="IK16">
            <v>31</v>
          </cell>
          <cell r="IL16">
            <v>31</v>
          </cell>
          <cell r="IM16">
            <v>31</v>
          </cell>
          <cell r="IN16">
            <v>30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</row>
        <row r="32">
          <cell r="IF32">
            <v>457</v>
          </cell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  <cell r="IL32">
            <v>6728</v>
          </cell>
          <cell r="IM32">
            <v>6099</v>
          </cell>
          <cell r="IN32">
            <v>5265</v>
          </cell>
        </row>
        <row r="33">
          <cell r="IF33">
            <v>274</v>
          </cell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  <cell r="IM33">
            <v>5588</v>
          </cell>
          <cell r="IN33">
            <v>5093</v>
          </cell>
        </row>
        <row r="37">
          <cell r="IH37">
            <v>14</v>
          </cell>
          <cell r="II37">
            <v>27</v>
          </cell>
          <cell r="IJ37">
            <v>22</v>
          </cell>
          <cell r="IK37">
            <v>23</v>
          </cell>
          <cell r="IL37">
            <v>35</v>
          </cell>
          <cell r="IM37">
            <v>31</v>
          </cell>
          <cell r="IN37">
            <v>23</v>
          </cell>
        </row>
        <row r="38">
          <cell r="IF38">
            <v>10</v>
          </cell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  <cell r="IM38">
            <v>28</v>
          </cell>
          <cell r="IN38">
            <v>35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</row>
        <row r="47">
          <cell r="IN47">
            <v>3390</v>
          </cell>
        </row>
        <row r="48">
          <cell r="IN48">
            <v>33</v>
          </cell>
        </row>
        <row r="52">
          <cell r="IN52">
            <v>33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</row>
      </sheetData>
      <sheetData sheetId="17">
        <row r="4">
          <cell r="IN4">
            <v>52</v>
          </cell>
        </row>
        <row r="5">
          <cell r="IN5">
            <v>52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</row>
        <row r="22">
          <cell r="IN22">
            <v>5709</v>
          </cell>
        </row>
        <row r="23">
          <cell r="IN23">
            <v>6240</v>
          </cell>
        </row>
        <row r="27">
          <cell r="IN27">
            <v>101</v>
          </cell>
        </row>
        <row r="28">
          <cell r="IN28">
            <v>85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  <cell r="IL15">
            <v>16</v>
          </cell>
          <cell r="IM15">
            <v>14</v>
          </cell>
          <cell r="IN15">
            <v>15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  <cell r="IL16">
            <v>16</v>
          </cell>
          <cell r="IM16">
            <v>14</v>
          </cell>
          <cell r="IN16">
            <v>15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  <cell r="IL32">
            <v>4331</v>
          </cell>
          <cell r="IM32">
            <v>3752</v>
          </cell>
          <cell r="IN32">
            <v>3891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  <cell r="IL33">
            <v>3677</v>
          </cell>
          <cell r="IM33">
            <v>3356</v>
          </cell>
          <cell r="IN33">
            <v>3803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  <cell r="IL37">
            <v>8</v>
          </cell>
          <cell r="IM37">
            <v>13</v>
          </cell>
          <cell r="IN37">
            <v>7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</row>
        <row r="47">
          <cell r="IN47">
            <v>317007</v>
          </cell>
        </row>
        <row r="52">
          <cell r="IN52">
            <v>49035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</row>
      </sheetData>
      <sheetData sheetId="19"/>
      <sheetData sheetId="20"/>
      <sheetData sheetId="21"/>
      <sheetData sheetId="22">
        <row r="4">
          <cell r="IN4">
            <v>641</v>
          </cell>
        </row>
        <row r="5">
          <cell r="IN5">
            <v>638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</row>
        <row r="22">
          <cell r="IN22">
            <v>75493</v>
          </cell>
        </row>
        <row r="23">
          <cell r="IN23">
            <v>78526</v>
          </cell>
        </row>
        <row r="27">
          <cell r="IN27">
            <v>1383</v>
          </cell>
        </row>
        <row r="28">
          <cell r="IN28">
            <v>1404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</row>
        <row r="47">
          <cell r="IN47">
            <v>189347</v>
          </cell>
        </row>
        <row r="52">
          <cell r="IN52">
            <v>61215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</row>
        <row r="70">
          <cell r="IN70">
            <v>78188</v>
          </cell>
        </row>
        <row r="71">
          <cell r="IN71">
            <v>338</v>
          </cell>
        </row>
      </sheetData>
      <sheetData sheetId="23">
        <row r="4">
          <cell r="IN4">
            <v>110</v>
          </cell>
        </row>
        <row r="5">
          <cell r="IN5">
            <v>110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</row>
        <row r="22">
          <cell r="IN22">
            <v>15899</v>
          </cell>
        </row>
        <row r="23">
          <cell r="IN23">
            <v>15540</v>
          </cell>
        </row>
        <row r="27">
          <cell r="IN27">
            <v>163</v>
          </cell>
        </row>
        <row r="28">
          <cell r="IN28">
            <v>195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24">
        <row r="4">
          <cell r="IN4">
            <v>761</v>
          </cell>
        </row>
        <row r="5">
          <cell r="IN5">
            <v>778</v>
          </cell>
        </row>
        <row r="8">
          <cell r="IN8">
            <v>80</v>
          </cell>
        </row>
        <row r="9">
          <cell r="IN9">
            <v>76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  <cell r="IL15">
            <v>20</v>
          </cell>
          <cell r="IM15">
            <v>17</v>
          </cell>
          <cell r="IN15">
            <v>8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  <cell r="IL16">
            <v>9</v>
          </cell>
          <cell r="IM16">
            <v>19</v>
          </cell>
          <cell r="IN16">
            <v>7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</row>
        <row r="22">
          <cell r="IN22">
            <v>115098</v>
          </cell>
        </row>
        <row r="23">
          <cell r="IN23">
            <v>119573</v>
          </cell>
        </row>
        <row r="27">
          <cell r="IN27">
            <v>2186</v>
          </cell>
        </row>
        <row r="28">
          <cell r="IN28">
            <v>2548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  <cell r="IL32">
            <v>2321</v>
          </cell>
          <cell r="IM32">
            <v>2704</v>
          </cell>
          <cell r="IN32">
            <v>813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  <cell r="IM33">
            <v>2729</v>
          </cell>
          <cell r="IN33">
            <v>736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  <cell r="IL37">
            <v>37</v>
          </cell>
          <cell r="IM37">
            <v>36</v>
          </cell>
          <cell r="IN37">
            <v>16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  <cell r="IM38">
            <v>46</v>
          </cell>
          <cell r="IN38">
            <v>20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  <row r="70">
          <cell r="IN70">
            <v>119573</v>
          </cell>
        </row>
        <row r="73">
          <cell r="IN73">
            <v>736</v>
          </cell>
        </row>
      </sheetData>
      <sheetData sheetId="25"/>
      <sheetData sheetId="26"/>
      <sheetData sheetId="27">
        <row r="4">
          <cell r="IN4">
            <v>509</v>
          </cell>
        </row>
        <row r="5">
          <cell r="IN5">
            <v>508</v>
          </cell>
        </row>
        <row r="8">
          <cell r="IN8">
            <v>1</v>
          </cell>
        </row>
        <row r="9">
          <cell r="IN9">
            <v>2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</row>
        <row r="22">
          <cell r="IN22">
            <v>68254</v>
          </cell>
        </row>
        <row r="23">
          <cell r="IN23">
            <v>67813</v>
          </cell>
        </row>
        <row r="27">
          <cell r="IN27">
            <v>2535</v>
          </cell>
        </row>
        <row r="28">
          <cell r="IN28">
            <v>2340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</row>
        <row r="47">
          <cell r="IN47">
            <v>35731</v>
          </cell>
        </row>
        <row r="48">
          <cell r="IN48">
            <v>232</v>
          </cell>
        </row>
        <row r="52">
          <cell r="IN52">
            <v>17855</v>
          </cell>
        </row>
        <row r="53">
          <cell r="IN53">
            <v>32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</row>
      </sheetData>
      <sheetData sheetId="28">
        <row r="15">
          <cell r="IN15">
            <v>34</v>
          </cell>
        </row>
        <row r="16">
          <cell r="IN16">
            <v>34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</row>
        <row r="32">
          <cell r="IN32">
            <v>3045</v>
          </cell>
        </row>
        <row r="33">
          <cell r="IN33">
            <v>4581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30">
        <row r="4">
          <cell r="IN4">
            <v>30</v>
          </cell>
        </row>
        <row r="5">
          <cell r="IN5">
            <v>30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</row>
        <row r="22">
          <cell r="IN22">
            <v>1936</v>
          </cell>
        </row>
        <row r="23">
          <cell r="IN23">
            <v>2030</v>
          </cell>
        </row>
        <row r="27">
          <cell r="IN27">
            <v>42</v>
          </cell>
        </row>
        <row r="28">
          <cell r="IN28">
            <v>47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</row>
      </sheetData>
      <sheetData sheetId="31">
        <row r="4">
          <cell r="IN4">
            <v>78</v>
          </cell>
        </row>
        <row r="5">
          <cell r="IN5">
            <v>78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</row>
        <row r="22">
          <cell r="IN22">
            <v>3556</v>
          </cell>
        </row>
        <row r="23">
          <cell r="IN23">
            <v>3533</v>
          </cell>
        </row>
        <row r="27">
          <cell r="IN27">
            <v>165</v>
          </cell>
        </row>
        <row r="28">
          <cell r="IN28">
            <v>130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</row>
        <row r="47">
          <cell r="IN47">
            <v>994</v>
          </cell>
        </row>
        <row r="52">
          <cell r="IN52">
            <v>350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43">
        <row r="4">
          <cell r="IN4">
            <v>2</v>
          </cell>
        </row>
        <row r="5">
          <cell r="IN5">
            <v>2</v>
          </cell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</row>
        <row r="22">
          <cell r="IN22">
            <v>145</v>
          </cell>
        </row>
        <row r="23">
          <cell r="IN23">
            <v>142</v>
          </cell>
        </row>
        <row r="27">
          <cell r="IN27">
            <v>11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  <cell r="IL15">
            <v>110</v>
          </cell>
          <cell r="IM15">
            <v>118</v>
          </cell>
          <cell r="IN15">
            <v>118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  <cell r="IL16">
            <v>109</v>
          </cell>
          <cell r="IM16">
            <v>118</v>
          </cell>
          <cell r="IN16">
            <v>120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  <cell r="IL32">
            <v>7819</v>
          </cell>
          <cell r="IM32">
            <v>7802</v>
          </cell>
          <cell r="IN32">
            <v>6775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  <cell r="IM33">
            <v>7285</v>
          </cell>
          <cell r="IN33">
            <v>7041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  <cell r="IL37">
            <v>66</v>
          </cell>
          <cell r="IM37">
            <v>86</v>
          </cell>
          <cell r="IN37">
            <v>90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  <cell r="IM38">
            <v>105</v>
          </cell>
          <cell r="IN38">
            <v>97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</row>
        <row r="47">
          <cell r="IN47">
            <v>6731.1</v>
          </cell>
        </row>
        <row r="52">
          <cell r="IN52">
            <v>10183.400000000001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</row>
      </sheetData>
      <sheetData sheetId="45">
        <row r="4">
          <cell r="IN4">
            <v>70</v>
          </cell>
        </row>
        <row r="5">
          <cell r="IN5">
            <v>71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</row>
        <row r="22">
          <cell r="IN22">
            <v>4611</v>
          </cell>
        </row>
        <row r="23">
          <cell r="IN23">
            <v>4569</v>
          </cell>
        </row>
        <row r="27">
          <cell r="IN27">
            <v>114</v>
          </cell>
        </row>
        <row r="28">
          <cell r="IN28">
            <v>181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46"/>
      <sheetData sheetId="47"/>
      <sheetData sheetId="48">
        <row r="4">
          <cell r="IN4">
            <v>516</v>
          </cell>
        </row>
        <row r="5">
          <cell r="IN5">
            <v>514</v>
          </cell>
        </row>
        <row r="15">
          <cell r="IF15">
            <v>1</v>
          </cell>
          <cell r="IH15">
            <v>23</v>
          </cell>
          <cell r="II15">
            <v>9</v>
          </cell>
          <cell r="IK15">
            <v>16</v>
          </cell>
          <cell r="IL15">
            <v>3</v>
          </cell>
          <cell r="IN15">
            <v>76</v>
          </cell>
        </row>
        <row r="16">
          <cell r="IF16">
            <v>1</v>
          </cell>
          <cell r="IH16">
            <v>23</v>
          </cell>
          <cell r="II16">
            <v>10</v>
          </cell>
          <cell r="IK16">
            <v>15</v>
          </cell>
          <cell r="IL16">
            <v>3</v>
          </cell>
          <cell r="IN16">
            <v>77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</row>
        <row r="22">
          <cell r="IN22">
            <v>32845</v>
          </cell>
        </row>
        <row r="23">
          <cell r="IN23">
            <v>33042</v>
          </cell>
        </row>
        <row r="27">
          <cell r="IN27">
            <v>972</v>
          </cell>
        </row>
        <row r="28">
          <cell r="IN28">
            <v>999</v>
          </cell>
        </row>
        <row r="32">
          <cell r="IH32">
            <v>1240</v>
          </cell>
          <cell r="II32">
            <v>622</v>
          </cell>
          <cell r="IK32">
            <v>1081</v>
          </cell>
          <cell r="IL32">
            <v>199</v>
          </cell>
          <cell r="IN32">
            <v>4231</v>
          </cell>
        </row>
        <row r="33">
          <cell r="IH33">
            <v>1517</v>
          </cell>
          <cell r="II33">
            <v>473</v>
          </cell>
          <cell r="IK33">
            <v>1027</v>
          </cell>
          <cell r="IL33">
            <v>178</v>
          </cell>
          <cell r="IN33">
            <v>5269</v>
          </cell>
        </row>
        <row r="37">
          <cell r="IH37">
            <v>20</v>
          </cell>
          <cell r="II37">
            <v>4</v>
          </cell>
          <cell r="IK37">
            <v>11</v>
          </cell>
          <cell r="IL37">
            <v>4</v>
          </cell>
          <cell r="IN37">
            <v>94</v>
          </cell>
        </row>
        <row r="38">
          <cell r="IH38">
            <v>25</v>
          </cell>
          <cell r="II38">
            <v>5</v>
          </cell>
          <cell r="IK38">
            <v>9</v>
          </cell>
          <cell r="IL38">
            <v>0</v>
          </cell>
          <cell r="IN38">
            <v>121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  <row r="70">
          <cell r="IN70">
            <v>10679</v>
          </cell>
        </row>
        <row r="71">
          <cell r="IN71">
            <v>22363</v>
          </cell>
        </row>
        <row r="73">
          <cell r="IN73">
            <v>1703</v>
          </cell>
        </row>
        <row r="74">
          <cell r="IN74">
            <v>3566</v>
          </cell>
        </row>
      </sheetData>
      <sheetData sheetId="49">
        <row r="4">
          <cell r="IN4">
            <v>52</v>
          </cell>
        </row>
        <row r="5">
          <cell r="IN5">
            <v>52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</row>
        <row r="22">
          <cell r="IN22">
            <v>2993</v>
          </cell>
        </row>
        <row r="23">
          <cell r="IN23">
            <v>3151</v>
          </cell>
        </row>
        <row r="27">
          <cell r="IN27">
            <v>98</v>
          </cell>
        </row>
        <row r="28">
          <cell r="IN28">
            <v>82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</row>
        <row r="47">
          <cell r="IN47">
            <v>177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</row>
      </sheetData>
      <sheetData sheetId="50">
        <row r="4">
          <cell r="IN4">
            <v>48</v>
          </cell>
        </row>
        <row r="5">
          <cell r="IN5">
            <v>48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</row>
        <row r="22">
          <cell r="IN22">
            <v>2715</v>
          </cell>
        </row>
        <row r="23">
          <cell r="IN23">
            <v>3183</v>
          </cell>
        </row>
        <row r="27">
          <cell r="IN27">
            <v>111</v>
          </cell>
        </row>
        <row r="28">
          <cell r="IN28">
            <v>83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</row>
        <row r="47">
          <cell r="IN47">
            <v>1064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</row>
      </sheetData>
      <sheetData sheetId="51"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52"/>
      <sheetData sheetId="53">
        <row r="4">
          <cell r="IN4">
            <v>2106</v>
          </cell>
        </row>
        <row r="5">
          <cell r="IN5">
            <v>2118</v>
          </cell>
        </row>
        <row r="9">
          <cell r="IN9">
            <v>1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  <cell r="IL15">
            <v>83</v>
          </cell>
          <cell r="IM15">
            <v>94</v>
          </cell>
          <cell r="IN15">
            <v>10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  <cell r="IL16">
            <v>83</v>
          </cell>
          <cell r="IM16">
            <v>92</v>
          </cell>
          <cell r="IN16">
            <v>9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</row>
        <row r="22">
          <cell r="IN22">
            <v>104850</v>
          </cell>
        </row>
        <row r="23">
          <cell r="IN23">
            <v>105375</v>
          </cell>
        </row>
        <row r="27">
          <cell r="IN27">
            <v>2877</v>
          </cell>
        </row>
        <row r="28">
          <cell r="IN28">
            <v>2776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  <cell r="IL32">
            <v>6014</v>
          </cell>
          <cell r="IM32">
            <v>6264</v>
          </cell>
          <cell r="IN32">
            <v>450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  <cell r="IL33">
            <v>5605</v>
          </cell>
          <cell r="IM33">
            <v>6445</v>
          </cell>
          <cell r="IN33">
            <v>590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  <cell r="IL37">
            <v>129</v>
          </cell>
          <cell r="IM37">
            <v>97</v>
          </cell>
          <cell r="IN37">
            <v>21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  <cell r="IL38">
            <v>135</v>
          </cell>
          <cell r="IM38">
            <v>103</v>
          </cell>
          <cell r="IN38">
            <v>15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  <row r="70">
          <cell r="IN70">
            <v>35001</v>
          </cell>
        </row>
        <row r="71">
          <cell r="IN71">
            <v>70374</v>
          </cell>
        </row>
        <row r="73">
          <cell r="IN73">
            <v>196</v>
          </cell>
        </row>
        <row r="74">
          <cell r="IN74">
            <v>394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5">
          <cell r="IG15">
            <v>2</v>
          </cell>
          <cell r="IK15">
            <v>1</v>
          </cell>
        </row>
        <row r="16">
          <cell r="IG16">
            <v>2</v>
          </cell>
        </row>
        <row r="32">
          <cell r="IG32">
            <v>216</v>
          </cell>
          <cell r="IJ32">
            <v>551</v>
          </cell>
          <cell r="IK32">
            <v>444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  <cell r="IL15">
            <v>2</v>
          </cell>
        </row>
        <row r="16">
          <cell r="IL16">
            <v>1</v>
          </cell>
        </row>
        <row r="32">
          <cell r="IF32">
            <v>65</v>
          </cell>
          <cell r="IG32">
            <v>55</v>
          </cell>
          <cell r="IL32">
            <v>250</v>
          </cell>
        </row>
        <row r="33">
          <cell r="IL33">
            <v>160</v>
          </cell>
        </row>
      </sheetData>
      <sheetData sheetId="67">
        <row r="4">
          <cell r="IN4">
            <v>1</v>
          </cell>
        </row>
        <row r="5">
          <cell r="IN5">
            <v>1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</row>
        <row r="47">
          <cell r="IN47">
            <v>33803</v>
          </cell>
        </row>
        <row r="52">
          <cell r="IN52">
            <v>6241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</row>
      </sheetData>
      <sheetData sheetId="68">
        <row r="4">
          <cell r="IN4">
            <v>109</v>
          </cell>
        </row>
        <row r="5">
          <cell r="IN5">
            <v>90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</row>
        <row r="47">
          <cell r="IN47">
            <v>2800409</v>
          </cell>
        </row>
        <row r="52">
          <cell r="IN52">
            <v>2753018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</row>
      </sheetData>
      <sheetData sheetId="69">
        <row r="4">
          <cell r="IN4">
            <v>4</v>
          </cell>
        </row>
        <row r="5">
          <cell r="IN5">
            <v>4</v>
          </cell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</row>
        <row r="47">
          <cell r="IN47">
            <v>75912</v>
          </cell>
        </row>
        <row r="52">
          <cell r="IN52">
            <v>176923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</row>
      </sheetData>
      <sheetData sheetId="70">
        <row r="4">
          <cell r="IN4">
            <v>1</v>
          </cell>
        </row>
        <row r="5">
          <cell r="IN5">
            <v>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</row>
        <row r="47">
          <cell r="IN47">
            <v>39260</v>
          </cell>
        </row>
        <row r="52">
          <cell r="IN52">
            <v>31019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7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</row>
      </sheetData>
      <sheetData sheetId="73">
        <row r="4">
          <cell r="IN4">
            <v>37</v>
          </cell>
        </row>
        <row r="5">
          <cell r="IN5">
            <v>37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</row>
        <row r="47">
          <cell r="IN47">
            <v>37626</v>
          </cell>
        </row>
        <row r="52">
          <cell r="IN52">
            <v>51427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</row>
      </sheetData>
      <sheetData sheetId="74">
        <row r="12">
          <cell r="IN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75">
        <row r="4">
          <cell r="IN4">
            <v>1</v>
          </cell>
        </row>
        <row r="5">
          <cell r="IN5">
            <v>1</v>
          </cell>
        </row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</row>
        <row r="47">
          <cell r="IN47">
            <v>28616</v>
          </cell>
        </row>
        <row r="52">
          <cell r="IN52">
            <v>27714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</row>
      </sheetData>
      <sheetData sheetId="76">
        <row r="4">
          <cell r="IN4">
            <v>20</v>
          </cell>
        </row>
        <row r="5">
          <cell r="IN5">
            <v>20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</row>
        <row r="47">
          <cell r="IN47">
            <v>537490</v>
          </cell>
        </row>
        <row r="52">
          <cell r="IN52">
            <v>411623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</row>
      </sheetData>
      <sheetData sheetId="77"/>
      <sheetData sheetId="78">
        <row r="4">
          <cell r="IN4">
            <v>1</v>
          </cell>
        </row>
        <row r="5">
          <cell r="IN5">
            <v>1</v>
          </cell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</row>
        <row r="47">
          <cell r="IN47">
            <v>22531</v>
          </cell>
        </row>
        <row r="52">
          <cell r="IN52">
            <v>29409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80"/>
      <sheetData sheetId="81">
        <row r="4">
          <cell r="IN4">
            <v>110</v>
          </cell>
        </row>
        <row r="5">
          <cell r="IN5">
            <v>110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</row>
        <row r="47">
          <cell r="IN47">
            <v>7250022</v>
          </cell>
        </row>
        <row r="52">
          <cell r="IN52">
            <v>6242461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</row>
      </sheetData>
      <sheetData sheetId="82">
        <row r="4">
          <cell r="IN4">
            <v>22</v>
          </cell>
        </row>
        <row r="5">
          <cell r="IN5">
            <v>22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</row>
        <row r="48">
          <cell r="IN48">
            <v>53659</v>
          </cell>
        </row>
        <row r="53">
          <cell r="IN53">
            <v>122040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</row>
      </sheetData>
      <sheetData sheetId="83">
        <row r="4">
          <cell r="IN4">
            <v>16</v>
          </cell>
        </row>
        <row r="5">
          <cell r="IN5">
            <v>16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</row>
        <row r="47">
          <cell r="IN47">
            <v>54101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</row>
      </sheetData>
      <sheetData sheetId="84">
        <row r="4">
          <cell r="IN4">
            <v>85</v>
          </cell>
        </row>
        <row r="5">
          <cell r="IN5">
            <v>85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</row>
        <row r="47">
          <cell r="IN47">
            <v>5115570</v>
          </cell>
        </row>
        <row r="48">
          <cell r="IN48">
            <v>67990</v>
          </cell>
        </row>
        <row r="52">
          <cell r="IN52">
            <v>4197778</v>
          </cell>
        </row>
        <row r="53">
          <cell r="IN53">
            <v>42335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</row>
      </sheetData>
      <sheetData sheetId="85"/>
      <sheetData sheetId="86"/>
      <sheetData sheetId="87"/>
      <sheetData sheetId="88">
        <row r="4">
          <cell r="IN4">
            <v>165</v>
          </cell>
        </row>
        <row r="5">
          <cell r="IN5">
            <v>165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</row>
      </sheetData>
      <sheetData sheetId="91">
        <row r="4">
          <cell r="IN4">
            <v>34</v>
          </cell>
        </row>
        <row r="5">
          <cell r="IN5">
            <v>35</v>
          </cell>
        </row>
      </sheetData>
      <sheetData sheetId="92">
        <row r="4">
          <cell r="IN4">
            <v>837</v>
          </cell>
        </row>
        <row r="5">
          <cell r="IN5">
            <v>836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D22" sqref="D22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45170</v>
      </c>
      <c r="B2" s="10"/>
      <c r="C2" s="10"/>
      <c r="D2" s="446" t="s">
        <v>228</v>
      </c>
      <c r="E2" s="446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7"/>
      <c r="E3" s="448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1211149</v>
      </c>
      <c r="C5" s="10">
        <f>'Major Airline Stats'!K5</f>
        <v>1232489</v>
      </c>
      <c r="D5" s="2">
        <f>'Major Airline Stats'!K6</f>
        <v>2443638</v>
      </c>
      <c r="E5" s="2">
        <f>'[1]Monthly Summary'!D5</f>
        <v>2061063</v>
      </c>
      <c r="F5" s="3">
        <f>(D5-E5)/E5</f>
        <v>0.18562023577154119</v>
      </c>
      <c r="G5" s="2">
        <f>+D5+'[2]Monthly Summary'!G5</f>
        <v>22426373</v>
      </c>
      <c r="H5" s="2">
        <f>'[1]Monthly Summary'!G5</f>
        <v>18910852</v>
      </c>
      <c r="I5" s="65">
        <f>(G5-H5)/H5</f>
        <v>0.18589966226799301</v>
      </c>
      <c r="J5" s="2"/>
    </row>
    <row r="6" spans="1:14" x14ac:dyDescent="0.2">
      <c r="A6" s="50" t="s">
        <v>5</v>
      </c>
      <c r="B6" s="217">
        <f>'Regional Major'!M5</f>
        <v>165107</v>
      </c>
      <c r="C6" s="217">
        <f>'Regional Major'!M6</f>
        <v>167925</v>
      </c>
      <c r="D6" s="2">
        <f>B6+C6</f>
        <v>333032</v>
      </c>
      <c r="E6" s="2">
        <f>'[1]Monthly Summary'!D6</f>
        <v>460142</v>
      </c>
      <c r="F6" s="3">
        <f>(D6-E6)/E6</f>
        <v>-0.27624081261871336</v>
      </c>
      <c r="G6" s="2">
        <f>+D6+'[2]Monthly Summary'!G6</f>
        <v>3058461</v>
      </c>
      <c r="H6" s="2">
        <f>'[1]Monthly Summary'!G6</f>
        <v>3960826</v>
      </c>
      <c r="I6" s="65">
        <f>(G6-H6)/H6</f>
        <v>-0.22782242895800017</v>
      </c>
      <c r="K6" s="2"/>
    </row>
    <row r="7" spans="1:14" x14ac:dyDescent="0.2">
      <c r="A7" s="50" t="s">
        <v>6</v>
      </c>
      <c r="B7" s="2">
        <f>Charter!H5</f>
        <v>0</v>
      </c>
      <c r="C7" s="217">
        <f>Charter!H6</f>
        <v>0</v>
      </c>
      <c r="D7" s="2">
        <f>B7+C7</f>
        <v>0</v>
      </c>
      <c r="E7" s="2">
        <f>'[1]Monthly Summary'!D7</f>
        <v>0</v>
      </c>
      <c r="F7" s="3"/>
      <c r="G7" s="2">
        <f>+D7+'[2]Monthly Summary'!G7</f>
        <v>3390</v>
      </c>
      <c r="H7" s="2">
        <f>'[1]Monthly Summary'!G7</f>
        <v>4836</v>
      </c>
      <c r="I7" s="65">
        <f>(G7-H7)/H7</f>
        <v>-0.29900744416873448</v>
      </c>
      <c r="K7" s="2"/>
    </row>
    <row r="8" spans="1:14" x14ac:dyDescent="0.2">
      <c r="A8" s="52" t="s">
        <v>7</v>
      </c>
      <c r="B8" s="119">
        <f>SUM(B5:B7)</f>
        <v>1376256</v>
      </c>
      <c r="C8" s="119">
        <f>SUM(C5:C7)</f>
        <v>1400414</v>
      </c>
      <c r="D8" s="119">
        <f>SUM(D5:D7)</f>
        <v>2776670</v>
      </c>
      <c r="E8" s="119">
        <f>SUM(E5:E7)</f>
        <v>2521205</v>
      </c>
      <c r="F8" s="71">
        <f>(D8-E8)/E8</f>
        <v>0.1013265482180148</v>
      </c>
      <c r="G8" s="119">
        <f>SUM(G5:G7)</f>
        <v>25488224</v>
      </c>
      <c r="H8" s="119">
        <f>SUM(H5:H7)</f>
        <v>22876514</v>
      </c>
      <c r="I8" s="70">
        <f>(G8-H8)/H8</f>
        <v>0.1141655586161423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40042</v>
      </c>
      <c r="C10" s="218">
        <f>'Major Airline Stats'!K10+'Regional Major'!M11</f>
        <v>40376</v>
      </c>
      <c r="D10" s="96">
        <f>SUM(B10:C10)</f>
        <v>80418</v>
      </c>
      <c r="E10" s="402">
        <f>'[1]Monthly Summary'!D10</f>
        <v>76398</v>
      </c>
      <c r="F10" s="72">
        <f>(D10-E10)/E10</f>
        <v>5.2619178512526503E-2</v>
      </c>
      <c r="G10" s="402">
        <f>+D10+'[2]Monthly Summary'!G10</f>
        <v>723764</v>
      </c>
      <c r="H10" s="402">
        <f>'[1]Monthly Summary'!G10</f>
        <v>657273</v>
      </c>
      <c r="I10" s="75">
        <f>(G10-H10)/H10</f>
        <v>0.10116192206282626</v>
      </c>
      <c r="J10" s="169"/>
    </row>
    <row r="11" spans="1:14" ht="15.75" thickBot="1" x14ac:dyDescent="0.3">
      <c r="A11" s="51" t="s">
        <v>13</v>
      </c>
      <c r="B11" s="197">
        <f>B10+B8</f>
        <v>1416298</v>
      </c>
      <c r="C11" s="197">
        <f>C10+C8</f>
        <v>1440790</v>
      </c>
      <c r="D11" s="197">
        <f>D10+D8</f>
        <v>2857088</v>
      </c>
      <c r="E11" s="197">
        <f>E10+E8</f>
        <v>2597603</v>
      </c>
      <c r="F11" s="73">
        <f>(D11-E11)/E11</f>
        <v>9.9894017677066127E-2</v>
      </c>
      <c r="G11" s="197">
        <f>G8+G10</f>
        <v>26211988</v>
      </c>
      <c r="H11" s="197">
        <f>H8+H10</f>
        <v>23533787</v>
      </c>
      <c r="I11" s="76">
        <f>(G11-H11)/H11</f>
        <v>0.11380238123171592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6" t="s">
        <v>228</v>
      </c>
      <c r="E13" s="446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7"/>
      <c r="E14" s="448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9034</v>
      </c>
      <c r="C16" s="226">
        <f>'Major Airline Stats'!K16+'Major Airline Stats'!K20</f>
        <v>9039</v>
      </c>
      <c r="D16" s="31">
        <f t="shared" ref="D16:D21" si="0">SUM(B16:C16)</f>
        <v>18073</v>
      </c>
      <c r="E16" s="2">
        <f>'[1]Monthly Summary'!D16</f>
        <v>14510</v>
      </c>
      <c r="F16" s="74">
        <f t="shared" ref="F16:F22" si="1">(D16-E16)/E16</f>
        <v>0.24555478980013784</v>
      </c>
      <c r="G16" s="2">
        <f>+D16+'[2]Monthly Summary'!G16</f>
        <v>161554</v>
      </c>
      <c r="H16" s="2">
        <f>'[1]Monthly Summary'!G16</f>
        <v>135267</v>
      </c>
      <c r="I16" s="192">
        <f t="shared" ref="I16:I22" si="2">(G16-H16)/H16</f>
        <v>0.19433416871816481</v>
      </c>
      <c r="N16" s="95"/>
    </row>
    <row r="17" spans="1:14" x14ac:dyDescent="0.2">
      <c r="A17" s="50" t="s">
        <v>5</v>
      </c>
      <c r="B17" s="31">
        <f>'Regional Major'!M15+'Regional Major'!M18</f>
        <v>3106</v>
      </c>
      <c r="C17" s="31">
        <f>'Regional Major'!M16+'Regional Major'!M19</f>
        <v>3120</v>
      </c>
      <c r="D17" s="31">
        <f>SUM(B17:C17)</f>
        <v>6226</v>
      </c>
      <c r="E17" s="2">
        <f>'[1]Monthly Summary'!D17</f>
        <v>8012</v>
      </c>
      <c r="F17" s="74">
        <f t="shared" si="1"/>
        <v>-0.22291562656015976</v>
      </c>
      <c r="G17" s="2">
        <f>+D17+'[2]Monthly Summary'!G17</f>
        <v>56072</v>
      </c>
      <c r="H17" s="2">
        <f>'[1]Monthly Summary'!G17</f>
        <v>74723</v>
      </c>
      <c r="I17" s="192">
        <f t="shared" si="2"/>
        <v>-0.24960186288023767</v>
      </c>
      <c r="L17" s="2"/>
      <c r="M17" s="2"/>
    </row>
    <row r="18" spans="1:14" x14ac:dyDescent="0.2">
      <c r="A18" s="50" t="s">
        <v>10</v>
      </c>
      <c r="B18" s="31">
        <f>Charter!H10</f>
        <v>0</v>
      </c>
      <c r="C18" s="31">
        <f>Charter!H11</f>
        <v>0</v>
      </c>
      <c r="D18" s="31">
        <f t="shared" si="0"/>
        <v>0</v>
      </c>
      <c r="E18" s="2">
        <f>'[1]Monthly Summary'!D18</f>
        <v>0</v>
      </c>
      <c r="F18" s="74"/>
      <c r="G18" s="2">
        <f>+D18+'[2]Monthly Summary'!G18</f>
        <v>58</v>
      </c>
      <c r="H18" s="2">
        <f>'[1]Monthly Summary'!G18</f>
        <v>47</v>
      </c>
      <c r="I18" s="192">
        <f t="shared" si="2"/>
        <v>0.23404255319148937</v>
      </c>
    </row>
    <row r="19" spans="1:14" x14ac:dyDescent="0.2">
      <c r="A19" s="50" t="s">
        <v>11</v>
      </c>
      <c r="B19" s="31">
        <f>Cargo!S4+Cargo!S8</f>
        <v>572</v>
      </c>
      <c r="C19" s="31">
        <f>Cargo!S5+Cargo!S9</f>
        <v>553</v>
      </c>
      <c r="D19" s="31">
        <f t="shared" si="0"/>
        <v>1125</v>
      </c>
      <c r="E19" s="2">
        <f>'[1]Monthly Summary'!D19</f>
        <v>1254</v>
      </c>
      <c r="F19" s="74">
        <f t="shared" si="1"/>
        <v>-0.10287081339712918</v>
      </c>
      <c r="G19" s="2">
        <f>+D19+'[2]Monthly Summary'!G19</f>
        <v>10373</v>
      </c>
      <c r="H19" s="2">
        <f>'[1]Monthly Summary'!G19</f>
        <v>11668</v>
      </c>
      <c r="I19" s="192">
        <f t="shared" si="2"/>
        <v>-0.11098731573534454</v>
      </c>
    </row>
    <row r="20" spans="1:14" x14ac:dyDescent="0.2">
      <c r="A20" s="50" t="s">
        <v>146</v>
      </c>
      <c r="B20" s="31">
        <f>'[3]General Avation'!$IN$4</f>
        <v>837</v>
      </c>
      <c r="C20" s="31">
        <f>'[3]General Avation'!$IN$5</f>
        <v>836</v>
      </c>
      <c r="D20" s="31">
        <f t="shared" si="0"/>
        <v>1673</v>
      </c>
      <c r="E20" s="2">
        <f>'[1]Monthly Summary'!D20</f>
        <v>1669</v>
      </c>
      <c r="F20" s="74">
        <f t="shared" si="1"/>
        <v>2.396644697423607E-3</v>
      </c>
      <c r="G20" s="2">
        <f>+D20+'[2]Monthly Summary'!G20</f>
        <v>13411</v>
      </c>
      <c r="H20" s="2">
        <f>'[1]Monthly Summary'!G20</f>
        <v>13279</v>
      </c>
      <c r="I20" s="192">
        <f t="shared" si="2"/>
        <v>9.9405075683409901E-3</v>
      </c>
      <c r="M20" s="2"/>
    </row>
    <row r="21" spans="1:14" ht="12.75" customHeight="1" x14ac:dyDescent="0.2">
      <c r="A21" s="50" t="s">
        <v>12</v>
      </c>
      <c r="B21" s="11">
        <f>'[3]Military '!$IN$4</f>
        <v>34</v>
      </c>
      <c r="C21" s="11">
        <f>'[3]Military '!$IN$5</f>
        <v>35</v>
      </c>
      <c r="D21" s="11">
        <f t="shared" si="0"/>
        <v>69</v>
      </c>
      <c r="E21" s="402">
        <f>'[1]Monthly Summary'!D21</f>
        <v>87</v>
      </c>
      <c r="F21" s="190">
        <f t="shared" si="1"/>
        <v>-0.20689655172413793</v>
      </c>
      <c r="G21" s="402">
        <f>+D21+'[2]Monthly Summary'!G21</f>
        <v>495</v>
      </c>
      <c r="H21" s="402">
        <f>'[1]Monthly Summary'!G21</f>
        <v>768</v>
      </c>
      <c r="I21" s="193">
        <f t="shared" si="2"/>
        <v>-0.35546875</v>
      </c>
      <c r="K21" s="95"/>
      <c r="M21" s="436"/>
    </row>
    <row r="22" spans="1:14" ht="15.75" thickBot="1" x14ac:dyDescent="0.3">
      <c r="A22" s="51" t="s">
        <v>28</v>
      </c>
      <c r="B22" s="198">
        <f>SUM(B16:B21)</f>
        <v>13583</v>
      </c>
      <c r="C22" s="198">
        <f>SUM(C16:C21)</f>
        <v>13583</v>
      </c>
      <c r="D22" s="198">
        <f>SUM(D16:D21)</f>
        <v>27166</v>
      </c>
      <c r="E22" s="198">
        <f>SUM(E16:E21)</f>
        <v>25532</v>
      </c>
      <c r="F22" s="195">
        <f t="shared" si="1"/>
        <v>6.3998120006266646E-2</v>
      </c>
      <c r="G22" s="198">
        <f>SUM(G16:G21)</f>
        <v>241963</v>
      </c>
      <c r="H22" s="198">
        <f>SUM(H16:H21)</f>
        <v>235752</v>
      </c>
      <c r="I22" s="196">
        <f t="shared" si="2"/>
        <v>2.6345481692626148E-2</v>
      </c>
    </row>
    <row r="23" spans="1:14" x14ac:dyDescent="0.2">
      <c r="B23" s="95"/>
      <c r="C23" s="95"/>
      <c r="L23" s="2"/>
    </row>
    <row r="24" spans="1:14" ht="12.75" customHeight="1" x14ac:dyDescent="0.2">
      <c r="B24" s="10"/>
      <c r="C24" s="10"/>
      <c r="D24" s="446" t="s">
        <v>228</v>
      </c>
      <c r="E24" s="446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47"/>
      <c r="E25" s="448"/>
      <c r="F25" s="5" t="s">
        <v>2</v>
      </c>
      <c r="G25" s="5" t="s">
        <v>229</v>
      </c>
      <c r="H25" s="5" t="s">
        <v>221</v>
      </c>
      <c r="I25" s="5" t="s">
        <v>2</v>
      </c>
    </row>
    <row r="26" spans="1:14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4" x14ac:dyDescent="0.2">
      <c r="A27" s="45" t="s">
        <v>15</v>
      </c>
      <c r="B27" s="13">
        <f>(Cargo!S16+'Major Airline Stats'!K28+'Regional Major'!M25)*0.00045359237</f>
        <v>9194.7278863540869</v>
      </c>
      <c r="C27" s="13">
        <f>(Cargo!S21+'Major Airline Stats'!K33+'Regional Major'!M30)*0.00045359237</f>
        <v>6527.973657428608</v>
      </c>
      <c r="D27" s="13">
        <f>(SUM(B27:C27)+('Cargo Summary'!E17*0.00045359237))</f>
        <v>15722.701543782696</v>
      </c>
      <c r="E27" s="2">
        <f>'[1]Monthly Summary'!D27</f>
        <v>17423.29395485756</v>
      </c>
      <c r="F27" s="77">
        <f>(D27-E27)/E27</f>
        <v>-9.7604529630331116E-2</v>
      </c>
      <c r="G27" s="2">
        <f>+D27+'[2]Monthly Summary'!G27</f>
        <v>141100.79821241074</v>
      </c>
      <c r="H27" s="2">
        <f>'[1]Monthly Summary'!G27</f>
        <v>154022.01321659659</v>
      </c>
      <c r="I27" s="79">
        <f>(G27-H27)/H27</f>
        <v>-8.3892001762210011E-2</v>
      </c>
      <c r="N27" s="95"/>
    </row>
    <row r="28" spans="1:14" x14ac:dyDescent="0.2">
      <c r="A28" s="45" t="s">
        <v>16</v>
      </c>
      <c r="B28" s="13">
        <f>(Cargo!S17+'Major Airline Stats'!K29+'Regional Major'!M26)*0.00045359237</f>
        <v>1132.51945038386</v>
      </c>
      <c r="C28" s="13">
        <f>(Cargo!S22+'Major Airline Stats'!K34+'Regional Major'!M31)*0.00045359237</f>
        <v>200.86249483762001</v>
      </c>
      <c r="D28" s="13">
        <f>SUM(B28:C28)</f>
        <v>1333.38194522148</v>
      </c>
      <c r="E28" s="2">
        <f>'[1]Monthly Summary'!D28</f>
        <v>2170.7275216049502</v>
      </c>
      <c r="F28" s="77">
        <f>(D28-E28)/E28</f>
        <v>-0.38574421158320688</v>
      </c>
      <c r="G28" s="2">
        <f>+D28+'[2]Monthly Summary'!G28</f>
        <v>9029.64561948757</v>
      </c>
      <c r="H28" s="2">
        <f>'[1]Monthly Summary'!G28</f>
        <v>22802.898283717397</v>
      </c>
      <c r="I28" s="79">
        <f>(G28-H28)/H28</f>
        <v>-0.6040132483538172</v>
      </c>
    </row>
    <row r="29" spans="1:14" ht="15.75" thickBot="1" x14ac:dyDescent="0.3">
      <c r="A29" s="46" t="s">
        <v>62</v>
      </c>
      <c r="B29" s="38">
        <f>SUM(B27:B28)</f>
        <v>10327.247336737946</v>
      </c>
      <c r="C29" s="38">
        <f>SUM(C27:C28)</f>
        <v>6728.8361522662281</v>
      </c>
      <c r="D29" s="38">
        <f>SUM(D27:D28)</f>
        <v>17056.083489004177</v>
      </c>
      <c r="E29" s="38">
        <f>SUM(E27:E28)</f>
        <v>19594.021476462509</v>
      </c>
      <c r="F29" s="78">
        <f>(D29-E29)/E29</f>
        <v>-0.12952614094595397</v>
      </c>
      <c r="G29" s="38">
        <f>SUM(G27:G28)</f>
        <v>150130.4438318983</v>
      </c>
      <c r="H29" s="38">
        <f>SUM(H27:H28)</f>
        <v>176824.91150031399</v>
      </c>
      <c r="I29" s="80">
        <f>(G29-H29)/H29</f>
        <v>-0.15096553671041021</v>
      </c>
    </row>
    <row r="30" spans="1:14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4" ht="13.5" thickBot="1" x14ac:dyDescent="0.25">
      <c r="B31" s="445" t="s">
        <v>142</v>
      </c>
      <c r="C31" s="444"/>
      <c r="D31" s="445" t="s">
        <v>149</v>
      </c>
      <c r="E31" s="444"/>
      <c r="F31" s="308"/>
      <c r="G31" s="309"/>
    </row>
    <row r="32" spans="1:14" x14ac:dyDescent="0.2">
      <c r="A32" s="290" t="s">
        <v>143</v>
      </c>
      <c r="B32" s="291">
        <f>C8-B33</f>
        <v>935671</v>
      </c>
      <c r="C32" s="292">
        <f>B32/C8</f>
        <v>0.66813885036853382</v>
      </c>
      <c r="D32" s="293">
        <f>+B32+'[2]Monthly Summary'!$D$32</f>
        <v>8645735</v>
      </c>
      <c r="E32" s="441">
        <f>+D32/D34</f>
        <v>0.68089445780916003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464743</v>
      </c>
      <c r="C33" s="297">
        <f>+B33/C8</f>
        <v>0.33186114963146612</v>
      </c>
      <c r="D33" s="298">
        <f>+B33+'[2]Monthly Summary'!$D$33</f>
        <v>4051879</v>
      </c>
      <c r="E33" s="442">
        <f>+D33/D34</f>
        <v>0.31910554219083997</v>
      </c>
      <c r="G33" s="230"/>
      <c r="H33" s="436"/>
      <c r="I33" s="307"/>
    </row>
    <row r="34" spans="1:14" ht="13.5" thickBot="1" x14ac:dyDescent="0.25">
      <c r="B34" s="230"/>
      <c r="D34" s="300">
        <f>SUM(D32:D33)</f>
        <v>12697614</v>
      </c>
    </row>
    <row r="35" spans="1:14" ht="13.5" thickBot="1" x14ac:dyDescent="0.25">
      <c r="B35" s="443" t="s">
        <v>250</v>
      </c>
      <c r="C35" s="444"/>
      <c r="D35" s="445" t="s">
        <v>230</v>
      </c>
      <c r="E35" s="444"/>
    </row>
    <row r="36" spans="1:14" x14ac:dyDescent="0.2">
      <c r="A36" s="290" t="s">
        <v>143</v>
      </c>
      <c r="B36" s="291">
        <f>'[1]Monthly Summary'!$B$32</f>
        <v>845331</v>
      </c>
      <c r="C36" s="292">
        <f>+B36/B38</f>
        <v>0.66993472081001038</v>
      </c>
      <c r="D36" s="293">
        <f>'[1]Monthly Summary'!$D$32</f>
        <v>7839407</v>
      </c>
      <c r="E36" s="294">
        <f>+D36/D38</f>
        <v>0.68722962394124443</v>
      </c>
    </row>
    <row r="37" spans="1:14" ht="13.5" thickBot="1" x14ac:dyDescent="0.25">
      <c r="A37" s="295" t="s">
        <v>144</v>
      </c>
      <c r="B37" s="296">
        <f>'[1]Monthly Summary'!$B$33</f>
        <v>416480</v>
      </c>
      <c r="C37" s="299">
        <f>+B37/B38</f>
        <v>0.33006527918998962</v>
      </c>
      <c r="D37" s="298">
        <f>'[1]Monthly Summary'!$D$33</f>
        <v>3567853</v>
      </c>
      <c r="E37" s="299">
        <f>+D37/D38</f>
        <v>0.31277037605875557</v>
      </c>
      <c r="G37" s="230"/>
      <c r="M37" s="1"/>
    </row>
    <row r="38" spans="1:14" x14ac:dyDescent="0.2">
      <c r="B38" s="312">
        <f>+SUM(B36:B37)</f>
        <v>1261811</v>
      </c>
      <c r="D38" s="300">
        <f>SUM(D36:D37)</f>
        <v>11407260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September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S13" sqref="S1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96">
        <v>45170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251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9" ht="15" x14ac:dyDescent="0.25">
      <c r="A2" s="479" t="s">
        <v>138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1"/>
    </row>
    <row r="3" spans="1:19" x14ac:dyDescent="0.2">
      <c r="A3" s="45" t="s">
        <v>29</v>
      </c>
      <c r="Q3" s="39"/>
    </row>
    <row r="4" spans="1:19" x14ac:dyDescent="0.2">
      <c r="A4" s="45" t="s">
        <v>30</v>
      </c>
      <c r="B4" s="12">
        <f>[3]Delta!$IN$32</f>
        <v>89823</v>
      </c>
      <c r="C4" s="12">
        <f>'[3]Atlantic Southeast'!$IN$32</f>
        <v>0</v>
      </c>
      <c r="D4" s="12">
        <f>[3]Pinnacle!$IN$32</f>
        <v>4231</v>
      </c>
      <c r="E4" s="12">
        <f>'[3]Sky West'!$IN$32</f>
        <v>450</v>
      </c>
      <c r="F4" s="12">
        <f>'[3]Go Jet'!$IN$32</f>
        <v>0</v>
      </c>
      <c r="G4" s="12">
        <f>'[3]Sun Country'!$IN$32</f>
        <v>813</v>
      </c>
      <c r="H4" s="12">
        <f>[3]Icelandair!$IN$32</f>
        <v>5265</v>
      </c>
      <c r="I4" s="12">
        <f>[3]KLM!$IN$32</f>
        <v>3891</v>
      </c>
      <c r="J4" s="12">
        <f>[3]Jazz_AC!$IN$32</f>
        <v>6775</v>
      </c>
      <c r="K4" s="12">
        <f>'[3]Sky Regional'!$IN$32</f>
        <v>0</v>
      </c>
      <c r="L4" s="12">
        <f>[3]Condor!$IN$32</f>
        <v>609</v>
      </c>
      <c r="M4" s="12">
        <f>'[3]Aer Lingus'!$IN$32</f>
        <v>0</v>
      </c>
      <c r="N4" s="12">
        <f>'[3]Air France'!$IN$32</f>
        <v>0</v>
      </c>
      <c r="O4" s="12">
        <f>[3]Frontier!$IN$32</f>
        <v>0</v>
      </c>
      <c r="P4" s="12">
        <f>'[3]Charter Misc'!$IN$32+[3]Ryan!$IN$32+[3]Omni!$IN$32</f>
        <v>0</v>
      </c>
      <c r="Q4" s="205">
        <f>SUM(B4:P4)</f>
        <v>111857</v>
      </c>
    </row>
    <row r="5" spans="1:19" x14ac:dyDescent="0.2">
      <c r="A5" s="45" t="s">
        <v>31</v>
      </c>
      <c r="B5" s="7">
        <f>[3]Delta!$IN$33</f>
        <v>86475</v>
      </c>
      <c r="C5" s="7">
        <f>'[3]Atlantic Southeast'!$IN$33</f>
        <v>0</v>
      </c>
      <c r="D5" s="7">
        <f>[3]Pinnacle!$IN$33</f>
        <v>5269</v>
      </c>
      <c r="E5" s="7">
        <f>'[3]Sky West'!$IN$33</f>
        <v>590</v>
      </c>
      <c r="F5" s="7">
        <f>'[3]Go Jet'!$IN$33</f>
        <v>0</v>
      </c>
      <c r="G5" s="7">
        <f>'[3]Sun Country'!$IN$33</f>
        <v>736</v>
      </c>
      <c r="H5" s="7">
        <f>[3]Icelandair!$IN$33</f>
        <v>5093</v>
      </c>
      <c r="I5" s="7">
        <f>[3]KLM!$IN$33</f>
        <v>3803</v>
      </c>
      <c r="J5" s="7">
        <f>[3]Jazz_AC!$IN$33</f>
        <v>7041</v>
      </c>
      <c r="K5" s="7">
        <f>'[3]Sky Regional'!$IN$33</f>
        <v>0</v>
      </c>
      <c r="L5" s="7">
        <f>[3]Condor!$IN$33</f>
        <v>588</v>
      </c>
      <c r="M5" s="7">
        <f>'[3]Aer Lingus'!$IN$33</f>
        <v>0</v>
      </c>
      <c r="N5" s="7">
        <f>'[3]Air France'!$IN$33</f>
        <v>0</v>
      </c>
      <c r="O5" s="7">
        <f>[3]Frontier!$IN$33</f>
        <v>0</v>
      </c>
      <c r="P5" s="7">
        <f>'[3]Charter Misc'!$IN$33++[3]Ryan!$IN$33+[3]Omni!$IN$33</f>
        <v>0</v>
      </c>
      <c r="Q5" s="206">
        <f>SUM(B5:P5)</f>
        <v>109595</v>
      </c>
    </row>
    <row r="6" spans="1:19" ht="15" x14ac:dyDescent="0.25">
      <c r="A6" s="43" t="s">
        <v>7</v>
      </c>
      <c r="B6" s="24">
        <f t="shared" ref="B6:P6" si="0">SUM(B4:B5)</f>
        <v>176298</v>
      </c>
      <c r="C6" s="24">
        <f t="shared" si="0"/>
        <v>0</v>
      </c>
      <c r="D6" s="24">
        <f t="shared" si="0"/>
        <v>9500</v>
      </c>
      <c r="E6" s="24">
        <f t="shared" si="0"/>
        <v>1040</v>
      </c>
      <c r="F6" s="24">
        <f t="shared" ref="F6" si="1">SUM(F4:F5)</f>
        <v>0</v>
      </c>
      <c r="G6" s="24">
        <f t="shared" si="0"/>
        <v>1549</v>
      </c>
      <c r="H6" s="24">
        <f t="shared" si="0"/>
        <v>10358</v>
      </c>
      <c r="I6" s="24">
        <f t="shared" ref="I6" si="2">SUM(I4:I5)</f>
        <v>7694</v>
      </c>
      <c r="J6" s="24">
        <f t="shared" si="0"/>
        <v>13816</v>
      </c>
      <c r="K6" s="24">
        <f t="shared" ref="K6" si="3">SUM(K4:K5)</f>
        <v>0</v>
      </c>
      <c r="L6" s="24">
        <f t="shared" ref="L6:M6" si="4">SUM(L4:L5)</f>
        <v>1197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07">
        <f>SUM(B6:P6)</f>
        <v>221452</v>
      </c>
    </row>
    <row r="7" spans="1:19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9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9" x14ac:dyDescent="0.2">
      <c r="A9" s="45" t="s">
        <v>30</v>
      </c>
      <c r="B9" s="12">
        <f>[3]Delta!$IN$37</f>
        <v>2363</v>
      </c>
      <c r="C9" s="12">
        <f>'[3]Atlantic Southeast'!$IN$37</f>
        <v>0</v>
      </c>
      <c r="D9" s="12">
        <f>[3]Pinnacle!$IN$37</f>
        <v>94</v>
      </c>
      <c r="E9" s="12">
        <f>'[3]Sky West'!$IN$37</f>
        <v>21</v>
      </c>
      <c r="F9" s="12">
        <f>'[3]Go Jet'!$IN$37</f>
        <v>0</v>
      </c>
      <c r="G9" s="12">
        <f>'[3]Sun Country'!$IN$37</f>
        <v>16</v>
      </c>
      <c r="H9" s="12">
        <f>[3]Icelandair!$IN$37</f>
        <v>23</v>
      </c>
      <c r="I9" s="12">
        <f>[3]KLM!$IN$37</f>
        <v>7</v>
      </c>
      <c r="J9" s="12">
        <f>[3]Jazz_AC!$IN$37</f>
        <v>90</v>
      </c>
      <c r="K9" s="12">
        <f>'[3]Sky Regional'!$IN$37</f>
        <v>0</v>
      </c>
      <c r="L9" s="12">
        <f>[3]Condor!$IN$37</f>
        <v>1</v>
      </c>
      <c r="M9" s="12">
        <f>'[3]Aer Lingus'!$IN$37</f>
        <v>0</v>
      </c>
      <c r="N9" s="12">
        <f>'[3]Air France'!$IN$37</f>
        <v>0</v>
      </c>
      <c r="O9" s="12">
        <f>[3]Frontier!$IN$37</f>
        <v>0</v>
      </c>
      <c r="P9" s="12">
        <f>'[3]Charter Misc'!$IN$37+[3]Ryan!$IN$37+[3]Omni!$IN$37</f>
        <v>0</v>
      </c>
      <c r="Q9" s="205">
        <f>SUM(B9:P9)</f>
        <v>2615</v>
      </c>
    </row>
    <row r="10" spans="1:19" x14ac:dyDescent="0.2">
      <c r="A10" s="45" t="s">
        <v>33</v>
      </c>
      <c r="B10" s="7">
        <f>[3]Delta!$IN$38</f>
        <v>2711</v>
      </c>
      <c r="C10" s="7">
        <f>'[3]Atlantic Southeast'!$IN$38</f>
        <v>0</v>
      </c>
      <c r="D10" s="7">
        <f>[3]Pinnacle!$IN$38</f>
        <v>121</v>
      </c>
      <c r="E10" s="7">
        <f>'[3]Sky West'!$IN$38</f>
        <v>15</v>
      </c>
      <c r="F10" s="7">
        <f>'[3]Go Jet'!$IN$38</f>
        <v>0</v>
      </c>
      <c r="G10" s="7">
        <f>'[3]Sun Country'!$IN$38</f>
        <v>20</v>
      </c>
      <c r="H10" s="7">
        <f>[3]Icelandair!$IN$38</f>
        <v>35</v>
      </c>
      <c r="I10" s="7">
        <f>[3]KLM!$IN$38</f>
        <v>0</v>
      </c>
      <c r="J10" s="7">
        <f>[3]Jazz_AC!$IN$38</f>
        <v>97</v>
      </c>
      <c r="K10" s="7">
        <f>'[3]Sky Regional'!$IN$38</f>
        <v>0</v>
      </c>
      <c r="L10" s="7">
        <f>[3]Condor!$IN$38</f>
        <v>5</v>
      </c>
      <c r="M10" s="7">
        <f>'[3]Aer Lingus'!$IN$38</f>
        <v>0</v>
      </c>
      <c r="N10" s="7">
        <f>'[3]Air France'!$IN$38</f>
        <v>0</v>
      </c>
      <c r="O10" s="7">
        <f>[3]Frontier!$IN$38</f>
        <v>0</v>
      </c>
      <c r="P10" s="7">
        <f>'[3]Charter Misc'!$IN$38+[3]Ryan!$IN$38+[3]Omni!$IN$38</f>
        <v>0</v>
      </c>
      <c r="Q10" s="206">
        <f>SUM(B10:P10)</f>
        <v>3004</v>
      </c>
    </row>
    <row r="11" spans="1:19" ht="15.75" thickBot="1" x14ac:dyDescent="0.3">
      <c r="A11" s="46" t="s">
        <v>34</v>
      </c>
      <c r="B11" s="208">
        <f t="shared" ref="B11:G11" si="5">SUM(B9:B10)</f>
        <v>5074</v>
      </c>
      <c r="C11" s="208">
        <f t="shared" si="5"/>
        <v>0</v>
      </c>
      <c r="D11" s="208">
        <f t="shared" si="5"/>
        <v>215</v>
      </c>
      <c r="E11" s="208">
        <f t="shared" si="5"/>
        <v>36</v>
      </c>
      <c r="F11" s="208">
        <f t="shared" ref="F11" si="6">SUM(F9:F10)</f>
        <v>0</v>
      </c>
      <c r="G11" s="208">
        <f t="shared" si="5"/>
        <v>36</v>
      </c>
      <c r="H11" s="208">
        <f t="shared" ref="H11:P11" si="7">SUM(H9:H10)</f>
        <v>58</v>
      </c>
      <c r="I11" s="208">
        <f t="shared" ref="I11" si="8">SUM(I9:I10)</f>
        <v>7</v>
      </c>
      <c r="J11" s="208">
        <f t="shared" si="7"/>
        <v>187</v>
      </c>
      <c r="K11" s="208">
        <f t="shared" ref="K11" si="9">SUM(K9:K10)</f>
        <v>0</v>
      </c>
      <c r="L11" s="208">
        <f t="shared" si="7"/>
        <v>6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5619</v>
      </c>
      <c r="S11" s="230"/>
    </row>
    <row r="12" spans="1:19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9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251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9" ht="15" x14ac:dyDescent="0.25">
      <c r="A14" s="482" t="s">
        <v>139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4"/>
    </row>
    <row r="15" spans="1:19" x14ac:dyDescent="0.2">
      <c r="A15" s="45" t="s">
        <v>29</v>
      </c>
      <c r="Q15" s="39"/>
    </row>
    <row r="16" spans="1:19" x14ac:dyDescent="0.2">
      <c r="A16" s="45"/>
      <c r="Q16" s="39"/>
    </row>
    <row r="17" spans="1:20" x14ac:dyDescent="0.2">
      <c r="A17" s="45" t="s">
        <v>30</v>
      </c>
      <c r="B17" s="12">
        <f>SUM([3]Delta!$IF$32:$IN$32)</f>
        <v>818501</v>
      </c>
      <c r="C17" s="12">
        <f>SUM('[3]Atlantic Southeast'!$IF$32:$IN$32)</f>
        <v>0</v>
      </c>
      <c r="D17" s="12">
        <f>SUM([3]Pinnacle!$IF$32:$IN$32)</f>
        <v>7373</v>
      </c>
      <c r="E17" s="12">
        <f>SUM('[3]Sky West'!$IF$32:$IN$32)</f>
        <v>41752</v>
      </c>
      <c r="F17" s="12">
        <f>SUM('[3]Go Jet'!$IF$32:$IN$32)</f>
        <v>0</v>
      </c>
      <c r="G17" s="12">
        <f>SUM('[3]Sun Country'!$IF$32:$IN$32)</f>
        <v>149045</v>
      </c>
      <c r="H17" s="12">
        <f>SUM([3]Icelandair!$IF$32:$IN$32)</f>
        <v>30959</v>
      </c>
      <c r="I17" s="12">
        <f>SUM([3]KLM!$IF$32:$IN$32)</f>
        <v>35584</v>
      </c>
      <c r="J17" s="12">
        <f>SUM([3]Jazz_AC!$IF$32:$IN$32)</f>
        <v>53361</v>
      </c>
      <c r="K17" s="12">
        <f>SUM('[3]Sky Regional'!$IF$32:$IN$32)</f>
        <v>0</v>
      </c>
      <c r="L17" s="12">
        <f>SUM([3]Condor!$IF$32:$IN$32)</f>
        <v>9430</v>
      </c>
      <c r="M17" s="12">
        <f>SUM('[3]Aer Lingus'!$IF$32:$IN$32)</f>
        <v>0</v>
      </c>
      <c r="N17" s="12">
        <f>SUM('[3]Air France'!$IF$32:$IN$32)</f>
        <v>0</v>
      </c>
      <c r="O17" s="12">
        <f>SUM([3]Frontier!$IF$32:$IN$32)</f>
        <v>0</v>
      </c>
      <c r="P17" s="12">
        <f>SUM('[3]Charter Misc'!$IF$32:$IN$32)+SUM([3]Ryan!$IF$32:$IN$32)+SUM([3]Omni!$IF$32:$IN$32)</f>
        <v>1581</v>
      </c>
      <c r="Q17" s="205">
        <f>SUM(B17:P17)</f>
        <v>1147586</v>
      </c>
    </row>
    <row r="18" spans="1:20" x14ac:dyDescent="0.2">
      <c r="A18" s="45" t="s">
        <v>31</v>
      </c>
      <c r="B18" s="7">
        <f>SUM([3]Delta!$IF$33:$IN$33)</f>
        <v>794499</v>
      </c>
      <c r="C18" s="7">
        <f>SUM('[3]Atlantic Southeast'!$IF$33:$IN$33)</f>
        <v>0</v>
      </c>
      <c r="D18" s="7">
        <f>SUM([3]Pinnacle!$IF$33:$IN$33)</f>
        <v>8464</v>
      </c>
      <c r="E18" s="7">
        <f>SUM('[3]Sky West'!$IF$33:$IN$33)</f>
        <v>43952</v>
      </c>
      <c r="F18" s="7">
        <f>SUM('[3]Go Jet'!$IF$33:$IN$33)</f>
        <v>0</v>
      </c>
      <c r="G18" s="7">
        <f>SUM('[3]Sun Country'!$IF$33:$IN$33)</f>
        <v>145014</v>
      </c>
      <c r="H18" s="7">
        <f>SUM([3]Icelandair!$IF$33:$IN$33)</f>
        <v>30427</v>
      </c>
      <c r="I18" s="7">
        <f>SUM([3]KLM!$IF$33:$IN$33)</f>
        <v>32344</v>
      </c>
      <c r="J18" s="7">
        <f>SUM([3]Jazz_AC!$IF$33:$IN$33)</f>
        <v>53965</v>
      </c>
      <c r="K18" s="7">
        <f>SUM('[3]Sky Regional'!$IF$33:$IN$33)</f>
        <v>0</v>
      </c>
      <c r="L18" s="7">
        <f>SUM([3]Condor!$IF$33:$IN$33)</f>
        <v>9574</v>
      </c>
      <c r="M18" s="7">
        <f>SUM('[3]Aer Lingus'!$IF$33:$IN$33)</f>
        <v>0</v>
      </c>
      <c r="N18" s="7">
        <f>SUM('[3]Air France'!$IF$33:$IN$33)</f>
        <v>0</v>
      </c>
      <c r="O18" s="7">
        <f>SUM([3]Frontier!$IF$33:$IN$33)</f>
        <v>0</v>
      </c>
      <c r="P18" s="7">
        <f>SUM('[3]Charter Misc'!$IF$33:$IN$33)++SUM([3]Ryan!$IF$33:$IN$33)+SUM([3]Omni!$IF$33:$IN$33)</f>
        <v>492</v>
      </c>
      <c r="Q18" s="206">
        <f>SUM(B18:P18)</f>
        <v>1118731</v>
      </c>
    </row>
    <row r="19" spans="1:20" ht="15" x14ac:dyDescent="0.25">
      <c r="A19" s="43" t="s">
        <v>7</v>
      </c>
      <c r="B19" s="24">
        <f t="shared" ref="B19:P19" si="11">SUM(B17:B18)</f>
        <v>1613000</v>
      </c>
      <c r="C19" s="24">
        <f t="shared" si="11"/>
        <v>0</v>
      </c>
      <c r="D19" s="24">
        <f t="shared" si="11"/>
        <v>15837</v>
      </c>
      <c r="E19" s="24">
        <f t="shared" si="11"/>
        <v>85704</v>
      </c>
      <c r="F19" s="24">
        <f t="shared" ref="F19" si="12">SUM(F17:F18)</f>
        <v>0</v>
      </c>
      <c r="G19" s="24">
        <f t="shared" si="11"/>
        <v>294059</v>
      </c>
      <c r="H19" s="24">
        <f t="shared" si="11"/>
        <v>61386</v>
      </c>
      <c r="I19" s="24">
        <f t="shared" ref="I19" si="13">SUM(I17:I18)</f>
        <v>67928</v>
      </c>
      <c r="J19" s="24">
        <f t="shared" si="11"/>
        <v>107326</v>
      </c>
      <c r="K19" s="24">
        <f t="shared" ref="K19" si="14">SUM(K17:K18)</f>
        <v>0</v>
      </c>
      <c r="L19" s="24">
        <f t="shared" ref="L19:M19" si="15">SUM(L17:L18)</f>
        <v>19004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2073</v>
      </c>
      <c r="Q19" s="207">
        <f>SUM(B19:P19)</f>
        <v>2266317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SUM([3]Delta!$IF$37:$IN$37)</f>
        <v>20633</v>
      </c>
      <c r="C22" s="12">
        <f>SUM('[3]Atlantic Southeast'!$IF$37:$IN$37)</f>
        <v>0</v>
      </c>
      <c r="D22" s="12">
        <f>SUM([3]Pinnacle!$IF$37:$IN$37)</f>
        <v>133</v>
      </c>
      <c r="E22" s="12">
        <f>SUM('[3]Sky West'!$IF$37:$IN$37)</f>
        <v>804</v>
      </c>
      <c r="F22" s="12">
        <f>SUM('[3]Go Jet'!$IF$37:$IN$37)</f>
        <v>0</v>
      </c>
      <c r="G22" s="12">
        <f>SUM('[3]Sun Country'!$IF$37:$IN$37)</f>
        <v>1950</v>
      </c>
      <c r="H22" s="12">
        <f>SUM([3]Icelandair!$IF$37:$IN$37)</f>
        <v>175</v>
      </c>
      <c r="I22" s="12">
        <f>SUM([3]KLM!$IF$37:$IN$37)</f>
        <v>95</v>
      </c>
      <c r="J22" s="12">
        <f>SUM([3]Jazz_AC!$IF$37:$IN$37)</f>
        <v>612</v>
      </c>
      <c r="K22" s="12">
        <f>SUM('[3]Sky Regional'!$IF$37:$IN$37)</f>
        <v>0</v>
      </c>
      <c r="L22" s="12">
        <f>SUM([3]Condor!$IF$37:$IN$37)</f>
        <v>35</v>
      </c>
      <c r="M22" s="12">
        <f>SUM('[3]Aer Lingus'!$IF$37:$IN$37)</f>
        <v>0</v>
      </c>
      <c r="N22" s="12">
        <f>SUM('[3]Air France'!$IF$37:$IN$37)</f>
        <v>0</v>
      </c>
      <c r="O22" s="12">
        <f>SUM([3]Frontier!$IF$37:$IN$37)</f>
        <v>0</v>
      </c>
      <c r="P22" s="12">
        <f>SUM('[3]Charter Misc'!$IF$37:$IN$37)++SUM([3]Ryan!$IF$37:$IN$37)+SUM([3]Omni!$IF$37:$IN$37)</f>
        <v>0</v>
      </c>
      <c r="Q22" s="205">
        <f>SUM(B22:P22)</f>
        <v>24437</v>
      </c>
    </row>
    <row r="23" spans="1:20" x14ac:dyDescent="0.2">
      <c r="A23" s="45" t="s">
        <v>33</v>
      </c>
      <c r="B23" s="7">
        <f>SUM([3]Delta!$IF$38:$IN$38)</f>
        <v>22520</v>
      </c>
      <c r="C23" s="7">
        <f>SUM('[3]Atlantic Southeast'!$IF$38:$IN$38)</f>
        <v>0</v>
      </c>
      <c r="D23" s="7">
        <f>SUM([3]Pinnacle!$IF$38:$IN$38)</f>
        <v>160</v>
      </c>
      <c r="E23" s="7">
        <f>SUM('[3]Sky West'!$IF$38:$IN$38)</f>
        <v>766</v>
      </c>
      <c r="F23" s="7">
        <f>SUM('[3]Go Jet'!$IF$38:$IN$38)</f>
        <v>0</v>
      </c>
      <c r="G23" s="7">
        <f>SUM('[3]Sun Country'!$IF$38:$IN$38)</f>
        <v>2041</v>
      </c>
      <c r="H23" s="7">
        <f>SUM([3]Icelandair!$IF$38:$IN$38)</f>
        <v>190</v>
      </c>
      <c r="I23" s="7">
        <f>SUM([3]KLM!$IF$38:$IN$38)</f>
        <v>3</v>
      </c>
      <c r="J23" s="7">
        <f>SUM([3]Jazz_AC!$IF$38:$IN$38)</f>
        <v>730</v>
      </c>
      <c r="K23" s="7">
        <f>SUM('[3]Sky Regional'!$IF$38:$IN$38)</f>
        <v>0</v>
      </c>
      <c r="L23" s="7">
        <f>SUM([3]Condor!$IF$38:$IN$38)</f>
        <v>28</v>
      </c>
      <c r="M23" s="7">
        <f>SUM('[3]Aer Lingus'!$IF$38:$IN$38)</f>
        <v>0</v>
      </c>
      <c r="N23" s="7">
        <f>SUM('[3]Air France'!$IF$38:$IN$38)</f>
        <v>0</v>
      </c>
      <c r="O23" s="7">
        <f>SUM([3]Frontier!$IF$38:$IN$38)</f>
        <v>0</v>
      </c>
      <c r="P23" s="7">
        <f>SUM('[3]Charter Misc'!$IF$38:$IN$38)++SUM([3]Ryan!$IF$38:$IN$38)+SUM([3]Omni!$IF$38:$IN$38)</f>
        <v>0</v>
      </c>
      <c r="Q23" s="206">
        <f>SUM(B23:P23)</f>
        <v>26438</v>
      </c>
    </row>
    <row r="24" spans="1:20" ht="15.75" thickBot="1" x14ac:dyDescent="0.3">
      <c r="A24" s="46" t="s">
        <v>34</v>
      </c>
      <c r="B24" s="208">
        <f t="shared" ref="B24:P24" si="16">SUM(B22:B23)</f>
        <v>43153</v>
      </c>
      <c r="C24" s="208">
        <f t="shared" si="16"/>
        <v>0</v>
      </c>
      <c r="D24" s="208">
        <f t="shared" si="16"/>
        <v>293</v>
      </c>
      <c r="E24" s="208">
        <f t="shared" si="16"/>
        <v>1570</v>
      </c>
      <c r="F24" s="208">
        <f t="shared" ref="F24" si="17">SUM(F22:F23)</f>
        <v>0</v>
      </c>
      <c r="G24" s="208">
        <f t="shared" si="16"/>
        <v>3991</v>
      </c>
      <c r="H24" s="208">
        <f t="shared" si="16"/>
        <v>365</v>
      </c>
      <c r="I24" s="208">
        <f t="shared" ref="I24" si="18">SUM(I22:I23)</f>
        <v>98</v>
      </c>
      <c r="J24" s="208">
        <f t="shared" si="16"/>
        <v>1342</v>
      </c>
      <c r="K24" s="208">
        <f t="shared" ref="K24" si="19">SUM(K22:K23)</f>
        <v>0</v>
      </c>
      <c r="L24" s="208">
        <f t="shared" ref="L24:M24" si="20">SUM(L22:L23)</f>
        <v>63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50875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251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5" t="s">
        <v>140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7"/>
    </row>
    <row r="28" spans="1:20" x14ac:dyDescent="0.2">
      <c r="A28" s="45" t="s">
        <v>22</v>
      </c>
      <c r="B28" s="12">
        <f>[3]Delta!$IN$15</f>
        <v>498</v>
      </c>
      <c r="C28" s="12">
        <f>'[3]Atlantic Southeast'!$IN$15</f>
        <v>0</v>
      </c>
      <c r="D28" s="12">
        <f>[3]Pinnacle!$IN$15</f>
        <v>76</v>
      </c>
      <c r="E28" s="12">
        <f>'[3]Sky West'!$IN$15</f>
        <v>10</v>
      </c>
      <c r="F28" s="12">
        <f>'[3]Go Jet'!$IN$15</f>
        <v>0</v>
      </c>
      <c r="G28" s="12">
        <f>'[3]Sun Country'!$IN$15</f>
        <v>8</v>
      </c>
      <c r="H28" s="12">
        <f>[3]Icelandair!$IN$15</f>
        <v>30</v>
      </c>
      <c r="I28" s="12">
        <f>[3]KLM!$IN$15</f>
        <v>15</v>
      </c>
      <c r="J28" s="12">
        <f>[3]Jazz_AC!$IN$15</f>
        <v>118</v>
      </c>
      <c r="K28" s="12">
        <f>'[3]Sky Regional'!$IN$15</f>
        <v>0</v>
      </c>
      <c r="L28" s="12">
        <f>[3]Condor!$IN$15</f>
        <v>3</v>
      </c>
      <c r="M28" s="12">
        <f>'[3]Aer Lingus'!$IN$15</f>
        <v>0</v>
      </c>
      <c r="N28" s="12">
        <f>'[3]Air France'!$IN$15</f>
        <v>0</v>
      </c>
      <c r="O28" s="12">
        <f>[3]Frontier!$IN$15</f>
        <v>0</v>
      </c>
      <c r="P28" s="12">
        <f>'[3]Charter Misc'!$IN$15+[3]Ryan!$IN$15+[3]Omni!$IN$15</f>
        <v>0</v>
      </c>
      <c r="Q28" s="205">
        <f>SUM(B28:P28)</f>
        <v>758</v>
      </c>
    </row>
    <row r="29" spans="1:20" x14ac:dyDescent="0.2">
      <c r="A29" s="45" t="s">
        <v>23</v>
      </c>
      <c r="B29" s="12">
        <f>[3]Delta!$IN$16</f>
        <v>493</v>
      </c>
      <c r="C29" s="12">
        <f>'[3]Atlantic Southeast'!$IN$16</f>
        <v>0</v>
      </c>
      <c r="D29" s="12">
        <f>[3]Pinnacle!$IN$16</f>
        <v>77</v>
      </c>
      <c r="E29" s="12">
        <f>'[3]Sky West'!$IN$16</f>
        <v>9</v>
      </c>
      <c r="F29" s="12">
        <f>'[3]Go Jet'!$IN$16</f>
        <v>0</v>
      </c>
      <c r="G29" s="12">
        <f>'[3]Sun Country'!$IN$16</f>
        <v>7</v>
      </c>
      <c r="H29" s="12">
        <f>[3]Icelandair!$IN$16</f>
        <v>30</v>
      </c>
      <c r="I29" s="12">
        <f>[3]KLM!$IN$16</f>
        <v>15</v>
      </c>
      <c r="J29" s="12">
        <f>[3]Jazz_AC!$IN$16</f>
        <v>120</v>
      </c>
      <c r="K29" s="12">
        <f>'[3]Sky Regional'!$IN$16</f>
        <v>0</v>
      </c>
      <c r="L29" s="12">
        <f>[3]Condor!$IN$16</f>
        <v>3</v>
      </c>
      <c r="M29" s="12">
        <f>'[3]Aer Lingus'!$IN$16</f>
        <v>0</v>
      </c>
      <c r="N29" s="12">
        <f>'[3]Air France'!$IN$16</f>
        <v>0</v>
      </c>
      <c r="O29" s="12">
        <f>[3]Frontier!$IN$16</f>
        <v>0</v>
      </c>
      <c r="P29" s="12">
        <f>'[3]Charter Misc'!$IN$16+[3]Ryan!$IN$16+[3]Omni!$IN$16</f>
        <v>0</v>
      </c>
      <c r="Q29" s="205">
        <f>SUM(B29:P29)</f>
        <v>754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991</v>
      </c>
      <c r="C31" s="282">
        <f t="shared" si="21"/>
        <v>0</v>
      </c>
      <c r="D31" s="282">
        <f t="shared" si="21"/>
        <v>153</v>
      </c>
      <c r="E31" s="282">
        <f>SUM(E28:E29)</f>
        <v>19</v>
      </c>
      <c r="F31" s="282">
        <f>SUM(F28:F29)</f>
        <v>0</v>
      </c>
      <c r="G31" s="282">
        <f t="shared" si="21"/>
        <v>15</v>
      </c>
      <c r="H31" s="282">
        <f t="shared" si="21"/>
        <v>60</v>
      </c>
      <c r="I31" s="282">
        <f t="shared" ref="I31" si="22">SUM(I28:I29)</f>
        <v>30</v>
      </c>
      <c r="J31" s="282">
        <f t="shared" si="21"/>
        <v>238</v>
      </c>
      <c r="K31" s="282">
        <f t="shared" ref="K31" si="23">SUM(K28:K29)</f>
        <v>0</v>
      </c>
      <c r="L31" s="282">
        <f>SUM(L28:L29)</f>
        <v>6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0</v>
      </c>
      <c r="Q31" s="283">
        <f>SUM(B31:P31)</f>
        <v>1512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251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8" t="s">
        <v>141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90"/>
    </row>
    <row r="35" spans="1:17" x14ac:dyDescent="0.2">
      <c r="A35" s="45" t="s">
        <v>22</v>
      </c>
      <c r="B35" s="12">
        <f>SUM([3]Delta!$IF$15:$IN$15)</f>
        <v>4598</v>
      </c>
      <c r="C35" s="12">
        <f>SUM('[3]Atlantic Southeast'!$IF$15:$IN$15)</f>
        <v>0</v>
      </c>
      <c r="D35" s="12">
        <f>SUM([3]Pinnacle!$IF$15:$IN$15)</f>
        <v>128</v>
      </c>
      <c r="E35" s="12">
        <f>SUM('[3]Sky West'!$IF$15:$IN$15)</f>
        <v>695</v>
      </c>
      <c r="F35" s="12">
        <f>SUM('[3]Go Jet'!$IF$15:$IN$15)</f>
        <v>0</v>
      </c>
      <c r="G35" s="12">
        <f>SUM('[3]Sun Country'!$IF$15:$IN$15)</f>
        <v>985</v>
      </c>
      <c r="H35" s="12">
        <f>SUM([3]Icelandair!$IF$15:$IN$15)</f>
        <v>177</v>
      </c>
      <c r="I35" s="12">
        <f>SUM([3]KLM!$IF$15:$IN$15)</f>
        <v>146</v>
      </c>
      <c r="J35" s="12">
        <f>SUM([3]Jazz_AC!$IF$15:$IN$15)</f>
        <v>895</v>
      </c>
      <c r="K35" s="12">
        <f>SUM('[3]Sky Regional'!$IF$15:$IN$15)</f>
        <v>0</v>
      </c>
      <c r="L35" s="12">
        <f>SUM([3]Condor!$IF$15:$IN$15)</f>
        <v>44</v>
      </c>
      <c r="M35" s="12">
        <f>SUM('[3]Aer Lingus'!$IF$15:$IN$15)</f>
        <v>0</v>
      </c>
      <c r="N35" s="12">
        <f>SUM('[3]Air France'!$IF$15:$IN$15)</f>
        <v>0</v>
      </c>
      <c r="O35" s="12">
        <f>SUM([3]Frontier!$IF$15:$IN$15)</f>
        <v>0</v>
      </c>
      <c r="P35" s="12">
        <f>SUM('[3]Charter Misc'!$IF$15:$IN$15)+SUM([3]Ryan!$IF$15:$IN$15)+SUM([3]Omni!$IF$15:$IN$15)</f>
        <v>8</v>
      </c>
      <c r="Q35" s="205">
        <f>SUM(B35:P35)</f>
        <v>7676</v>
      </c>
    </row>
    <row r="36" spans="1:17" x14ac:dyDescent="0.2">
      <c r="A36" s="45" t="s">
        <v>23</v>
      </c>
      <c r="B36" s="12">
        <f>SUM([3]Delta!$IF$16:$IN$16)</f>
        <v>4615</v>
      </c>
      <c r="C36" s="12">
        <f>SUM('[3]Atlantic Southeast'!$IF$16:$IN$16)</f>
        <v>0</v>
      </c>
      <c r="D36" s="12">
        <f>SUM([3]Pinnacle!$IF$16:$IN$16)</f>
        <v>129</v>
      </c>
      <c r="E36" s="12">
        <f>SUM('[3]Sky West'!$IF$16:$IN$16)</f>
        <v>692</v>
      </c>
      <c r="F36" s="12">
        <f>SUM('[3]Go Jet'!$IF$16:$IN$16)</f>
        <v>0</v>
      </c>
      <c r="G36" s="12">
        <f>SUM('[3]Sun Country'!$IF$16:$IN$16)</f>
        <v>976</v>
      </c>
      <c r="H36" s="12">
        <f>SUM([3]Icelandair!$IF$16:$IN$16)</f>
        <v>177</v>
      </c>
      <c r="I36" s="12">
        <f>SUM([3]KLM!$IF$16:$IN$16)</f>
        <v>146</v>
      </c>
      <c r="J36" s="12">
        <f>SUM([3]Jazz_AC!$IF$16:$IN$16)</f>
        <v>828</v>
      </c>
      <c r="K36" s="12">
        <f>SUM('[3]Sky Regional'!$IF$16:$IN$16)</f>
        <v>0</v>
      </c>
      <c r="L36" s="12">
        <f>SUM([3]Condor!$IF$16:$IN$16)</f>
        <v>44</v>
      </c>
      <c r="M36" s="12">
        <f>SUM('[3]Aer Lingus'!$IF$16:$IN$16)</f>
        <v>0</v>
      </c>
      <c r="N36" s="12">
        <f>SUM('[3]Air France'!$IF$16:$IN$16)</f>
        <v>0</v>
      </c>
      <c r="O36" s="12">
        <f>SUM([3]Frontier!$IF$16:$IN$16)</f>
        <v>0</v>
      </c>
      <c r="P36" s="12">
        <f>SUM('[3]Charter Misc'!$IF$16:$IN$16)+SUM([3]Ryan!$IF$16:$IN$16)+SUM([3]Omni!$IF$16:$IN$16)</f>
        <v>3</v>
      </c>
      <c r="Q36" s="205">
        <f>SUM(B36:P36)</f>
        <v>7610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9213</v>
      </c>
      <c r="C38" s="282">
        <f t="shared" si="25"/>
        <v>0</v>
      </c>
      <c r="D38" s="282">
        <f t="shared" si="25"/>
        <v>257</v>
      </c>
      <c r="E38" s="282">
        <f>+SUM(E35:E36)</f>
        <v>1387</v>
      </c>
      <c r="F38" s="282">
        <f>+SUM(F35:F36)</f>
        <v>0</v>
      </c>
      <c r="G38" s="282">
        <f t="shared" si="25"/>
        <v>1961</v>
      </c>
      <c r="H38" s="282">
        <f t="shared" si="25"/>
        <v>354</v>
      </c>
      <c r="I38" s="282">
        <f t="shared" ref="I38" si="26">+SUM(I35:I36)</f>
        <v>292</v>
      </c>
      <c r="J38" s="282">
        <f t="shared" si="25"/>
        <v>1723</v>
      </c>
      <c r="K38" s="282">
        <f t="shared" ref="K38" si="27">+SUM(K35:K36)</f>
        <v>0</v>
      </c>
      <c r="L38" s="282">
        <f>+SUM(L35:L36)</f>
        <v>88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11</v>
      </c>
      <c r="Q38" s="283">
        <f>SUM(B38:P38)</f>
        <v>15286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&amp;"Arial,Bold"September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topLeftCell="F36" zoomScaleNormal="100" zoomScaleSheetLayoutView="85" workbookViewId="0">
      <selection activeCell="G52" sqref="G52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9" t="s">
        <v>130</v>
      </c>
      <c r="B1" s="500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3" t="s">
        <v>134</v>
      </c>
      <c r="K1" s="504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91" t="s">
        <v>210</v>
      </c>
      <c r="T1" s="492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4">
        <v>45170</v>
      </c>
      <c r="B2" s="475"/>
      <c r="C2" s="501" t="s">
        <v>9</v>
      </c>
      <c r="D2" s="502"/>
      <c r="E2" s="502"/>
      <c r="F2" s="502"/>
      <c r="G2" s="502"/>
      <c r="H2" s="502"/>
      <c r="I2" s="332"/>
      <c r="J2" s="474">
        <f>+A2</f>
        <v>45170</v>
      </c>
      <c r="K2" s="475"/>
      <c r="L2" s="496" t="s">
        <v>136</v>
      </c>
      <c r="M2" s="497"/>
      <c r="N2" s="497"/>
      <c r="O2" s="497"/>
      <c r="P2" s="497"/>
      <c r="Q2" s="497"/>
      <c r="R2" s="498"/>
      <c r="S2" s="474">
        <f>+J2</f>
        <v>45170</v>
      </c>
      <c r="T2" s="475"/>
      <c r="U2" s="493" t="s">
        <v>211</v>
      </c>
      <c r="V2" s="494"/>
      <c r="W2" s="494"/>
      <c r="X2" s="494"/>
      <c r="Y2" s="494"/>
      <c r="Z2" s="494"/>
      <c r="AA2" s="495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238</v>
      </c>
      <c r="D4" s="261">
        <f>SUM(D5:D7)</f>
        <v>230</v>
      </c>
      <c r="E4" s="262">
        <f>(C4-D4)/D4</f>
        <v>3.4782608695652174E-2</v>
      </c>
      <c r="F4" s="259">
        <f>SUM(F5:F7)</f>
        <v>1723</v>
      </c>
      <c r="G4" s="261">
        <f>SUM(G5:G7)</f>
        <v>1314</v>
      </c>
      <c r="H4" s="260">
        <f>(F4-G4)/G4</f>
        <v>0.31126331811263319</v>
      </c>
      <c r="I4" s="262">
        <f>F4/$F$62</f>
        <v>7.9172525341641171E-3</v>
      </c>
      <c r="J4" s="258" t="s">
        <v>98</v>
      </c>
      <c r="K4" s="39"/>
      <c r="L4" s="259">
        <f>SUM(L5:L7)</f>
        <v>13816</v>
      </c>
      <c r="M4" s="261">
        <f>SUM(M5:M7)</f>
        <v>12032</v>
      </c>
      <c r="N4" s="262">
        <f>(L4-M4)/M4</f>
        <v>0.14827127659574468</v>
      </c>
      <c r="O4" s="259">
        <f>SUM(O5:O7)</f>
        <v>107326</v>
      </c>
      <c r="P4" s="261">
        <f>SUM(P5:P7)</f>
        <v>70004</v>
      </c>
      <c r="Q4" s="260">
        <f>(O4-P4)/P4</f>
        <v>0.53314096337352146</v>
      </c>
      <c r="R4" s="262">
        <f>O4/$O$62</f>
        <v>4.211367435236188E-3</v>
      </c>
      <c r="S4" s="258" t="s">
        <v>98</v>
      </c>
      <c r="T4" s="39"/>
      <c r="U4" s="259">
        <f>SUM(U5:U7)</f>
        <v>16914.5</v>
      </c>
      <c r="V4" s="261">
        <f>SUM(V5:V7)</f>
        <v>1064</v>
      </c>
      <c r="W4" s="262">
        <f>(U4-V4)/V4</f>
        <v>14.897086466165414</v>
      </c>
      <c r="X4" s="259">
        <f>SUM(X5:X7)</f>
        <v>296278.69999999995</v>
      </c>
      <c r="Y4" s="261">
        <f>SUM(Y5:Y7)</f>
        <v>804230</v>
      </c>
      <c r="Z4" s="260">
        <f>(X4-Y4)/Y4</f>
        <v>-0.63159954241945715</v>
      </c>
      <c r="AA4" s="262">
        <f>X4/$X$62</f>
        <v>4.766529163087228E-3</v>
      </c>
    </row>
    <row r="5" spans="1:27" ht="14.1" customHeight="1" x14ac:dyDescent="0.2">
      <c r="A5" s="258"/>
      <c r="B5" s="318" t="s">
        <v>98</v>
      </c>
      <c r="C5" s="263">
        <f>+[3]AirCanada!$IN$19</f>
        <v>0</v>
      </c>
      <c r="D5" s="2">
        <f>+[3]AirCanada!$HZ$19</f>
        <v>0</v>
      </c>
      <c r="E5" s="65" t="e">
        <f>(C5-D5)/D5</f>
        <v>#DIV/0!</v>
      </c>
      <c r="F5" s="217">
        <f>SUM([3]AirCanada!$IF$19:$IN$19)</f>
        <v>0</v>
      </c>
      <c r="G5" s="217">
        <f>SUM([3]AirCanada!$HR$19:$HZ$19)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+[3]AirCanada!$IN$41</f>
        <v>0</v>
      </c>
      <c r="M5" s="217">
        <f>+[3]AirCanada!$HZ$41</f>
        <v>0</v>
      </c>
      <c r="N5" s="324" t="e">
        <f>(L5-M5)/M5</f>
        <v>#DIV/0!</v>
      </c>
      <c r="O5" s="322">
        <f>SUM([3]AirCanada!$IF$41:$IN$41)</f>
        <v>0</v>
      </c>
      <c r="P5" s="217">
        <f>SUM([3]AirCanada!$HR$41:$HZ$41)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+[3]AirCanada!$IN$64</f>
        <v>0</v>
      </c>
      <c r="V5" s="217">
        <f>+[3]AirCanada!$HZ$64</f>
        <v>0</v>
      </c>
      <c r="W5" s="324" t="e">
        <f>(U5-V5)/V5</f>
        <v>#DIV/0!</v>
      </c>
      <c r="X5" s="322">
        <f>SUM([3]AirCanada!$IF$64:$IN$64)</f>
        <v>0</v>
      </c>
      <c r="Y5" s="217">
        <f>SUM([3]AirCanada!$HR$64:$HZ$64)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Georgian'!$IN$19</f>
        <v>0</v>
      </c>
      <c r="D6" s="2">
        <f>'[3]Air Georgian'!$HZ$19</f>
        <v>0</v>
      </c>
      <c r="E6" s="65" t="e">
        <f>(C6-D6)/D6</f>
        <v>#DIV/0!</v>
      </c>
      <c r="F6" s="217">
        <f>SUM('[3]Air Georgian'!$IF$19:$IN$19)</f>
        <v>0</v>
      </c>
      <c r="G6" s="217">
        <f>SUM('[3]Air Georgian'!$HR$19:$HZ$19)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Georgian'!$IN$41</f>
        <v>0</v>
      </c>
      <c r="M6" s="2">
        <f>'[3]Air Georgian'!$HZ$41</f>
        <v>0</v>
      </c>
      <c r="N6" s="65" t="e">
        <f>(L6-M6)/M6</f>
        <v>#DIV/0!</v>
      </c>
      <c r="O6" s="263">
        <f>SUM('[3]Air Georgian'!$IF$41:$IN$41)</f>
        <v>0</v>
      </c>
      <c r="P6" s="2">
        <f>SUM('[3]Air Georgian'!$HR$41:$HZ$41)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Georgian'!$IN$64</f>
        <v>0</v>
      </c>
      <c r="V6" s="2">
        <f>'[3]Air Georgian'!$HZ$64</f>
        <v>0</v>
      </c>
      <c r="W6" s="65" t="e">
        <f>(U6-V6)/V6</f>
        <v>#DIV/0!</v>
      </c>
      <c r="X6" s="263">
        <f>SUM('[3]Air Georgian'!$IF$64:$IN$64)</f>
        <v>0</v>
      </c>
      <c r="Y6" s="2">
        <f>SUM('[3]Air Georgian'!$HR$64:$HZ$64)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[3]Jazz_AC!$IN$19</f>
        <v>238</v>
      </c>
      <c r="D7" s="2">
        <f>[3]Jazz_AC!$HZ$19</f>
        <v>230</v>
      </c>
      <c r="E7" s="65">
        <f t="shared" ref="E7" si="0">(C7-D7)/D7</f>
        <v>3.4782608695652174E-2</v>
      </c>
      <c r="F7" s="2">
        <f>SUM([3]Jazz_AC!$IF$19:$IN$19)</f>
        <v>1723</v>
      </c>
      <c r="G7" s="2">
        <f>SUM([3]Jazz_AC!$HR$19:$HZ$19)</f>
        <v>1314</v>
      </c>
      <c r="H7" s="3">
        <f t="shared" ref="H7" si="1">(F7-G7)/G7</f>
        <v>0.31126331811263319</v>
      </c>
      <c r="I7" s="65">
        <f>F7/$F$62</f>
        <v>7.9172525341641171E-3</v>
      </c>
      <c r="J7" s="258"/>
      <c r="K7" s="318" t="s">
        <v>218</v>
      </c>
      <c r="L7" s="263">
        <f>[3]Jazz_AC!$IN$41</f>
        <v>13816</v>
      </c>
      <c r="M7" s="2">
        <f>[3]Jazz_AC!$HZ$41</f>
        <v>12032</v>
      </c>
      <c r="N7" s="65">
        <f t="shared" ref="N7" si="2">(L7-M7)/M7</f>
        <v>0.14827127659574468</v>
      </c>
      <c r="O7" s="263">
        <f>SUM([3]Jazz_AC!$IF$41:$IN$41)</f>
        <v>107326</v>
      </c>
      <c r="P7" s="2">
        <f>SUM([3]Jazz_AC!$HR$41:$HZ$41)</f>
        <v>70004</v>
      </c>
      <c r="Q7" s="3">
        <f t="shared" ref="Q7" si="3">(O7-P7)/P7</f>
        <v>0.53314096337352146</v>
      </c>
      <c r="R7" s="65">
        <f>O7/$O$62</f>
        <v>4.211367435236188E-3</v>
      </c>
      <c r="S7" s="258"/>
      <c r="T7" s="318" t="s">
        <v>218</v>
      </c>
      <c r="U7" s="263">
        <f>[3]Jazz_AC!$IN$64</f>
        <v>16914.5</v>
      </c>
      <c r="V7" s="2">
        <f>[3]Jazz_AC!$HZ$64</f>
        <v>1064</v>
      </c>
      <c r="W7" s="65">
        <f t="shared" ref="W7" si="4">(U7-V7)/V7</f>
        <v>14.897086466165414</v>
      </c>
      <c r="X7" s="263">
        <f>SUM([3]Jazz_AC!$IF$64:$IN$64)</f>
        <v>296278.69999999995</v>
      </c>
      <c r="Y7" s="2">
        <f>SUM([3]Jazz_AC!$HR$64:$HZ$64)</f>
        <v>804230</v>
      </c>
      <c r="Z7" s="3">
        <f t="shared" ref="Z7" si="5">(X7-Y7)/Y7</f>
        <v>-0.63159954241945715</v>
      </c>
      <c r="AA7" s="65">
        <f>X7/$X$62</f>
        <v>4.766529163087228E-3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France'!$IN$19</f>
        <v>0</v>
      </c>
      <c r="D9" s="261">
        <f>'[3]Air France'!$HZ$19</f>
        <v>36</v>
      </c>
      <c r="E9" s="262">
        <f>(C9-D9)/D9</f>
        <v>-1</v>
      </c>
      <c r="F9" s="261">
        <f>SUM('[3]Air France'!$IF$19:$IN$19)</f>
        <v>0</v>
      </c>
      <c r="G9" s="261">
        <f>SUM('[3]Air France'!$HR$19:$HZ$19)</f>
        <v>194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France'!$IN$41</f>
        <v>0</v>
      </c>
      <c r="M9" s="261">
        <f>'[3]Air France'!$HZ$41</f>
        <v>8746</v>
      </c>
      <c r="N9" s="262">
        <f>(L9-M9)/M9</f>
        <v>-1</v>
      </c>
      <c r="O9" s="259">
        <f>SUM('[3]Air France'!$IF$41:$IN$41)</f>
        <v>0</v>
      </c>
      <c r="P9" s="261">
        <f>SUM('[3]Air France'!$HR$41:$HZ$41)</f>
        <v>49205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France'!$IN$64</f>
        <v>0</v>
      </c>
      <c r="V9" s="261">
        <f>'[3]Air France'!$HZ$64</f>
        <v>437424</v>
      </c>
      <c r="W9" s="262">
        <f>(U9-V9)/V9</f>
        <v>-1</v>
      </c>
      <c r="X9" s="259">
        <f>SUM('[3]Air France'!$IF$64:$IN$64)</f>
        <v>0</v>
      </c>
      <c r="Y9" s="261">
        <f>SUM('[3]Air France'!$HR$64:$HZ$64)</f>
        <v>2150435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'!$IN$19</f>
        <v>18</v>
      </c>
      <c r="D11" s="2">
        <f>'[3]Allegiant '!$HZ$19</f>
        <v>6</v>
      </c>
      <c r="E11" s="262">
        <f t="shared" ref="E11" si="6">(C11-D11)/D11</f>
        <v>2</v>
      </c>
      <c r="F11" s="2">
        <f>SUM('[3]Allegiant '!$IF$19:$IN$19)</f>
        <v>628</v>
      </c>
      <c r="G11" s="2">
        <f>SUM('[3]Allegiant '!$HR$19:$HZ$19)</f>
        <v>650</v>
      </c>
      <c r="H11" s="260">
        <f t="shared" ref="H11" si="7">(F11-G11)/G11</f>
        <v>-3.3846153846153845E-2</v>
      </c>
      <c r="I11" s="262">
        <f>F11/$F$62</f>
        <v>2.8856846148897649E-3</v>
      </c>
      <c r="J11" s="258" t="s">
        <v>219</v>
      </c>
      <c r="K11" s="39"/>
      <c r="L11" s="263">
        <f>'[3]Allegiant '!$IN$41</f>
        <v>1805</v>
      </c>
      <c r="M11" s="2">
        <f>'[3]Allegiant '!$HZ$41</f>
        <v>741</v>
      </c>
      <c r="N11" s="262">
        <f t="shared" ref="N11" si="8">(L11-M11)/M11</f>
        <v>1.4358974358974359</v>
      </c>
      <c r="O11" s="263">
        <f>SUM('[3]Allegiant '!$IF$41:$IN$41)</f>
        <v>91929</v>
      </c>
      <c r="P11" s="2">
        <f>SUM('[3]Allegiant '!$HR$41:$HZ$41)</f>
        <v>89870</v>
      </c>
      <c r="Q11" s="260">
        <f t="shared" ref="Q11" si="9">(O11-P11)/P11</f>
        <v>2.2910871258484476E-2</v>
      </c>
      <c r="R11" s="262">
        <f>O11/$O$62</f>
        <v>3.6072041905393618E-3</v>
      </c>
      <c r="S11" s="258" t="s">
        <v>219</v>
      </c>
      <c r="T11" s="39"/>
      <c r="U11" s="263">
        <f>'[3]Allegiant '!$IN$64</f>
        <v>0</v>
      </c>
      <c r="V11" s="2">
        <f>'[3]Allegiant '!$HZ$64</f>
        <v>0</v>
      </c>
      <c r="W11" s="262" t="e">
        <f t="shared" ref="W11" si="10">(U11-V11)/V11</f>
        <v>#DIV/0!</v>
      </c>
      <c r="X11" s="263">
        <f>SUM('[3]Allegiant '!$IF$64:$IN$64)</f>
        <v>0</v>
      </c>
      <c r="Y11" s="2">
        <f>SUM('[3]Allegiant '!$HR$64:$HZ$64)</f>
        <v>0</v>
      </c>
      <c r="Z11" s="260" t="e">
        <f t="shared" ref="Z11" si="11">(X11-Y11)/Y11</f>
        <v>#DIV/0!</v>
      </c>
      <c r="AA11" s="262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214</v>
      </c>
      <c r="D13" s="261">
        <f>SUM(D14:D16)</f>
        <v>173</v>
      </c>
      <c r="E13" s="262">
        <f>(C13-D13)/D13</f>
        <v>0.23699421965317918</v>
      </c>
      <c r="F13" s="261">
        <f>SUM(F14:F16)</f>
        <v>1512</v>
      </c>
      <c r="G13" s="261">
        <f>SUM(G14:G16)</f>
        <v>1571</v>
      </c>
      <c r="H13" s="260">
        <f>(F13-G13)/G13</f>
        <v>-3.7555697008274984E-2</v>
      </c>
      <c r="I13" s="262">
        <f>F13/$F$62</f>
        <v>6.9476992638747206E-3</v>
      </c>
      <c r="J13" s="258" t="s">
        <v>127</v>
      </c>
      <c r="K13" s="39"/>
      <c r="L13" s="259">
        <f>SUM(L14:L16)</f>
        <v>27394</v>
      </c>
      <c r="M13" s="261">
        <f>SUM(M14:M16)</f>
        <v>24920</v>
      </c>
      <c r="N13" s="262">
        <f>(L13-M13)/M13</f>
        <v>9.9277688603531297E-2</v>
      </c>
      <c r="O13" s="259">
        <f>SUM(O14:O16)</f>
        <v>214300</v>
      </c>
      <c r="P13" s="261">
        <f>SUM(P14:P16)</f>
        <v>207915</v>
      </c>
      <c r="Q13" s="260">
        <f>(O13-P13)/P13</f>
        <v>3.0709665007334727E-2</v>
      </c>
      <c r="R13" s="262">
        <f>O13/$O$62</f>
        <v>8.4089227342034091E-3</v>
      </c>
      <c r="S13" s="258" t="s">
        <v>127</v>
      </c>
      <c r="T13" s="39"/>
      <c r="U13" s="259">
        <f>SUM(U14:U16)</f>
        <v>54535</v>
      </c>
      <c r="V13" s="261">
        <f>SUM(V14:V16)</f>
        <v>55380</v>
      </c>
      <c r="W13" s="262">
        <f>(U13-V13)/V13</f>
        <v>-1.5258215962441314E-2</v>
      </c>
      <c r="X13" s="259">
        <f>SUM(X14:X16)</f>
        <v>346244</v>
      </c>
      <c r="Y13" s="261">
        <f>SUM(Y14:Y16)</f>
        <v>281443</v>
      </c>
      <c r="Z13" s="260">
        <f>(X13-Y13)/Y13</f>
        <v>0.23024555593850266</v>
      </c>
      <c r="AA13" s="262">
        <f>X13/$X$62</f>
        <v>5.5703704773376371E-3</v>
      </c>
    </row>
    <row r="14" spans="1:27" ht="14.1" customHeight="1" x14ac:dyDescent="0.2">
      <c r="A14" s="258"/>
      <c r="B14" s="318" t="s">
        <v>127</v>
      </c>
      <c r="C14" s="322">
        <f>[3]Alaska!$IN$19</f>
        <v>214</v>
      </c>
      <c r="D14" s="217">
        <f>[3]Alaska!$HZ$19</f>
        <v>173</v>
      </c>
      <c r="E14" s="324">
        <f>(C14-D14)/D14</f>
        <v>0.23699421965317918</v>
      </c>
      <c r="F14" s="217">
        <f>SUM([3]Alaska!$IF$19:$IN$19)</f>
        <v>1512</v>
      </c>
      <c r="G14" s="217">
        <f>SUM([3]Alaska!$HR$19:$HZ$19)</f>
        <v>1479</v>
      </c>
      <c r="H14" s="323">
        <f>(F14-G14)/G14</f>
        <v>2.231237322515213E-2</v>
      </c>
      <c r="I14" s="324">
        <f>F14/$F$62</f>
        <v>6.9476992638747206E-3</v>
      </c>
      <c r="J14" s="258"/>
      <c r="K14" s="318" t="s">
        <v>127</v>
      </c>
      <c r="L14" s="322">
        <f>[3]Alaska!$IN$41</f>
        <v>27394</v>
      </c>
      <c r="M14" s="217">
        <f>[3]Alaska!$HZ$41</f>
        <v>24920</v>
      </c>
      <c r="N14" s="324">
        <f>(L14-M14)/M14</f>
        <v>9.9277688603531297E-2</v>
      </c>
      <c r="O14" s="322">
        <f>SUM([3]Alaska!$IF$41:$IN$41)</f>
        <v>214300</v>
      </c>
      <c r="P14" s="217">
        <f>SUM([3]Alaska!$HR$41:$HZ$41)</f>
        <v>202544</v>
      </c>
      <c r="Q14" s="323">
        <f>(O14-P14)/P14</f>
        <v>5.8041709455723199E-2</v>
      </c>
      <c r="R14" s="324">
        <f>O14/$O$62</f>
        <v>8.4089227342034091E-3</v>
      </c>
      <c r="S14" s="258"/>
      <c r="T14" s="318" t="s">
        <v>127</v>
      </c>
      <c r="U14" s="322">
        <f>[3]Alaska!$IN$64</f>
        <v>54535</v>
      </c>
      <c r="V14" s="217">
        <f>[3]Alaska!$HZ$64</f>
        <v>55380</v>
      </c>
      <c r="W14" s="324">
        <f>(U14-V14)/V14</f>
        <v>-1.5258215962441314E-2</v>
      </c>
      <c r="X14" s="322">
        <f>SUM([3]Alaska!$IF$64:$IN$64)</f>
        <v>346244</v>
      </c>
      <c r="Y14" s="217">
        <f>SUM([3]Alaska!$HR$64:$HZ$64)</f>
        <v>273844</v>
      </c>
      <c r="Z14" s="323">
        <f>(X14-Y14)/Y14</f>
        <v>0.26438410189743067</v>
      </c>
      <c r="AA14" s="324">
        <f>X14/$X$62</f>
        <v>5.5703704773376371E-3</v>
      </c>
    </row>
    <row r="15" spans="1:27" ht="14.1" customHeight="1" x14ac:dyDescent="0.2">
      <c r="A15" s="258"/>
      <c r="B15" s="318" t="s">
        <v>97</v>
      </c>
      <c r="C15" s="263">
        <f>'[3]Sky West_AS'!$IN$19</f>
        <v>0</v>
      </c>
      <c r="D15" s="2">
        <f>'[3]Sky West_AS'!$HZ$19</f>
        <v>0</v>
      </c>
      <c r="E15" s="65" t="e">
        <f>(C15-D15)/D15</f>
        <v>#DIV/0!</v>
      </c>
      <c r="F15" s="2">
        <f>SUM('[3]Sky West_AS'!$IF$19:$IN$19)</f>
        <v>0</v>
      </c>
      <c r="G15" s="2">
        <f>SUM('[3]Sky West_AS'!$HR$19:$HZ$19)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West_AS'!$IN$41</f>
        <v>0</v>
      </c>
      <c r="M15" s="2">
        <f>'[3]Sky West_AS'!$HZ$41</f>
        <v>0</v>
      </c>
      <c r="N15" s="65" t="e">
        <f>(L15-M15)/M15</f>
        <v>#DIV/0!</v>
      </c>
      <c r="O15" s="263">
        <f>SUM('[3]Sky West_AS'!$IF$41:$IN$41)</f>
        <v>0</v>
      </c>
      <c r="P15" s="2">
        <f>SUM('[3]Sky West_AS'!$HR$41:$HZ$41)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West_AS'!$IN$64</f>
        <v>0</v>
      </c>
      <c r="V15" s="2">
        <f>'[3]Sky West_AS'!$HZ$64</f>
        <v>0</v>
      </c>
      <c r="W15" s="65" t="e">
        <f>(U15-V15)/V15</f>
        <v>#DIV/0!</v>
      </c>
      <c r="X15" s="263">
        <f>SUM('[3]Sky West_AS'!$IF$64:$IN$64)</f>
        <v>0</v>
      </c>
      <c r="Y15" s="2">
        <f>SUM('[3]Sky West_AS'!$HR$64:$HZ$64)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[3]Horizon_AS!$IN$19</f>
        <v>0</v>
      </c>
      <c r="D16" s="2">
        <f>[3]Horizon_AS!$HZ$19</f>
        <v>0</v>
      </c>
      <c r="E16" s="65" t="e">
        <f>(C16-D16)/D16</f>
        <v>#DIV/0!</v>
      </c>
      <c r="F16" s="2">
        <f>SUM([3]Horizon_AS!$IF$19:$IN$19)</f>
        <v>0</v>
      </c>
      <c r="G16" s="2">
        <f>SUM([3]Horizon_AS!$HR$19:$HZ$19)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[3]Horizon_AS!$IN$41</f>
        <v>0</v>
      </c>
      <c r="M16" s="2">
        <f>[3]Horizon_AS!$HZ$41</f>
        <v>0</v>
      </c>
      <c r="N16" s="65" t="e">
        <f>(L16-M16)/M16</f>
        <v>#DIV/0!</v>
      </c>
      <c r="O16" s="263">
        <f>SUM([3]Horizon_AS!$IF$41:$IN$41)</f>
        <v>0</v>
      </c>
      <c r="P16" s="2">
        <f>SUM([3]Horizon_AS!$HR$41:$HZ$41)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[3]Horizon_AS!$IN$64</f>
        <v>0</v>
      </c>
      <c r="V16" s="2">
        <f>[3]Horizon_AS!$HZ$64</f>
        <v>0</v>
      </c>
      <c r="W16" s="65" t="e">
        <f>(U16-V16)/V16</f>
        <v>#DIV/0!</v>
      </c>
      <c r="X16" s="263">
        <f>SUM([3]Horizon_AS!$IF$64:$IN$64)</f>
        <v>0</v>
      </c>
      <c r="Y16" s="2">
        <f>SUM([3]Horizon_AS!$HR$64:$HZ$64)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1137</v>
      </c>
      <c r="D18" s="261">
        <f>SUM(D19:D24)</f>
        <v>987</v>
      </c>
      <c r="E18" s="262">
        <f t="shared" ref="E18:E24" si="12">(C18-D18)/D18</f>
        <v>0.1519756838905775</v>
      </c>
      <c r="F18" s="259">
        <f>SUM(F19:F24)</f>
        <v>9912</v>
      </c>
      <c r="G18" s="261">
        <f>SUM(G19:G24)</f>
        <v>9528</v>
      </c>
      <c r="H18" s="260">
        <f t="shared" ref="H18:H24" si="13">(F18-G18)/G18</f>
        <v>4.0302267002518891E-2</v>
      </c>
      <c r="I18" s="262">
        <f t="shared" ref="I18:I24" si="14">F18/$F$62</f>
        <v>4.5546028507623168E-2</v>
      </c>
      <c r="J18" s="258" t="s">
        <v>17</v>
      </c>
      <c r="K18" s="265"/>
      <c r="L18" s="259">
        <f>SUM(L19:L24)</f>
        <v>124537</v>
      </c>
      <c r="M18" s="261">
        <f>SUM(M19:M24)</f>
        <v>115029</v>
      </c>
      <c r="N18" s="262">
        <f t="shared" ref="N18:N24" si="15">(L18-M18)/M18</f>
        <v>8.2657416825322308E-2</v>
      </c>
      <c r="O18" s="259">
        <f>SUM(O19:O24)</f>
        <v>1110243</v>
      </c>
      <c r="P18" s="261">
        <f>SUM(P19:P24)</f>
        <v>1049205</v>
      </c>
      <c r="Q18" s="260">
        <f t="shared" ref="Q18:Q24" si="16">(O18-P18)/P18</f>
        <v>5.8175475717328833E-2</v>
      </c>
      <c r="R18" s="262">
        <f t="shared" ref="R18:R24" si="17">O18/$O$62</f>
        <v>4.3564851158143701E-2</v>
      </c>
      <c r="S18" s="258" t="s">
        <v>17</v>
      </c>
      <c r="T18" s="265"/>
      <c r="U18" s="259">
        <f>SUM(U19:U24)</f>
        <v>57276</v>
      </c>
      <c r="V18" s="261">
        <f>SUM(V19:V24)</f>
        <v>74352</v>
      </c>
      <c r="W18" s="262">
        <f t="shared" ref="W18:W22" si="18">(U18-V18)/V18</f>
        <v>-0.22966429954809556</v>
      </c>
      <c r="X18" s="259">
        <f>SUM(X19:X24)</f>
        <v>449923</v>
      </c>
      <c r="Y18" s="261">
        <f>SUM(Y19:Y24)</f>
        <v>982267</v>
      </c>
      <c r="Z18" s="260">
        <f t="shared" ref="Z18:Z22" si="19">(X18-Y18)/Y18</f>
        <v>-0.54195447877206504</v>
      </c>
      <c r="AA18" s="262">
        <f t="shared" ref="AA18:AA24" si="20">X18/$X$62</f>
        <v>7.2383573326185629E-3</v>
      </c>
    </row>
    <row r="19" spans="1:27" ht="14.1" customHeight="1" x14ac:dyDescent="0.2">
      <c r="A19" s="37"/>
      <c r="B19" s="39" t="s">
        <v>17</v>
      </c>
      <c r="C19" s="263">
        <f>[3]American!$IN$19</f>
        <v>721</v>
      </c>
      <c r="D19" s="2">
        <f>[3]American!$HZ$19</f>
        <v>543</v>
      </c>
      <c r="E19" s="65">
        <f t="shared" si="12"/>
        <v>0.32780847145488029</v>
      </c>
      <c r="F19" s="2">
        <f>SUM([3]American!$IF$19:$IN$19)</f>
        <v>6133</v>
      </c>
      <c r="G19" s="2">
        <f>SUM([3]American!$HR$19:$HZ$19)</f>
        <v>5308</v>
      </c>
      <c r="H19" s="3">
        <f t="shared" si="13"/>
        <v>0.15542577241899019</v>
      </c>
      <c r="I19" s="65">
        <f t="shared" si="14"/>
        <v>2.8181375387132054E-2</v>
      </c>
      <c r="J19" s="37"/>
      <c r="K19" s="39" t="s">
        <v>17</v>
      </c>
      <c r="L19" s="263">
        <f>[3]American!$IN$41</f>
        <v>101440</v>
      </c>
      <c r="M19" s="2">
        <f>[3]American!$HZ$41</f>
        <v>86778</v>
      </c>
      <c r="N19" s="65">
        <f t="shared" si="15"/>
        <v>0.1689598746226002</v>
      </c>
      <c r="O19" s="263">
        <f>SUM([3]American!$IF$41:$IN$41)</f>
        <v>893097</v>
      </c>
      <c r="P19" s="2">
        <f>SUM([3]American!$HR$41:$HZ$41)</f>
        <v>802597</v>
      </c>
      <c r="Q19" s="3">
        <f t="shared" si="16"/>
        <v>0.11275895623831138</v>
      </c>
      <c r="R19" s="65">
        <f t="shared" si="17"/>
        <v>3.5044254163083814E-2</v>
      </c>
      <c r="S19" s="37"/>
      <c r="T19" s="39" t="s">
        <v>17</v>
      </c>
      <c r="U19" s="263">
        <f>[3]American!$IN$64</f>
        <v>54691</v>
      </c>
      <c r="V19" s="2">
        <f>[3]American!$HZ$64</f>
        <v>72582</v>
      </c>
      <c r="W19" s="65">
        <f t="shared" si="18"/>
        <v>-0.2464936210079634</v>
      </c>
      <c r="X19" s="263">
        <f>SUM([3]American!$IF$64:$IN$64)</f>
        <v>426217</v>
      </c>
      <c r="Y19" s="2">
        <f>SUM([3]American!$HR$64:$HZ$64)</f>
        <v>947812</v>
      </c>
      <c r="Z19" s="3">
        <f t="shared" si="19"/>
        <v>-0.55031483036720363</v>
      </c>
      <c r="AA19" s="65">
        <f t="shared" si="20"/>
        <v>6.8569754096516203E-3</v>
      </c>
    </row>
    <row r="20" spans="1:27" ht="14.1" customHeight="1" x14ac:dyDescent="0.2">
      <c r="A20" s="37"/>
      <c r="B20" s="318" t="s">
        <v>163</v>
      </c>
      <c r="C20" s="263">
        <f>'[3]American Eagle'!$IN$19</f>
        <v>60</v>
      </c>
      <c r="D20" s="2">
        <f>'[3]American Eagle'!$HZ$19</f>
        <v>164</v>
      </c>
      <c r="E20" s="65">
        <f t="shared" si="12"/>
        <v>-0.63414634146341464</v>
      </c>
      <c r="F20" s="2">
        <f>SUM('[3]American Eagle'!$IF$19:$IN$19)</f>
        <v>827</v>
      </c>
      <c r="G20" s="2">
        <f>SUM('[3]American Eagle'!$HR$19:$HZ$19)</f>
        <v>1022</v>
      </c>
      <c r="H20" s="3">
        <f t="shared" si="13"/>
        <v>-0.1908023483365949</v>
      </c>
      <c r="I20" s="65">
        <f t="shared" si="14"/>
        <v>3.8000974148309483E-3</v>
      </c>
      <c r="J20" s="37"/>
      <c r="K20" s="318" t="s">
        <v>163</v>
      </c>
      <c r="L20" s="263">
        <f>'[3]American Eagle'!$IN$41</f>
        <v>3966</v>
      </c>
      <c r="M20" s="2">
        <f>'[3]American Eagle'!$HZ$41</f>
        <v>9798</v>
      </c>
      <c r="N20" s="65">
        <f t="shared" si="15"/>
        <v>-0.59522351500306181</v>
      </c>
      <c r="O20" s="263">
        <f>SUM('[3]American Eagle'!$IF$41:$IN$41)</f>
        <v>50994</v>
      </c>
      <c r="P20" s="2">
        <f>SUM('[3]American Eagle'!$HR$41:$HZ$41)</f>
        <v>54307</v>
      </c>
      <c r="Q20" s="3">
        <f t="shared" si="16"/>
        <v>-6.1005026976264573E-2</v>
      </c>
      <c r="R20" s="65">
        <f t="shared" si="17"/>
        <v>2.0009547639195922E-3</v>
      </c>
      <c r="S20" s="37"/>
      <c r="T20" s="318" t="s">
        <v>163</v>
      </c>
      <c r="U20" s="263">
        <f>'[3]American Eagle'!$IN$64</f>
        <v>0</v>
      </c>
      <c r="V20" s="2">
        <f>'[3]American Eagle'!$HZ$64</f>
        <v>786</v>
      </c>
      <c r="W20" s="65">
        <f t="shared" si="18"/>
        <v>-1</v>
      </c>
      <c r="X20" s="263">
        <f>SUM('[3]American Eagle'!$IF$64:$IN$64)</f>
        <v>6470</v>
      </c>
      <c r="Y20" s="2">
        <f>SUM('[3]American Eagle'!$HR$64:$HZ$64)</f>
        <v>23926</v>
      </c>
      <c r="Z20" s="3">
        <f t="shared" si="19"/>
        <v>-0.7295828805483574</v>
      </c>
      <c r="AA20" s="65">
        <f t="shared" si="20"/>
        <v>1.0408930404100724E-4</v>
      </c>
    </row>
    <row r="21" spans="1:27" ht="14.1" customHeight="1" x14ac:dyDescent="0.2">
      <c r="A21" s="37"/>
      <c r="B21" s="318" t="s">
        <v>52</v>
      </c>
      <c r="C21" s="263">
        <f>[3]Republic!$IN$19</f>
        <v>96</v>
      </c>
      <c r="D21" s="2">
        <f>[3]Republic!$HZ$19</f>
        <v>170</v>
      </c>
      <c r="E21" s="65">
        <f t="shared" si="12"/>
        <v>-0.43529411764705883</v>
      </c>
      <c r="F21" s="2">
        <f>SUM([3]Republic!$IF$19:$IN$19)</f>
        <v>1592</v>
      </c>
      <c r="G21" s="2">
        <f>SUM([3]Republic!$HR$19:$HZ$19)</f>
        <v>1630</v>
      </c>
      <c r="H21" s="3">
        <f t="shared" si="13"/>
        <v>-2.3312883435582823E-2</v>
      </c>
      <c r="I21" s="65">
        <f t="shared" si="14"/>
        <v>7.3153023995294678E-3</v>
      </c>
      <c r="J21" s="37"/>
      <c r="K21" s="266" t="s">
        <v>52</v>
      </c>
      <c r="L21" s="263">
        <f>[3]Republic!$IN$41</f>
        <v>5898</v>
      </c>
      <c r="M21" s="2">
        <f>[3]Republic!$HZ$41</f>
        <v>11331</v>
      </c>
      <c r="N21" s="65">
        <f t="shared" si="15"/>
        <v>-0.47948106963198306</v>
      </c>
      <c r="O21" s="263">
        <f>SUM([3]Republic!$IF$41:$IN$41)</f>
        <v>97552</v>
      </c>
      <c r="P21" s="2">
        <f>SUM([3]Republic!$HR$41:$HZ$41)</f>
        <v>96942</v>
      </c>
      <c r="Q21" s="3">
        <f t="shared" si="16"/>
        <v>6.2924222731117578E-3</v>
      </c>
      <c r="R21" s="65">
        <f t="shared" si="17"/>
        <v>3.8278452196314088E-3</v>
      </c>
      <c r="S21" s="37"/>
      <c r="T21" s="266" t="s">
        <v>52</v>
      </c>
      <c r="U21" s="263">
        <f>[3]Republic!$IN$64</f>
        <v>1064</v>
      </c>
      <c r="V21" s="2">
        <f>[3]Republic!$HZ$64</f>
        <v>984</v>
      </c>
      <c r="W21" s="65">
        <f t="shared" si="18"/>
        <v>8.1300813008130079E-2</v>
      </c>
      <c r="X21" s="263">
        <f>SUM([3]Republic!$IF$64:$IN$64)</f>
        <v>15625</v>
      </c>
      <c r="Y21" s="2">
        <f>SUM([3]Republic!$HR$64:$HZ$64)</f>
        <v>6331</v>
      </c>
      <c r="Z21" s="3">
        <f t="shared" si="19"/>
        <v>1.4680145316695625</v>
      </c>
      <c r="AA21" s="65">
        <f t="shared" si="20"/>
        <v>2.5137486485946492E-4</v>
      </c>
    </row>
    <row r="22" spans="1:27" ht="14.1" customHeight="1" x14ac:dyDescent="0.2">
      <c r="A22" s="37"/>
      <c r="B22" s="318" t="s">
        <v>177</v>
      </c>
      <c r="C22" s="263">
        <f>[3]PSA!$IN$19</f>
        <v>104</v>
      </c>
      <c r="D22" s="2">
        <f>[3]PSA!$HZ$19</f>
        <v>104</v>
      </c>
      <c r="E22" s="65">
        <f t="shared" si="12"/>
        <v>0</v>
      </c>
      <c r="F22" s="2">
        <f>SUM([3]PSA!$IF$19:$IN$19)</f>
        <v>666</v>
      </c>
      <c r="G22" s="2">
        <f>SUM([3]PSA!$HR$19:$HZ$19)</f>
        <v>1074</v>
      </c>
      <c r="H22" s="3">
        <f t="shared" si="13"/>
        <v>-0.37988826815642457</v>
      </c>
      <c r="I22" s="65">
        <f t="shared" si="14"/>
        <v>3.0602961043257699E-3</v>
      </c>
      <c r="J22" s="37"/>
      <c r="K22" s="318" t="s">
        <v>177</v>
      </c>
      <c r="L22" s="263">
        <f>[3]PSA!$IN$41</f>
        <v>6144</v>
      </c>
      <c r="M22" s="2">
        <f>[3]PSA!$HZ$41</f>
        <v>6810</v>
      </c>
      <c r="N22" s="65">
        <f t="shared" si="15"/>
        <v>-9.7797356828193835E-2</v>
      </c>
      <c r="O22" s="263">
        <f>SUM([3]PSA!$IF$41:$IN$41)</f>
        <v>37114</v>
      </c>
      <c r="P22" s="2">
        <f>SUM([3]PSA!$HR$41:$HZ$41)</f>
        <v>67822</v>
      </c>
      <c r="Q22" s="3">
        <f t="shared" si="16"/>
        <v>-0.45277343634808764</v>
      </c>
      <c r="R22" s="65">
        <f t="shared" si="17"/>
        <v>1.4563171178591941E-3</v>
      </c>
      <c r="S22" s="37"/>
      <c r="T22" s="318" t="s">
        <v>177</v>
      </c>
      <c r="U22" s="263">
        <f>[3]PSA!$IN$64</f>
        <v>177</v>
      </c>
      <c r="V22" s="2">
        <f>[3]PSA!$HZ$64</f>
        <v>0</v>
      </c>
      <c r="W22" s="65" t="e">
        <f t="shared" si="18"/>
        <v>#DIV/0!</v>
      </c>
      <c r="X22" s="263">
        <f>SUM([3]PSA!$IF$64:$IN$64)</f>
        <v>217</v>
      </c>
      <c r="Y22" s="2">
        <f>SUM([3]PSA!$HR$64:$HZ$64)</f>
        <v>1460</v>
      </c>
      <c r="Z22" s="3">
        <f t="shared" si="19"/>
        <v>-0.85136986301369866</v>
      </c>
      <c r="AA22" s="65">
        <f t="shared" si="20"/>
        <v>3.491094123168249E-6</v>
      </c>
    </row>
    <row r="23" spans="1:27" ht="14.1" customHeight="1" x14ac:dyDescent="0.2">
      <c r="A23" s="37"/>
      <c r="B23" s="318" t="s">
        <v>97</v>
      </c>
      <c r="C23" s="263">
        <f>'[3]Sky West_AA'!$IN$19</f>
        <v>0</v>
      </c>
      <c r="D23" s="2">
        <f>'[3]Sky West_AA'!$HZ$19</f>
        <v>6</v>
      </c>
      <c r="E23" s="65">
        <f>(C23-D23)/D23</f>
        <v>-1</v>
      </c>
      <c r="F23" s="2">
        <f>SUM('[3]Sky West_AA'!$IF$19:$IN$19)</f>
        <v>0</v>
      </c>
      <c r="G23" s="2">
        <f>SUM('[3]Sky West_AA'!$HR$19:$HZ$19)</f>
        <v>488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West_AA'!$IN$41</f>
        <v>0</v>
      </c>
      <c r="M23" s="2">
        <f>'[3]Sky West_AA'!$HZ$41</f>
        <v>312</v>
      </c>
      <c r="N23" s="65">
        <f>(L23-M23)/M23</f>
        <v>-1</v>
      </c>
      <c r="O23" s="263">
        <f>SUM('[3]Sky West_AA'!$IF$41:$IN$41)</f>
        <v>0</v>
      </c>
      <c r="P23" s="2">
        <f>SUM('[3]Sky West_AA'!$HR$41:$HZ$41)</f>
        <v>27445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West_AA'!$IN$64</f>
        <v>0</v>
      </c>
      <c r="V23" s="2">
        <f>'[3]Sky West_AA'!$HZ$64</f>
        <v>0</v>
      </c>
      <c r="W23" s="65" t="e">
        <f>(U23-V23)/V23</f>
        <v>#DIV/0!</v>
      </c>
      <c r="X23" s="263">
        <f>SUM('[3]Sky West_AA'!$IF$64:$IN$64)</f>
        <v>0</v>
      </c>
      <c r="Y23" s="2">
        <f>SUM('[3]Sky West_AA'!$HR$64:$HZ$64)</f>
        <v>2738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Wisconsin'!$IN$19</f>
        <v>156</v>
      </c>
      <c r="D24" s="2">
        <f>'[3]Air Wisconsin'!$HZ$19</f>
        <v>0</v>
      </c>
      <c r="E24" s="65" t="e">
        <f t="shared" si="12"/>
        <v>#DIV/0!</v>
      </c>
      <c r="F24" s="2">
        <f>SUM('[3]Air Wisconsin'!$IF$19:$IN$19)</f>
        <v>694</v>
      </c>
      <c r="G24" s="2">
        <f>SUM('[3]Air Wisconsin'!$HR$19:$HZ$19)</f>
        <v>6</v>
      </c>
      <c r="H24" s="349">
        <f t="shared" si="13"/>
        <v>114.66666666666667</v>
      </c>
      <c r="I24" s="65">
        <f t="shared" si="14"/>
        <v>3.1889572018049313E-3</v>
      </c>
      <c r="J24" s="37"/>
      <c r="K24" s="266" t="s">
        <v>50</v>
      </c>
      <c r="L24" s="263">
        <f>'[3]Air Wisconsin'!$IN$41</f>
        <v>7089</v>
      </c>
      <c r="M24" s="2">
        <f>'[3]Air Wisconsin'!$HZ$41</f>
        <v>0</v>
      </c>
      <c r="N24" s="65" t="e">
        <f t="shared" si="15"/>
        <v>#DIV/0!</v>
      </c>
      <c r="O24" s="263">
        <f>SUM('[3]Air Wisconsin'!$IF$41:$IN$41)</f>
        <v>31486</v>
      </c>
      <c r="P24" s="2">
        <f>SUM('[3]Air Wisconsin'!$HR$41:$HZ$41)</f>
        <v>92</v>
      </c>
      <c r="Q24" s="3">
        <f t="shared" si="16"/>
        <v>341.23913043478262</v>
      </c>
      <c r="R24" s="65">
        <f t="shared" si="17"/>
        <v>1.2354798936496899E-3</v>
      </c>
      <c r="S24" s="37"/>
      <c r="T24" s="266" t="s">
        <v>50</v>
      </c>
      <c r="U24" s="263">
        <f>'[3]Air Wisconsin'!$IN$64</f>
        <v>1344</v>
      </c>
      <c r="V24" s="2">
        <f>'[3]Air Wisconsin'!$HZ$64</f>
        <v>0</v>
      </c>
      <c r="W24" s="65" t="e">
        <f t="shared" ref="W24" si="21">(U24-V24)/V24</f>
        <v>#DIV/0!</v>
      </c>
      <c r="X24" s="263">
        <f>SUM('[3]Air Wisconsin'!$IF$64:$IN$64)</f>
        <v>1394</v>
      </c>
      <c r="Y24" s="2">
        <f>SUM('[3]Air Wisconsin'!$HR$64:$HZ$64)</f>
        <v>0</v>
      </c>
      <c r="Z24" s="3" t="e">
        <f t="shared" ref="Z24" si="22">(X24-Y24)/Y24</f>
        <v>#DIV/0!</v>
      </c>
      <c r="AA24" s="65">
        <f t="shared" si="20"/>
        <v>2.2426659943302024E-5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[3]Condor!$IN$19</f>
        <v>6</v>
      </c>
      <c r="D26" s="261">
        <f>[3]Condor!$HZ$19</f>
        <v>16</v>
      </c>
      <c r="E26" s="262">
        <f>(C26-D26)/D26</f>
        <v>-0.625</v>
      </c>
      <c r="F26" s="261">
        <f>SUM([3]Condor!$IF$19:$IN$19)</f>
        <v>88</v>
      </c>
      <c r="G26" s="261">
        <f>SUM([3]Condor!$HR$19:$HZ$19)</f>
        <v>98</v>
      </c>
      <c r="H26" s="260">
        <f>(F26-G26)/G26</f>
        <v>-0.10204081632653061</v>
      </c>
      <c r="I26" s="262">
        <f>F26/$F$62</f>
        <v>4.0436344922022187E-4</v>
      </c>
      <c r="J26" s="258" t="s">
        <v>159</v>
      </c>
      <c r="K26" s="39"/>
      <c r="L26" s="259">
        <f>[3]Condor!$IN$41</f>
        <v>1197</v>
      </c>
      <c r="M26" s="261">
        <f>[3]Condor!$HZ$41</f>
        <v>2740</v>
      </c>
      <c r="N26" s="262">
        <f>(L26-M26)/M26</f>
        <v>-0.56313868613138685</v>
      </c>
      <c r="O26" s="259">
        <f>SUM([3]Condor!$IF$41:$IN$41)</f>
        <v>19004</v>
      </c>
      <c r="P26" s="261">
        <f>SUM([3]Condor!$HR$41:$HZ$41)</f>
        <v>19394</v>
      </c>
      <c r="Q26" s="260">
        <f>(O26-P26)/P26</f>
        <v>-2.0109312158399506E-2</v>
      </c>
      <c r="R26" s="262">
        <f>O26/$O$62</f>
        <v>7.4569840243024542E-4</v>
      </c>
      <c r="S26" s="258" t="s">
        <v>159</v>
      </c>
      <c r="T26" s="39"/>
      <c r="U26" s="259">
        <f>[3]Condor!$IN$64</f>
        <v>19628</v>
      </c>
      <c r="V26" s="261">
        <f>[3]Condor!$HZ$64</f>
        <v>39278</v>
      </c>
      <c r="W26" s="262">
        <f>(U26-V26)/V26</f>
        <v>-0.50028005499261674</v>
      </c>
      <c r="X26" s="259">
        <f>SUM([3]Condor!$IF$64:$IN$64)</f>
        <v>262271</v>
      </c>
      <c r="Y26" s="261">
        <f>SUM([3]Condor!$HR$64:$HZ$64)</f>
        <v>606468</v>
      </c>
      <c r="Z26" s="260">
        <f>(X26-Y26)/Y26</f>
        <v>-0.56754354722755362</v>
      </c>
      <c r="AA26" s="262">
        <f>X26/$X$62</f>
        <v>4.2194135796196309E-3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Air'!$IN$19</f>
        <v>140</v>
      </c>
      <c r="D28" s="261">
        <f>'[3]Denver Air'!$HZ$19</f>
        <v>158</v>
      </c>
      <c r="E28" s="262">
        <f>(C28-D28)/D28</f>
        <v>-0.11392405063291139</v>
      </c>
      <c r="F28" s="261">
        <f>SUM('[3]Denver Air'!$IF$19:$IN$19)</f>
        <v>1370</v>
      </c>
      <c r="G28" s="261">
        <f>SUM('[3]Denver Air'!$HR$19:$HZ$19)</f>
        <v>1420</v>
      </c>
      <c r="H28" s="260">
        <f>(F28-G28)/G28</f>
        <v>-3.5211267605633804E-2</v>
      </c>
      <c r="I28" s="262">
        <f>F28/$F$62</f>
        <v>6.2952036980875445E-3</v>
      </c>
      <c r="J28" s="258" t="s">
        <v>212</v>
      </c>
      <c r="K28" s="39"/>
      <c r="L28" s="259">
        <f>'[3]Denver Air'!$IN$41</f>
        <v>1653</v>
      </c>
      <c r="M28" s="261">
        <f>'[3]Denver Air'!$HZ$41</f>
        <v>1231</v>
      </c>
      <c r="N28" s="262">
        <f>(L28-M28)/M28</f>
        <v>0.34281072298943949</v>
      </c>
      <c r="O28" s="259">
        <f>SUM('[3]Denver Air'!$IF$41:$IN$41)</f>
        <v>14432</v>
      </c>
      <c r="P28" s="261">
        <f>SUM('[3]Denver Air'!$HR$41:$HZ$41)</f>
        <v>14700</v>
      </c>
      <c r="Q28" s="260">
        <f>(O28-P28)/P28</f>
        <v>-1.8231292517006802E-2</v>
      </c>
      <c r="R28" s="262">
        <f>O28/$O$62</f>
        <v>5.6629758702764167E-4</v>
      </c>
      <c r="S28" s="258" t="s">
        <v>212</v>
      </c>
      <c r="T28" s="39"/>
      <c r="U28" s="259">
        <f>'[3]Denver Air'!$IN$64</f>
        <v>0</v>
      </c>
      <c r="V28" s="261">
        <f>'[3]Denver Air'!$HZ$64</f>
        <v>0</v>
      </c>
      <c r="W28" s="262" t="e">
        <f>(U28-V28)/V28</f>
        <v>#DIV/0!</v>
      </c>
      <c r="X28" s="259">
        <f>SUM('[3]Denver Air'!$IF$64:$IN$64)</f>
        <v>0</v>
      </c>
      <c r="Y28" s="261">
        <f>SUM('[3]Denver Air'!$HR$64:$HZ$64)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17792</v>
      </c>
      <c r="D30" s="261">
        <f>SUM(D31:D34)</f>
        <v>17096</v>
      </c>
      <c r="E30" s="262">
        <f t="shared" ref="E30:E34" si="23">(C30-D30)/D30</f>
        <v>4.071127749181095E-2</v>
      </c>
      <c r="F30" s="264">
        <f>SUM(F31:F34)</f>
        <v>158424</v>
      </c>
      <c r="G30" s="264">
        <f>SUM(G31:G34)</f>
        <v>157079</v>
      </c>
      <c r="H30" s="260">
        <f>(F30-G30)/G30</f>
        <v>8.5625704263459796E-3</v>
      </c>
      <c r="I30" s="262">
        <f>F30/$F$62</f>
        <v>0.7279644895370958</v>
      </c>
      <c r="J30" s="258" t="s">
        <v>18</v>
      </c>
      <c r="K30" s="265"/>
      <c r="L30" s="259">
        <f>SUM(L31:L34)</f>
        <v>1980868</v>
      </c>
      <c r="M30" s="261">
        <f>SUM(M31:M34)</f>
        <v>1843920</v>
      </c>
      <c r="N30" s="262">
        <f t="shared" ref="N30:N34" si="24">(L30-M30)/M30</f>
        <v>7.427003340708925E-2</v>
      </c>
      <c r="O30" s="259">
        <f>SUM(O31:O34)</f>
        <v>17952046</v>
      </c>
      <c r="P30" s="261">
        <f>SUM(P31:P34)</f>
        <v>16283950</v>
      </c>
      <c r="Q30" s="260">
        <f t="shared" ref="Q30:Q34" si="25">(O30-P30)/P30</f>
        <v>0.10243804482327691</v>
      </c>
      <c r="R30" s="262">
        <f>O30/$O$62</f>
        <v>0.70442075471239096</v>
      </c>
      <c r="S30" s="258" t="s">
        <v>18</v>
      </c>
      <c r="T30" s="265"/>
      <c r="U30" s="259">
        <f>SUM(U31:U34)</f>
        <v>6570987</v>
      </c>
      <c r="V30" s="261">
        <f>SUM(V31:V34)</f>
        <v>7174331</v>
      </c>
      <c r="W30" s="262">
        <f t="shared" ref="W30:W34" si="26">(U30-V30)/V30</f>
        <v>-8.4097597392704629E-2</v>
      </c>
      <c r="X30" s="259">
        <f>SUM(X31:X34)</f>
        <v>54434591</v>
      </c>
      <c r="Y30" s="261">
        <f>SUM(Y31:Y34)</f>
        <v>59415585</v>
      </c>
      <c r="Z30" s="260">
        <f t="shared" ref="Z30:Z32" si="27">(X30-Y30)/Y30</f>
        <v>-8.3833122235521196E-2</v>
      </c>
      <c r="AA30" s="262">
        <f>X30/$X$62</f>
        <v>0.87574322920353576</v>
      </c>
    </row>
    <row r="31" spans="1:27" ht="14.1" customHeight="1" x14ac:dyDescent="0.2">
      <c r="A31" s="37"/>
      <c r="B31" s="39" t="s">
        <v>18</v>
      </c>
      <c r="C31" s="263">
        <f>[3]Delta!$IN$19</f>
        <v>12365</v>
      </c>
      <c r="D31" s="2">
        <f>[3]Delta!$HZ$19</f>
        <v>10000</v>
      </c>
      <c r="E31" s="65">
        <f t="shared" si="23"/>
        <v>0.23649999999999999</v>
      </c>
      <c r="F31" s="2">
        <f>SUM([3]Delta!$IF$19:$IN$19)</f>
        <v>109140</v>
      </c>
      <c r="G31" s="2">
        <f>SUM([3]Delta!$HR$19:$HZ$19)</f>
        <v>90402</v>
      </c>
      <c r="H31" s="3">
        <f t="shared" ref="H31:H34" si="28">(F31-G31)/G31</f>
        <v>0.20727417535010287</v>
      </c>
      <c r="I31" s="65">
        <f>F31/$F$62</f>
        <v>0.50150257781698881</v>
      </c>
      <c r="J31" s="37"/>
      <c r="K31" s="39" t="s">
        <v>18</v>
      </c>
      <c r="L31" s="263">
        <f>[3]Delta!$IN$41</f>
        <v>1694216</v>
      </c>
      <c r="M31" s="2">
        <f>[3]Delta!$HZ$41</f>
        <v>1440588</v>
      </c>
      <c r="N31" s="65">
        <f t="shared" si="24"/>
        <v>0.17605866493404082</v>
      </c>
      <c r="O31" s="263">
        <f>SUM([3]Delta!$IF$41:$IN$41)</f>
        <v>15300561</v>
      </c>
      <c r="P31" s="2">
        <f>SUM([3]Delta!$HR$41:$HZ$41)</f>
        <v>12800366</v>
      </c>
      <c r="Q31" s="3">
        <f t="shared" si="25"/>
        <v>0.19532214938229109</v>
      </c>
      <c r="R31" s="65">
        <f>O31/$O$62</f>
        <v>0.60037907251034084</v>
      </c>
      <c r="S31" s="37"/>
      <c r="T31" s="39" t="s">
        <v>18</v>
      </c>
      <c r="U31" s="263">
        <f>[3]Delta!$IN$64</f>
        <v>6570987</v>
      </c>
      <c r="V31" s="2">
        <f>[3]Delta!$HZ$64</f>
        <v>7174331</v>
      </c>
      <c r="W31" s="65">
        <f t="shared" si="26"/>
        <v>-8.4097597392704629E-2</v>
      </c>
      <c r="X31" s="263">
        <f>SUM([3]Delta!$IF$64:$IN$64)</f>
        <v>54434591</v>
      </c>
      <c r="Y31" s="2">
        <f>SUM([3]Delta!$HR$64:$HZ$64)</f>
        <v>59415585</v>
      </c>
      <c r="Z31" s="3">
        <f t="shared" si="27"/>
        <v>-8.3833122235521196E-2</v>
      </c>
      <c r="AA31" s="65">
        <f>X31/$X$62</f>
        <v>0.87574322920353576</v>
      </c>
    </row>
    <row r="32" spans="1:27" ht="14.1" customHeight="1" x14ac:dyDescent="0.2">
      <c r="A32" s="37"/>
      <c r="B32" s="39" t="s">
        <v>156</v>
      </c>
      <c r="C32" s="263">
        <f>[3]Pinnacle!$IN$19</f>
        <v>1183</v>
      </c>
      <c r="D32" s="2">
        <f>[3]Pinnacle!$HZ$19</f>
        <v>1481</v>
      </c>
      <c r="E32" s="65">
        <f t="shared" si="23"/>
        <v>-0.2012153950033761</v>
      </c>
      <c r="F32" s="2">
        <f>SUM([3]Pinnacle!$IF$19:$IN$19)</f>
        <v>12413</v>
      </c>
      <c r="G32" s="2">
        <f>SUM([3]Pinnacle!$HR$19:$HZ$19)</f>
        <v>13648</v>
      </c>
      <c r="H32" s="3">
        <f t="shared" si="28"/>
        <v>-9.0489449003517006E-2</v>
      </c>
      <c r="I32" s="65">
        <f>F32/$F$62</f>
        <v>5.70382215360297E-2</v>
      </c>
      <c r="J32" s="37"/>
      <c r="K32" s="39" t="s">
        <v>156</v>
      </c>
      <c r="L32" s="263">
        <f>[3]Pinnacle!$IN$41</f>
        <v>75387</v>
      </c>
      <c r="M32" s="2">
        <f>[3]Pinnacle!$HZ$41</f>
        <v>80190</v>
      </c>
      <c r="N32" s="65">
        <f t="shared" si="24"/>
        <v>-5.989524878413767E-2</v>
      </c>
      <c r="O32" s="263">
        <f>SUM([3]Pinnacle!$IF$41:$IN$41)</f>
        <v>774071</v>
      </c>
      <c r="P32" s="2">
        <f>SUM([3]Pinnacle!$HR$41:$HZ$41)</f>
        <v>685215</v>
      </c>
      <c r="Q32" s="3">
        <f t="shared" si="25"/>
        <v>0.12967608706756273</v>
      </c>
      <c r="R32" s="65">
        <f>O32/$O$62</f>
        <v>3.0373790152998445E-2</v>
      </c>
      <c r="S32" s="37"/>
      <c r="T32" s="39" t="s">
        <v>156</v>
      </c>
      <c r="U32" s="263">
        <f>[3]Pinnacle!$IN$64</f>
        <v>0</v>
      </c>
      <c r="V32" s="2">
        <f>[3]Pinnacle!$HZ$64</f>
        <v>0</v>
      </c>
      <c r="W32" s="65" t="e">
        <f t="shared" si="26"/>
        <v>#DIV/0!</v>
      </c>
      <c r="X32" s="263">
        <f>SUM([3]Pinnacle!$IF$64:$IN$64)</f>
        <v>0</v>
      </c>
      <c r="Y32" s="2">
        <f>SUM([3]Pinnacle!$HR$64:$HZ$64)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West'!$IN$19</f>
        <v>4244</v>
      </c>
      <c r="D33" s="2">
        <f>'[3]Sky West'!$HZ$19</f>
        <v>5615</v>
      </c>
      <c r="E33" s="65">
        <f t="shared" si="23"/>
        <v>-0.24416740872662512</v>
      </c>
      <c r="F33" s="2">
        <f>SUM('[3]Sky West'!$IF$19:$IN$19)</f>
        <v>36871</v>
      </c>
      <c r="G33" s="2">
        <f>SUM('[3]Sky West'!$HR$19:$HZ$19)</f>
        <v>53029</v>
      </c>
      <c r="H33" s="3">
        <f t="shared" si="28"/>
        <v>-0.30470120122951594</v>
      </c>
      <c r="I33" s="65">
        <f>F33/$F$62</f>
        <v>0.16942369018407727</v>
      </c>
      <c r="J33" s="37"/>
      <c r="K33" s="39" t="s">
        <v>97</v>
      </c>
      <c r="L33" s="263">
        <f>'[3]Sky West'!$IN$41</f>
        <v>211265</v>
      </c>
      <c r="M33" s="2">
        <f>'[3]Sky West'!$HZ$41</f>
        <v>323142</v>
      </c>
      <c r="N33" s="65">
        <f t="shared" si="24"/>
        <v>-0.34621621454345147</v>
      </c>
      <c r="O33" s="263">
        <f>SUM('[3]Sky West'!$IF$41:$IN$41)</f>
        <v>1877414</v>
      </c>
      <c r="P33" s="2">
        <f>SUM('[3]Sky West'!$HR$41:$HZ$41)</f>
        <v>2798369</v>
      </c>
      <c r="Q33" s="3">
        <f t="shared" si="25"/>
        <v>-0.32910420319836303</v>
      </c>
      <c r="R33" s="65">
        <f>O33/$O$62</f>
        <v>7.3667892049051609E-2</v>
      </c>
      <c r="S33" s="37"/>
      <c r="T33" s="39" t="s">
        <v>97</v>
      </c>
      <c r="U33" s="263">
        <f>'[3]Sky West'!$IN$64</f>
        <v>0</v>
      </c>
      <c r="V33" s="2">
        <f>'[3]Sky West'!$HZ$64</f>
        <v>0</v>
      </c>
      <c r="W33" s="65" t="e">
        <f t="shared" si="26"/>
        <v>#DIV/0!</v>
      </c>
      <c r="X33" s="263">
        <f>SUM('[3]Sky West'!$IF$64:$IN$64)</f>
        <v>0</v>
      </c>
      <c r="Y33" s="2">
        <f>SUM('[3]Sky West'!$HR$64:$HZ$64)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Southeast'!$IN$19</f>
        <v>0</v>
      </c>
      <c r="D34" s="2">
        <f>'[3]Atlantic Southeast'!$HZ$19</f>
        <v>0</v>
      </c>
      <c r="E34" s="65" t="e">
        <f t="shared" si="23"/>
        <v>#DIV/0!</v>
      </c>
      <c r="F34" s="2">
        <f>SUM('[3]Atlantic Southeast'!$IF$19:$IN$19)</f>
        <v>0</v>
      </c>
      <c r="G34" s="2">
        <f>SUM('[3]Atlantic Southeast'!$HR$19:$HZ$19)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Southeast'!$IN$41</f>
        <v>0</v>
      </c>
      <c r="M34" s="2">
        <f>'[3]Atlantic Southeast'!$HZ$41</f>
        <v>0</v>
      </c>
      <c r="N34" s="65" t="e">
        <f t="shared" si="24"/>
        <v>#DIV/0!</v>
      </c>
      <c r="O34" s="263">
        <f>SUM('[3]Atlantic Southeast'!$IF$41:$IN$41)</f>
        <v>0</v>
      </c>
      <c r="P34" s="2">
        <f>SUM('[3]Atlantic Southeast'!$HR$41:$HZ$41)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Southeast'!$IN$64</f>
        <v>0</v>
      </c>
      <c r="V34" s="2">
        <f>'[3]Atlantic Southeast'!$HZ$64</f>
        <v>0</v>
      </c>
      <c r="W34" s="65" t="e">
        <f t="shared" si="26"/>
        <v>#DIV/0!</v>
      </c>
      <c r="X34" s="263">
        <f>SUM('[3]Atlantic Southeast'!$IF$64:$IN$64)</f>
        <v>0</v>
      </c>
      <c r="Y34" s="2">
        <f>SUM('[3]Atlantic Southeast'!$HR$64:$HZ$64)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[3]Frontier!$IN$19</f>
        <v>118</v>
      </c>
      <c r="D36" s="261">
        <f>[3]Frontier!$HZ$19</f>
        <v>100</v>
      </c>
      <c r="E36" s="262">
        <f>(C36-D36)/D36</f>
        <v>0.18</v>
      </c>
      <c r="F36" s="261">
        <f>SUM([3]Frontier!$IF$19:$IN$19)</f>
        <v>1062</v>
      </c>
      <c r="G36" s="261">
        <f>SUM([3]Frontier!$HR$19:$HZ$19)</f>
        <v>1008</v>
      </c>
      <c r="H36" s="260">
        <f>(F36-G36)/G36</f>
        <v>5.3571428571428568E-2</v>
      </c>
      <c r="I36" s="262">
        <f>F36/$F$62</f>
        <v>4.8799316258167679E-3</v>
      </c>
      <c r="J36" s="258" t="s">
        <v>47</v>
      </c>
      <c r="K36" s="39"/>
      <c r="L36" s="259">
        <f>[3]Frontier!$IN$41</f>
        <v>20561</v>
      </c>
      <c r="M36" s="261">
        <f>[3]Frontier!$HZ$41</f>
        <v>16257</v>
      </c>
      <c r="N36" s="262">
        <f>(L36-M36)/M36</f>
        <v>0.26474749338746384</v>
      </c>
      <c r="O36" s="259">
        <f>SUM([3]Frontier!$IF$41:$IN$41)</f>
        <v>178262</v>
      </c>
      <c r="P36" s="261">
        <f>SUM([3]Frontier!$HR$41:$HZ$41)</f>
        <v>147351</v>
      </c>
      <c r="Q36" s="260">
        <f>(O36-P36)/P36</f>
        <v>0.20977801304368482</v>
      </c>
      <c r="R36" s="262">
        <f>O36/$O$62</f>
        <v>6.9948268056209432E-3</v>
      </c>
      <c r="S36" s="258" t="s">
        <v>47</v>
      </c>
      <c r="T36" s="39"/>
      <c r="U36" s="259">
        <f>[3]Frontier!$IN$64</f>
        <v>0</v>
      </c>
      <c r="V36" s="261">
        <f>[3]Frontier!$HZ$64</f>
        <v>0</v>
      </c>
      <c r="W36" s="262" t="e">
        <f>(U36-V36)/V36</f>
        <v>#DIV/0!</v>
      </c>
      <c r="X36" s="259">
        <f>SUM([3]Frontier!$IF$64:$IN$64)</f>
        <v>0</v>
      </c>
      <c r="Y36" s="261">
        <f>SUM([3]Frontier!$HR$64:$HZ$64)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[3]Icelandair!$IN$19</f>
        <v>60</v>
      </c>
      <c r="D38" s="261">
        <f>[3]Icelandair!$HZ$19</f>
        <v>66</v>
      </c>
      <c r="E38" s="262">
        <f>(C38-D38)/D38</f>
        <v>-9.0909090909090912E-2</v>
      </c>
      <c r="F38" s="261">
        <f>SUM([3]Icelandair!$IF$19:$IN$19)</f>
        <v>354</v>
      </c>
      <c r="G38" s="261">
        <f>SUM([3]Icelandair!$HR$19:$HZ$19)</f>
        <v>304</v>
      </c>
      <c r="H38" s="260">
        <f>(F38-G38)/G38</f>
        <v>0.16447368421052633</v>
      </c>
      <c r="I38" s="262">
        <f>F38/$F$62</f>
        <v>1.626643875272256E-3</v>
      </c>
      <c r="J38" s="258" t="s">
        <v>48</v>
      </c>
      <c r="K38" s="39"/>
      <c r="L38" s="259">
        <f>[3]Icelandair!$IN$41</f>
        <v>10358</v>
      </c>
      <c r="M38" s="261">
        <f>[3]Icelandair!$HZ$41</f>
        <v>9309</v>
      </c>
      <c r="N38" s="262">
        <f>(L38-M38)/M38</f>
        <v>0.11268664733054033</v>
      </c>
      <c r="O38" s="259">
        <f>SUM([3]Icelandair!$IF$41:$IN$41)</f>
        <v>61386</v>
      </c>
      <c r="P38" s="261">
        <f>SUM([3]Icelandair!$HR$41:$HZ$41)</f>
        <v>44525</v>
      </c>
      <c r="Q38" s="260">
        <f>(O38-P38)/P38</f>
        <v>0.3786861313868613</v>
      </c>
      <c r="R38" s="262">
        <f>O38/$O$62</f>
        <v>2.408726696042046E-3</v>
      </c>
      <c r="S38" s="258" t="s">
        <v>48</v>
      </c>
      <c r="T38" s="39"/>
      <c r="U38" s="259">
        <f>[3]Icelandair!$IN$64</f>
        <v>3456</v>
      </c>
      <c r="V38" s="261">
        <f>[3]Icelandair!$HZ$64</f>
        <v>1350</v>
      </c>
      <c r="W38" s="262">
        <f>(U38-V38)/V38</f>
        <v>1.56</v>
      </c>
      <c r="X38" s="259">
        <f>SUM([3]Icelandair!$IF$64:$IN$64)</f>
        <v>6097</v>
      </c>
      <c r="Y38" s="261">
        <f>SUM([3]Icelandair!$HR$64:$HZ$64)</f>
        <v>56539</v>
      </c>
      <c r="Z38" s="260">
        <f>(X38-Y38)/Y38</f>
        <v>-0.89216293178160211</v>
      </c>
      <c r="AA38" s="262">
        <f>X38/$X$62</f>
        <v>9.80884832670821E-5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Blue'!$IN$19</f>
        <v>104</v>
      </c>
      <c r="D40" s="261">
        <f>'[3]Jet Blue'!$HZ$19</f>
        <v>216</v>
      </c>
      <c r="E40" s="262">
        <f>(C40-D40)/D40</f>
        <v>-0.51851851851851849</v>
      </c>
      <c r="F40" s="261">
        <f>SUM('[3]Jet Blue'!$IF$19:$IN$19)</f>
        <v>845</v>
      </c>
      <c r="G40" s="261">
        <f>SUM('[3]Jet Blue'!$HR$19:$HZ$19)</f>
        <v>1362</v>
      </c>
      <c r="H40" s="260">
        <f>(F40-G40)/G40</f>
        <v>-0.37958883994126286</v>
      </c>
      <c r="I40" s="262">
        <f>F40/$F$62</f>
        <v>3.8828081203532666E-3</v>
      </c>
      <c r="J40" s="258" t="s">
        <v>192</v>
      </c>
      <c r="K40" s="39"/>
      <c r="L40" s="259">
        <f>'[3]Jet Blue'!$IN$41</f>
        <v>11949</v>
      </c>
      <c r="M40" s="261">
        <f>'[3]Jet Blue'!$HZ$41</f>
        <v>21777</v>
      </c>
      <c r="N40" s="262">
        <f>(L40-M40)/M40</f>
        <v>-0.45130183220829317</v>
      </c>
      <c r="O40" s="259">
        <f>SUM('[3]Jet Blue'!$IF$41:$IN$41)</f>
        <v>82971</v>
      </c>
      <c r="P40" s="261">
        <f>SUM('[3]Jet Blue'!$HR$41:$HZ$41)</f>
        <v>124541</v>
      </c>
      <c r="Q40" s="260">
        <f>(O40-P40)/P40</f>
        <v>-0.33378566094699735</v>
      </c>
      <c r="R40" s="262">
        <f>O40/$O$62</f>
        <v>3.2557010181035514E-3</v>
      </c>
      <c r="S40" s="258" t="s">
        <v>192</v>
      </c>
      <c r="T40" s="39"/>
      <c r="U40" s="259">
        <f>'[3]Jet Blue'!$IN$64</f>
        <v>0</v>
      </c>
      <c r="V40" s="261">
        <f>'[3]Jet Blue'!$HZ$64</f>
        <v>0</v>
      </c>
      <c r="W40" s="262" t="e">
        <f>(U40-V40)/V40</f>
        <v>#DIV/0!</v>
      </c>
      <c r="X40" s="259">
        <f>SUM('[3]Jet Blue'!$IF$64:$IN$64)</f>
        <v>0</v>
      </c>
      <c r="Y40" s="261">
        <f>SUM('[3]Jet Blue'!$HR$64:$HZ$64)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[3]KLM!$IN$19</f>
        <v>30</v>
      </c>
      <c r="D42" s="261">
        <f>[3]KLM!$HZ$19</f>
        <v>34</v>
      </c>
      <c r="E42" s="262">
        <f>(C42-D42)/D42</f>
        <v>-0.11764705882352941</v>
      </c>
      <c r="F42" s="261">
        <f>SUM([3]KLM!$IF$19:$IN$19)</f>
        <v>292</v>
      </c>
      <c r="G42" s="261">
        <f>SUM([3]KLM!$HR$19:$HZ$19)</f>
        <v>296</v>
      </c>
      <c r="H42" s="260">
        <f>(F42-G42)/G42</f>
        <v>-1.3513513513513514E-2</v>
      </c>
      <c r="I42" s="262">
        <f>F42/$F$62</f>
        <v>1.3417514451398271E-3</v>
      </c>
      <c r="J42" s="258" t="s">
        <v>187</v>
      </c>
      <c r="K42" s="39"/>
      <c r="L42" s="259">
        <f>[3]KLM!$IN$41</f>
        <v>7694</v>
      </c>
      <c r="M42" s="261">
        <f>[3]KLM!$HZ$41</f>
        <v>8269</v>
      </c>
      <c r="N42" s="262">
        <f>(L42-M42)/M42</f>
        <v>-6.9536824283468371E-2</v>
      </c>
      <c r="O42" s="259">
        <f>SUM([3]KLM!$IF$41:$IN$41)</f>
        <v>67928</v>
      </c>
      <c r="P42" s="261">
        <f>SUM([3]KLM!$HR$41:$HZ$41)</f>
        <v>64250</v>
      </c>
      <c r="Q42" s="260">
        <f>(O42-P42)/P42</f>
        <v>5.7245136186770428E-2</v>
      </c>
      <c r="R42" s="262">
        <f>O42/$O$62</f>
        <v>2.6654283877226748E-3</v>
      </c>
      <c r="S42" s="258" t="s">
        <v>187</v>
      </c>
      <c r="T42" s="39"/>
      <c r="U42" s="259">
        <f>[3]KLM!$IN$64</f>
        <v>366042</v>
      </c>
      <c r="V42" s="261">
        <f>[3]KLM!$HZ$64</f>
        <v>404172</v>
      </c>
      <c r="W42" s="262">
        <f>(U42-V42)/V42</f>
        <v>-9.4341023128766965E-2</v>
      </c>
      <c r="X42" s="259">
        <f>SUM([3]KLM!$IF$64:$IN$64)</f>
        <v>3423368</v>
      </c>
      <c r="Y42" s="261">
        <f>SUM([3]KLM!$HR$64:$HZ$64)</f>
        <v>4551110</v>
      </c>
      <c r="Z42" s="260">
        <f>(X42-Y42)/Y42</f>
        <v>-0.24779493354368495</v>
      </c>
      <c r="AA42" s="262">
        <f>X42/$X$62</f>
        <v>5.5075114775309873E-2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[3]Southwest!$IN$19</f>
        <v>1279</v>
      </c>
      <c r="D44" s="261">
        <f>[3]Southwest!$HZ$19</f>
        <v>963</v>
      </c>
      <c r="E44" s="262">
        <f>(C44-D44)/D44</f>
        <v>0.32814122533748702</v>
      </c>
      <c r="F44" s="261">
        <f>SUM([3]Southwest!$IF$19:$IN$19)</f>
        <v>10508</v>
      </c>
      <c r="G44" s="261">
        <f>SUM([3]Southwest!$HR$19:$HZ$19)</f>
        <v>7908</v>
      </c>
      <c r="H44" s="260">
        <f>(F44-G44)/G44</f>
        <v>0.3287809812847749</v>
      </c>
      <c r="I44" s="262">
        <f>F44/$F$62</f>
        <v>4.8284671868251035E-2</v>
      </c>
      <c r="J44" s="258" t="s">
        <v>128</v>
      </c>
      <c r="K44" s="39"/>
      <c r="L44" s="259">
        <f>[3]Southwest!$IN$41</f>
        <v>154019</v>
      </c>
      <c r="M44" s="261">
        <f>[3]Southwest!$HZ$41</f>
        <v>128733</v>
      </c>
      <c r="N44" s="262">
        <f>(L44-M44)/M44</f>
        <v>0.19642205184373859</v>
      </c>
      <c r="O44" s="259">
        <f>SUM([3]Southwest!$IF$41:$IN$41)</f>
        <v>1220045</v>
      </c>
      <c r="P44" s="261">
        <f>SUM([3]Southwest!$HR$41:$HZ$41)</f>
        <v>1010276</v>
      </c>
      <c r="Q44" s="260">
        <f>(O44-P44)/P44</f>
        <v>0.20763533925382766</v>
      </c>
      <c r="R44" s="262">
        <f>O44/$O$62</f>
        <v>4.7873374415544553E-2</v>
      </c>
      <c r="S44" s="258" t="s">
        <v>128</v>
      </c>
      <c r="T44" s="39"/>
      <c r="U44" s="259">
        <f>[3]Southwest!$IN$64</f>
        <v>250562</v>
      </c>
      <c r="V44" s="261">
        <f>[3]Southwest!$HZ$64</f>
        <v>239249</v>
      </c>
      <c r="W44" s="262">
        <f>(U44-V44)/V44</f>
        <v>4.7285464098073555E-2</v>
      </c>
      <c r="X44" s="259">
        <f>SUM([3]Southwest!$IF$64:$IN$64)</f>
        <v>1992566</v>
      </c>
      <c r="Y44" s="261">
        <f>SUM([3]Southwest!$HR$64:$HZ$64)</f>
        <v>1913627</v>
      </c>
      <c r="Z44" s="260">
        <f>(X44-Y44)/Y44</f>
        <v>4.125098569365921E-2</v>
      </c>
      <c r="AA44" s="262">
        <f>X44/$X$62</f>
        <v>3.2056384574308136E-2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[3]Spirit!$IN$19</f>
        <v>220</v>
      </c>
      <c r="D46" s="261">
        <f>[3]Spirit!$HZ$19</f>
        <v>170</v>
      </c>
      <c r="E46" s="262">
        <f>(C46-D46)/D46</f>
        <v>0.29411764705882354</v>
      </c>
      <c r="F46" s="261">
        <f>SUM([3]Spirit!$IF$19:$IN$19)</f>
        <v>2448</v>
      </c>
      <c r="G46" s="261">
        <f>SUM([3]Spirit!$HR$19:$HZ$19)</f>
        <v>2204</v>
      </c>
      <c r="H46" s="260">
        <f>(F46-G46)/G46</f>
        <v>0.11070780399274047</v>
      </c>
      <c r="I46" s="262">
        <f>F46/$F$62</f>
        <v>1.1248655951035262E-2</v>
      </c>
      <c r="J46" s="258" t="s">
        <v>153</v>
      </c>
      <c r="K46" s="39"/>
      <c r="L46" s="259">
        <f>[3]Spirit!$IN$41</f>
        <v>31439</v>
      </c>
      <c r="M46" s="261">
        <f>[3]Spirit!$HZ$41</f>
        <v>26402</v>
      </c>
      <c r="N46" s="262">
        <f>(L46-M46)/M46</f>
        <v>0.19078100143928489</v>
      </c>
      <c r="O46" s="259">
        <f>SUM([3]Spirit!$IF$41:$IN$41)</f>
        <v>348509</v>
      </c>
      <c r="P46" s="261">
        <f>SUM([3]Spirit!$HR$41:$HZ$41)</f>
        <v>331945</v>
      </c>
      <c r="Q46" s="260">
        <f>(O46-P46)/P46</f>
        <v>4.9899832803627107E-2</v>
      </c>
      <c r="R46" s="262">
        <f>O46/$O$62</f>
        <v>1.367515283795845E-2</v>
      </c>
      <c r="S46" s="258" t="s">
        <v>153</v>
      </c>
      <c r="T46" s="39"/>
      <c r="U46" s="259">
        <f>[3]Spirit!$IN$64</f>
        <v>0</v>
      </c>
      <c r="V46" s="261">
        <f>[3]Spirit!$HZ$64</f>
        <v>0</v>
      </c>
      <c r="W46" s="262" t="e">
        <f>(U46-V46)/V46</f>
        <v>#DIV/0!</v>
      </c>
      <c r="X46" s="259">
        <f>SUM([3]Spirit!$IF$64:$IN$64)</f>
        <v>0</v>
      </c>
      <c r="Y46" s="261">
        <f>SUM([3]Spirit!$HR$64:$HZ$64)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Country'!$IN$19</f>
        <v>1710</v>
      </c>
      <c r="D48" s="261">
        <f>'[3]Sun Country'!$HZ$19</f>
        <v>1283</v>
      </c>
      <c r="E48" s="262">
        <f>(C48-D48)/D48</f>
        <v>0.33281371784879188</v>
      </c>
      <c r="F48" s="261">
        <f>SUM('[3]Sun Country'!$IF$19:$IN$19)</f>
        <v>18874</v>
      </c>
      <c r="G48" s="261">
        <f>SUM('[3]Sun Country'!$HR$19:$HZ$19)</f>
        <v>16738</v>
      </c>
      <c r="H48" s="260">
        <f>(F48-G48)/G48</f>
        <v>0.12761381288086987</v>
      </c>
      <c r="I48" s="262">
        <f>F48/$F$62</f>
        <v>8.6726769779346222E-2</v>
      </c>
      <c r="J48" s="258" t="s">
        <v>49</v>
      </c>
      <c r="K48" s="39"/>
      <c r="L48" s="259">
        <f>'[3]Sun Country'!$IN$41</f>
        <v>236220</v>
      </c>
      <c r="M48" s="261">
        <f>'[3]Sun Country'!$HZ$41</f>
        <v>182129</v>
      </c>
      <c r="N48" s="262">
        <f>(L48-M48)/M48</f>
        <v>0.29699279082408625</v>
      </c>
      <c r="O48" s="259">
        <f>SUM('[3]Sun Country'!$IF$41:$IN$41)</f>
        <v>2803780</v>
      </c>
      <c r="P48" s="261">
        <f>SUM('[3]Sun Country'!$HR$41:$HZ$41)</f>
        <v>2436782</v>
      </c>
      <c r="Q48" s="260">
        <f>(O48-P48)/P48</f>
        <v>0.15060764565726437</v>
      </c>
      <c r="R48" s="262">
        <f>O48/$O$62</f>
        <v>0.11001758928467024</v>
      </c>
      <c r="S48" s="258" t="s">
        <v>49</v>
      </c>
      <c r="T48" s="39"/>
      <c r="U48" s="259">
        <f>'[3]Sun Country'!$IN$64</f>
        <v>0</v>
      </c>
      <c r="V48" s="261">
        <f>'[3]Sun Country'!$HZ$64</f>
        <v>86821</v>
      </c>
      <c r="W48" s="262">
        <f>(U48-V48)/V48</f>
        <v>-1</v>
      </c>
      <c r="X48" s="259">
        <f>SUM('[3]Sun Country'!$IF$64:$IN$64)</f>
        <v>61776</v>
      </c>
      <c r="Y48" s="261">
        <f>SUM('[3]Sun Country'!$HR$64:$HZ$64)</f>
        <v>3274001</v>
      </c>
      <c r="Z48" s="260">
        <f>(X48-Y48)/Y48</f>
        <v>-0.9811313435762542</v>
      </c>
      <c r="AA48" s="262">
        <f>X48/$X$62</f>
        <v>9.9385175369973155E-4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1165</v>
      </c>
      <c r="D50" s="261">
        <f>SUM(D51:D55)</f>
        <v>988</v>
      </c>
      <c r="E50" s="262">
        <f t="shared" ref="E50:E55" si="30">(C50-D50)/D50</f>
        <v>0.1791497975708502</v>
      </c>
      <c r="F50" s="261">
        <f>SUM(F51:F55)</f>
        <v>9328</v>
      </c>
      <c r="G50" s="261">
        <f>SUM(G51:G55)</f>
        <v>8316</v>
      </c>
      <c r="H50" s="260">
        <f t="shared" ref="H50:H55" si="31">(F50-G50)/G50</f>
        <v>0.12169312169312169</v>
      </c>
      <c r="I50" s="262">
        <f t="shared" ref="I50:I55" si="32">F50/$F$62</f>
        <v>4.2862525617343515E-2</v>
      </c>
      <c r="J50" s="258" t="s">
        <v>19</v>
      </c>
      <c r="K50" s="265"/>
      <c r="L50" s="259">
        <f>SUM(L51:L55)</f>
        <v>145534</v>
      </c>
      <c r="M50" s="261">
        <f>SUM(M51:M55)</f>
        <v>118970</v>
      </c>
      <c r="N50" s="262">
        <f t="shared" ref="N50:N55" si="33">(L50-M50)/M50</f>
        <v>0.22328318063377323</v>
      </c>
      <c r="O50" s="259">
        <f>SUM(O51:O55)</f>
        <v>1180534</v>
      </c>
      <c r="P50" s="261">
        <f>SUM(P51:P55)</f>
        <v>927765</v>
      </c>
      <c r="Q50" s="260">
        <f t="shared" ref="Q50:Q55" si="34">(O50-P50)/P50</f>
        <v>0.2724493810393796</v>
      </c>
      <c r="R50" s="262">
        <f t="shared" ref="R50:R55" si="35">O50/$O$62</f>
        <v>4.6323001358376518E-2</v>
      </c>
      <c r="S50" s="258" t="s">
        <v>19</v>
      </c>
      <c r="T50" s="265"/>
      <c r="U50" s="259">
        <f>SUM(U51:U55)</f>
        <v>53850</v>
      </c>
      <c r="V50" s="261">
        <f>SUM(V51:V55)</f>
        <v>158227</v>
      </c>
      <c r="W50" s="262">
        <f t="shared" ref="W50:W55" si="36">(U50-V50)/V50</f>
        <v>-0.6596661758107023</v>
      </c>
      <c r="X50" s="259">
        <f>SUM(X51:X55)</f>
        <v>885049</v>
      </c>
      <c r="Y50" s="261">
        <f>SUM(Y51:Y55)</f>
        <v>1056636</v>
      </c>
      <c r="Z50" s="260">
        <f t="shared" ref="Z50:Z55" si="37">(X50-Y50)/Y50</f>
        <v>-0.16238988639417926</v>
      </c>
      <c r="AA50" s="262">
        <f t="shared" ref="AA50:AA55" si="38">X50/$X$62</f>
        <v>1.4238660657216294E-2</v>
      </c>
    </row>
    <row r="51" spans="1:27" ht="14.1" customHeight="1" x14ac:dyDescent="0.2">
      <c r="A51" s="37"/>
      <c r="B51" s="318" t="s">
        <v>19</v>
      </c>
      <c r="C51" s="263">
        <f>[3]United!$IN$19</f>
        <v>1020</v>
      </c>
      <c r="D51" s="2">
        <f>[3]United!$HZ$19+[3]Continental!$HZ$19</f>
        <v>746</v>
      </c>
      <c r="E51" s="65">
        <f t="shared" si="30"/>
        <v>0.36729222520107241</v>
      </c>
      <c r="F51" s="2">
        <f>SUM([3]United!$IF$19:$IN$19)</f>
        <v>8042</v>
      </c>
      <c r="G51" s="2">
        <f>SUM([3]United!$HR$19:$HZ$19)+SUM([3]Continental!$HR$19:$HZ$19)</f>
        <v>5896</v>
      </c>
      <c r="H51" s="3">
        <f t="shared" si="31"/>
        <v>0.36397557666214381</v>
      </c>
      <c r="I51" s="65">
        <f t="shared" si="32"/>
        <v>3.6953305211693453E-2</v>
      </c>
      <c r="J51" s="37"/>
      <c r="K51" s="318" t="s">
        <v>19</v>
      </c>
      <c r="L51" s="263">
        <f>[3]United!$IN$41</f>
        <v>136067</v>
      </c>
      <c r="M51" s="2">
        <f>[3]United!$HZ$41+[3]Continental!$HZ$41</f>
        <v>102443</v>
      </c>
      <c r="N51" s="65">
        <f t="shared" si="33"/>
        <v>0.32822154759231964</v>
      </c>
      <c r="O51" s="263">
        <f>SUM([3]United!$IF$41:$IN$41)</f>
        <v>1098030</v>
      </c>
      <c r="P51" s="2">
        <f>SUM([3]United!$HR$41:$HZ$41)+SUM([3]Continental!$HR$41:$HZ$41)</f>
        <v>772506</v>
      </c>
      <c r="Q51" s="3">
        <f t="shared" si="34"/>
        <v>0.42138701835325548</v>
      </c>
      <c r="R51" s="65">
        <f t="shared" si="35"/>
        <v>4.3085624964243438E-2</v>
      </c>
      <c r="S51" s="37"/>
      <c r="T51" s="318" t="s">
        <v>19</v>
      </c>
      <c r="U51" s="263">
        <f>[3]United!$IN$64</f>
        <v>53850</v>
      </c>
      <c r="V51" s="2">
        <f>[3]United!$HZ$64+[3]Continental!$HZ$64</f>
        <v>158227</v>
      </c>
      <c r="W51" s="65">
        <f t="shared" si="36"/>
        <v>-0.6596661758107023</v>
      </c>
      <c r="X51" s="263">
        <f>SUM([3]United!$IF$64:$IN$64)</f>
        <v>885049</v>
      </c>
      <c r="Y51" s="2">
        <f>SUM([3]United!$HR$64:$HZ$64)+SUM([3]Continental!$HR$64:$HZ$64)</f>
        <v>1056636</v>
      </c>
      <c r="Z51" s="3">
        <f t="shared" si="37"/>
        <v>-0.16238988639417926</v>
      </c>
      <c r="AA51" s="65">
        <f t="shared" si="38"/>
        <v>1.4238660657216294E-2</v>
      </c>
    </row>
    <row r="52" spans="1:27" ht="14.1" customHeight="1" x14ac:dyDescent="0.2">
      <c r="A52" s="37"/>
      <c r="B52" s="39" t="s">
        <v>152</v>
      </c>
      <c r="C52" s="263">
        <f>'[3]Go Jet_UA'!$IN$19</f>
        <v>0</v>
      </c>
      <c r="D52" s="2">
        <f>'[3]Go Jet_UA'!$HZ$19</f>
        <v>0</v>
      </c>
      <c r="E52" s="65" t="e">
        <f t="shared" si="30"/>
        <v>#DIV/0!</v>
      </c>
      <c r="F52" s="2">
        <f>SUM('[3]Go Jet_UA'!$IF$19:$IN$19)</f>
        <v>2</v>
      </c>
      <c r="G52" s="2">
        <f>SUM('[3]Go Jet_UA'!$HR$19:$HZ$19)</f>
        <v>2</v>
      </c>
      <c r="H52" s="3">
        <f t="shared" si="31"/>
        <v>0</v>
      </c>
      <c r="I52" s="65">
        <f t="shared" si="32"/>
        <v>9.1900783913686783E-6</v>
      </c>
      <c r="J52" s="37"/>
      <c r="K52" s="39" t="s">
        <v>152</v>
      </c>
      <c r="L52" s="263">
        <f>'[3]Go Jet_UA'!$IN$41</f>
        <v>0</v>
      </c>
      <c r="M52" s="2">
        <f>'[3]Go Jet_UA'!$HZ$41</f>
        <v>0</v>
      </c>
      <c r="N52" s="65" t="e">
        <f t="shared" si="33"/>
        <v>#DIV/0!</v>
      </c>
      <c r="O52" s="263">
        <f>SUM('[3]Go Jet_UA'!$IF$41:$IN$41)</f>
        <v>96</v>
      </c>
      <c r="P52" s="2">
        <f>SUM('[3]Go Jet_UA'!$HR$41:$HZ$41)</f>
        <v>37</v>
      </c>
      <c r="Q52" s="3">
        <f t="shared" si="34"/>
        <v>1.5945945945945945</v>
      </c>
      <c r="R52" s="65">
        <f t="shared" si="35"/>
        <v>3.7669462551727825E-6</v>
      </c>
      <c r="S52" s="37"/>
      <c r="T52" s="39" t="s">
        <v>152</v>
      </c>
      <c r="U52" s="263">
        <f>'[3]Go Jet_UA'!$IN$64</f>
        <v>0</v>
      </c>
      <c r="V52" s="2">
        <f>'[3]Go Jet_UA'!$HZ$64</f>
        <v>0</v>
      </c>
      <c r="W52" s="65" t="e">
        <f t="shared" si="36"/>
        <v>#DIV/0!</v>
      </c>
      <c r="X52" s="263">
        <f>SUM('[3]Go Jet_UA'!$IF$64:$IN$64)</f>
        <v>0</v>
      </c>
      <c r="Y52" s="2">
        <f>SUM('[3]Go Jet_UA'!$HR$64:$HZ$64)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[3]MESA_UA!$IN$19</f>
        <v>141</v>
      </c>
      <c r="D53" s="2">
        <f>[3]MESA_UA!$HZ$19</f>
        <v>124</v>
      </c>
      <c r="E53" s="65">
        <f t="shared" si="30"/>
        <v>0.13709677419354838</v>
      </c>
      <c r="F53" s="2">
        <f>SUM([3]MESA_UA!$IF$19:$IN$19)</f>
        <v>880</v>
      </c>
      <c r="G53" s="2">
        <f>SUM([3]MESA_UA!$HR$19:$HZ$19)</f>
        <v>1026</v>
      </c>
      <c r="H53" s="3">
        <f>(F53-G53)/G53</f>
        <v>-0.14230019493177387</v>
      </c>
      <c r="I53" s="65">
        <f t="shared" si="32"/>
        <v>4.0436344922022182E-3</v>
      </c>
      <c r="J53" s="37"/>
      <c r="K53" s="39" t="s">
        <v>51</v>
      </c>
      <c r="L53" s="263">
        <f>[3]MESA_UA!$IN$41</f>
        <v>9180</v>
      </c>
      <c r="M53" s="2">
        <f>[3]MESA_UA!$HZ$41</f>
        <v>8714</v>
      </c>
      <c r="N53" s="65">
        <f t="shared" si="33"/>
        <v>5.3477163185678217E-2</v>
      </c>
      <c r="O53" s="263">
        <f>SUM([3]MESA_UA!$IF$41:$IN$41)</f>
        <v>57482</v>
      </c>
      <c r="P53" s="2">
        <f>SUM([3]MESA_UA!$HR$41:$HZ$41)</f>
        <v>69064</v>
      </c>
      <c r="Q53" s="3">
        <f t="shared" si="34"/>
        <v>-0.16769952507818836</v>
      </c>
      <c r="R53" s="65">
        <f t="shared" si="35"/>
        <v>2.2555375483316862E-3</v>
      </c>
      <c r="S53" s="37"/>
      <c r="T53" s="39" t="s">
        <v>51</v>
      </c>
      <c r="U53" s="263">
        <f>[3]MESA_UA!$IN$64</f>
        <v>0</v>
      </c>
      <c r="V53" s="2">
        <f>[3]MESA_UA!$HZ$64</f>
        <v>0</v>
      </c>
      <c r="W53" s="65" t="e">
        <f t="shared" si="36"/>
        <v>#DIV/0!</v>
      </c>
      <c r="X53" s="263">
        <f>SUM([3]MESA_UA!$IF$64:$IN$64)</f>
        <v>0</v>
      </c>
      <c r="Y53" s="2">
        <f>SUM([3]MESA_UA!$HR$64:$HZ$64)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[3]Republic_UA!$IN$19</f>
        <v>0</v>
      </c>
      <c r="D54" s="2">
        <f>[3]Republic_UA!$HZ$19</f>
        <v>56</v>
      </c>
      <c r="E54" s="65">
        <f t="shared" si="30"/>
        <v>-1</v>
      </c>
      <c r="F54" s="2">
        <f>SUM([3]Republic_UA!$IF$19:$IN$19)</f>
        <v>336</v>
      </c>
      <c r="G54" s="2">
        <f>SUM([3]Republic_UA!$HR$19:$HZ$19)</f>
        <v>1010</v>
      </c>
      <c r="H54" s="3">
        <f t="shared" ref="H54" si="39">(F54-G54)/G54</f>
        <v>-0.66732673267326736</v>
      </c>
      <c r="I54" s="65">
        <f t="shared" si="32"/>
        <v>1.543933169749938E-3</v>
      </c>
      <c r="J54" s="37"/>
      <c r="K54" s="318" t="s">
        <v>52</v>
      </c>
      <c r="L54" s="263">
        <f>[3]Republic_UA!$IN$41</f>
        <v>0</v>
      </c>
      <c r="M54" s="2">
        <f>[3]Republic_UA!$HZ$41</f>
        <v>3897</v>
      </c>
      <c r="N54" s="65">
        <f t="shared" si="33"/>
        <v>-1</v>
      </c>
      <c r="O54" s="263">
        <f>SUM([3]Republic_UA!$IF$41:$IN$41)</f>
        <v>21257</v>
      </c>
      <c r="P54" s="2">
        <f>SUM([3]Republic_UA!$HR$41:$HZ$41)</f>
        <v>61943</v>
      </c>
      <c r="Q54" s="3">
        <f t="shared" si="34"/>
        <v>-0.65682966598324266</v>
      </c>
      <c r="R54" s="65">
        <f t="shared" si="35"/>
        <v>8.341039223563316E-4</v>
      </c>
      <c r="S54" s="37"/>
      <c r="T54" s="318" t="s">
        <v>52</v>
      </c>
      <c r="U54" s="263">
        <f>[3]Republic_UA!$IN$64</f>
        <v>0</v>
      </c>
      <c r="V54" s="2">
        <f>[3]Republic_UA!$HZ$64</f>
        <v>0</v>
      </c>
      <c r="W54" s="65" t="e">
        <f t="shared" si="36"/>
        <v>#DIV/0!</v>
      </c>
      <c r="X54" s="263">
        <f>SUM([3]Republic_UA!$IF$64:$IN$64)</f>
        <v>0</v>
      </c>
      <c r="Y54" s="2">
        <f>SUM([3]Republic_UA!$HR$64:$HZ$64)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West_UA'!$IN$19</f>
        <v>4</v>
      </c>
      <c r="D55" s="2">
        <f>'[3]Sky West_UA'!$HZ$19+'[3]Sky West_CO'!$HZ$19</f>
        <v>62</v>
      </c>
      <c r="E55" s="65">
        <f t="shared" si="30"/>
        <v>-0.93548387096774188</v>
      </c>
      <c r="F55" s="2">
        <f>SUM('[3]Sky West_UA'!$IF$19:$IN$19)</f>
        <v>68</v>
      </c>
      <c r="G55" s="2">
        <f>SUM('[3]Sky West_UA'!$HR$19:$HZ$19)+SUM('[3]Sky West_CO'!$HR$19:$HZ$19)</f>
        <v>382</v>
      </c>
      <c r="H55" s="3">
        <f t="shared" si="31"/>
        <v>-0.82198952879581155</v>
      </c>
      <c r="I55" s="65">
        <f t="shared" si="32"/>
        <v>3.1246266530653507E-4</v>
      </c>
      <c r="J55" s="37"/>
      <c r="K55" s="39" t="s">
        <v>97</v>
      </c>
      <c r="L55" s="263">
        <f>'[3]Sky West_UA'!$IN$41</f>
        <v>287</v>
      </c>
      <c r="M55" s="2">
        <f>'[3]Sky West_UA'!$HZ$41+'[3]Sky West_CO'!$HZ$41</f>
        <v>3916</v>
      </c>
      <c r="N55" s="65">
        <f t="shared" si="33"/>
        <v>-0.92671092951991829</v>
      </c>
      <c r="O55" s="263">
        <f>SUM('[3]Sky West_UA'!$IF$41:$IN$41)</f>
        <v>3669</v>
      </c>
      <c r="P55" s="2">
        <f>SUM('[3]Sky West_UA'!$HR$41:$HZ$41)+SUM('[3]Sky West_CO'!$HR$41:$HZ$41)</f>
        <v>24215</v>
      </c>
      <c r="Q55" s="3">
        <f t="shared" si="34"/>
        <v>-0.84848234565352054</v>
      </c>
      <c r="R55" s="65">
        <f t="shared" si="35"/>
        <v>1.4396797718988478E-4</v>
      </c>
      <c r="S55" s="37"/>
      <c r="T55" s="39" t="s">
        <v>97</v>
      </c>
      <c r="U55" s="263">
        <f>'[3]Sky West_UA'!$IN$64</f>
        <v>0</v>
      </c>
      <c r="V55" s="2">
        <f>'[3]Sky West_UA'!$HZ$64+'[3]Sky West_CO'!$HZ$64</f>
        <v>0</v>
      </c>
      <c r="W55" s="65" t="e">
        <f t="shared" si="36"/>
        <v>#DIV/0!</v>
      </c>
      <c r="X55" s="263">
        <f>SUM('[3]Sky West_UA'!$IF$64:$IN$64)</f>
        <v>0</v>
      </c>
      <c r="Y55" s="2">
        <f>SUM('[3]Sky West_UA'!$HR$64:$HZ$64)+SUM('[3]Sky West_CO'!$HR$64:$HZ$64)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246</v>
      </c>
      <c r="B57" s="266"/>
      <c r="C57" s="259">
        <f>[3]WestJet!$IN$19</f>
        <v>68</v>
      </c>
      <c r="D57" s="261">
        <f>[3]WestJet!$HZ$19</f>
        <v>0</v>
      </c>
      <c r="E57" s="262" t="e">
        <f>(C57-D57)/D57</f>
        <v>#DIV/0!</v>
      </c>
      <c r="F57" s="261">
        <f>SUM([3]WestJet!$IF$19:$IN$19)</f>
        <v>258</v>
      </c>
      <c r="G57" s="261">
        <f>SUM([3]WestJet!$HR$19:$HZ$19)</f>
        <v>0</v>
      </c>
      <c r="H57" s="260" t="e">
        <f>(F57-G57)/G57</f>
        <v>#DIV/0!</v>
      </c>
      <c r="I57" s="262">
        <f>F57/$F$62</f>
        <v>1.1855201124865596E-3</v>
      </c>
      <c r="J57" s="258" t="s">
        <v>246</v>
      </c>
      <c r="K57" s="39"/>
      <c r="L57" s="259">
        <f>[3]WestJet!$IN$41</f>
        <v>7626</v>
      </c>
      <c r="M57" s="261">
        <f>[3]WestJet!$HZ$41</f>
        <v>0</v>
      </c>
      <c r="N57" s="262" t="e">
        <f>(L57-M57)/M57</f>
        <v>#DIV/0!</v>
      </c>
      <c r="O57" s="259">
        <f>SUM([3]WestJet!$IF$41:$IN$41)</f>
        <v>32139</v>
      </c>
      <c r="P57" s="261">
        <f>SUM([3]WestJet!$HR$41:$HZ$41)</f>
        <v>0</v>
      </c>
      <c r="Q57" s="260" t="e">
        <f>(O57-P57)/P57</f>
        <v>#DIV/0!</v>
      </c>
      <c r="R57" s="262">
        <f>O57/$O$62</f>
        <v>1.2611029759895631E-3</v>
      </c>
      <c r="S57" s="258" t="s">
        <v>246</v>
      </c>
      <c r="T57" s="39"/>
      <c r="U57" s="259">
        <f>[3]WestJet!$IN$64</f>
        <v>0</v>
      </c>
      <c r="V57" s="261">
        <f>[3]WestJet!$HZ$64</f>
        <v>0</v>
      </c>
      <c r="W57" s="262" t="e">
        <f>(U57-V57)/V57</f>
        <v>#DIV/0!</v>
      </c>
      <c r="X57" s="259">
        <f>SUM([3]WestJet!$IF$64:$IN$64)</f>
        <v>0</v>
      </c>
      <c r="Y57" s="261">
        <f>SUM([3]WestJet!$HR$64:$HZ$64)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18073</v>
      </c>
      <c r="D60" s="438">
        <f>+D62-D61</f>
        <v>14510</v>
      </c>
      <c r="E60" s="328">
        <f>(C60-D60)/D60</f>
        <v>0.24555478980013784</v>
      </c>
      <c r="F60" s="327">
        <f>+F62-F61</f>
        <v>161554</v>
      </c>
      <c r="G60" s="438">
        <f>+G62-G61</f>
        <v>135267</v>
      </c>
      <c r="H60" s="328">
        <f>(F60-G60)/G60</f>
        <v>0.19433416871816481</v>
      </c>
      <c r="I60" s="353">
        <f>F60/$F$62</f>
        <v>0.74234696221958774</v>
      </c>
      <c r="K60" s="274" t="s">
        <v>131</v>
      </c>
      <c r="L60" s="327">
        <f>+L62-L61</f>
        <v>2443638</v>
      </c>
      <c r="M60" s="438">
        <f>+M62-M61</f>
        <v>2061063</v>
      </c>
      <c r="N60" s="328">
        <f>(L60-M60)/M60</f>
        <v>0.18562023577154119</v>
      </c>
      <c r="O60" s="327">
        <f>+O62-O61</f>
        <v>22426373</v>
      </c>
      <c r="P60" s="438">
        <f>+P62-P61</f>
        <v>18910852</v>
      </c>
      <c r="Q60" s="351">
        <f>(O60-P60)/P60</f>
        <v>0.18589966226799301</v>
      </c>
      <c r="R60" s="398">
        <f>+O60/O62</f>
        <v>0.87998897697352085</v>
      </c>
      <c r="S60" s="3"/>
      <c r="T60" s="274" t="s">
        <v>131</v>
      </c>
      <c r="U60" s="327">
        <f>+U62-U61</f>
        <v>7373751</v>
      </c>
      <c r="V60" s="438">
        <f>+V62-V61</f>
        <v>8668814</v>
      </c>
      <c r="W60" s="328">
        <f>(U60-V60)/V60</f>
        <v>-0.14939333108312164</v>
      </c>
      <c r="X60" s="327">
        <f>+X62-X61</f>
        <v>61838179</v>
      </c>
      <c r="Y60" s="438">
        <f>+Y62-Y61</f>
        <v>74246057</v>
      </c>
      <c r="Z60" s="351">
        <f>(X60-Y60)/Y60</f>
        <v>-0.16711834272896134</v>
      </c>
      <c r="AA60" s="398">
        <f>+X60/X62</f>
        <v>0.99485208891394583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6226</v>
      </c>
      <c r="D61" s="439">
        <f>+D34+D33+D32+D20+D55+D52+D53+D24+D21+D15+D6+D54+D22+D23+D16+D7</f>
        <v>8012</v>
      </c>
      <c r="E61" s="275">
        <f>(C61-D61)/D61</f>
        <v>-0.22291562656015976</v>
      </c>
      <c r="F61" s="329">
        <f>+F34+F33+F32+F20+F55+F52+F53+F24+F21+F15+F6+F54+F22+F23+F16+F7</f>
        <v>56072</v>
      </c>
      <c r="G61" s="439">
        <f>+G34+G33+G32+G20+G55+G52+G53+G24+G21+G15+G6+G54+G22+G23+G16+G7</f>
        <v>74723</v>
      </c>
      <c r="H61" s="275">
        <f>(F61-G61)/G61</f>
        <v>-0.24960186288023767</v>
      </c>
      <c r="I61" s="354">
        <f>F61/$F$62</f>
        <v>0.25765303778041226</v>
      </c>
      <c r="K61" s="169" t="s">
        <v>132</v>
      </c>
      <c r="L61" s="329">
        <f>+L34+L33+L32+L20+L55+L52+L53+L24+L21+L15+L6+L54+L22+L23+L16+L7</f>
        <v>333032</v>
      </c>
      <c r="M61" s="439">
        <f>+M34+M33+M32+M20+M55+M52+M53+M24+M21+M15+M6+M54+M22+M23+M16+M7</f>
        <v>460142</v>
      </c>
      <c r="N61" s="275">
        <f>(L61-M61)/M61</f>
        <v>-0.27624081261871336</v>
      </c>
      <c r="O61" s="329">
        <f>+O34+O33+O32+O20+O55+O52+O53+O24+O21+O15+O6+O54+O22+O23+O16+O7</f>
        <v>3058461</v>
      </c>
      <c r="P61" s="439">
        <f>+P34+P33+P32+P20+P55+P52+P53+P24+P21+P15+P6+P54+P22+P23+P16+P7</f>
        <v>3960826</v>
      </c>
      <c r="Q61" s="350">
        <f>(O61-P61)/P61</f>
        <v>-0.22782242895800017</v>
      </c>
      <c r="R61" s="399">
        <f>+O61/O62</f>
        <v>0.1200110230264792</v>
      </c>
      <c r="S61" s="3"/>
      <c r="T61" s="169" t="s">
        <v>132</v>
      </c>
      <c r="U61" s="329">
        <f>+U34+U33+U32+U20+U55+U52+U53+U24+U21+U15+U6+U54+U22+U23+U16+U7</f>
        <v>19499.5</v>
      </c>
      <c r="V61" s="439">
        <f>+V34+V33+V32+V20+V55+V52+V53+V24+V21+V15+V6+V54+V22+V23+V16+V7</f>
        <v>2834</v>
      </c>
      <c r="W61" s="275">
        <f>(U61-V61)/V61</f>
        <v>5.8805575158786167</v>
      </c>
      <c r="X61" s="329">
        <f>+X34+X33+X32+X20+X55+X52+X53+X24+X21+X15+X6+X54+X22+X23+X16+X7</f>
        <v>319984.69999999995</v>
      </c>
      <c r="Y61" s="439">
        <f>+Y34+Y33+Y32+Y20+Y55+Y52+Y53+Y24+Y21+Y15+Y6+Y54+Y22+Y23+Y16+Y7</f>
        <v>846284</v>
      </c>
      <c r="Z61" s="350">
        <f>(X61-Y61)/Y61</f>
        <v>-0.62189442314873022</v>
      </c>
      <c r="AA61" s="399">
        <f>+X61/X62</f>
        <v>5.1479110860541705E-3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24299</v>
      </c>
      <c r="D62" s="440">
        <f>D50+D48+D44+D38+D36+D30+D18+D13+D4+D46+D26+D42+D9+D40+D28+D11+D57</f>
        <v>22522</v>
      </c>
      <c r="E62" s="331">
        <f>(C62-D62)/D62</f>
        <v>7.8900630494627477E-2</v>
      </c>
      <c r="F62" s="330">
        <f>F50+F48+F44+F38+F36+F30+F18+F13+F4+F46+F26+F42+F9+F40+F28+F11+F57</f>
        <v>217626</v>
      </c>
      <c r="G62" s="440">
        <f>G50+G48+G44+G38+G36+G30+G18+G13+G4+G46+G26+G42+G9+G40+G28+G11+G57</f>
        <v>209990</v>
      </c>
      <c r="H62" s="331">
        <f>(F62-G62)/G62</f>
        <v>3.6363636363636362E-2</v>
      </c>
      <c r="I62" s="355">
        <f>+H62/H62</f>
        <v>1</v>
      </c>
      <c r="K62" s="169" t="s">
        <v>133</v>
      </c>
      <c r="L62" s="330">
        <f>L50+L48+L44+L38+L36+L30+L18+L13+L4+L46+L26+L42+L9+L40+L28+L11+L57</f>
        <v>2776670</v>
      </c>
      <c r="M62" s="440">
        <f>M50+M48+M44+M38+M36+M30+M18+M13+M4+M46+M26+M42+M9+M40+M28+M11+M57</f>
        <v>2521205</v>
      </c>
      <c r="N62" s="331">
        <f>(L62-M62)/M62</f>
        <v>0.1013265482180148</v>
      </c>
      <c r="O62" s="330">
        <f>O50+O48+O44+O38+O36+O30+O18+O13+O4+O46+O26+O42+O9+O40+O28+O11+O57</f>
        <v>25484834</v>
      </c>
      <c r="P62" s="440">
        <f>P50+P48+P44+P38+P36+P30+P18+P13+P4+P46+P26+P42+P9+P40+P28+P11+P57</f>
        <v>22871678</v>
      </c>
      <c r="Q62" s="397">
        <f>(O62-P62)/P62</f>
        <v>0.11425292013992153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7393250.5</v>
      </c>
      <c r="V62" s="440">
        <f>V50+V48+V44+V38+V36+V30+V18+V13+V4+V46+V26+V42+V9+V40+V28+V11+V57</f>
        <v>8671648</v>
      </c>
      <c r="W62" s="331">
        <f>(U62-V62)/V62</f>
        <v>-0.14742266983161678</v>
      </c>
      <c r="X62" s="330">
        <f>X50+X48+X44+X38+X36+X30+X18+X13+X4+X46+X26+X42+X9+X40+X28+X11+X57</f>
        <v>62158163.700000003</v>
      </c>
      <c r="Y62" s="440">
        <f>Y50+Y48+Y44+Y38+Y36+Y30+Y18+Y13+Y4+Y46+Y26+Y42+Y9+Y40+Y28+Y11+Y57</f>
        <v>75092341</v>
      </c>
      <c r="Z62" s="397">
        <f>(X62-Y62)/Y62</f>
        <v>-0.17224362868111939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September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I5" sqref="I5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45170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[3]American!$IN$22</f>
        <v>50451</v>
      </c>
      <c r="C4" s="12">
        <f>[3]Delta!$IN$22+[3]Delta!$IN$32</f>
        <v>840861</v>
      </c>
      <c r="D4" s="12">
        <f>[3]United!$IN$22</f>
        <v>68254</v>
      </c>
      <c r="E4" s="12">
        <f>[3]Spirit!$IN$22</f>
        <v>15899</v>
      </c>
      <c r="F4" s="12">
        <f>[3]Condor!$IN$22+[3]Condor!$IN$32</f>
        <v>609</v>
      </c>
      <c r="G4" s="12">
        <f>'[3]Air France'!$IN$32</f>
        <v>0</v>
      </c>
      <c r="H4" s="12">
        <f>'[3]Jet Blue'!$IN$22</f>
        <v>5709</v>
      </c>
      <c r="I4" s="12">
        <f>[3]KLM!$IN$22+[3]KLM!$IN$32</f>
        <v>3891</v>
      </c>
      <c r="J4" s="12">
        <f>'Other Major Airline Stats'!K5</f>
        <v>225475</v>
      </c>
      <c r="K4" s="205">
        <f>SUM(B4:J4)</f>
        <v>1211149</v>
      </c>
    </row>
    <row r="5" spans="1:20" x14ac:dyDescent="0.2">
      <c r="A5" s="45" t="s">
        <v>31</v>
      </c>
      <c r="B5" s="7">
        <f>[3]American!$IN$23</f>
        <v>50989</v>
      </c>
      <c r="C5" s="7">
        <f>[3]Delta!$IN$23+[3]Delta!$IN$33</f>
        <v>853355</v>
      </c>
      <c r="D5" s="7">
        <f>[3]United!$IN$23</f>
        <v>67813</v>
      </c>
      <c r="E5" s="7">
        <f>[3]Spirit!$IN$23</f>
        <v>15540</v>
      </c>
      <c r="F5" s="7">
        <f>[3]Condor!$IN$23+[3]Condor!$IN$33</f>
        <v>588</v>
      </c>
      <c r="G5" s="7">
        <f>'[3]Air France'!$IN$33</f>
        <v>0</v>
      </c>
      <c r="H5" s="7">
        <f>'[3]Jet Blue'!$IN$23</f>
        <v>6240</v>
      </c>
      <c r="I5" s="7">
        <f>[3]KLM!$IN$23+[3]KLM!$IN$33</f>
        <v>3803</v>
      </c>
      <c r="J5" s="7">
        <f>'Other Major Airline Stats'!K6</f>
        <v>234161</v>
      </c>
      <c r="K5" s="206">
        <f>SUM(B5:J5)</f>
        <v>1232489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101440</v>
      </c>
      <c r="C6" s="24">
        <f t="shared" si="0"/>
        <v>1694216</v>
      </c>
      <c r="D6" s="24">
        <f t="shared" si="0"/>
        <v>136067</v>
      </c>
      <c r="E6" s="24">
        <f t="shared" si="0"/>
        <v>31439</v>
      </c>
      <c r="F6" s="24">
        <f t="shared" ref="F6:I6" si="1">SUM(F4:F5)</f>
        <v>1197</v>
      </c>
      <c r="G6" s="24">
        <f t="shared" si="1"/>
        <v>0</v>
      </c>
      <c r="H6" s="24">
        <f t="shared" ref="H6" si="2">SUM(H4:H5)</f>
        <v>11949</v>
      </c>
      <c r="I6" s="24">
        <f t="shared" si="1"/>
        <v>7694</v>
      </c>
      <c r="J6" s="24">
        <f>SUM(J4:J5)</f>
        <v>459636</v>
      </c>
      <c r="K6" s="207">
        <f>SUM(B6:J6)</f>
        <v>2443638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[3]American!$IN$27</f>
        <v>1938</v>
      </c>
      <c r="C9" s="12">
        <f>[3]Delta!$IN$27+[3]Delta!$IN$37</f>
        <v>26561</v>
      </c>
      <c r="D9" s="12">
        <f>[3]United!$IN$27</f>
        <v>2535</v>
      </c>
      <c r="E9" s="12">
        <f>[3]Spirit!$IN$27</f>
        <v>163</v>
      </c>
      <c r="F9" s="12">
        <f>[3]Condor!$IN$27+[3]Condor!$IN$37</f>
        <v>1</v>
      </c>
      <c r="G9" s="12">
        <f>'[3]Air France'!$IN$37</f>
        <v>0</v>
      </c>
      <c r="H9" s="12">
        <f>'[3]Jet Blue'!$IN$27</f>
        <v>101</v>
      </c>
      <c r="I9" s="12">
        <f>[3]KLM!$IN$27+[3]KLM!$IN$37</f>
        <v>7</v>
      </c>
      <c r="J9" s="12">
        <f>'Other Major Airline Stats'!K10</f>
        <v>4141</v>
      </c>
      <c r="K9" s="205">
        <f>SUM(B9:J9)</f>
        <v>35447</v>
      </c>
      <c r="N9" s="230"/>
    </row>
    <row r="10" spans="1:20" x14ac:dyDescent="0.2">
      <c r="A10" s="45" t="s">
        <v>33</v>
      </c>
      <c r="B10" s="7">
        <f>[3]American!$IN$28</f>
        <v>2043</v>
      </c>
      <c r="C10" s="7">
        <f>[3]Delta!$IN$28+[3]Delta!$IN$38</f>
        <v>26614</v>
      </c>
      <c r="D10" s="7">
        <f>[3]United!$IN$28</f>
        <v>2340</v>
      </c>
      <c r="E10" s="7">
        <f>[3]Spirit!$IN$28</f>
        <v>195</v>
      </c>
      <c r="F10" s="7">
        <f>[3]Condor!$IN$28+[3]Condor!$IN$38</f>
        <v>5</v>
      </c>
      <c r="G10" s="7">
        <f>'[3]Air France'!$IN$38</f>
        <v>0</v>
      </c>
      <c r="H10" s="7">
        <f>'[3]Jet Blue'!$IN$28</f>
        <v>85</v>
      </c>
      <c r="I10" s="7">
        <f>[3]KLM!$IN$28+[3]KLM!$IN$38</f>
        <v>0</v>
      </c>
      <c r="J10" s="7">
        <f>'Other Major Airline Stats'!K11</f>
        <v>4563</v>
      </c>
      <c r="K10" s="206">
        <f>SUM(B10:J10)</f>
        <v>35845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3981</v>
      </c>
      <c r="C11" s="208">
        <f t="shared" si="3"/>
        <v>53175</v>
      </c>
      <c r="D11" s="208">
        <f t="shared" si="3"/>
        <v>4875</v>
      </c>
      <c r="E11" s="208">
        <f t="shared" si="3"/>
        <v>358</v>
      </c>
      <c r="F11" s="208">
        <f t="shared" ref="F11:I11" si="4">SUM(F9:F10)</f>
        <v>6</v>
      </c>
      <c r="G11" s="208">
        <f t="shared" si="4"/>
        <v>0</v>
      </c>
      <c r="H11" s="208">
        <f t="shared" ref="H11" si="5">SUM(H9:H10)</f>
        <v>186</v>
      </c>
      <c r="I11" s="208">
        <f t="shared" si="4"/>
        <v>7</v>
      </c>
      <c r="J11" s="208">
        <f t="shared" si="3"/>
        <v>8704</v>
      </c>
      <c r="K11" s="209">
        <f>SUM(B11:J11)</f>
        <v>71292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[3]American!$IN$4</f>
        <v>361</v>
      </c>
      <c r="C15" s="12">
        <f>[3]Delta!$IN$4+[3]Delta!$IN$15</f>
        <v>6180</v>
      </c>
      <c r="D15" s="12">
        <f>[3]United!$IN$4</f>
        <v>509</v>
      </c>
      <c r="E15" s="12">
        <f>[3]Spirit!$IN$4</f>
        <v>110</v>
      </c>
      <c r="F15" s="12">
        <f>[3]Condor!$IN$15</f>
        <v>3</v>
      </c>
      <c r="G15" s="12">
        <f>'[3]Air France'!$IN$15</f>
        <v>0</v>
      </c>
      <c r="H15" s="12">
        <f>'[3]Jet Blue'!$IN$4</f>
        <v>52</v>
      </c>
      <c r="I15" s="12">
        <f>[3]KLM!$IN$4+[3]KLM!$IN$15</f>
        <v>15</v>
      </c>
      <c r="J15" s="12">
        <f>'Other Major Airline Stats'!K16</f>
        <v>1716</v>
      </c>
      <c r="K15" s="17">
        <f>SUM(B15:J15)</f>
        <v>8946</v>
      </c>
    </row>
    <row r="16" spans="1:20" x14ac:dyDescent="0.2">
      <c r="A16" s="45" t="s">
        <v>23</v>
      </c>
      <c r="B16" s="7">
        <f>[3]American!$IN$5</f>
        <v>360</v>
      </c>
      <c r="C16" s="7">
        <f>[3]Delta!$IN$5+[3]Delta!$IN$16</f>
        <v>6165</v>
      </c>
      <c r="D16" s="7">
        <f>[3]United!$IN$5</f>
        <v>508</v>
      </c>
      <c r="E16" s="7">
        <f>[3]Spirit!$IN$5</f>
        <v>110</v>
      </c>
      <c r="F16" s="7">
        <f>[3]Condor!$IN$5+[3]Condor!$IN$16</f>
        <v>3</v>
      </c>
      <c r="G16" s="7">
        <f>'[3]Air France'!$IN$16</f>
        <v>0</v>
      </c>
      <c r="H16" s="7">
        <f>'[3]Jet Blue'!$IN$5</f>
        <v>52</v>
      </c>
      <c r="I16" s="7">
        <f>[3]KLM!$IN$5+[3]KLM!$IN$16</f>
        <v>15</v>
      </c>
      <c r="J16" s="7">
        <f>'Other Major Airline Stats'!K17</f>
        <v>1729</v>
      </c>
      <c r="K16" s="23">
        <f>SUM(B16:J16)</f>
        <v>8942</v>
      </c>
    </row>
    <row r="17" spans="1:11" x14ac:dyDescent="0.2">
      <c r="A17" s="45" t="s">
        <v>24</v>
      </c>
      <c r="B17" s="212">
        <f t="shared" ref="B17:J17" si="6">SUM(B15:B16)</f>
        <v>721</v>
      </c>
      <c r="C17" s="210">
        <f t="shared" si="6"/>
        <v>12345</v>
      </c>
      <c r="D17" s="210">
        <f t="shared" si="6"/>
        <v>1017</v>
      </c>
      <c r="E17" s="210">
        <f t="shared" si="6"/>
        <v>220</v>
      </c>
      <c r="F17" s="210">
        <f t="shared" ref="F17:I17" si="7">SUM(F15:F16)</f>
        <v>6</v>
      </c>
      <c r="G17" s="210">
        <f t="shared" si="7"/>
        <v>0</v>
      </c>
      <c r="H17" s="210">
        <f t="shared" ref="H17" si="8">SUM(H15:H16)</f>
        <v>104</v>
      </c>
      <c r="I17" s="210">
        <f t="shared" si="7"/>
        <v>30</v>
      </c>
      <c r="J17" s="210">
        <f t="shared" si="6"/>
        <v>3445</v>
      </c>
      <c r="K17" s="211">
        <f>SUM(B17:J17)</f>
        <v>17888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[3]American!$IN$8</f>
        <v>0</v>
      </c>
      <c r="C19" s="12">
        <f>[3]Delta!$IN$8</f>
        <v>4</v>
      </c>
      <c r="D19" s="12">
        <f>[3]United!$IN$8</f>
        <v>1</v>
      </c>
      <c r="E19" s="12">
        <f>[3]Spirit!$IN$8</f>
        <v>0</v>
      </c>
      <c r="F19" s="12">
        <f>[3]Condor!$IN$8</f>
        <v>0</v>
      </c>
      <c r="G19" s="12">
        <f>'[3]Air France'!$IN$8</f>
        <v>0</v>
      </c>
      <c r="H19" s="12">
        <f>'[3]Jet Blue'!$IN$8</f>
        <v>0</v>
      </c>
      <c r="I19" s="12">
        <f>[3]KLM!$IN$8</f>
        <v>0</v>
      </c>
      <c r="J19" s="12">
        <f>'Other Major Airline Stats'!K20</f>
        <v>83</v>
      </c>
      <c r="K19" s="17">
        <f>SUM(B19:J19)</f>
        <v>88</v>
      </c>
    </row>
    <row r="20" spans="1:11" x14ac:dyDescent="0.2">
      <c r="A20" s="45" t="s">
        <v>26</v>
      </c>
      <c r="B20" s="7">
        <f>[3]American!$IN$9</f>
        <v>0</v>
      </c>
      <c r="C20" s="7">
        <f>[3]Delta!$IN$9</f>
        <v>16</v>
      </c>
      <c r="D20" s="7">
        <f>[3]United!$IN$9</f>
        <v>2</v>
      </c>
      <c r="E20" s="7">
        <f>[3]Spirit!$IN$9</f>
        <v>0</v>
      </c>
      <c r="F20" s="7">
        <f>[3]Condor!$IN$9</f>
        <v>0</v>
      </c>
      <c r="G20" s="7">
        <f>'[3]Air France'!$IN$9</f>
        <v>0</v>
      </c>
      <c r="H20" s="7">
        <f>'[3]Jet Blue'!$IN$9</f>
        <v>0</v>
      </c>
      <c r="I20" s="7">
        <f>[3]KLM!$IN$9</f>
        <v>0</v>
      </c>
      <c r="J20" s="7">
        <f>'Other Major Airline Stats'!K21</f>
        <v>79</v>
      </c>
      <c r="K20" s="23">
        <f>SUM(B20:J20)</f>
        <v>97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20</v>
      </c>
      <c r="D21" s="210">
        <f t="shared" si="9"/>
        <v>3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162</v>
      </c>
      <c r="K21" s="145">
        <f>SUM(B21:J21)</f>
        <v>185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721</v>
      </c>
      <c r="C23" s="18">
        <f t="shared" si="12"/>
        <v>12365</v>
      </c>
      <c r="D23" s="18">
        <f t="shared" si="12"/>
        <v>1020</v>
      </c>
      <c r="E23" s="18">
        <f>E17+E21</f>
        <v>220</v>
      </c>
      <c r="F23" s="18">
        <f t="shared" ref="F23:I23" si="13">F17+F21</f>
        <v>6</v>
      </c>
      <c r="G23" s="18">
        <f t="shared" si="13"/>
        <v>0</v>
      </c>
      <c r="H23" s="18">
        <f t="shared" ref="H23" si="14">H17+H21</f>
        <v>104</v>
      </c>
      <c r="I23" s="18">
        <f t="shared" si="13"/>
        <v>30</v>
      </c>
      <c r="J23" s="18">
        <f t="shared" si="12"/>
        <v>3607</v>
      </c>
      <c r="K23" s="19">
        <f>SUM(B23:J23)</f>
        <v>18073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[3]American!$IN$47</f>
        <v>43895</v>
      </c>
      <c r="C28" s="12">
        <f>[3]Delta!$IN$47</f>
        <v>3616564</v>
      </c>
      <c r="D28" s="12">
        <f>[3]United!$IN$47</f>
        <v>35731</v>
      </c>
      <c r="E28" s="12">
        <f>[3]Spirit!$IN$47</f>
        <v>0</v>
      </c>
      <c r="F28" s="12">
        <f>[3]Condor!$IN$47</f>
        <v>19628</v>
      </c>
      <c r="G28" s="12">
        <f>'[3]Air France'!$IN$47</f>
        <v>0</v>
      </c>
      <c r="H28" s="12">
        <f>'[3]Jet Blue'!$IN$47</f>
        <v>0</v>
      </c>
      <c r="I28" s="12">
        <f>[3]KLM!$IN$47</f>
        <v>317007</v>
      </c>
      <c r="J28" s="12">
        <f>'Other Major Airline Stats'!K28</f>
        <v>233774</v>
      </c>
      <c r="K28" s="17">
        <f>SUM(B28:J28)</f>
        <v>4266599</v>
      </c>
    </row>
    <row r="29" spans="1:11" x14ac:dyDescent="0.2">
      <c r="A29" s="45" t="s">
        <v>38</v>
      </c>
      <c r="B29" s="7">
        <f>[3]American!$IN$48</f>
        <v>130</v>
      </c>
      <c r="C29" s="7">
        <f>[3]Delta!$IN$48</f>
        <v>2374709</v>
      </c>
      <c r="D29" s="7">
        <f>[3]United!$IN$48</f>
        <v>232</v>
      </c>
      <c r="E29" s="7">
        <f>[3]Spirit!$IN$48</f>
        <v>0</v>
      </c>
      <c r="F29" s="7">
        <f>[3]Condor!$IN$48</f>
        <v>0</v>
      </c>
      <c r="G29" s="7">
        <f>'[3]Air France'!$IN$48</f>
        <v>0</v>
      </c>
      <c r="H29" s="7">
        <f>'[3]Jet Blue'!$IN$48</f>
        <v>0</v>
      </c>
      <c r="I29" s="7">
        <f>[3]KLM!$IN$48</f>
        <v>0</v>
      </c>
      <c r="J29" s="7">
        <f>'Other Major Airline Stats'!K29</f>
        <v>58</v>
      </c>
      <c r="K29" s="23">
        <f>SUM(B29:J29)</f>
        <v>2375129</v>
      </c>
    </row>
    <row r="30" spans="1:11" x14ac:dyDescent="0.2">
      <c r="A30" s="49" t="s">
        <v>39</v>
      </c>
      <c r="B30" s="212">
        <f t="shared" ref="B30:J30" si="15">SUM(B28:B29)</f>
        <v>44025</v>
      </c>
      <c r="C30" s="212">
        <f t="shared" si="15"/>
        <v>5991273</v>
      </c>
      <c r="D30" s="212">
        <f t="shared" si="15"/>
        <v>35963</v>
      </c>
      <c r="E30" s="212">
        <f t="shared" si="15"/>
        <v>0</v>
      </c>
      <c r="F30" s="212">
        <f t="shared" ref="F30:I30" si="16">SUM(F28:F29)</f>
        <v>19628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317007</v>
      </c>
      <c r="J30" s="212">
        <f t="shared" si="15"/>
        <v>233832</v>
      </c>
      <c r="K30" s="17">
        <f>SUM(B30:J30)</f>
        <v>6641728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[3]American!$IN$52</f>
        <v>9105</v>
      </c>
      <c r="C33" s="12">
        <f>[3]Delta!$IN$52</f>
        <v>303136</v>
      </c>
      <c r="D33" s="12">
        <f>[3]United!$IN$52</f>
        <v>17855</v>
      </c>
      <c r="E33" s="12">
        <f>[3]Spirit!$IN$52</f>
        <v>0</v>
      </c>
      <c r="F33" s="12">
        <f>[3]Condor!$IN$52</f>
        <v>0</v>
      </c>
      <c r="G33" s="12">
        <f>'[3]Air France'!$IN$52</f>
        <v>0</v>
      </c>
      <c r="H33" s="12">
        <f>'[3]Jet Blue'!$IN$52</f>
        <v>0</v>
      </c>
      <c r="I33" s="12">
        <f>[3]KLM!$IN$52</f>
        <v>49035</v>
      </c>
      <c r="J33" s="12">
        <f>'Other Major Airline Stats'!K33</f>
        <v>74441</v>
      </c>
      <c r="K33" s="17">
        <f t="shared" si="18"/>
        <v>453572</v>
      </c>
    </row>
    <row r="34" spans="1:11" x14ac:dyDescent="0.2">
      <c r="A34" s="45" t="s">
        <v>38</v>
      </c>
      <c r="B34" s="7">
        <f>[3]American!$IN$53</f>
        <v>1561</v>
      </c>
      <c r="C34" s="7">
        <f>[3]Delta!$IN$53</f>
        <v>276578</v>
      </c>
      <c r="D34" s="7">
        <f>[3]United!$IN$53</f>
        <v>32</v>
      </c>
      <c r="E34" s="7">
        <f>[3]Spirit!$IN$53</f>
        <v>0</v>
      </c>
      <c r="F34" s="7">
        <f>[3]Condor!$IN$53</f>
        <v>0</v>
      </c>
      <c r="G34" s="7">
        <f>'[3]Air France'!$IN$53</f>
        <v>0</v>
      </c>
      <c r="H34" s="7">
        <f>'[3]Jet Blue'!$IN$53</f>
        <v>0</v>
      </c>
      <c r="I34" s="7">
        <f>[3]KLM!$IN$53</f>
        <v>0</v>
      </c>
      <c r="J34" s="7">
        <f>'Other Major Airline Stats'!K34</f>
        <v>280</v>
      </c>
      <c r="K34" s="23">
        <f t="shared" si="18"/>
        <v>278451</v>
      </c>
    </row>
    <row r="35" spans="1:11" x14ac:dyDescent="0.2">
      <c r="A35" s="49" t="s">
        <v>41</v>
      </c>
      <c r="B35" s="212">
        <f t="shared" ref="B35:J35" si="19">SUM(B33:B34)</f>
        <v>10666</v>
      </c>
      <c r="C35" s="212">
        <f t="shared" si="19"/>
        <v>579714</v>
      </c>
      <c r="D35" s="212">
        <f t="shared" si="19"/>
        <v>17887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49035</v>
      </c>
      <c r="J35" s="212">
        <f t="shared" si="19"/>
        <v>74721</v>
      </c>
      <c r="K35" s="17">
        <f t="shared" si="18"/>
        <v>732023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[3]American!$IN$57</f>
        <v>0</v>
      </c>
      <c r="C38" s="12">
        <f>[3]Delta!$IN$57</f>
        <v>0</v>
      </c>
      <c r="D38" s="12">
        <f>[3]United!$IN$57</f>
        <v>0</v>
      </c>
      <c r="E38" s="12">
        <f>[3]Spirit!$IN$57</f>
        <v>0</v>
      </c>
      <c r="F38" s="12">
        <f>[3]Condor!$IN$57</f>
        <v>0</v>
      </c>
      <c r="G38" s="12">
        <f>'[3]Air France'!$IN$57</f>
        <v>0</v>
      </c>
      <c r="H38" s="12">
        <f>'[3]Jet Blue'!$IN$57</f>
        <v>0</v>
      </c>
      <c r="I38" s="12">
        <f>[3]KLM!$IN$57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[3]American!$IN$58</f>
        <v>0</v>
      </c>
      <c r="C39" s="7">
        <f>[3]Delta!$IN$58</f>
        <v>0</v>
      </c>
      <c r="D39" s="7">
        <f>[3]United!$IN$58</f>
        <v>0</v>
      </c>
      <c r="E39" s="7">
        <f>[3]Spirit!$IN$58</f>
        <v>0</v>
      </c>
      <c r="F39" s="7">
        <f>[3]Condor!$IN$58</f>
        <v>0</v>
      </c>
      <c r="G39" s="7">
        <f>'[3]Air France'!$IN$58</f>
        <v>0</v>
      </c>
      <c r="H39" s="7">
        <f>'[3]Jet Blue'!$IN$58</f>
        <v>0</v>
      </c>
      <c r="I39" s="7">
        <f>[3]KLM!$IN$58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53000</v>
      </c>
      <c r="C43" s="12">
        <f t="shared" si="25"/>
        <v>3919700</v>
      </c>
      <c r="D43" s="12">
        <f t="shared" si="25"/>
        <v>53586</v>
      </c>
      <c r="E43" s="12">
        <f>E28+E33+E38</f>
        <v>0</v>
      </c>
      <c r="F43" s="12">
        <f t="shared" ref="F43:I43" si="26">F28+F33+F38</f>
        <v>19628</v>
      </c>
      <c r="G43" s="12">
        <f t="shared" si="26"/>
        <v>0</v>
      </c>
      <c r="H43" s="12">
        <f t="shared" ref="H43" si="27">H28+H33+H38</f>
        <v>0</v>
      </c>
      <c r="I43" s="12">
        <f t="shared" si="26"/>
        <v>366042</v>
      </c>
      <c r="J43" s="12">
        <f t="shared" si="25"/>
        <v>308215</v>
      </c>
      <c r="K43" s="17">
        <f>SUM(B43:J43)</f>
        <v>4720171</v>
      </c>
    </row>
    <row r="44" spans="1:11" x14ac:dyDescent="0.2">
      <c r="A44" s="45" t="s">
        <v>38</v>
      </c>
      <c r="B44" s="7">
        <f t="shared" si="25"/>
        <v>1691</v>
      </c>
      <c r="C44" s="7">
        <f t="shared" si="25"/>
        <v>2651287</v>
      </c>
      <c r="D44" s="7">
        <f t="shared" si="25"/>
        <v>264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338</v>
      </c>
      <c r="K44" s="17">
        <f>SUM(B44:J44)</f>
        <v>2653580</v>
      </c>
    </row>
    <row r="45" spans="1:11" ht="15.75" thickBot="1" x14ac:dyDescent="0.3">
      <c r="A45" s="46" t="s">
        <v>46</v>
      </c>
      <c r="B45" s="213">
        <f t="shared" ref="B45:J45" si="30">SUM(B43:B44)</f>
        <v>54691</v>
      </c>
      <c r="C45" s="213">
        <f t="shared" si="30"/>
        <v>6570987</v>
      </c>
      <c r="D45" s="213">
        <f t="shared" si="30"/>
        <v>53850</v>
      </c>
      <c r="E45" s="213">
        <f t="shared" si="30"/>
        <v>0</v>
      </c>
      <c r="F45" s="213">
        <f t="shared" ref="F45:I45" si="31">SUM(F43:F44)</f>
        <v>19628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366042</v>
      </c>
      <c r="J45" s="213">
        <f t="shared" si="30"/>
        <v>308553</v>
      </c>
      <c r="K45" s="214">
        <f>SUM(B45:J45)</f>
        <v>7373751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[3]Delta!$IN$70+[3]Delta!$IN$73</f>
        <v>485647</v>
      </c>
      <c r="D47" s="227"/>
      <c r="E47" s="227"/>
      <c r="F47" s="227"/>
      <c r="G47" s="227"/>
      <c r="H47" s="227"/>
      <c r="I47" s="227"/>
      <c r="J47" s="227"/>
      <c r="K47" s="228">
        <f>SUM(B47:J47)</f>
        <v>485647</v>
      </c>
    </row>
    <row r="48" spans="1:11" hidden="1" x14ac:dyDescent="0.2">
      <c r="A48" s="277" t="s">
        <v>121</v>
      </c>
      <c r="C48" s="239">
        <f>[3]Delta!$IN$71+[3]Delta!$IN$74</f>
        <v>367708</v>
      </c>
      <c r="D48" s="227"/>
      <c r="E48" s="227"/>
      <c r="F48" s="227"/>
      <c r="G48" s="227"/>
      <c r="H48" s="227"/>
      <c r="I48" s="227"/>
      <c r="J48" s="227"/>
      <c r="K48" s="228">
        <f>SUM(B48:J48)</f>
        <v>367708</v>
      </c>
    </row>
    <row r="49" spans="1:11" hidden="1" x14ac:dyDescent="0.2">
      <c r="A49" s="278" t="s">
        <v>122</v>
      </c>
      <c r="C49" s="240">
        <f>SUM(C47:C48)</f>
        <v>853355</v>
      </c>
      <c r="K49" s="228">
        <f>SUM(B49:J49)</f>
        <v>853355</v>
      </c>
    </row>
    <row r="50" spans="1:11" x14ac:dyDescent="0.2">
      <c r="A50" s="276" t="s">
        <v>120</v>
      </c>
      <c r="B50" s="287"/>
      <c r="C50" s="242">
        <f>[3]Delta!$IN$70+[3]Delta!$IN$73</f>
        <v>485647</v>
      </c>
      <c r="D50" s="287"/>
      <c r="E50" s="242">
        <f>[3]Spirit!$IN$70+[3]Spirit!$IN$73</f>
        <v>0</v>
      </c>
      <c r="F50" s="287"/>
      <c r="G50" s="287"/>
      <c r="H50" s="287"/>
      <c r="I50" s="287"/>
      <c r="J50" s="241">
        <f>'Other Major Airline Stats'!K48</f>
        <v>198497</v>
      </c>
      <c r="K50" s="231">
        <f>SUM(B50:J50)</f>
        <v>684144</v>
      </c>
    </row>
    <row r="51" spans="1:11" x14ac:dyDescent="0.2">
      <c r="A51" s="289" t="s">
        <v>121</v>
      </c>
      <c r="B51" s="287"/>
      <c r="C51" s="242">
        <f>[3]Delta!$IN$71+[3]Delta!$IN$74</f>
        <v>367708</v>
      </c>
      <c r="D51" s="287"/>
      <c r="E51" s="242">
        <f>[3]Spirit!$IN$71+[3]Spirit!$IN$74</f>
        <v>0</v>
      </c>
      <c r="F51" s="287"/>
      <c r="G51" s="287"/>
      <c r="H51" s="287"/>
      <c r="I51" s="287"/>
      <c r="J51" s="241">
        <f>+'Other Major Airline Stats'!K49</f>
        <v>338</v>
      </c>
      <c r="K51" s="231">
        <f>SUM(B51:J51)</f>
        <v>368046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September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/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45170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246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[3]Frontier!$IN$22+[3]Frontier!$IN$32</f>
        <v>10082</v>
      </c>
      <c r="C5" s="95">
        <f>'[3]Allegiant '!$IN$22</f>
        <v>890</v>
      </c>
      <c r="D5" s="95">
        <f>'[3]Aer Lingus'!$IN$22+'[3]Aer Lingus'!$IN$32</f>
        <v>0</v>
      </c>
      <c r="E5" s="95">
        <f>'[3]Denver Air'!$IN$22+'[3]Denver Air'!$IN$32</f>
        <v>836</v>
      </c>
      <c r="F5" s="95">
        <f>[3]WestJet!$IN$22+[3]WestJet!$IN$32</f>
        <v>3045</v>
      </c>
      <c r="G5" s="95">
        <f>[3]Icelandair!$IN$32</f>
        <v>5265</v>
      </c>
      <c r="H5" s="95">
        <f>[3]Southwest!$IN$22</f>
        <v>75493</v>
      </c>
      <c r="I5" s="95">
        <f>'[3]Sun Country'!$IN$22+'[3]Sun Country'!$IN$32</f>
        <v>115911</v>
      </c>
      <c r="J5" s="95">
        <f>[3]Alaska!$IN$22</f>
        <v>13953</v>
      </c>
      <c r="K5" s="118">
        <f>SUM(B5:J5)</f>
        <v>225475</v>
      </c>
      <c r="N5" s="95"/>
    </row>
    <row r="6" spans="1:14" x14ac:dyDescent="0.2">
      <c r="A6" s="45" t="s">
        <v>31</v>
      </c>
      <c r="B6" s="95">
        <f>[3]Frontier!$IN$23+[3]Frontier!$IN$33</f>
        <v>10479</v>
      </c>
      <c r="C6" s="95">
        <f>'[3]Allegiant '!$IN$23</f>
        <v>915</v>
      </c>
      <c r="D6" s="95">
        <f>'[3]Aer Lingus'!$IN$23+'[3]Aer Lingus'!$IN$33</f>
        <v>0</v>
      </c>
      <c r="E6" s="95">
        <f>'[3]Denver Air'!$IN$23+'[3]Denver Air'!$IN$33</f>
        <v>817</v>
      </c>
      <c r="F6" s="95">
        <f>[3]WestJet!$IN$23+[3]WestJet!$IN$33</f>
        <v>4581</v>
      </c>
      <c r="G6" s="95">
        <f>[3]Icelandair!$IN$33</f>
        <v>5093</v>
      </c>
      <c r="H6" s="95">
        <f>[3]Southwest!$IN$23</f>
        <v>78526</v>
      </c>
      <c r="I6" s="95">
        <f>'[3]Sun Country'!$IN$23+'[3]Sun Country'!$IN$33</f>
        <v>120309</v>
      </c>
      <c r="J6" s="95">
        <f>[3]Alaska!$IN$23</f>
        <v>13441</v>
      </c>
      <c r="K6" s="118">
        <f>SUM(B6:J6)</f>
        <v>234161</v>
      </c>
    </row>
    <row r="7" spans="1:14" ht="15" x14ac:dyDescent="0.25">
      <c r="A7" s="43" t="s">
        <v>7</v>
      </c>
      <c r="B7" s="126">
        <f>SUM(B5:B6)</f>
        <v>20561</v>
      </c>
      <c r="C7" s="126">
        <f t="shared" ref="C7:F7" si="0">SUM(C5:C6)</f>
        <v>1805</v>
      </c>
      <c r="D7" s="126">
        <f>SUM(D5:D6)</f>
        <v>0</v>
      </c>
      <c r="E7" s="126">
        <f>SUM(E5:E6)</f>
        <v>1653</v>
      </c>
      <c r="F7" s="126">
        <f t="shared" si="0"/>
        <v>7626</v>
      </c>
      <c r="G7" s="126">
        <f t="shared" ref="G7:J7" si="1">SUM(G5:G6)</f>
        <v>10358</v>
      </c>
      <c r="H7" s="126">
        <f t="shared" si="1"/>
        <v>154019</v>
      </c>
      <c r="I7" s="126">
        <f>SUM(I5:I6)</f>
        <v>236220</v>
      </c>
      <c r="J7" s="126">
        <f t="shared" si="1"/>
        <v>27394</v>
      </c>
      <c r="K7" s="127">
        <f>SUM(B7:J7)</f>
        <v>459636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[3]Frontier!$IN$27+[3]Frontier!$IN$37</f>
        <v>50</v>
      </c>
      <c r="C10" s="125">
        <f>'[3]Allegiant '!$IN$27</f>
        <v>0</v>
      </c>
      <c r="D10" s="359">
        <f>'[3]Aer Lingus'!$IN$27+'[3]Aer Lingus'!$IN$37</f>
        <v>0</v>
      </c>
      <c r="E10" s="125">
        <f>'[3]Denver Air'!$IN$27+'[3]Denver Air'!$IN$37</f>
        <v>35</v>
      </c>
      <c r="F10" s="125">
        <f>[3]WestJet!$IN$27+[3]WestJet!$IN$37</f>
        <v>0</v>
      </c>
      <c r="G10" s="125">
        <f>[3]Icelandair!$IN$37</f>
        <v>23</v>
      </c>
      <c r="H10" s="125">
        <f>[3]Southwest!$IN$27</f>
        <v>1383</v>
      </c>
      <c r="I10" s="125">
        <f>'[3]Sun Country'!$IN$27+'[3]Sun Country'!$IN$37</f>
        <v>2202</v>
      </c>
      <c r="J10" s="125">
        <f>[3]Alaska!$IN$27</f>
        <v>448</v>
      </c>
      <c r="K10" s="118">
        <f>SUM(B10:J10)</f>
        <v>4141</v>
      </c>
    </row>
    <row r="11" spans="1:14" x14ac:dyDescent="0.2">
      <c r="A11" s="45" t="s">
        <v>33</v>
      </c>
      <c r="B11" s="128">
        <f>[3]Frontier!$IN$28+[3]Frontier!$IN$38</f>
        <v>50</v>
      </c>
      <c r="C11" s="128">
        <f>'[3]Allegiant '!$IN$28</f>
        <v>0</v>
      </c>
      <c r="D11" s="128">
        <f>'[3]Aer Lingus'!$IN$28+'[3]Aer Lingus'!$IN$38</f>
        <v>0</v>
      </c>
      <c r="E11" s="128">
        <f>'[3]Denver Air'!$IN$28+'[3]Denver Air'!$IN$38</f>
        <v>35</v>
      </c>
      <c r="F11" s="128">
        <f>[3]WestJet!$IN$28+[3]WestJet!$IN$38</f>
        <v>0</v>
      </c>
      <c r="G11" s="128">
        <f>[3]Icelandair!$IN$38</f>
        <v>35</v>
      </c>
      <c r="H11" s="128">
        <f>[3]Southwest!$IN$28</f>
        <v>1404</v>
      </c>
      <c r="I11" s="128">
        <f>'[3]Sun Country'!$IN$28+'[3]Sun Country'!$IN$38</f>
        <v>2568</v>
      </c>
      <c r="J11" s="128">
        <f>[3]Alaska!$IN$28</f>
        <v>471</v>
      </c>
      <c r="K11" s="118">
        <f>SUM(B11:J11)</f>
        <v>4563</v>
      </c>
    </row>
    <row r="12" spans="1:14" ht="15.75" thickBot="1" x14ac:dyDescent="0.3">
      <c r="A12" s="46" t="s">
        <v>34</v>
      </c>
      <c r="B12" s="121">
        <f>SUM(B10:B11)</f>
        <v>100</v>
      </c>
      <c r="C12" s="121">
        <f t="shared" ref="C12:F12" si="2">SUM(C10:C11)</f>
        <v>0</v>
      </c>
      <c r="D12" s="121">
        <f>SUM(D10:D11)</f>
        <v>0</v>
      </c>
      <c r="E12" s="121">
        <f>SUM(E10:E11)</f>
        <v>70</v>
      </c>
      <c r="F12" s="121">
        <f t="shared" si="2"/>
        <v>0</v>
      </c>
      <c r="G12" s="121">
        <f t="shared" ref="G12:J12" si="3">SUM(G10:G11)</f>
        <v>58</v>
      </c>
      <c r="H12" s="121">
        <f t="shared" si="3"/>
        <v>2787</v>
      </c>
      <c r="I12" s="121">
        <f>SUM(I10:I11)</f>
        <v>4770</v>
      </c>
      <c r="J12" s="121">
        <f t="shared" si="3"/>
        <v>919</v>
      </c>
      <c r="K12" s="129">
        <f>SUM(B12:J12)</f>
        <v>8704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[3]Frontier!$IN$4+[3]Frontier!$IN$15</f>
        <v>59</v>
      </c>
      <c r="C16" s="85">
        <f>'[3]Allegiant '!$IN$4</f>
        <v>9</v>
      </c>
      <c r="D16" s="95">
        <f>'[3]Aer Lingus'!$IN$4+'[3]Aer Lingus'!$IN$15</f>
        <v>0</v>
      </c>
      <c r="E16" s="95">
        <f>'[3]Denver Air'!$IN$4+'[3]Denver Air'!$IN$15</f>
        <v>68</v>
      </c>
      <c r="F16" s="85">
        <f>[3]WestJet!$IN$4+[3]WestJet!$IN$15</f>
        <v>34</v>
      </c>
      <c r="G16" s="95">
        <f>[3]Icelandair!$IN$15</f>
        <v>30</v>
      </c>
      <c r="H16" s="85">
        <f>[3]Southwest!$IN$4</f>
        <v>641</v>
      </c>
      <c r="I16" s="95">
        <f>'[3]Sun Country'!$IN$4+'[3]Sun Country'!$IN$15</f>
        <v>769</v>
      </c>
      <c r="J16" s="95">
        <f>[3]Alaska!$IN$4</f>
        <v>106</v>
      </c>
      <c r="K16" s="118">
        <f>SUM(B16:J16)</f>
        <v>1716</v>
      </c>
    </row>
    <row r="17" spans="1:258" x14ac:dyDescent="0.2">
      <c r="A17" s="45" t="s">
        <v>23</v>
      </c>
      <c r="B17" s="95">
        <f>[3]Frontier!$IN$5+[3]Frontier!$IN$16</f>
        <v>59</v>
      </c>
      <c r="C17" s="85">
        <f>'[3]Allegiant '!$IN$5</f>
        <v>9</v>
      </c>
      <c r="D17" s="95">
        <f>'[3]Aer Lingus'!$IN$5+'[3]Aer Lingus'!$IN$16</f>
        <v>0</v>
      </c>
      <c r="E17" s="95">
        <f>'[3]Denver Air'!$IN$5+'[3]Denver Air'!$IN$16</f>
        <v>68</v>
      </c>
      <c r="F17" s="85">
        <f>[3]WestJet!$IN$5+[3]WestJet!$IN$16</f>
        <v>34</v>
      </c>
      <c r="G17" s="95">
        <f>[3]Icelandair!$IN$16</f>
        <v>30</v>
      </c>
      <c r="H17" s="85">
        <f>[3]Southwest!$IN$5</f>
        <v>638</v>
      </c>
      <c r="I17" s="95">
        <f>'[3]Sun Country'!$IN$5+'[3]Sun Country'!$IN$16</f>
        <v>785</v>
      </c>
      <c r="J17" s="95">
        <f>[3]Alaska!$IN$5</f>
        <v>106</v>
      </c>
      <c r="K17" s="118">
        <f>SUM(B17:J17)</f>
        <v>1729</v>
      </c>
    </row>
    <row r="18" spans="1:258" x14ac:dyDescent="0.2">
      <c r="A18" s="49" t="s">
        <v>24</v>
      </c>
      <c r="B18" s="119">
        <f t="shared" ref="B18" si="4">SUM(B16:B17)</f>
        <v>118</v>
      </c>
      <c r="C18" s="119">
        <f t="shared" ref="C18:F18" si="5">SUM(C16:C17)</f>
        <v>18</v>
      </c>
      <c r="D18" s="119">
        <f t="shared" si="5"/>
        <v>0</v>
      </c>
      <c r="E18" s="119">
        <f t="shared" si="5"/>
        <v>136</v>
      </c>
      <c r="F18" s="119">
        <f t="shared" si="5"/>
        <v>68</v>
      </c>
      <c r="G18" s="119">
        <f t="shared" ref="G18:J18" si="6">SUM(G16:G17)</f>
        <v>60</v>
      </c>
      <c r="H18" s="119">
        <f t="shared" si="6"/>
        <v>1279</v>
      </c>
      <c r="I18" s="119">
        <f t="shared" si="6"/>
        <v>1554</v>
      </c>
      <c r="J18" s="119">
        <f t="shared" si="6"/>
        <v>212</v>
      </c>
      <c r="K18" s="120">
        <f>SUM(B18:J18)</f>
        <v>3445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[3]Frontier!$IN$8</f>
        <v>0</v>
      </c>
      <c r="C20" s="95">
        <f>'[3]Allegiant '!$IN$8</f>
        <v>0</v>
      </c>
      <c r="D20" s="95">
        <f>'[3]Aer Lingus'!$IN$8</f>
        <v>0</v>
      </c>
      <c r="E20" s="95">
        <f>'[3]Denver Air'!$IN$8</f>
        <v>2</v>
      </c>
      <c r="F20" s="95">
        <f>[3]WestJet!$IN$8</f>
        <v>0</v>
      </c>
      <c r="G20" s="95">
        <f>[3]Icelandair!$IN$8</f>
        <v>0</v>
      </c>
      <c r="H20" s="95">
        <f>[3]Southwest!$IN$8</f>
        <v>0</v>
      </c>
      <c r="I20" s="95">
        <f>'[3]Sun Country'!$IN$8</f>
        <v>80</v>
      </c>
      <c r="J20" s="95">
        <f>[3]Alaska!$IN$8</f>
        <v>1</v>
      </c>
      <c r="K20" s="118">
        <f>SUM(B20:J20)</f>
        <v>83</v>
      </c>
    </row>
    <row r="21" spans="1:258" x14ac:dyDescent="0.2">
      <c r="A21" s="45" t="s">
        <v>26</v>
      </c>
      <c r="B21" s="95">
        <f>[3]Frontier!$IN$9</f>
        <v>0</v>
      </c>
      <c r="C21" s="95">
        <f>'[3]Allegiant '!$IN$9</f>
        <v>0</v>
      </c>
      <c r="D21" s="95">
        <f>'[3]Aer Lingus'!$IN$9</f>
        <v>0</v>
      </c>
      <c r="E21" s="95">
        <f>'[3]Denver Air'!$IN$9</f>
        <v>2</v>
      </c>
      <c r="F21" s="95">
        <f>[3]WestJet!$IN$9</f>
        <v>0</v>
      </c>
      <c r="G21" s="95">
        <f>[3]Icelandair!$IN$9</f>
        <v>0</v>
      </c>
      <c r="H21" s="95">
        <f>[3]Southwest!$IN$9</f>
        <v>0</v>
      </c>
      <c r="I21" s="95">
        <f>'[3]Sun Country'!$IN$9</f>
        <v>76</v>
      </c>
      <c r="J21" s="95">
        <f>[3]Alaska!$IN$9</f>
        <v>1</v>
      </c>
      <c r="K21" s="118">
        <f>SUM(B21:J21)</f>
        <v>79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4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156</v>
      </c>
      <c r="J22" s="119">
        <f t="shared" si="9"/>
        <v>2</v>
      </c>
      <c r="K22" s="120">
        <f>SUM(B22:J22)</f>
        <v>162</v>
      </c>
    </row>
    <row r="23" spans="1:258" ht="15.75" thickBot="1" x14ac:dyDescent="0.3">
      <c r="A23" s="46" t="s">
        <v>28</v>
      </c>
      <c r="B23" s="121">
        <f t="shared" ref="B23" si="10">B22+B18</f>
        <v>118</v>
      </c>
      <c r="C23" s="121">
        <f t="shared" ref="C23:F23" si="11">C22+C18</f>
        <v>18</v>
      </c>
      <c r="D23" s="121">
        <f t="shared" si="11"/>
        <v>0</v>
      </c>
      <c r="E23" s="121">
        <f t="shared" si="11"/>
        <v>140</v>
      </c>
      <c r="F23" s="121">
        <f t="shared" si="11"/>
        <v>68</v>
      </c>
      <c r="G23" s="121">
        <f t="shared" ref="G23:J23" si="12">G22+G18</f>
        <v>60</v>
      </c>
      <c r="H23" s="121">
        <f t="shared" si="12"/>
        <v>1279</v>
      </c>
      <c r="I23" s="121">
        <f>I22+I18</f>
        <v>1710</v>
      </c>
      <c r="J23" s="121">
        <f t="shared" si="12"/>
        <v>214</v>
      </c>
      <c r="K23" s="122">
        <f>SUM(B23:J23)</f>
        <v>3607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[3]Frontier!$IN$47</f>
        <v>0</v>
      </c>
      <c r="C28" s="95">
        <f>'[3]Allegiant '!$IN$47</f>
        <v>0</v>
      </c>
      <c r="D28" s="95">
        <f>'[3]Aer Lingus'!$IN$47</f>
        <v>0</v>
      </c>
      <c r="E28" s="95">
        <f>'[3]Denver Air'!$IN$47</f>
        <v>0</v>
      </c>
      <c r="F28" s="95">
        <f>[3]WestJet!$IN$47</f>
        <v>0</v>
      </c>
      <c r="G28" s="95">
        <f>[3]Icelandair!$IN$47</f>
        <v>3390</v>
      </c>
      <c r="H28" s="95">
        <f>[3]Southwest!$IN$47</f>
        <v>189347</v>
      </c>
      <c r="I28" s="95">
        <f>'[3]Sun Country'!$IN$47</f>
        <v>0</v>
      </c>
      <c r="J28" s="95">
        <f>[3]Alaska!$IN$47</f>
        <v>41037</v>
      </c>
      <c r="K28" s="118">
        <f>SUM(B28:J28)</f>
        <v>233774</v>
      </c>
    </row>
    <row r="29" spans="1:258" x14ac:dyDescent="0.2">
      <c r="A29" s="45" t="s">
        <v>38</v>
      </c>
      <c r="B29" s="95">
        <f>[3]Frontier!$IN$48</f>
        <v>0</v>
      </c>
      <c r="C29" s="95">
        <f>'[3]Allegiant '!$IN$48</f>
        <v>0</v>
      </c>
      <c r="D29" s="95">
        <f>'[3]Aer Lingus'!$IN$48</f>
        <v>0</v>
      </c>
      <c r="E29" s="95">
        <f>'[3]Denver Air'!$IN$48</f>
        <v>0</v>
      </c>
      <c r="F29" s="95">
        <f>[3]WestJet!$IN$48</f>
        <v>0</v>
      </c>
      <c r="G29" s="95">
        <f>[3]Icelandair!$IN$48</f>
        <v>33</v>
      </c>
      <c r="H29" s="95">
        <f>[3]Southwest!$IN$48</f>
        <v>0</v>
      </c>
      <c r="I29" s="95">
        <f>'[3]Sun Country'!$IN$48</f>
        <v>0</v>
      </c>
      <c r="J29" s="95">
        <f>[3]Alaska!$IN$48</f>
        <v>25</v>
      </c>
      <c r="K29" s="118">
        <f>SUM(B29:J29)</f>
        <v>58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3423</v>
      </c>
      <c r="H30" s="133">
        <f t="shared" si="15"/>
        <v>189347</v>
      </c>
      <c r="I30" s="133">
        <f t="shared" si="15"/>
        <v>0</v>
      </c>
      <c r="J30" s="133">
        <f t="shared" si="15"/>
        <v>41062</v>
      </c>
      <c r="K30" s="135">
        <f>SUM(B30:J30)</f>
        <v>233832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[3]Frontier!$IN$52</f>
        <v>0</v>
      </c>
      <c r="C33" s="95">
        <f>'[3]Allegiant '!$IN$52</f>
        <v>0</v>
      </c>
      <c r="D33" s="95">
        <f>'[3]Aer Lingus'!$IN$52</f>
        <v>0</v>
      </c>
      <c r="E33" s="95">
        <f>'[3]Denver Air'!$IN$52</f>
        <v>0</v>
      </c>
      <c r="F33" s="95">
        <f>[3]WestJet!$IN$52</f>
        <v>0</v>
      </c>
      <c r="G33" s="95">
        <f>[3]Icelandair!$IN$52</f>
        <v>33</v>
      </c>
      <c r="H33" s="95">
        <f>[3]Southwest!$IN$52</f>
        <v>61215</v>
      </c>
      <c r="I33" s="95">
        <f>'[3]Sun Country'!$IN$52</f>
        <v>0</v>
      </c>
      <c r="J33" s="95">
        <f>[3]Alaska!$IN$52</f>
        <v>13193</v>
      </c>
      <c r="K33" s="118">
        <f>SUM(B33:J33)</f>
        <v>74441</v>
      </c>
    </row>
    <row r="34" spans="1:11" x14ac:dyDescent="0.2">
      <c r="A34" s="45" t="s">
        <v>38</v>
      </c>
      <c r="B34" s="95">
        <f>[3]Frontier!$IN$53</f>
        <v>0</v>
      </c>
      <c r="C34" s="95">
        <f>'[3]Allegiant '!$IN$53</f>
        <v>0</v>
      </c>
      <c r="D34" s="95">
        <f>'[3]Aer Lingus'!$IN$53</f>
        <v>0</v>
      </c>
      <c r="E34" s="95">
        <f>'[3]Denver Air'!$IN$53</f>
        <v>0</v>
      </c>
      <c r="F34" s="95">
        <f>[3]WestJet!$IN$53</f>
        <v>0</v>
      </c>
      <c r="G34" s="95">
        <f>[3]Icelandair!$IN$53</f>
        <v>0</v>
      </c>
      <c r="H34" s="95">
        <f>[3]Southwest!$IN$53</f>
        <v>0</v>
      </c>
      <c r="I34" s="95">
        <f>'[3]Sun Country'!$IN$53</f>
        <v>0</v>
      </c>
      <c r="J34" s="95">
        <f>[3]Alaska!$IN$53</f>
        <v>280</v>
      </c>
      <c r="K34" s="134">
        <f>SUM(B34:J34)</f>
        <v>280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33</v>
      </c>
      <c r="H35" s="119">
        <f t="shared" si="18"/>
        <v>61215</v>
      </c>
      <c r="I35" s="119">
        <f t="shared" si="18"/>
        <v>0</v>
      </c>
      <c r="J35" s="119">
        <f t="shared" si="18"/>
        <v>13473</v>
      </c>
      <c r="K35" s="135">
        <f>SUM(B35:J35)</f>
        <v>74721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[3]Frontier!$IN$57</f>
        <v>0</v>
      </c>
      <c r="C38" s="125">
        <f>'[3]Allegiant '!$IN$57</f>
        <v>0</v>
      </c>
      <c r="D38" s="359">
        <f>'[3]Aer Lingus'!$IN$57</f>
        <v>0</v>
      </c>
      <c r="E38" s="125">
        <f>'[3]Denver Air'!$IN$57</f>
        <v>0</v>
      </c>
      <c r="F38" s="125">
        <f>[3]WestJet!$IN$57</f>
        <v>0</v>
      </c>
      <c r="G38" s="125">
        <f>[3]Icelandair!$IN$57</f>
        <v>0</v>
      </c>
      <c r="H38" s="125">
        <f>[3]Southwest!$IN$57</f>
        <v>0</v>
      </c>
      <c r="I38" s="125">
        <f>'[3]Sun Country'!$IN$57</f>
        <v>0</v>
      </c>
      <c r="J38" s="125">
        <f>[3]Alaska!$IN$57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[3]Frontier!$IN$58</f>
        <v>0</v>
      </c>
      <c r="C39" s="128">
        <f>'[3]Allegiant '!$IN$58</f>
        <v>0</v>
      </c>
      <c r="D39" s="128">
        <f>'[3]Aer Lingus'!$IN$58</f>
        <v>0</v>
      </c>
      <c r="E39" s="128">
        <f>'[3]Denver Air'!$IN$58</f>
        <v>0</v>
      </c>
      <c r="F39" s="128">
        <f>[3]WestJet!$IN$58</f>
        <v>0</v>
      </c>
      <c r="G39" s="128">
        <f>[3]Icelandair!$IN$58</f>
        <v>0</v>
      </c>
      <c r="H39" s="128">
        <f>[3]Southwest!$IN$58</f>
        <v>0</v>
      </c>
      <c r="I39" s="128">
        <f>'[3]Sun Country'!$IN$58</f>
        <v>0</v>
      </c>
      <c r="J39" s="128">
        <f>[3]Alaska!$IN$58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3423</v>
      </c>
      <c r="H43" s="125">
        <f t="shared" si="24"/>
        <v>250562</v>
      </c>
      <c r="I43" s="125">
        <f t="shared" si="24"/>
        <v>0</v>
      </c>
      <c r="J43" s="125">
        <f t="shared" si="24"/>
        <v>54230</v>
      </c>
      <c r="K43" s="118">
        <f>SUM(B43:J43)</f>
        <v>308215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33</v>
      </c>
      <c r="H44" s="128">
        <f t="shared" si="27"/>
        <v>0</v>
      </c>
      <c r="I44" s="128">
        <f t="shared" si="27"/>
        <v>0</v>
      </c>
      <c r="J44" s="128">
        <f t="shared" si="27"/>
        <v>305</v>
      </c>
      <c r="K44" s="118">
        <f>SUM(B44:J44)</f>
        <v>338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3456</v>
      </c>
      <c r="H45" s="137">
        <f t="shared" si="30"/>
        <v>250562</v>
      </c>
      <c r="I45" s="137">
        <f t="shared" si="30"/>
        <v>0</v>
      </c>
      <c r="J45" s="137">
        <f t="shared" si="30"/>
        <v>54535</v>
      </c>
      <c r="K45" s="138">
        <f>SUM(B45:J45)</f>
        <v>308553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[3]Southwest!$IN$70+[3]Southwest!$IN$73</f>
        <v>78188</v>
      </c>
      <c r="I48" s="242">
        <f>'[3]Sun Country'!$IN$70+'[3]Sun Country'!$IN$73</f>
        <v>120309</v>
      </c>
      <c r="J48" s="287"/>
      <c r="K48" s="231">
        <f>SUM(B48:J48)</f>
        <v>198497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[3]Southwest!$IN$71+[3]Southwest!$IN$74</f>
        <v>338</v>
      </c>
      <c r="I49" s="242">
        <f>'[3]Sun Country'!$IN$71+'[3]Sun Country'!$IN$74</f>
        <v>0</v>
      </c>
      <c r="J49" s="287"/>
      <c r="K49" s="231">
        <f>SUM(B49:J49)</f>
        <v>338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September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G27" sqref="G2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45170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[3]Pinnacle!$IN$22+[3]Pinnacle!$IN$32</f>
        <v>37076</v>
      </c>
      <c r="C5" s="87">
        <f>[3]MESA_UA!$IN$22</f>
        <v>4611</v>
      </c>
      <c r="D5" s="95">
        <f>'[3]Sky West'!$IN$22+'[3]Sky West'!$IN$32</f>
        <v>105300</v>
      </c>
      <c r="E5" s="95">
        <f>'[3]Sky West_UA'!$IN$22</f>
        <v>145</v>
      </c>
      <c r="F5" s="95">
        <f>'[3]Sky West_AS'!$IN$22</f>
        <v>0</v>
      </c>
      <c r="G5" s="95">
        <f>'[3]Sky West_AA'!$IN$22</f>
        <v>0</v>
      </c>
      <c r="H5" s="95">
        <f>[3]Republic!$IN$22</f>
        <v>2715</v>
      </c>
      <c r="I5" s="95">
        <f>[3]Republic_UA!$IN$22</f>
        <v>0</v>
      </c>
      <c r="J5" s="95">
        <f>'[3]Sky Regional'!$IN$32</f>
        <v>0</v>
      </c>
      <c r="K5" s="95">
        <f>'[3]American Eagle'!$IN$22</f>
        <v>1936</v>
      </c>
      <c r="L5" s="95">
        <f>'Other Regional'!L5</f>
        <v>13324</v>
      </c>
      <c r="M5" s="88">
        <f>SUM(B5:L5)</f>
        <v>165107</v>
      </c>
    </row>
    <row r="6" spans="1:16" s="6" customFormat="1" x14ac:dyDescent="0.2">
      <c r="A6" s="45" t="s">
        <v>31</v>
      </c>
      <c r="B6" s="87">
        <f>[3]Pinnacle!$IN$23+[3]Pinnacle!$IN$33</f>
        <v>38311</v>
      </c>
      <c r="C6" s="87">
        <f>[3]MESA_UA!$IN$23</f>
        <v>4569</v>
      </c>
      <c r="D6" s="95">
        <f>'[3]Sky West'!$IN$23+'[3]Sky West'!$IN$33</f>
        <v>105965</v>
      </c>
      <c r="E6" s="95">
        <f>'[3]Sky West_UA'!$IN$23</f>
        <v>142</v>
      </c>
      <c r="F6" s="95">
        <f>'[3]Sky West_AS'!$IN$23</f>
        <v>0</v>
      </c>
      <c r="G6" s="95">
        <f>'[3]Sky West_AA'!$IN$23</f>
        <v>0</v>
      </c>
      <c r="H6" s="95">
        <f>[3]Republic!$IN$23</f>
        <v>3183</v>
      </c>
      <c r="I6" s="95">
        <f>[3]Republic_UA!$IN$23</f>
        <v>0</v>
      </c>
      <c r="J6" s="95">
        <f>'[3]Sky Regional'!$IN$33</f>
        <v>0</v>
      </c>
      <c r="K6" s="95">
        <f>'[3]American Eagle'!$IN$23</f>
        <v>2030</v>
      </c>
      <c r="L6" s="95">
        <f>'Other Regional'!L6</f>
        <v>13725</v>
      </c>
      <c r="M6" s="92">
        <f>SUM(B6:L6)</f>
        <v>167925</v>
      </c>
    </row>
    <row r="7" spans="1:16" ht="15" thickBot="1" x14ac:dyDescent="0.25">
      <c r="A7" s="54" t="s">
        <v>7</v>
      </c>
      <c r="B7" s="105">
        <f>SUM(B5:B6)</f>
        <v>75387</v>
      </c>
      <c r="C7" s="105">
        <f t="shared" ref="C7:L7" si="0">SUM(C5:C6)</f>
        <v>9180</v>
      </c>
      <c r="D7" s="105">
        <f t="shared" si="0"/>
        <v>211265</v>
      </c>
      <c r="E7" s="105">
        <f t="shared" si="0"/>
        <v>287</v>
      </c>
      <c r="F7" s="105">
        <f t="shared" ref="F7:G7" si="1">SUM(F5:F6)</f>
        <v>0</v>
      </c>
      <c r="G7" s="105">
        <f t="shared" si="1"/>
        <v>0</v>
      </c>
      <c r="H7" s="105">
        <f t="shared" si="0"/>
        <v>5898</v>
      </c>
      <c r="I7" s="105">
        <f t="shared" si="0"/>
        <v>0</v>
      </c>
      <c r="J7" s="105">
        <f t="shared" si="0"/>
        <v>0</v>
      </c>
      <c r="K7" s="105">
        <f t="shared" si="0"/>
        <v>3966</v>
      </c>
      <c r="L7" s="105">
        <f t="shared" si="0"/>
        <v>27049</v>
      </c>
      <c r="M7" s="106">
        <f>SUM(B7:L7)</f>
        <v>333032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[3]Pinnacle!$IN$27+[3]Pinnacle!$IN$37</f>
        <v>1066</v>
      </c>
      <c r="C10" s="87">
        <f>[3]MESA_UA!$IN$27</f>
        <v>114</v>
      </c>
      <c r="D10" s="95">
        <f>'[3]Sky West'!$IN$27+'[3]Sky West'!$IN$37</f>
        <v>2898</v>
      </c>
      <c r="E10" s="95">
        <f>'[3]Sky West_UA'!$IN$27</f>
        <v>11</v>
      </c>
      <c r="F10" s="95">
        <f>'[3]Sky West_AS'!$IN$27</f>
        <v>0</v>
      </c>
      <c r="G10" s="95">
        <f>'[3]Sky West_AA'!$IN$27</f>
        <v>0</v>
      </c>
      <c r="H10" s="95">
        <f>[3]Republic!$IN$27</f>
        <v>111</v>
      </c>
      <c r="I10" s="95">
        <f>[3]Republic_UA!$IN$27</f>
        <v>0</v>
      </c>
      <c r="J10" s="95">
        <f>'[3]Sky Regional'!$IN$37</f>
        <v>0</v>
      </c>
      <c r="K10" s="95">
        <f>'[3]American Eagle'!$IN$27</f>
        <v>42</v>
      </c>
      <c r="L10" s="95">
        <f>'Other Regional'!L10</f>
        <v>353</v>
      </c>
      <c r="M10" s="88">
        <f>SUM(B10:L10)</f>
        <v>4595</v>
      </c>
    </row>
    <row r="11" spans="1:16" x14ac:dyDescent="0.2">
      <c r="A11" s="45" t="s">
        <v>33</v>
      </c>
      <c r="B11" s="87">
        <f>[3]Pinnacle!$IN$28+[3]Pinnacle!$IN$38</f>
        <v>1120</v>
      </c>
      <c r="C11" s="87">
        <f>[3]MESA_UA!$IN$28</f>
        <v>181</v>
      </c>
      <c r="D11" s="95">
        <f>'[3]Sky West'!$IN$28+'[3]Sky West'!$IN$38</f>
        <v>2791</v>
      </c>
      <c r="E11" s="95">
        <f>'[3]Sky West_UA'!$IN$28</f>
        <v>0</v>
      </c>
      <c r="F11" s="95">
        <f>'[3]Sky West_AS'!$IN$28</f>
        <v>0</v>
      </c>
      <c r="G11" s="95">
        <f>'[3]Sky West_AA'!$IN$28</f>
        <v>0</v>
      </c>
      <c r="H11" s="95">
        <f>[3]Republic!$IN$28</f>
        <v>83</v>
      </c>
      <c r="I11" s="95">
        <f>[3]Republic_UA!$IN$28</f>
        <v>0</v>
      </c>
      <c r="J11" s="95">
        <f>'[3]Sky Regional'!$IN$38</f>
        <v>0</v>
      </c>
      <c r="K11" s="95">
        <f>'[3]American Eagle'!$IN$28</f>
        <v>47</v>
      </c>
      <c r="L11" s="95">
        <f>'Other Regional'!L11</f>
        <v>309</v>
      </c>
      <c r="M11" s="92">
        <f>SUM(B11:L11)</f>
        <v>4531</v>
      </c>
    </row>
    <row r="12" spans="1:16" ht="15" thickBot="1" x14ac:dyDescent="0.25">
      <c r="A12" s="55" t="s">
        <v>34</v>
      </c>
      <c r="B12" s="108">
        <f t="shared" ref="B12:L12" si="2">SUM(B10:B11)</f>
        <v>2186</v>
      </c>
      <c r="C12" s="108">
        <f t="shared" si="2"/>
        <v>295</v>
      </c>
      <c r="D12" s="108">
        <f t="shared" si="2"/>
        <v>5689</v>
      </c>
      <c r="E12" s="108">
        <f t="shared" si="2"/>
        <v>11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194</v>
      </c>
      <c r="I12" s="108">
        <f t="shared" si="2"/>
        <v>0</v>
      </c>
      <c r="J12" s="108">
        <f t="shared" si="2"/>
        <v>0</v>
      </c>
      <c r="K12" s="108">
        <f t="shared" si="2"/>
        <v>89</v>
      </c>
      <c r="L12" s="108">
        <f t="shared" si="2"/>
        <v>662</v>
      </c>
      <c r="M12" s="109">
        <f>SUM(B12:L12)</f>
        <v>9126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248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[3]Pinnacle!$IN$4+[3]Pinnacle!$IN$15</f>
        <v>592</v>
      </c>
      <c r="C15" s="86">
        <f>[3]MESA_UA!$IN$4</f>
        <v>70</v>
      </c>
      <c r="D15" s="85">
        <f>'[3]Sky West'!$IN$4+'[3]Sky West'!$IN$15</f>
        <v>2116</v>
      </c>
      <c r="E15" s="85">
        <f>'[3]Sky West_UA'!$IN$4</f>
        <v>2</v>
      </c>
      <c r="F15" s="85">
        <f>'[3]Sky West_AS'!$IN$4</f>
        <v>0</v>
      </c>
      <c r="G15" s="85">
        <f>'[3]Sky West_AA'!$IN$4</f>
        <v>0</v>
      </c>
      <c r="H15" s="87">
        <f>[3]Republic!$IN$4</f>
        <v>48</v>
      </c>
      <c r="I15" s="333">
        <f>[3]Republic_UA!$IN$4</f>
        <v>0</v>
      </c>
      <c r="J15" s="333">
        <f>'[3]Sky Regional'!$IN$15</f>
        <v>0</v>
      </c>
      <c r="K15" s="87">
        <f>'[3]American Eagle'!$IN$4</f>
        <v>30</v>
      </c>
      <c r="L15" s="86">
        <f>'Other Regional'!L15</f>
        <v>248</v>
      </c>
      <c r="M15" s="88">
        <f t="shared" ref="M15:M20" si="5">SUM(B15:L15)</f>
        <v>3106</v>
      </c>
    </row>
    <row r="16" spans="1:16" x14ac:dyDescent="0.2">
      <c r="A16" s="45" t="s">
        <v>54</v>
      </c>
      <c r="B16" s="7">
        <f>[3]Pinnacle!$IN$5+[3]Pinnacle!$IN$16</f>
        <v>591</v>
      </c>
      <c r="C16" s="90">
        <f>[3]MESA_UA!$IN$5</f>
        <v>71</v>
      </c>
      <c r="D16" s="89">
        <f>'[3]Sky West'!$IN$5+'[3]Sky West'!$IN$16</f>
        <v>2127</v>
      </c>
      <c r="E16" s="89">
        <f>'[3]Sky West_UA'!$IN$5</f>
        <v>2</v>
      </c>
      <c r="F16" s="89">
        <f>'[3]Sky West_AS'!$IN$5</f>
        <v>0</v>
      </c>
      <c r="G16" s="89">
        <f>'[3]Sky West_AA'!$IN$5</f>
        <v>0</v>
      </c>
      <c r="H16" s="91">
        <f>[3]Republic!$IN$5</f>
        <v>48</v>
      </c>
      <c r="I16" s="218">
        <f>[3]Republic_UA!$IN$5</f>
        <v>0</v>
      </c>
      <c r="J16" s="218">
        <f>'[3]Sky Regional'!$IN$16</f>
        <v>0</v>
      </c>
      <c r="K16" s="91">
        <f>'[3]American Eagle'!$IN$5</f>
        <v>30</v>
      </c>
      <c r="L16" s="90">
        <f>'Other Regional'!L16</f>
        <v>250</v>
      </c>
      <c r="M16" s="92">
        <f t="shared" si="5"/>
        <v>3119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1183</v>
      </c>
      <c r="C17" s="93">
        <f t="shared" si="6"/>
        <v>141</v>
      </c>
      <c r="D17" s="93">
        <f t="shared" si="6"/>
        <v>4243</v>
      </c>
      <c r="E17" s="93">
        <f t="shared" si="6"/>
        <v>4</v>
      </c>
      <c r="F17" s="93">
        <f t="shared" ref="F17:G17" si="7">SUM(F15:F16)</f>
        <v>0</v>
      </c>
      <c r="G17" s="93">
        <f t="shared" si="7"/>
        <v>0</v>
      </c>
      <c r="H17" s="93">
        <f>SUM(H15:H16)</f>
        <v>96</v>
      </c>
      <c r="I17" s="93">
        <f t="shared" ref="I17:J17" si="8">SUM(I15:I16)</f>
        <v>0</v>
      </c>
      <c r="J17" s="93">
        <f t="shared" si="8"/>
        <v>0</v>
      </c>
      <c r="K17" s="93">
        <f>SUM(K15:K16)</f>
        <v>60</v>
      </c>
      <c r="L17" s="93">
        <f>SUM(L15:L16)</f>
        <v>498</v>
      </c>
      <c r="M17" s="94">
        <f t="shared" si="5"/>
        <v>6225</v>
      </c>
    </row>
    <row r="18" spans="1:13" x14ac:dyDescent="0.2">
      <c r="A18" s="45" t="s">
        <v>56</v>
      </c>
      <c r="B18" s="95">
        <f>[3]Pinnacle!$IN$8</f>
        <v>0</v>
      </c>
      <c r="C18" s="87">
        <f>[3]MESA_UA!$IN$8</f>
        <v>0</v>
      </c>
      <c r="D18" s="95">
        <f>'[3]Sky West'!$IN$8</f>
        <v>0</v>
      </c>
      <c r="E18" s="95">
        <f>'[3]Sky West_UA'!$IN$8</f>
        <v>0</v>
      </c>
      <c r="F18" s="95">
        <f>'[3]Sky West_AS'!$IN$8</f>
        <v>0</v>
      </c>
      <c r="G18" s="95">
        <f>'[3]Sky West_AA'!$IN$8</f>
        <v>0</v>
      </c>
      <c r="H18" s="95">
        <f>[3]Republic!$IN$8</f>
        <v>0</v>
      </c>
      <c r="I18" s="95">
        <f>[3]Republic_UA!$IN$8</f>
        <v>0</v>
      </c>
      <c r="J18" s="95">
        <f>'[3]Sky Regional'!$IN$8</f>
        <v>0</v>
      </c>
      <c r="K18" s="95">
        <f>'[3]American Eagle'!$IN$8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[3]Pinnacle!$IN$9</f>
        <v>0</v>
      </c>
      <c r="C19" s="91">
        <f>[3]MESA_UA!$IN$9</f>
        <v>0</v>
      </c>
      <c r="D19" s="96">
        <f>'[3]Sky West'!$IN$9</f>
        <v>1</v>
      </c>
      <c r="E19" s="96">
        <f>'[3]Sky West_UA'!$IN$9</f>
        <v>0</v>
      </c>
      <c r="F19" s="96">
        <f>'[3]Sky West_AS'!$IN$9</f>
        <v>0</v>
      </c>
      <c r="G19" s="96">
        <f>'[3]Sky West_AA'!$IN$9</f>
        <v>0</v>
      </c>
      <c r="H19" s="96">
        <f>[3]Republic!$IN$9</f>
        <v>0</v>
      </c>
      <c r="I19" s="96">
        <f>[3]Republic_UA!$IN$9</f>
        <v>0</v>
      </c>
      <c r="J19" s="96">
        <f>'[3]Sky Regional'!$IN$9</f>
        <v>0</v>
      </c>
      <c r="K19" s="96">
        <f>'[3]American Eagle'!$IN$9</f>
        <v>0</v>
      </c>
      <c r="L19" s="96">
        <f>'Other Regional'!L19</f>
        <v>0</v>
      </c>
      <c r="M19" s="92">
        <f t="shared" si="5"/>
        <v>1</v>
      </c>
    </row>
    <row r="20" spans="1:13" x14ac:dyDescent="0.2">
      <c r="A20" s="49" t="s">
        <v>58</v>
      </c>
      <c r="B20" s="93">
        <f t="shared" ref="B20:L20" si="9">SUM(B18:B19)</f>
        <v>0</v>
      </c>
      <c r="C20" s="93">
        <f t="shared" si="9"/>
        <v>0</v>
      </c>
      <c r="D20" s="93">
        <f t="shared" si="9"/>
        <v>1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1</v>
      </c>
    </row>
    <row r="21" spans="1:13" ht="15.75" thickBot="1" x14ac:dyDescent="0.3">
      <c r="A21" s="53" t="s">
        <v>28</v>
      </c>
      <c r="B21" s="97">
        <f>SUM(B20,B17)</f>
        <v>1183</v>
      </c>
      <c r="C21" s="97">
        <f t="shared" ref="C21:K21" si="11">SUM(C20,C17)</f>
        <v>141</v>
      </c>
      <c r="D21" s="97">
        <f t="shared" si="11"/>
        <v>4244</v>
      </c>
      <c r="E21" s="97">
        <f t="shared" si="11"/>
        <v>4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96</v>
      </c>
      <c r="I21" s="97">
        <f t="shared" si="11"/>
        <v>0</v>
      </c>
      <c r="J21" s="97">
        <f t="shared" si="11"/>
        <v>0</v>
      </c>
      <c r="K21" s="97">
        <f t="shared" si="11"/>
        <v>60</v>
      </c>
      <c r="L21" s="97">
        <f>SUM(L20,L17)</f>
        <v>498</v>
      </c>
      <c r="M21" s="98">
        <f>SUM(B21:L21)</f>
        <v>6226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[3]Pinnacle!$IN$47</f>
        <v>0</v>
      </c>
      <c r="C25" s="87">
        <f>[3]MESA_UA!$IN$47</f>
        <v>0</v>
      </c>
      <c r="D25" s="95">
        <f>'[3]Sky West'!$IN$47</f>
        <v>0</v>
      </c>
      <c r="E25" s="95">
        <f>'[3]Sky West_UA'!$IN$47</f>
        <v>0</v>
      </c>
      <c r="F25" s="95">
        <f>'[3]Sky West_AS'!$IN$47</f>
        <v>0</v>
      </c>
      <c r="G25" s="95">
        <f>'[3]Sky West_AA'!$IN$47</f>
        <v>0</v>
      </c>
      <c r="H25" s="95">
        <f>[3]Republic!$IN$47</f>
        <v>1064</v>
      </c>
      <c r="I25" s="95">
        <f>[3]Republic_UA!$IN$47</f>
        <v>0</v>
      </c>
      <c r="J25" s="95">
        <f>'[3]Sky Regional'!$IN$47</f>
        <v>0</v>
      </c>
      <c r="K25" s="95">
        <f>'[3]American Eagle'!$IN$47</f>
        <v>0</v>
      </c>
      <c r="L25" s="95">
        <f>'Other Regional'!L25</f>
        <v>7902.1</v>
      </c>
      <c r="M25" s="88">
        <f>SUM(B25:L25)</f>
        <v>8966.1</v>
      </c>
    </row>
    <row r="26" spans="1:13" x14ac:dyDescent="0.2">
      <c r="A26" s="45" t="s">
        <v>38</v>
      </c>
      <c r="B26" s="95">
        <f>[3]Pinnacle!$IN$48</f>
        <v>0</v>
      </c>
      <c r="C26" s="87">
        <f>[3]MESA_UA!$IN$48</f>
        <v>0</v>
      </c>
      <c r="D26" s="95">
        <f>'[3]Sky West'!$IN$48</f>
        <v>0</v>
      </c>
      <c r="E26" s="95">
        <f>'[3]Sky West_UA'!$IN$48</f>
        <v>0</v>
      </c>
      <c r="F26" s="95">
        <f>'[3]Sky West_AS'!$IN$48</f>
        <v>0</v>
      </c>
      <c r="G26" s="95">
        <f>'[3]Sky West_AA'!$IN$48</f>
        <v>0</v>
      </c>
      <c r="H26" s="95">
        <f>[3]Republic!$IN$48</f>
        <v>0</v>
      </c>
      <c r="I26" s="95">
        <f>[3]Republic_UA!$IN$48</f>
        <v>0</v>
      </c>
      <c r="J26" s="95">
        <f>'[3]Sky Regional'!$IN$48</f>
        <v>0</v>
      </c>
      <c r="K26" s="95">
        <f>'[3]American Eagle'!$IN$48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1064</v>
      </c>
      <c r="I27" s="105">
        <f t="shared" si="13"/>
        <v>0</v>
      </c>
      <c r="J27" s="105">
        <f t="shared" si="13"/>
        <v>0</v>
      </c>
      <c r="K27" s="105">
        <f t="shared" si="13"/>
        <v>0</v>
      </c>
      <c r="L27" s="105">
        <f t="shared" si="13"/>
        <v>7902.1</v>
      </c>
      <c r="M27" s="106">
        <f>SUM(B27:L27)</f>
        <v>8966.1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[3]Pinnacle!$IN$52</f>
        <v>0</v>
      </c>
      <c r="C30" s="87">
        <f>[3]MESA_UA!$IN$52</f>
        <v>0</v>
      </c>
      <c r="D30" s="95">
        <f>'[3]Sky West'!$IN$52</f>
        <v>0</v>
      </c>
      <c r="E30" s="95">
        <f>'[3]Sky West_UA'!$IN$52</f>
        <v>0</v>
      </c>
      <c r="F30" s="95">
        <f>'[3]Sky West_AS'!$IN$52</f>
        <v>0</v>
      </c>
      <c r="G30" s="95">
        <f>'[3]Sky West_AA'!$IN$52</f>
        <v>0</v>
      </c>
      <c r="H30" s="95">
        <f>[3]Republic!$IN$52</f>
        <v>0</v>
      </c>
      <c r="I30" s="95">
        <f>[3]Republic_UA!$IN$52</f>
        <v>0</v>
      </c>
      <c r="J30" s="95">
        <f>'[3]Sky Regional'!$IN$52</f>
        <v>0</v>
      </c>
      <c r="K30" s="95">
        <f>'[3]American Eagle'!$IN$52</f>
        <v>0</v>
      </c>
      <c r="L30" s="95">
        <f>'Other Regional'!L30</f>
        <v>10533.400000000001</v>
      </c>
      <c r="M30" s="88">
        <f t="shared" ref="M30:M37" si="15">SUM(B30:L30)</f>
        <v>10533.400000000001</v>
      </c>
    </row>
    <row r="31" spans="1:13" x14ac:dyDescent="0.2">
      <c r="A31" s="45" t="s">
        <v>60</v>
      </c>
      <c r="B31" s="95">
        <f>[3]Pinnacle!$IN$53</f>
        <v>0</v>
      </c>
      <c r="C31" s="87">
        <f>[3]MESA_UA!$IN$53</f>
        <v>0</v>
      </c>
      <c r="D31" s="95">
        <f>'[3]Sky West'!$IN$53</f>
        <v>0</v>
      </c>
      <c r="E31" s="95">
        <f>'[3]Sky West_UA'!$IN$53</f>
        <v>0</v>
      </c>
      <c r="F31" s="95">
        <f>'[3]Sky West_AS'!$IN$53</f>
        <v>0</v>
      </c>
      <c r="G31" s="95">
        <f>'[3]Sky West_AA'!$IN$53</f>
        <v>0</v>
      </c>
      <c r="H31" s="95">
        <f>[3]Republic!$IN$53</f>
        <v>0</v>
      </c>
      <c r="I31" s="95">
        <f>[3]Republic_UA!$IN$53</f>
        <v>0</v>
      </c>
      <c r="J31" s="95">
        <f>'[3]Sky Regional'!$IN$53</f>
        <v>0</v>
      </c>
      <c r="K31" s="95">
        <f>'[3]American Eagle'!$IN$53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10533.400000000001</v>
      </c>
      <c r="M32" s="106">
        <f t="shared" si="15"/>
        <v>10533.400000000001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[3]Pinnacle!$IN$57</f>
        <v>0</v>
      </c>
      <c r="C35" s="87">
        <f>[3]MESA_UA!$IN$57</f>
        <v>0</v>
      </c>
      <c r="D35" s="95">
        <f>'[3]Sky West'!$IN$57</f>
        <v>0</v>
      </c>
      <c r="E35" s="95">
        <f>'[3]Sky West_UA'!$IN$57</f>
        <v>0</v>
      </c>
      <c r="F35" s="95">
        <f>'[3]Sky West_AS'!$IN$57</f>
        <v>0</v>
      </c>
      <c r="G35" s="95">
        <f>'[3]Sky West_AA'!$IN$57</f>
        <v>0</v>
      </c>
      <c r="H35" s="95">
        <f>[3]Republic!$IN$57</f>
        <v>0</v>
      </c>
      <c r="I35" s="95">
        <f>[3]Republic!$IN$57</f>
        <v>0</v>
      </c>
      <c r="J35" s="95">
        <f>[3]Republic!$IN$57</f>
        <v>0</v>
      </c>
      <c r="K35" s="95">
        <f>'[3]American Eagle'!$IN$57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[3]Pinnacle!$IN$58</f>
        <v>0</v>
      </c>
      <c r="C36" s="87">
        <f>[3]MESA_UA!$IN$58</f>
        <v>0</v>
      </c>
      <c r="D36" s="95">
        <f>'[3]Sky West'!$IN$58</f>
        <v>0</v>
      </c>
      <c r="E36" s="95">
        <f>'[3]Sky West_UA'!$IN$58</f>
        <v>0</v>
      </c>
      <c r="F36" s="95">
        <f>'[3]Sky West_AS'!$IN$58</f>
        <v>0</v>
      </c>
      <c r="G36" s="95">
        <f>'[3]Sky West_AA'!$IN$58</f>
        <v>0</v>
      </c>
      <c r="H36" s="95">
        <f>[3]Republic!$IN$58</f>
        <v>0</v>
      </c>
      <c r="I36" s="95">
        <f>[3]Republic!$IN$58</f>
        <v>0</v>
      </c>
      <c r="J36" s="95">
        <f>[3]Republic!$IN$58</f>
        <v>0</v>
      </c>
      <c r="K36" s="95">
        <f>'[3]American Eagle'!$IN$58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1064</v>
      </c>
      <c r="I40" s="95">
        <f t="shared" si="20"/>
        <v>0</v>
      </c>
      <c r="J40" s="95">
        <f t="shared" si="20"/>
        <v>0</v>
      </c>
      <c r="K40" s="95">
        <f>SUM(K35,K30,K25)</f>
        <v>0</v>
      </c>
      <c r="L40" s="95">
        <f>L35+L30+L25</f>
        <v>18435.5</v>
      </c>
      <c r="M40" s="88">
        <f>SUM(B40:L40)</f>
        <v>19499.5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1064</v>
      </c>
      <c r="I42" s="108">
        <f t="shared" si="20"/>
        <v>0</v>
      </c>
      <c r="J42" s="108">
        <f t="shared" si="20"/>
        <v>0</v>
      </c>
      <c r="K42" s="108">
        <f>SUM(K37,K32,K27)</f>
        <v>0</v>
      </c>
      <c r="L42" s="108">
        <f>SUM(L37,L32,L27)</f>
        <v>18435.5</v>
      </c>
      <c r="M42" s="109">
        <f>SUM(B42:L42)</f>
        <v>19499.5</v>
      </c>
    </row>
    <row r="44" spans="1:13" x14ac:dyDescent="0.2">
      <c r="A44" s="276" t="s">
        <v>120</v>
      </c>
      <c r="B44" s="241">
        <f>[3]Pinnacle!$IN$70+[3]Pinnacle!$IN$73</f>
        <v>12382</v>
      </c>
      <c r="D44" s="242">
        <f>'[3]Sky West'!$IN$70+'[3]Sky West'!$IN$73</f>
        <v>35197</v>
      </c>
      <c r="E44" s="2"/>
      <c r="F44" s="2"/>
      <c r="G44" s="2"/>
      <c r="L44" s="242">
        <f>+'Other Regional'!L46</f>
        <v>0</v>
      </c>
      <c r="M44" s="231">
        <f>SUM(B44:L44)</f>
        <v>47579</v>
      </c>
    </row>
    <row r="45" spans="1:13" x14ac:dyDescent="0.2">
      <c r="A45" s="289" t="s">
        <v>121</v>
      </c>
      <c r="B45" s="241">
        <f>[3]Pinnacle!$IN$71+[3]Pinnacle!$IN$74</f>
        <v>25929</v>
      </c>
      <c r="D45" s="242">
        <f>'[3]Sky West'!$IN$71+'[3]Sky West'!$IN$74</f>
        <v>70768</v>
      </c>
      <c r="E45" s="2"/>
      <c r="F45" s="2"/>
      <c r="G45" s="2"/>
      <c r="L45" s="242">
        <f>+'Other Regional'!L47</f>
        <v>0</v>
      </c>
      <c r="M45" s="231">
        <f>SUM(B45:L45)</f>
        <v>96697</v>
      </c>
    </row>
    <row r="46" spans="1:13" x14ac:dyDescent="0.2">
      <c r="A46" s="232" t="s">
        <v>122</v>
      </c>
      <c r="B46" s="233">
        <f>SUM(B44:B45)</f>
        <v>38311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September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N4" sqref="N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45170</v>
      </c>
      <c r="B2" s="405" t="s">
        <v>169</v>
      </c>
      <c r="C2" s="405" t="s">
        <v>168</v>
      </c>
      <c r="D2" s="405" t="s">
        <v>190</v>
      </c>
      <c r="E2" s="405" t="s">
        <v>249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America'!$IN$22</f>
        <v>0</v>
      </c>
      <c r="C5" s="87">
        <f>'[3]Shuttle America_Delta'!$IN$22</f>
        <v>0</v>
      </c>
      <c r="D5" s="333">
        <f>[3]Horizon_AS!$IN$22+[3]Horizon_AS!$IN$32</f>
        <v>0</v>
      </c>
      <c r="E5" s="333">
        <f>'[3]Air Wisconsin'!$IN$22</f>
        <v>3556</v>
      </c>
      <c r="F5" s="333">
        <f>[3]Jazz_AC!$IN$22+[3]Jazz_AC!$IN$32</f>
        <v>6775</v>
      </c>
      <c r="G5" s="333">
        <f>[3]PSA!$IN$22</f>
        <v>2993</v>
      </c>
      <c r="H5" s="87">
        <f>'[3]Atlantic Southeast'!$IN$22+'[3]Atlantic Southeast'!$IN$32</f>
        <v>0</v>
      </c>
      <c r="I5" s="87">
        <f>'[3]Continental Express'!$IN$22</f>
        <v>0</v>
      </c>
      <c r="J5" s="95">
        <f>'[3]Go Jet_UA'!$IN$22</f>
        <v>0</v>
      </c>
      <c r="K5" s="12">
        <f>'[3]Go Jet'!$IN$22+'[3]Go Jet'!$IN$32</f>
        <v>0</v>
      </c>
      <c r="L5" s="88">
        <f>SUM(B5:K5)</f>
        <v>13324</v>
      </c>
    </row>
    <row r="6" spans="1:12" s="6" customFormat="1" x14ac:dyDescent="0.2">
      <c r="A6" s="45" t="s">
        <v>31</v>
      </c>
      <c r="B6" s="87">
        <f>'[3]Shuttle America'!$IN$23</f>
        <v>0</v>
      </c>
      <c r="C6" s="87">
        <f>'[3]Shuttle America_Delta'!$IN$23</f>
        <v>0</v>
      </c>
      <c r="D6" s="333">
        <f>[3]Horizon_AS!$IN$23+[3]Horizon_AS!$IN$33</f>
        <v>0</v>
      </c>
      <c r="E6" s="333">
        <f>'[3]Air Wisconsin'!$IN$23</f>
        <v>3533</v>
      </c>
      <c r="F6" s="333">
        <f>[3]Jazz_AC!$IN$23+[3]Jazz_AC!$IN$33</f>
        <v>7041</v>
      </c>
      <c r="G6" s="333">
        <f>[3]PSA!$IN$23</f>
        <v>3151</v>
      </c>
      <c r="H6" s="87">
        <f>'[3]Atlantic Southeast'!$IN$23+'[3]Atlantic Southeast'!$IN$33</f>
        <v>0</v>
      </c>
      <c r="I6" s="87">
        <f>'[3]Continental Express'!$IN$23</f>
        <v>0</v>
      </c>
      <c r="J6" s="95">
        <f>'[3]Go Jet_UA'!$IN$23</f>
        <v>0</v>
      </c>
      <c r="K6" s="7">
        <f>'[3]Go Jet'!$IN$23+'[3]Go Jet'!$IN$33</f>
        <v>0</v>
      </c>
      <c r="L6" s="92">
        <f>SUM(B6:K6)</f>
        <v>13725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7089</v>
      </c>
      <c r="F7" s="105">
        <f t="shared" si="1"/>
        <v>13816</v>
      </c>
      <c r="G7" s="105">
        <f t="shared" si="0"/>
        <v>6144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27049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America'!$IN$27</f>
        <v>0</v>
      </c>
      <c r="C10" s="87">
        <f>'[3]Shuttle America_Delta'!$IN$27</f>
        <v>0</v>
      </c>
      <c r="D10" s="333">
        <f>[3]Horizon_AS!$IN$27+[3]Horizon_AS!$IN$37</f>
        <v>0</v>
      </c>
      <c r="E10" s="333">
        <f>'[3]Air Wisconsin'!$IN$27</f>
        <v>165</v>
      </c>
      <c r="F10" s="333">
        <f>[3]Jazz_AC!$IN$27+[3]Jazz_AC!$IN$37</f>
        <v>90</v>
      </c>
      <c r="G10" s="333">
        <f>[3]PSA!$IN$27</f>
        <v>98</v>
      </c>
      <c r="H10" s="12">
        <f>'[3]Atlantic Southeast'!$IN$27+'[3]Atlantic Southeast'!$IN$37</f>
        <v>0</v>
      </c>
      <c r="I10" s="87">
        <f>'[3]Continental Express'!$IN$27</f>
        <v>0</v>
      </c>
      <c r="J10" s="95">
        <f>'[3]Go Jet_UA'!$IN$27</f>
        <v>0</v>
      </c>
      <c r="K10" s="12">
        <f>'[3]Go Jet'!$IN$27+'[3]Go Jet'!$IN$37</f>
        <v>0</v>
      </c>
      <c r="L10" s="88">
        <f>SUM(B10:K10)</f>
        <v>353</v>
      </c>
    </row>
    <row r="11" spans="1:12" x14ac:dyDescent="0.2">
      <c r="A11" s="45" t="s">
        <v>33</v>
      </c>
      <c r="B11" s="87">
        <f>'[3]Shuttle America'!$IN$28</f>
        <v>0</v>
      </c>
      <c r="C11" s="87">
        <f>'[3]Shuttle America_Delta'!$IN$28</f>
        <v>0</v>
      </c>
      <c r="D11" s="333">
        <f>[3]Horizon_AS!$IN$28+[3]Horizon_AS!$IN$38</f>
        <v>0</v>
      </c>
      <c r="E11" s="333">
        <f>'[3]Air Wisconsin'!$IN$28</f>
        <v>130</v>
      </c>
      <c r="F11" s="333">
        <f>[3]Jazz_AC!$IN$28+[3]Jazz_AC!$IN$38</f>
        <v>97</v>
      </c>
      <c r="G11" s="333">
        <f>[3]PSA!$IN$28</f>
        <v>82</v>
      </c>
      <c r="H11" s="7">
        <f>'[3]Atlantic Southeast'!$IN$28+'[3]Atlantic Southeast'!$IN$38</f>
        <v>0</v>
      </c>
      <c r="I11" s="87">
        <f>'[3]Continental Express'!$IN$28</f>
        <v>0</v>
      </c>
      <c r="J11" s="95">
        <f>'[3]Go Jet_UA'!$IN$28</f>
        <v>0</v>
      </c>
      <c r="K11" s="7">
        <f>'[3]Go Jet'!$IN$28+'[3]Go Jet'!$IN$38</f>
        <v>0</v>
      </c>
      <c r="L11" s="92">
        <f>SUM(B11:K11)</f>
        <v>309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295</v>
      </c>
      <c r="F12" s="108">
        <f t="shared" si="3"/>
        <v>187</v>
      </c>
      <c r="G12" s="108">
        <f t="shared" si="2"/>
        <v>180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662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America'!$IN$4</f>
        <v>0</v>
      </c>
      <c r="C15" s="85">
        <f>'[3]Shuttle America_Delta'!$IN$4</f>
        <v>0</v>
      </c>
      <c r="D15" s="334">
        <f>[3]Horizon_AS!$IN$4</f>
        <v>0</v>
      </c>
      <c r="E15" s="334">
        <f>'[3]Air Wisconsin'!$IN$4</f>
        <v>78</v>
      </c>
      <c r="F15" s="334">
        <f>[3]Jazz_AC!$IN$4+[3]Jazz_AC!$IN$15</f>
        <v>118</v>
      </c>
      <c r="G15" s="334">
        <f>[3]PSA!$IN$4</f>
        <v>52</v>
      </c>
      <c r="H15" s="86">
        <f>'[3]Atlantic Southeast'!$IN$4+'[3]Atlantic Southeast'!$IN$15</f>
        <v>0</v>
      </c>
      <c r="I15" s="86">
        <f>'[3]Continental Express'!$IN$4</f>
        <v>0</v>
      </c>
      <c r="J15" s="85">
        <f>'[3]Go Jet_UA'!$IN$4</f>
        <v>0</v>
      </c>
      <c r="K15" s="12">
        <f>'[3]Go Jet'!$IN$4+'[3]Go Jet'!$IN$15</f>
        <v>0</v>
      </c>
      <c r="L15" s="88">
        <f t="shared" ref="L15:L20" si="6">SUM(B15:K15)</f>
        <v>248</v>
      </c>
    </row>
    <row r="16" spans="1:12" x14ac:dyDescent="0.2">
      <c r="A16" s="45" t="s">
        <v>54</v>
      </c>
      <c r="B16" s="89">
        <f>'[3]Shuttle America'!$IN$5</f>
        <v>0</v>
      </c>
      <c r="C16" s="89">
        <f>'[3]Shuttle America_Delta'!$IN$5</f>
        <v>0</v>
      </c>
      <c r="D16" s="335">
        <f>[3]Horizon_AS!$IN$5</f>
        <v>0</v>
      </c>
      <c r="E16" s="335">
        <f>'[3]Air Wisconsin'!$IN$5</f>
        <v>78</v>
      </c>
      <c r="F16" s="335">
        <f>[3]Jazz_AC!$IN$5+[3]Jazz_AC!$IN$16</f>
        <v>120</v>
      </c>
      <c r="G16" s="335">
        <f>[3]PSA!$IN$5</f>
        <v>52</v>
      </c>
      <c r="H16" s="90">
        <f>'[3]Atlantic Southeast'!$IN$5+'[3]Atlantic Southeast'!$IN$16</f>
        <v>0</v>
      </c>
      <c r="I16" s="90">
        <f>'[3]Continental Express'!$IN$5</f>
        <v>0</v>
      </c>
      <c r="J16" s="89">
        <f>'[3]Go Jet_UA'!$IN$5</f>
        <v>0</v>
      </c>
      <c r="K16" s="7">
        <f>'[3]Go Jet'!$IN$5+'[3]Go Jet'!$IN$16</f>
        <v>0</v>
      </c>
      <c r="L16" s="92">
        <f t="shared" si="6"/>
        <v>250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156</v>
      </c>
      <c r="F17" s="93">
        <f t="shared" si="8"/>
        <v>238</v>
      </c>
      <c r="G17" s="93">
        <f t="shared" si="7"/>
        <v>104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498</v>
      </c>
    </row>
    <row r="18" spans="1:15" x14ac:dyDescent="0.2">
      <c r="A18" s="45" t="s">
        <v>56</v>
      </c>
      <c r="B18" s="95">
        <f>'[3]Shuttle America'!$IN$8</f>
        <v>0</v>
      </c>
      <c r="C18" s="95">
        <f>'[3]Shuttle America_Delta'!$IN$8</f>
        <v>0</v>
      </c>
      <c r="D18" s="95">
        <f>[3]Horizon_AS!$IN$8</f>
        <v>0</v>
      </c>
      <c r="E18" s="95">
        <f>'[3]Air Wisconsin'!$IN$8</f>
        <v>0</v>
      </c>
      <c r="F18" s="95">
        <f>[3]Jazz_AC!$IN$8</f>
        <v>0</v>
      </c>
      <c r="G18" s="95">
        <f>[3]PSA!$IN$8</f>
        <v>0</v>
      </c>
      <c r="H18" s="87">
        <f>'[3]Atlantic Southeast'!$IN$8</f>
        <v>0</v>
      </c>
      <c r="I18" s="87">
        <f>'[3]Continental Express'!$IN$8</f>
        <v>0</v>
      </c>
      <c r="J18" s="95">
        <f>'[3]Go Jet_UA'!$IN$8</f>
        <v>0</v>
      </c>
      <c r="K18" s="12">
        <f>'[3]Go Jet'!$IN$8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America'!$IN$9</f>
        <v>0</v>
      </c>
      <c r="C19" s="96">
        <f>'[3]Shuttle America_Delta'!$IN$9</f>
        <v>0</v>
      </c>
      <c r="D19" s="96">
        <f>[3]Horizon_AS!$IN$9</f>
        <v>0</v>
      </c>
      <c r="E19" s="96">
        <f>'[3]Air Wisconsin'!$IN$9</f>
        <v>0</v>
      </c>
      <c r="F19" s="96">
        <f>[3]Jazz_AC!$IN$9</f>
        <v>0</v>
      </c>
      <c r="G19" s="96">
        <f>[3]PSA!$IN$9</f>
        <v>0</v>
      </c>
      <c r="H19" s="91">
        <f>'[3]Atlantic Southeast'!$IN$9</f>
        <v>0</v>
      </c>
      <c r="I19" s="91">
        <f>'[3]Continental Express'!$IN$9</f>
        <v>0</v>
      </c>
      <c r="J19" s="96">
        <f>'[3]Go Jet_UA'!$IN$9</f>
        <v>0</v>
      </c>
      <c r="K19" s="7">
        <f>'[3]Go Jet'!$IN$9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156</v>
      </c>
      <c r="F21" s="97">
        <f t="shared" si="14"/>
        <v>238</v>
      </c>
      <c r="G21" s="97">
        <f t="shared" si="13"/>
        <v>104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498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America'!$IN$47</f>
        <v>0</v>
      </c>
      <c r="C25" s="95">
        <f>'[3]Shuttle America_Delta'!$IN$47</f>
        <v>0</v>
      </c>
      <c r="D25" s="95">
        <f>[3]Horizon_AS!$IN$47</f>
        <v>0</v>
      </c>
      <c r="E25" s="95">
        <f>'[3]Air Wisconsin'!$IN$47</f>
        <v>994</v>
      </c>
      <c r="F25" s="95">
        <f>[3]Jazz_AC!$IN$47</f>
        <v>6731.1</v>
      </c>
      <c r="G25" s="95">
        <f>[3]PSA!$IN$47</f>
        <v>177</v>
      </c>
      <c r="H25" s="87">
        <f>'[3]Atlantic Southeast'!$IN$47</f>
        <v>0</v>
      </c>
      <c r="I25" s="87">
        <f>'[3]Continental Express'!$IN$47</f>
        <v>0</v>
      </c>
      <c r="J25" s="95">
        <f>'[3]Go Jet_UA'!$IN$47</f>
        <v>0</v>
      </c>
      <c r="K25" s="95">
        <f>'[3]Go Jet'!$IN$47</f>
        <v>0</v>
      </c>
      <c r="L25" s="88">
        <f>SUM(B25:K25)</f>
        <v>7902.1</v>
      </c>
    </row>
    <row r="26" spans="1:15" x14ac:dyDescent="0.2">
      <c r="A26" s="45" t="s">
        <v>38</v>
      </c>
      <c r="B26" s="95">
        <f>'[3]Shuttle America'!$IN$48</f>
        <v>0</v>
      </c>
      <c r="C26" s="95">
        <f>'[3]Shuttle America_Delta'!$IN$48</f>
        <v>0</v>
      </c>
      <c r="D26" s="95">
        <f>[3]Horizon_AS!$IN$48</f>
        <v>0</v>
      </c>
      <c r="E26" s="95">
        <f>'[3]Air Wisconsin'!$IN$48</f>
        <v>0</v>
      </c>
      <c r="F26" s="95">
        <f>[3]Jazz_AC!$IN$48</f>
        <v>0</v>
      </c>
      <c r="G26" s="95">
        <f>[3]PSA!$IN$48</f>
        <v>0</v>
      </c>
      <c r="H26" s="87">
        <f>'[3]Atlantic Southeast'!$IN$48</f>
        <v>0</v>
      </c>
      <c r="I26" s="87">
        <f>'[3]Continental Express'!$IN$48</f>
        <v>0</v>
      </c>
      <c r="J26" s="95">
        <f>'[3]Go Jet_UA'!$IN$48</f>
        <v>0</v>
      </c>
      <c r="K26" s="95">
        <f>'[3]Go Jet'!$IN$48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994</v>
      </c>
      <c r="F27" s="105">
        <f t="shared" si="18"/>
        <v>6731.1</v>
      </c>
      <c r="G27" s="105">
        <f t="shared" si="17"/>
        <v>177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7902.1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America'!$IN$52</f>
        <v>0</v>
      </c>
      <c r="C30" s="95">
        <f>'[3]Shuttle America_Delta'!$IN$52</f>
        <v>0</v>
      </c>
      <c r="D30" s="95">
        <f>[3]Horizon_AS!$IN$52</f>
        <v>0</v>
      </c>
      <c r="E30" s="95">
        <f>'[3]Air Wisconsin'!$IN$52</f>
        <v>350</v>
      </c>
      <c r="F30" s="95">
        <f>[3]Jazz_AC!$IN$52</f>
        <v>10183.400000000001</v>
      </c>
      <c r="G30" s="95">
        <f>[3]PSA!$IN$52</f>
        <v>0</v>
      </c>
      <c r="H30" s="87">
        <f>'[3]Atlantic Southeast'!$IN$52</f>
        <v>0</v>
      </c>
      <c r="I30" s="87">
        <f>'[3]Continental Express'!$IN$52</f>
        <v>0</v>
      </c>
      <c r="J30" s="95">
        <f>'[3]Go Jet_UA'!$IN$52</f>
        <v>0</v>
      </c>
      <c r="K30" s="95">
        <f>'[3]Go Jet'!$IN$52</f>
        <v>0</v>
      </c>
      <c r="L30" s="88">
        <f>SUM(B30:K30)</f>
        <v>10533.400000000001</v>
      </c>
    </row>
    <row r="31" spans="1:15" x14ac:dyDescent="0.2">
      <c r="A31" s="45" t="s">
        <v>60</v>
      </c>
      <c r="B31" s="95">
        <f>'[3]Shuttle America'!$IN$53</f>
        <v>0</v>
      </c>
      <c r="C31" s="95">
        <f>'[3]Shuttle America_Delta'!$IN$53</f>
        <v>0</v>
      </c>
      <c r="D31" s="95">
        <f>[3]Horizon_AS!$IN$53</f>
        <v>0</v>
      </c>
      <c r="E31" s="95">
        <f>'[3]Air Wisconsin'!$IN$53</f>
        <v>0</v>
      </c>
      <c r="F31" s="95">
        <f>[3]Jazz_AC!$IN$53</f>
        <v>0</v>
      </c>
      <c r="G31" s="95">
        <f>[3]PSA!$IN$53</f>
        <v>0</v>
      </c>
      <c r="H31" s="87">
        <f>'[3]Atlantic Southeast'!$IN$53</f>
        <v>0</v>
      </c>
      <c r="I31" s="87">
        <f>'[3]Continental Express'!$IN$53</f>
        <v>0</v>
      </c>
      <c r="J31" s="95">
        <f>'[3]Go Jet_UA'!$IN$53</f>
        <v>0</v>
      </c>
      <c r="K31" s="95">
        <f>'[3]Go Jet'!$IN$53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350</v>
      </c>
      <c r="F32" s="105">
        <f t="shared" si="21"/>
        <v>10183.400000000001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10533.400000000001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America'!$IN$57</f>
        <v>0</v>
      </c>
      <c r="C35" s="95">
        <f>'[3]Shuttle America_Delta'!$IN$57</f>
        <v>0</v>
      </c>
      <c r="D35" s="95">
        <f>[3]Horizon_AS!$IN$57</f>
        <v>0</v>
      </c>
      <c r="E35" s="95">
        <f>'[3]Air Wisconsin'!$IN$57</f>
        <v>0</v>
      </c>
      <c r="F35" s="95">
        <f>[3]Jazz_AC!$IN$57</f>
        <v>0</v>
      </c>
      <c r="G35" s="95">
        <f>[3]PSA!$IN$57</f>
        <v>0</v>
      </c>
      <c r="H35" s="87">
        <f>'[3]Atlantic Southeast'!$IN$57</f>
        <v>0</v>
      </c>
      <c r="I35" s="87">
        <f>'[3]Continental Express'!$IN$57</f>
        <v>0</v>
      </c>
      <c r="J35" s="95">
        <f>'[3]Go Jet_UA'!$AJ$57</f>
        <v>0</v>
      </c>
      <c r="K35" s="95">
        <f>'[3]Go Jet'!$IN$57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1344</v>
      </c>
      <c r="F40" s="95">
        <f t="shared" si="28"/>
        <v>16914.5</v>
      </c>
      <c r="G40" s="95">
        <f t="shared" si="27"/>
        <v>177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18435.5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1344</v>
      </c>
      <c r="F42" s="108">
        <f t="shared" si="34"/>
        <v>16914.5</v>
      </c>
      <c r="G42" s="108">
        <f t="shared" si="33"/>
        <v>177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18435.5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America_Delta'!$IN$70+'[3]Shuttle America_Delta'!$IN$73</f>
        <v>0</v>
      </c>
      <c r="D46" s="2"/>
      <c r="E46" s="2"/>
      <c r="H46" s="242">
        <f>'[3]Atlantic Southeast'!$IN$70+'[3]Atlantic Southeast'!$IN$73</f>
        <v>0</v>
      </c>
      <c r="K46" s="242">
        <f>'[3]Go Jet'!$IN$70+'[3]Go Jet'!$IN$73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America_Delta'!$IN$71+'[3]Shuttle America_Delta'!$IN$74</f>
        <v>0</v>
      </c>
      <c r="D47" s="2"/>
      <c r="E47" s="2"/>
      <c r="H47" s="242">
        <f>'[3]Atlantic Southeast'!$IN$71+'[3]Atlantic Southeast'!$IN$74</f>
        <v>0</v>
      </c>
      <c r="K47" s="242">
        <f>'[3]Go Jet'!$IN$71+'[3]Go Jet'!$IN$74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September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topLeftCell="A14" zoomScale="115" zoomScaleNormal="115" workbookViewId="0">
      <selection activeCell="A50" sqref="A5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8" ht="26.25" thickBot="1" x14ac:dyDescent="0.25">
      <c r="A2" s="396">
        <v>45170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247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Misc'!$IN$22</f>
        <v>0</v>
      </c>
      <c r="C5" s="151">
        <f>[3]Ryan!$IN$22</f>
        <v>0</v>
      </c>
      <c r="D5" s="151">
        <f>'[3]Charter Misc'!$IN$32</f>
        <v>0</v>
      </c>
      <c r="E5" s="151">
        <f>[3]Omni!$IN$32+[3]Omni!$IN$22</f>
        <v>0</v>
      </c>
      <c r="F5" s="151">
        <f>'[3]Red Way'!$IN$32+'[3]Red Way'!$IN$22</f>
        <v>0</v>
      </c>
      <c r="G5" s="151">
        <f>[3]Xtra!$IN$32+[3]Xtra!$IN$22</f>
        <v>0</v>
      </c>
      <c r="H5" s="249">
        <f>SUM(B5:G5)</f>
        <v>0</v>
      </c>
    </row>
    <row r="6" spans="1:18" x14ac:dyDescent="0.2">
      <c r="A6" s="45" t="s">
        <v>31</v>
      </c>
      <c r="B6" s="314">
        <f>'[3]Charter Misc'!$IN$23</f>
        <v>0</v>
      </c>
      <c r="C6" s="154">
        <f>[3]Ryan!$IN$23</f>
        <v>0</v>
      </c>
      <c r="D6" s="154">
        <f>'[3]Charter Misc'!$IN$33</f>
        <v>0</v>
      </c>
      <c r="E6" s="154">
        <f>[3]Omni!$IN$33+[3]Omni!$IN$23</f>
        <v>0</v>
      </c>
      <c r="F6" s="154">
        <f>'[3]Red Way'!$IN$33+'[3]Red Way'!$IN$23</f>
        <v>0</v>
      </c>
      <c r="G6" s="154">
        <f>[3]Xtra!$IN$33+[3]Xtra!$IN$23</f>
        <v>0</v>
      </c>
      <c r="H6" s="249">
        <f>SUM(B6:G6)</f>
        <v>0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0</v>
      </c>
      <c r="E7" s="219">
        <f t="shared" si="0"/>
        <v>0</v>
      </c>
      <c r="F7" s="219">
        <f t="shared" si="0"/>
        <v>0</v>
      </c>
      <c r="G7" s="219">
        <f t="shared" si="0"/>
        <v>0</v>
      </c>
      <c r="H7" s="220">
        <f>SUM(B7:G7)</f>
        <v>0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Misc'!$IN$4</f>
        <v>0</v>
      </c>
      <c r="C10" s="151">
        <f>[3]Ryan!$IN$4</f>
        <v>0</v>
      </c>
      <c r="D10" s="151">
        <f>'[3]Charter Misc'!$IN$15</f>
        <v>0</v>
      </c>
      <c r="E10" s="151">
        <f>[3]Omni!$IN$15+[3]Omni!$IN$4</f>
        <v>0</v>
      </c>
      <c r="F10" s="151">
        <f>'[3]Red Way'!$IN$15+'[3]Red Way'!$IN$4</f>
        <v>0</v>
      </c>
      <c r="G10" s="151">
        <f>[3]Xtra!$IN$15+[3]Xtra!$IN$4</f>
        <v>0</v>
      </c>
      <c r="H10" s="248">
        <f>SUM(B10:G10)</f>
        <v>0</v>
      </c>
    </row>
    <row r="11" spans="1:18" x14ac:dyDescent="0.2">
      <c r="A11" s="149" t="s">
        <v>80</v>
      </c>
      <c r="B11" s="313">
        <f>'[3]Charter Misc'!$IN$5</f>
        <v>0</v>
      </c>
      <c r="C11" s="151">
        <f>[3]Ryan!$IN$5</f>
        <v>0</v>
      </c>
      <c r="D11" s="151">
        <f>'[3]Charter Misc'!$IN$16</f>
        <v>0</v>
      </c>
      <c r="E11" s="151">
        <f>[3]Omni!$IN$16+[3]Omni!$IN$5</f>
        <v>0</v>
      </c>
      <c r="F11" s="151">
        <f>'[3]Red Way'!$IN$16+'[3]Red Way'!$IN$5</f>
        <v>0</v>
      </c>
      <c r="G11" s="151">
        <f>[3]Xtra!$IN$16+[3]Xtra!$IN$5</f>
        <v>0</v>
      </c>
      <c r="H11" s="248">
        <f>SUM(B11:G11)</f>
        <v>0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0</v>
      </c>
      <c r="E12" s="221">
        <f t="shared" si="1"/>
        <v>0</v>
      </c>
      <c r="F12" s="221">
        <f t="shared" si="1"/>
        <v>0</v>
      </c>
      <c r="G12" s="221">
        <f t="shared" si="1"/>
        <v>0</v>
      </c>
      <c r="H12" s="222">
        <f>SUM(B12:G12)</f>
        <v>0</v>
      </c>
      <c r="R12" s="95"/>
    </row>
    <row r="17" spans="1:16" x14ac:dyDescent="0.2">
      <c r="B17" s="449" t="s">
        <v>148</v>
      </c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1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52" t="s">
        <v>117</v>
      </c>
      <c r="C19" s="453"/>
      <c r="D19" s="453"/>
      <c r="E19" s="454"/>
      <c r="G19" s="452" t="s">
        <v>118</v>
      </c>
      <c r="H19" s="455"/>
      <c r="I19" s="455"/>
      <c r="J19" s="456"/>
      <c r="L19" s="457" t="s">
        <v>119</v>
      </c>
      <c r="M19" s="458"/>
      <c r="N19" s="458"/>
      <c r="O19" s="459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9" si="6"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33">
        <f t="shared" si="6"/>
        <v>3034560</v>
      </c>
      <c r="O23" s="423">
        <f>[9]Charter!N23</f>
        <v>2828968</v>
      </c>
      <c r="P23" s="420">
        <f t="shared" si="11"/>
        <v>7.2673851383260615E-2</v>
      </c>
    </row>
    <row r="24" spans="1:16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3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6" ht="14.1" customHeight="1" x14ac:dyDescent="0.2">
      <c r="A25" s="174" t="s">
        <v>75</v>
      </c>
      <c r="B25" s="433">
        <f>+[12]Charter!B25</f>
        <v>102957</v>
      </c>
      <c r="C25" s="433">
        <f>+[12]Charter!C25</f>
        <v>111285</v>
      </c>
      <c r="D25" s="423">
        <f t="shared" ref="D25" si="20">SUM(B25:C25)</f>
        <v>214242</v>
      </c>
      <c r="E25" s="423">
        <f>[13]Charter!D25</f>
        <v>131276</v>
      </c>
      <c r="F25" s="427">
        <f t="shared" si="3"/>
        <v>0.63199670922331574</v>
      </c>
      <c r="G25" s="423">
        <f t="shared" ref="G25" si="21">L25-B25</f>
        <v>1351079</v>
      </c>
      <c r="H25" s="423">
        <f t="shared" ref="H25" si="22">M25-C25</f>
        <v>1297633</v>
      </c>
      <c r="I25" s="423">
        <f t="shared" ref="I25" si="23">SUM(G25:H25)</f>
        <v>2648712</v>
      </c>
      <c r="J25" s="423">
        <f>[13]Charter!I25</f>
        <v>2565837</v>
      </c>
      <c r="K25" s="432">
        <f t="shared" si="5"/>
        <v>3.2299401715697451E-2</v>
      </c>
      <c r="L25" s="433">
        <f>+[12]Charter!L25</f>
        <v>1454036</v>
      </c>
      <c r="M25" s="433">
        <f>+[12]Charter!M25</f>
        <v>1408918</v>
      </c>
      <c r="N25" s="433">
        <f t="shared" si="6"/>
        <v>2862954</v>
      </c>
      <c r="O25" s="423">
        <f>[13]Charter!N25</f>
        <v>2697113</v>
      </c>
      <c r="P25" s="421">
        <f t="shared" si="11"/>
        <v>6.1488339569013235E-2</v>
      </c>
    </row>
    <row r="26" spans="1:16" ht="14.1" customHeight="1" x14ac:dyDescent="0.2">
      <c r="A26" s="181" t="s">
        <v>106</v>
      </c>
      <c r="B26" s="433">
        <f>+[14]Charter!B26</f>
        <v>121820</v>
      </c>
      <c r="C26" s="433">
        <f>+[14]Charter!C26</f>
        <v>128458</v>
      </c>
      <c r="D26" s="423">
        <f t="shared" ref="D26" si="24">SUM(B26:C26)</f>
        <v>250278</v>
      </c>
      <c r="E26" s="423">
        <f>[15]Charter!D26</f>
        <v>180003</v>
      </c>
      <c r="F26" s="426">
        <f t="shared" si="3"/>
        <v>0.39041015983066951</v>
      </c>
      <c r="G26" s="423">
        <f t="shared" ref="G26" si="25">L26-B26</f>
        <v>1511419</v>
      </c>
      <c r="H26" s="423">
        <f t="shared" ref="H26" si="26">M26-C26</f>
        <v>1495883</v>
      </c>
      <c r="I26" s="423">
        <f t="shared" ref="I26" si="27">SUM(G26:H26)</f>
        <v>3007302</v>
      </c>
      <c r="J26" s="423">
        <f>[15]Charter!I26</f>
        <v>2666878</v>
      </c>
      <c r="K26" s="431">
        <f t="shared" si="5"/>
        <v>0.12764888382595679</v>
      </c>
      <c r="L26" s="433">
        <f>+[14]Charter!L26</f>
        <v>1633239</v>
      </c>
      <c r="M26" s="433">
        <f>+[14]Charter!M26</f>
        <v>1624341</v>
      </c>
      <c r="N26" s="433">
        <f t="shared" si="6"/>
        <v>3257580</v>
      </c>
      <c r="O26" s="423">
        <f>[15]Charter!N26</f>
        <v>2846881</v>
      </c>
      <c r="P26" s="420">
        <f t="shared" si="11"/>
        <v>0.1442627914549291</v>
      </c>
    </row>
    <row r="27" spans="1:16" ht="14.1" customHeight="1" x14ac:dyDescent="0.2">
      <c r="A27" s="174" t="s">
        <v>107</v>
      </c>
      <c r="B27" s="433">
        <f>+[16]Charter!B27</f>
        <v>139115</v>
      </c>
      <c r="C27" s="433">
        <f>+[16]Charter!C27</f>
        <v>126500</v>
      </c>
      <c r="D27" s="423">
        <f t="shared" ref="D27" si="28">SUM(B27:C27)</f>
        <v>265615</v>
      </c>
      <c r="E27" s="423">
        <f>[17]Charter!D27</f>
        <v>180630</v>
      </c>
      <c r="F27" s="427">
        <f t="shared" si="3"/>
        <v>0.47049216630681506</v>
      </c>
      <c r="G27" s="423">
        <f t="shared" ref="G27" si="29">L27-B27</f>
        <v>1576788</v>
      </c>
      <c r="H27" s="423">
        <f t="shared" ref="H27" si="30">M27-C27</f>
        <v>1577344</v>
      </c>
      <c r="I27" s="423">
        <f t="shared" ref="I27" si="31">SUM(G27:H27)</f>
        <v>3154132</v>
      </c>
      <c r="J27" s="423">
        <f>[17]Charter!I27</f>
        <v>2778188</v>
      </c>
      <c r="K27" s="432">
        <f t="shared" si="5"/>
        <v>0.1353198559636713</v>
      </c>
      <c r="L27" s="433">
        <f>+[16]Charter!L27</f>
        <v>1715903</v>
      </c>
      <c r="M27" s="433">
        <f>+[16]Charter!M27</f>
        <v>1703844</v>
      </c>
      <c r="N27" s="433">
        <f t="shared" si="6"/>
        <v>3419747</v>
      </c>
      <c r="O27" s="423">
        <f>[17]Charter!N27</f>
        <v>2958818</v>
      </c>
      <c r="P27" s="421">
        <f t="shared" si="11"/>
        <v>0.15578146408464461</v>
      </c>
    </row>
    <row r="28" spans="1:16" ht="14.1" customHeight="1" x14ac:dyDescent="0.2">
      <c r="A28" s="181" t="s">
        <v>108</v>
      </c>
      <c r="B28" s="433">
        <f>+[2]Charter!B28</f>
        <v>136198</v>
      </c>
      <c r="C28" s="433">
        <f>+[2]Charter!C28</f>
        <v>125692</v>
      </c>
      <c r="D28" s="423">
        <f t="shared" ref="D28" si="32">SUM(B28:C28)</f>
        <v>261890</v>
      </c>
      <c r="E28" s="423">
        <f>[18]Charter!D28</f>
        <v>181603</v>
      </c>
      <c r="F28" s="426">
        <f t="shared" si="3"/>
        <v>0.44210172739437126</v>
      </c>
      <c r="G28" s="423">
        <f t="shared" ref="G28" si="33">L28-B28</f>
        <v>1547751</v>
      </c>
      <c r="H28" s="423">
        <f t="shared" ref="H28" si="34">M28-C28</f>
        <v>1533750</v>
      </c>
      <c r="I28" s="423">
        <f t="shared" ref="I28" si="35">SUM(G28:H28)</f>
        <v>3081501</v>
      </c>
      <c r="J28" s="423">
        <f>[18]Charter!I28</f>
        <v>2731608</v>
      </c>
      <c r="K28" s="431">
        <f t="shared" si="5"/>
        <v>0.1280904873612905</v>
      </c>
      <c r="L28" s="433">
        <f>+[2]Charter!L28</f>
        <v>1683949</v>
      </c>
      <c r="M28" s="433">
        <f>+[2]Charter!M28</f>
        <v>1659442</v>
      </c>
      <c r="N28" s="433">
        <f t="shared" si="6"/>
        <v>3343391</v>
      </c>
      <c r="O28" s="423">
        <f>[18]Charter!N28</f>
        <v>2913211</v>
      </c>
      <c r="P28" s="420">
        <f t="shared" si="11"/>
        <v>0.14766523949003352</v>
      </c>
    </row>
    <row r="29" spans="1:16" ht="14.1" customHeight="1" x14ac:dyDescent="0.2">
      <c r="A29" s="174" t="s">
        <v>109</v>
      </c>
      <c r="B29" s="423">
        <f>+'Intl Detail'!$Q$4+'Intl Detail'!$Q$9</f>
        <v>114472</v>
      </c>
      <c r="C29" s="423">
        <f>+'Intl Detail'!$Q$5+'Intl Detail'!$Q$10</f>
        <v>112599</v>
      </c>
      <c r="D29" s="423">
        <f t="shared" ref="D29" si="36">SUM(B29:C29)</f>
        <v>227071</v>
      </c>
      <c r="E29" s="423">
        <f>[1]Charter!D29</f>
        <v>146335</v>
      </c>
      <c r="F29" s="427">
        <f t="shared" si="3"/>
        <v>0.55172036764957122</v>
      </c>
      <c r="G29" s="423">
        <f t="shared" ref="G29" si="37">L29-B29</f>
        <v>1301826</v>
      </c>
      <c r="H29" s="423">
        <f t="shared" ref="H29" si="38">M29-C29</f>
        <v>1328191</v>
      </c>
      <c r="I29" s="423">
        <f t="shared" ref="I29" si="39">SUM(G29:H29)</f>
        <v>2630017</v>
      </c>
      <c r="J29" s="423">
        <f>[1]Charter!I29</f>
        <v>2451268</v>
      </c>
      <c r="K29" s="432">
        <f t="shared" si="5"/>
        <v>7.2921035154050878E-2</v>
      </c>
      <c r="L29" s="423">
        <f>+'Monthly Summary'!$B$11</f>
        <v>1416298</v>
      </c>
      <c r="M29" s="423">
        <f>+'Monthly Summary'!$C$11</f>
        <v>1440790</v>
      </c>
      <c r="N29" s="433">
        <f t="shared" si="6"/>
        <v>2857088</v>
      </c>
      <c r="O29" s="423">
        <f>[1]Charter!N29</f>
        <v>2597603</v>
      </c>
      <c r="P29" s="421">
        <f t="shared" si="11"/>
        <v>9.9894017677066127E-2</v>
      </c>
    </row>
    <row r="30" spans="1:16" ht="14.1" customHeight="1" x14ac:dyDescent="0.2">
      <c r="A30" s="181" t="s">
        <v>110</v>
      </c>
      <c r="B30" s="423"/>
      <c r="C30" s="423"/>
      <c r="D30" s="423"/>
      <c r="E30" s="423"/>
      <c r="F30" s="426" t="e">
        <f t="shared" si="3"/>
        <v>#DIV/0!</v>
      </c>
      <c r="G30" s="423"/>
      <c r="H30" s="423"/>
      <c r="I30" s="423"/>
      <c r="J30" s="423"/>
      <c r="K30" s="431" t="e">
        <f t="shared" si="5"/>
        <v>#DIV/0!</v>
      </c>
      <c r="L30" s="423"/>
      <c r="M30" s="423"/>
      <c r="N30" s="423"/>
      <c r="O30" s="423"/>
      <c r="P30" s="420" t="e">
        <f t="shared" si="11"/>
        <v>#DIV/0!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3"/>
        <v>#DIV/0!</v>
      </c>
      <c r="G31" s="423"/>
      <c r="H31" s="423"/>
      <c r="I31" s="423"/>
      <c r="J31" s="423"/>
      <c r="K31" s="432" t="e">
        <f t="shared" si="5"/>
        <v>#DIV/0!</v>
      </c>
      <c r="L31" s="423"/>
      <c r="M31" s="423"/>
      <c r="N31" s="423"/>
      <c r="O31" s="423"/>
      <c r="P31" s="421" t="e">
        <f t="shared" si="11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3"/>
        <v>#DIV/0!</v>
      </c>
      <c r="G32" s="423"/>
      <c r="H32" s="423"/>
      <c r="I32" s="423"/>
      <c r="J32" s="423"/>
      <c r="K32" s="428" t="e">
        <f t="shared" si="5"/>
        <v>#DIV/0!</v>
      </c>
      <c r="L32" s="423"/>
      <c r="M32" s="423"/>
      <c r="N32" s="423"/>
      <c r="O32" s="423"/>
      <c r="P32" s="422" t="e">
        <f t="shared" si="11"/>
        <v>#DIV/0!</v>
      </c>
    </row>
    <row r="33" spans="1:16" ht="13.5" thickBot="1" x14ac:dyDescent="0.25">
      <c r="A33" s="179" t="s">
        <v>76</v>
      </c>
      <c r="B33" s="185">
        <f>SUM(B21:B32)</f>
        <v>1172023</v>
      </c>
      <c r="C33" s="186">
        <f>SUM(C21:C32)</f>
        <v>1145169</v>
      </c>
      <c r="D33" s="186">
        <f>SUM(D21:D32)</f>
        <v>2317192</v>
      </c>
      <c r="E33" s="187">
        <f>SUM(E21:E32)</f>
        <v>1546543</v>
      </c>
      <c r="F33" s="177">
        <f>(D33-E33)/E33</f>
        <v>0.49830428251914105</v>
      </c>
      <c r="G33" s="188">
        <f>SUM(G21:G32)</f>
        <v>11978571</v>
      </c>
      <c r="H33" s="186">
        <f>SUM(H21:H32)</f>
        <v>11916225</v>
      </c>
      <c r="I33" s="186">
        <f>SUM(I21:I32)</f>
        <v>23894796</v>
      </c>
      <c r="J33" s="189">
        <f>SUM(J21:J32)</f>
        <v>21987244</v>
      </c>
      <c r="K33" s="178">
        <f>(I33-J33)/J33</f>
        <v>8.6757212500120529E-2</v>
      </c>
      <c r="L33" s="188">
        <f>SUM(L21:L32)</f>
        <v>13150594</v>
      </c>
      <c r="M33" s="186">
        <f>SUM(M21:M32)</f>
        <v>13061394</v>
      </c>
      <c r="N33" s="186">
        <f>SUM(N21:N32)</f>
        <v>26211988</v>
      </c>
      <c r="O33" s="187">
        <f>SUM(O21:O32)</f>
        <v>23533787</v>
      </c>
      <c r="P33" s="176">
        <f>(N33-O33)/O33</f>
        <v>0.11380238123171592</v>
      </c>
    </row>
    <row r="35" spans="1:16" x14ac:dyDescent="0.2">
      <c r="N35" s="95"/>
      <c r="O35" s="95"/>
    </row>
    <row r="36" spans="1:16" x14ac:dyDescent="0.2">
      <c r="D36" s="95"/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September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J39" sqref="J39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60" t="s">
        <v>197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2"/>
    </row>
    <row r="2" spans="1:23" s="27" customFormat="1" ht="43.5" customHeight="1" thickBot="1" x14ac:dyDescent="0.25">
      <c r="A2" s="396">
        <v>45170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Air'!$IN$4</f>
        <v>1</v>
      </c>
      <c r="C4" s="132">
        <f>[3]DHL!$IN$8+[3]DHL!$IN$4</f>
        <v>1</v>
      </c>
      <c r="D4" s="132">
        <f>[3]Airborne!$IN$4+[3]Airborne!$IN$15</f>
        <v>4</v>
      </c>
      <c r="E4" s="95">
        <f>[3]DHL_Bemidji!$IN$4</f>
        <v>37</v>
      </c>
      <c r="F4" s="95">
        <f>[3]Bemidji!$IN$4</f>
        <v>165</v>
      </c>
      <c r="G4" s="132">
        <f>[3]DHL_Encore!$IN$4+[3]DHL_Encore!$IN$15</f>
        <v>0</v>
      </c>
      <c r="H4" s="132">
        <f>[3]DHL_Mesa!$IN$4+[3]DHL_Mesa!$IN$15</f>
        <v>20</v>
      </c>
      <c r="I4" s="132">
        <f>[3]Encore!$IN$4+[3]Encore!$IN$15</f>
        <v>0</v>
      </c>
      <c r="J4" s="132">
        <f>[3]FedEx!$IN$4+[3]FedEx!$IN$15</f>
        <v>110</v>
      </c>
      <c r="K4" s="132">
        <f>[3]IFL!$IN$4+[3]IFL!$IN$15</f>
        <v>16</v>
      </c>
      <c r="L4" s="132">
        <f>[3]DHL_Kalitta!$IN$4+[3]DHL_Kalitta!$IN$15</f>
        <v>1</v>
      </c>
      <c r="M4" s="95">
        <f>'[3]Mountain Cargo'!$IN$4</f>
        <v>22</v>
      </c>
      <c r="N4" s="132">
        <f>[3]DHL_Amerijet!$IN$4+[3]DHL_Amerijet!$IN$15</f>
        <v>0</v>
      </c>
      <c r="O4" s="132">
        <f>[3]DHL_Swift!$IN$4+[3]DHL_Swift!$IN$15</f>
        <v>1</v>
      </c>
      <c r="P4" s="132">
        <f>+'[3]Sun Country Cargo'!$IN$4+'[3]Sun Country Cargo'!$IN$8+'[3]Sun Country Cargo'!$IN$15</f>
        <v>109</v>
      </c>
      <c r="Q4" s="132">
        <f>[3]UPS!$IN$4+[3]UPS!$IN$15</f>
        <v>85</v>
      </c>
      <c r="R4" s="95">
        <f>'[3]Misc Cargo'!$IN$4</f>
        <v>0</v>
      </c>
      <c r="S4" s="368">
        <f>SUM(B4:R4)</f>
        <v>572</v>
      </c>
      <c r="U4" s="340"/>
      <c r="V4" s="340"/>
      <c r="W4" s="217"/>
    </row>
    <row r="5" spans="1:23" x14ac:dyDescent="0.2">
      <c r="A5" s="37" t="s">
        <v>54</v>
      </c>
      <c r="B5" s="369">
        <f>'[3]Atlas Air'!$IN$5</f>
        <v>1</v>
      </c>
      <c r="C5" s="156">
        <f>[3]DHL!$IN$9+[3]DHL!$IN$5</f>
        <v>1</v>
      </c>
      <c r="D5" s="156">
        <f>[3]Airborne!$IN$5</f>
        <v>4</v>
      </c>
      <c r="E5" s="96">
        <f>[3]DHL_Bemidji!$IN$5</f>
        <v>37</v>
      </c>
      <c r="F5" s="96">
        <f>[3]Bemidji!$IN$5</f>
        <v>165</v>
      </c>
      <c r="G5" s="156">
        <f>[3]DHL_Encore!$IN$5</f>
        <v>0</v>
      </c>
      <c r="H5" s="156">
        <f>[3]DHL_Mesa!$IN$5</f>
        <v>20</v>
      </c>
      <c r="I5" s="156">
        <f>[3]Encore!$IN$5</f>
        <v>0</v>
      </c>
      <c r="J5" s="156">
        <f>[3]FedEx!$IN$5</f>
        <v>110</v>
      </c>
      <c r="K5" s="156">
        <f>[3]IFL!$IN$5</f>
        <v>16</v>
      </c>
      <c r="L5" s="156">
        <f>[3]DHL_Kalitta!$IN$5</f>
        <v>1</v>
      </c>
      <c r="M5" s="96">
        <f>'[3]Mountain Cargo'!$IN$5</f>
        <v>22</v>
      </c>
      <c r="N5" s="156">
        <f>[3]DHL_Amerijet!$IN$5</f>
        <v>0</v>
      </c>
      <c r="O5" s="156">
        <f>[3]DHL_Swift!$IN$5</f>
        <v>1</v>
      </c>
      <c r="P5" s="156">
        <f>+'[3]Sun Country Cargo'!$IN$5+'[3]Sun Country Cargo'!$IN$9+'[3]Sun Country Cargo'!$IN$16</f>
        <v>90</v>
      </c>
      <c r="Q5" s="156">
        <f>[3]UPS!$IN$5+[3]UPS!$IN$16</f>
        <v>85</v>
      </c>
      <c r="R5" s="96">
        <f>'[3]Misc Cargo'!$IN$5</f>
        <v>0</v>
      </c>
      <c r="S5" s="368">
        <f>SUM(B5:R5)</f>
        <v>553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2</v>
      </c>
      <c r="C6" s="371">
        <f t="shared" si="0"/>
        <v>2</v>
      </c>
      <c r="D6" s="371">
        <f t="shared" ref="D6:E6" si="1">SUM(D4:D5)</f>
        <v>8</v>
      </c>
      <c r="E6" s="93">
        <f t="shared" si="1"/>
        <v>74</v>
      </c>
      <c r="F6" s="93">
        <f t="shared" si="0"/>
        <v>330</v>
      </c>
      <c r="G6" s="371">
        <f t="shared" si="0"/>
        <v>0</v>
      </c>
      <c r="H6" s="371">
        <f t="shared" ref="H6" si="2">SUM(H4:H5)</f>
        <v>40</v>
      </c>
      <c r="I6" s="371">
        <f t="shared" si="0"/>
        <v>0</v>
      </c>
      <c r="J6" s="371">
        <f t="shared" si="0"/>
        <v>220</v>
      </c>
      <c r="K6" s="371">
        <f t="shared" si="0"/>
        <v>32</v>
      </c>
      <c r="L6" s="371">
        <f t="shared" si="0"/>
        <v>2</v>
      </c>
      <c r="M6" s="93">
        <f t="shared" si="0"/>
        <v>44</v>
      </c>
      <c r="N6" s="371">
        <f t="shared" si="0"/>
        <v>0</v>
      </c>
      <c r="O6" s="371">
        <f t="shared" si="0"/>
        <v>2</v>
      </c>
      <c r="P6" s="371">
        <f t="shared" si="0"/>
        <v>199</v>
      </c>
      <c r="Q6" s="371">
        <f t="shared" si="0"/>
        <v>170</v>
      </c>
      <c r="R6" s="93">
        <f t="shared" si="0"/>
        <v>0</v>
      </c>
      <c r="S6" s="368">
        <f t="shared" ref="S6:S10" si="3">SUM(B6:R6)</f>
        <v>1125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Cargo'!$IN$8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Cargo'!$IN$9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2</v>
      </c>
      <c r="C12" s="161">
        <f t="shared" si="7"/>
        <v>2</v>
      </c>
      <c r="D12" s="161">
        <f t="shared" ref="D12:E12" si="8">D6+D10</f>
        <v>8</v>
      </c>
      <c r="E12" s="162">
        <f t="shared" si="8"/>
        <v>74</v>
      </c>
      <c r="F12" s="162">
        <f t="shared" si="7"/>
        <v>330</v>
      </c>
      <c r="G12" s="161">
        <f t="shared" si="7"/>
        <v>0</v>
      </c>
      <c r="H12" s="161">
        <f t="shared" ref="H12" si="9">H6+H10</f>
        <v>40</v>
      </c>
      <c r="I12" s="161">
        <f t="shared" si="7"/>
        <v>0</v>
      </c>
      <c r="J12" s="161">
        <f t="shared" si="7"/>
        <v>220</v>
      </c>
      <c r="K12" s="161">
        <f t="shared" si="7"/>
        <v>32</v>
      </c>
      <c r="L12" s="161">
        <f t="shared" si="7"/>
        <v>2</v>
      </c>
      <c r="M12" s="162">
        <f t="shared" si="7"/>
        <v>44</v>
      </c>
      <c r="N12" s="161">
        <f t="shared" si="7"/>
        <v>0</v>
      </c>
      <c r="O12" s="161">
        <f t="shared" si="7"/>
        <v>2</v>
      </c>
      <c r="P12" s="161">
        <f t="shared" si="7"/>
        <v>199</v>
      </c>
      <c r="Q12" s="161">
        <f t="shared" si="7"/>
        <v>170</v>
      </c>
      <c r="R12" s="162">
        <f t="shared" si="7"/>
        <v>0</v>
      </c>
      <c r="S12" s="374">
        <f>SUM(B12:R12)</f>
        <v>1125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Air'!$IN$47</f>
        <v>33803</v>
      </c>
      <c r="C16" s="132">
        <f>[3]DHL!$IN$47</f>
        <v>39260</v>
      </c>
      <c r="D16" s="132">
        <f>[3]Airborne!$IN$47</f>
        <v>75912</v>
      </c>
      <c r="E16" s="132">
        <f>[3]DHL_Bemidji!$IN$47</f>
        <v>37626</v>
      </c>
      <c r="F16" s="463" t="s">
        <v>86</v>
      </c>
      <c r="G16" s="132">
        <f>[3]DHL_Encore!$IN$47</f>
        <v>0</v>
      </c>
      <c r="H16" s="132">
        <f>[3]DHL_Mesa!$IN$47</f>
        <v>537490</v>
      </c>
      <c r="I16" s="132">
        <f>[3]Encore!$IN$47</f>
        <v>0</v>
      </c>
      <c r="J16" s="132">
        <f>[3]FedEx!$IN$47</f>
        <v>7250022</v>
      </c>
      <c r="K16" s="132">
        <f>[3]IFL!$IN$47</f>
        <v>54101</v>
      </c>
      <c r="L16" s="132">
        <f>[3]DHL_Kalitta!$IN$47</f>
        <v>28616</v>
      </c>
      <c r="M16" s="95">
        <f>'[3]Mountain Cargo'!$IN$47</f>
        <v>0</v>
      </c>
      <c r="N16" s="132">
        <f>[3]DHL_Amerijet!$IN$47</f>
        <v>0</v>
      </c>
      <c r="O16" s="132">
        <f>[3]DHL_Swift!$IN$47</f>
        <v>22531</v>
      </c>
      <c r="P16" s="132">
        <f>+'[3]Sun Country Cargo'!$IN$47</f>
        <v>2800409</v>
      </c>
      <c r="Q16" s="132">
        <f>[3]UPS!$IN$47</f>
        <v>5115570</v>
      </c>
      <c r="R16" s="95">
        <f>'[3]Misc Cargo'!$IN$47</f>
        <v>0</v>
      </c>
      <c r="S16" s="368">
        <f>SUM(B16:E16)+SUM(G16:R16)</f>
        <v>15995340</v>
      </c>
      <c r="U16" s="340"/>
      <c r="V16" s="340"/>
      <c r="W16" s="217"/>
    </row>
    <row r="17" spans="1:23" x14ac:dyDescent="0.2">
      <c r="A17" s="37" t="s">
        <v>38</v>
      </c>
      <c r="B17" s="183">
        <f>'[3]Atlas Air'!$IN$48</f>
        <v>0</v>
      </c>
      <c r="C17" s="132">
        <f>[3]DHL!$IN$48</f>
        <v>0</v>
      </c>
      <c r="D17" s="132">
        <f>[3]Airborne!$IN$48</f>
        <v>0</v>
      </c>
      <c r="E17" s="132">
        <f>[3]DHL_Bemidji!$IN$48</f>
        <v>0</v>
      </c>
      <c r="F17" s="464"/>
      <c r="G17" s="132">
        <f>[3]DHL_Encore!$IN$48</f>
        <v>0</v>
      </c>
      <c r="H17" s="132">
        <f>[3]DHL_Mesa!$IN$48</f>
        <v>0</v>
      </c>
      <c r="I17" s="132">
        <f>[3]Encore!$IN$48</f>
        <v>0</v>
      </c>
      <c r="J17" s="132">
        <f>[3]FedEx!$IN$48</f>
        <v>0</v>
      </c>
      <c r="K17" s="132">
        <f>[3]IFL!$IN$48</f>
        <v>0</v>
      </c>
      <c r="L17" s="132">
        <f>[3]DHL_Kalitta!$IN$48</f>
        <v>0</v>
      </c>
      <c r="M17" s="95">
        <f>'[3]Mountain Cargo'!$IN$48</f>
        <v>53659</v>
      </c>
      <c r="N17" s="132">
        <f>[3]DHL_Amerijet!$IN$48</f>
        <v>0</v>
      </c>
      <c r="O17" s="132">
        <f>[3]DHL_Swift!$IN$48</f>
        <v>0</v>
      </c>
      <c r="P17" s="132">
        <f>+'[3]Sun Country Cargo'!$IN$48</f>
        <v>0</v>
      </c>
      <c r="Q17" s="132">
        <f>[3]UPS!$IN$48</f>
        <v>67990</v>
      </c>
      <c r="R17" s="95">
        <f>'[3]Misc Cargo'!$IN$48</f>
        <v>0</v>
      </c>
      <c r="S17" s="368">
        <f>SUM(B17:E17)+SUM(G17:R17)</f>
        <v>121649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33803</v>
      </c>
      <c r="C18" s="223">
        <f>SUM(C16:C17)</f>
        <v>39260</v>
      </c>
      <c r="D18" s="223">
        <f>SUM(D16:D17)</f>
        <v>75912</v>
      </c>
      <c r="E18" s="223">
        <f>SUM(E16:E17)</f>
        <v>37626</v>
      </c>
      <c r="F18" s="464"/>
      <c r="G18" s="223">
        <f>SUM(G16:G17)</f>
        <v>0</v>
      </c>
      <c r="H18" s="223">
        <f>SUM(H16:H17)</f>
        <v>537490</v>
      </c>
      <c r="I18" s="223">
        <f>SUM(I16:I17)</f>
        <v>0</v>
      </c>
      <c r="J18" s="223">
        <f>SUM(J16:J17)</f>
        <v>7250022</v>
      </c>
      <c r="K18" s="223">
        <f>SUM(K16:K17)</f>
        <v>54101</v>
      </c>
      <c r="L18" s="223">
        <f t="shared" ref="L18:R18" si="10">SUM(L16:L17)</f>
        <v>28616</v>
      </c>
      <c r="M18" s="224">
        <f t="shared" si="10"/>
        <v>53659</v>
      </c>
      <c r="N18" s="223">
        <f t="shared" si="10"/>
        <v>0</v>
      </c>
      <c r="O18" s="223">
        <f t="shared" si="10"/>
        <v>22531</v>
      </c>
      <c r="P18" s="223">
        <f t="shared" si="10"/>
        <v>2800409</v>
      </c>
      <c r="Q18" s="223">
        <f t="shared" si="10"/>
        <v>5183560</v>
      </c>
      <c r="R18" s="224">
        <f t="shared" si="10"/>
        <v>0</v>
      </c>
      <c r="S18" s="380">
        <f>SUM(B18:D18)+SUM(G18:R18)</f>
        <v>16079363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4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4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Air'!$IN$52</f>
        <v>6241</v>
      </c>
      <c r="C21" s="132">
        <f>[3]DHL!$IN$52</f>
        <v>31019</v>
      </c>
      <c r="D21" s="132">
        <f>[3]Airborne!$IN$52</f>
        <v>176923</v>
      </c>
      <c r="E21" s="132">
        <f>[3]DHL_Bemidji!$IN$52</f>
        <v>51427</v>
      </c>
      <c r="F21" s="464"/>
      <c r="G21" s="132">
        <f>[3]DHL_Encore!$IN$52</f>
        <v>0</v>
      </c>
      <c r="H21" s="132">
        <f>[3]DHL_Mesa!$IN$52</f>
        <v>411623</v>
      </c>
      <c r="I21" s="132">
        <f>[3]Encore!$IN$52</f>
        <v>0</v>
      </c>
      <c r="J21" s="132">
        <f>[3]FedEx!$IN$52</f>
        <v>6242461</v>
      </c>
      <c r="K21" s="132">
        <f>[3]IFL!$IN$52</f>
        <v>0</v>
      </c>
      <c r="L21" s="132">
        <f>[3]DHL_Kalitta!$IN$52</f>
        <v>27714</v>
      </c>
      <c r="M21" s="95">
        <f>'[3]Mountain Cargo'!$IN$52</f>
        <v>0</v>
      </c>
      <c r="N21" s="132">
        <f>[3]DHL_Amerijet!$IN$52</f>
        <v>0</v>
      </c>
      <c r="O21" s="132">
        <f>[3]DHL_Swift!$IN$52</f>
        <v>29409</v>
      </c>
      <c r="P21" s="132">
        <f>+'[3]Sun Country Cargo'!$IN$52</f>
        <v>2753018</v>
      </c>
      <c r="Q21" s="132">
        <f>[3]UPS!$IN$52</f>
        <v>4197778</v>
      </c>
      <c r="R21" s="95">
        <f>'[3]Misc Cargo'!$IN$52</f>
        <v>0</v>
      </c>
      <c r="S21" s="368">
        <f>SUM(B21:E21)+SUM(G21:R21)</f>
        <v>13927613</v>
      </c>
      <c r="U21" s="340"/>
      <c r="V21" s="340"/>
      <c r="W21" s="217"/>
    </row>
    <row r="22" spans="1:23" x14ac:dyDescent="0.2">
      <c r="A22" s="37" t="s">
        <v>60</v>
      </c>
      <c r="B22" s="183">
        <f>'[3]Atlas Air'!$IN$53</f>
        <v>0</v>
      </c>
      <c r="C22" s="132">
        <f>[3]DHL!$IN$53</f>
        <v>0</v>
      </c>
      <c r="D22" s="132">
        <f>[3]Airborne!$IN$53</f>
        <v>0</v>
      </c>
      <c r="E22" s="132">
        <f>[3]DHL_Bemidji!$IN$53</f>
        <v>0</v>
      </c>
      <c r="F22" s="464"/>
      <c r="G22" s="132">
        <f>[3]DHL_Encore!$IN$53</f>
        <v>0</v>
      </c>
      <c r="H22" s="132">
        <f>[3]DHL_Mesa!$IN$53</f>
        <v>0</v>
      </c>
      <c r="I22" s="132">
        <f>[3]Encore!$IN$53</f>
        <v>0</v>
      </c>
      <c r="J22" s="132">
        <f>[3]FedEx!$IN$53</f>
        <v>0</v>
      </c>
      <c r="K22" s="132">
        <f>[3]IFL!$IN$53</f>
        <v>0</v>
      </c>
      <c r="L22" s="132">
        <f>[3]DHL_Kalitta!$IN$53</f>
        <v>0</v>
      </c>
      <c r="M22" s="95">
        <f>'[3]Mountain Cargo'!$IN$53</f>
        <v>122040</v>
      </c>
      <c r="N22" s="132">
        <f>[3]DHL_Amerijet!$IN$53</f>
        <v>0</v>
      </c>
      <c r="O22" s="132">
        <f>[3]DHL_Swift!$IN$53</f>
        <v>0</v>
      </c>
      <c r="P22" s="132">
        <f>+'[3]Sun Country Cargo'!$IN$53</f>
        <v>0</v>
      </c>
      <c r="Q22" s="132">
        <f>[3]UPS!$IN$53</f>
        <v>42335</v>
      </c>
      <c r="R22" s="95">
        <f>'[3]Misc Cargo'!$IN$53</f>
        <v>0</v>
      </c>
      <c r="S22" s="368">
        <f>SUM(B22:E22)+SUM(G22:R22)</f>
        <v>164375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6241</v>
      </c>
      <c r="C23" s="223">
        <f>SUM(C21:C22)</f>
        <v>31019</v>
      </c>
      <c r="D23" s="223">
        <f t="shared" ref="D23:E23" si="11">SUM(D21:D22)</f>
        <v>176923</v>
      </c>
      <c r="E23" s="223">
        <f t="shared" si="11"/>
        <v>51427</v>
      </c>
      <c r="F23" s="464"/>
      <c r="G23" s="223">
        <f t="shared" ref="G23:R23" si="12">SUM(G21:G22)</f>
        <v>0</v>
      </c>
      <c r="H23" s="223">
        <f t="shared" ref="H23" si="13">SUM(H21:H22)</f>
        <v>411623</v>
      </c>
      <c r="I23" s="223">
        <f t="shared" si="12"/>
        <v>0</v>
      </c>
      <c r="J23" s="223">
        <f t="shared" si="12"/>
        <v>6242461</v>
      </c>
      <c r="K23" s="223">
        <f t="shared" si="12"/>
        <v>0</v>
      </c>
      <c r="L23" s="223">
        <f t="shared" si="12"/>
        <v>27714</v>
      </c>
      <c r="M23" s="224">
        <f t="shared" si="12"/>
        <v>122040</v>
      </c>
      <c r="N23" s="223">
        <f t="shared" si="12"/>
        <v>0</v>
      </c>
      <c r="O23" s="223">
        <f t="shared" si="12"/>
        <v>29409</v>
      </c>
      <c r="P23" s="223">
        <f t="shared" si="12"/>
        <v>2753018</v>
      </c>
      <c r="Q23" s="223">
        <f t="shared" si="12"/>
        <v>4240113</v>
      </c>
      <c r="R23" s="224">
        <f t="shared" si="12"/>
        <v>0</v>
      </c>
      <c r="S23" s="380">
        <f>SUM(B23:D23)+SUM(G23:R23)</f>
        <v>14040561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4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4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Air'!$IN$57</f>
        <v>0</v>
      </c>
      <c r="C26" s="132">
        <f>[3]DHL!$IN$57</f>
        <v>0</v>
      </c>
      <c r="D26" s="132">
        <f>[3]Airborne!$IN$57</f>
        <v>0</v>
      </c>
      <c r="E26" s="132">
        <f>[3]DHL_Bemidji!$IN$57</f>
        <v>0</v>
      </c>
      <c r="F26" s="464"/>
      <c r="G26" s="132">
        <f>[3]DHL_Encore!$IN$57</f>
        <v>0</v>
      </c>
      <c r="H26" s="132">
        <f>[3]DHL_Mesa!$IN$57</f>
        <v>0</v>
      </c>
      <c r="I26" s="132">
        <f>[3]Encore!$IN$57</f>
        <v>0</v>
      </c>
      <c r="J26" s="132">
        <f>[3]FedEx!$IN$57</f>
        <v>0</v>
      </c>
      <c r="K26" s="132">
        <f>[3]IFL!$IN$57</f>
        <v>0</v>
      </c>
      <c r="L26" s="132">
        <f>[3]DHL_Kalitta!$IN$57</f>
        <v>0</v>
      </c>
      <c r="M26" s="95">
        <f>'[3]Mountain Cargo'!$IN$57</f>
        <v>0</v>
      </c>
      <c r="N26" s="132">
        <f>[3]DHL_Amerijet!$IN$57</f>
        <v>0</v>
      </c>
      <c r="O26" s="132">
        <f>[3]DHL_Swift!$IN$57</f>
        <v>0</v>
      </c>
      <c r="P26" s="132">
        <f>+'[3]Sun Country Cargo'!$IN$57</f>
        <v>0</v>
      </c>
      <c r="Q26" s="132">
        <f>[3]UPS!$IN$57</f>
        <v>0</v>
      </c>
      <c r="R26" s="95">
        <f>'[3]Misc Cargo'!$IN$57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Air'!$IN$58</f>
        <v>0</v>
      </c>
      <c r="C27" s="132">
        <f>[3]DHL!$IN$58</f>
        <v>0</v>
      </c>
      <c r="D27" s="132">
        <f>[3]Airborne!$IN$58</f>
        <v>0</v>
      </c>
      <c r="E27" s="132">
        <f>[3]DHL_Bemidji!$IN$58</f>
        <v>0</v>
      </c>
      <c r="F27" s="464"/>
      <c r="G27" s="132">
        <f>[3]DHL_Encore!$IN$58</f>
        <v>0</v>
      </c>
      <c r="H27" s="132">
        <f>[3]DHL_Mesa!$IN$58</f>
        <v>0</v>
      </c>
      <c r="I27" s="132">
        <f>[3]Encore!$IN$58</f>
        <v>0</v>
      </c>
      <c r="J27" s="132">
        <f>[3]FedEx!$IN$58</f>
        <v>0</v>
      </c>
      <c r="K27" s="132">
        <f>[3]IFL!$IN$58</f>
        <v>0</v>
      </c>
      <c r="L27" s="132">
        <f>[3]DHL_Kalitta!$IN$58</f>
        <v>0</v>
      </c>
      <c r="M27" s="95">
        <f>'[3]Mountain Cargo'!$IN$58</f>
        <v>0</v>
      </c>
      <c r="N27" s="132">
        <f>[3]DHL_Amerijet!$IN$58</f>
        <v>0</v>
      </c>
      <c r="O27" s="132">
        <f>[3]DHL_Swift!$IN$58</f>
        <v>0</v>
      </c>
      <c r="P27" s="132">
        <f>+'[3]Sun Country Cargo'!$IN$58</f>
        <v>0</v>
      </c>
      <c r="Q27" s="132">
        <f>[3]UPS!$IN$58</f>
        <v>0</v>
      </c>
      <c r="R27" s="95">
        <f>'[3]Misc Cargo'!$IN$58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4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4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4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40044</v>
      </c>
      <c r="C31" s="132">
        <f t="shared" ref="C31:R33" si="17">C26+C21+C16</f>
        <v>70279</v>
      </c>
      <c r="D31" s="132">
        <f t="shared" si="17"/>
        <v>252835</v>
      </c>
      <c r="E31" s="132">
        <f t="shared" si="17"/>
        <v>89053</v>
      </c>
      <c r="F31" s="464"/>
      <c r="G31" s="132">
        <f t="shared" ref="G31:P33" si="18">G26+G21+G16</f>
        <v>0</v>
      </c>
      <c r="H31" s="132">
        <f t="shared" ref="H31" si="19">H26+H21+H16</f>
        <v>949113</v>
      </c>
      <c r="I31" s="132">
        <f t="shared" si="18"/>
        <v>0</v>
      </c>
      <c r="J31" s="132">
        <f t="shared" si="18"/>
        <v>13492483</v>
      </c>
      <c r="K31" s="132">
        <f t="shared" si="18"/>
        <v>54101</v>
      </c>
      <c r="L31" s="132">
        <f t="shared" si="18"/>
        <v>56330</v>
      </c>
      <c r="M31" s="95">
        <f>M26+M21+M16</f>
        <v>0</v>
      </c>
      <c r="N31" s="132">
        <f t="shared" si="18"/>
        <v>0</v>
      </c>
      <c r="O31" s="132">
        <f t="shared" si="18"/>
        <v>51940</v>
      </c>
      <c r="P31" s="132">
        <f t="shared" si="18"/>
        <v>5553427</v>
      </c>
      <c r="Q31" s="132">
        <f t="shared" si="17"/>
        <v>9313348</v>
      </c>
      <c r="R31" s="95">
        <f>R26+R21+R16</f>
        <v>0</v>
      </c>
      <c r="S31" s="368">
        <f>SUM(B31:E31)+SUM(G31:R31)</f>
        <v>29922953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5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175699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110325</v>
      </c>
      <c r="R32" s="95">
        <f>R27+R22+R17</f>
        <v>0</v>
      </c>
      <c r="S32" s="368">
        <f>SUM(B32:E32)+SUM(G32:R32)</f>
        <v>286024</v>
      </c>
    </row>
    <row r="33" spans="1:19" ht="18" customHeight="1" thickBot="1" x14ac:dyDescent="0.25">
      <c r="A33" s="160" t="s">
        <v>46</v>
      </c>
      <c r="B33" s="373">
        <f>B28+B23+B18</f>
        <v>40044</v>
      </c>
      <c r="C33" s="161">
        <f t="shared" ref="C33:I33" si="21">C28+C23+C18</f>
        <v>70279</v>
      </c>
      <c r="D33" s="161">
        <f t="shared" si="21"/>
        <v>252835</v>
      </c>
      <c r="E33" s="161">
        <f t="shared" si="21"/>
        <v>89053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949113</v>
      </c>
      <c r="I33" s="161">
        <f t="shared" si="21"/>
        <v>0</v>
      </c>
      <c r="J33" s="161">
        <f t="shared" si="18"/>
        <v>13492483</v>
      </c>
      <c r="K33" s="161">
        <f t="shared" si="18"/>
        <v>54101</v>
      </c>
      <c r="L33" s="161">
        <f t="shared" si="18"/>
        <v>56330</v>
      </c>
      <c r="M33" s="162">
        <f>M28+M23+M18</f>
        <v>175699</v>
      </c>
      <c r="N33" s="161">
        <f t="shared" si="18"/>
        <v>0</v>
      </c>
      <c r="O33" s="161">
        <f t="shared" si="18"/>
        <v>51940</v>
      </c>
      <c r="P33" s="161">
        <f t="shared" si="17"/>
        <v>5553427</v>
      </c>
      <c r="Q33" s="161">
        <f t="shared" si="17"/>
        <v>9423673</v>
      </c>
      <c r="R33" s="162">
        <f t="shared" si="17"/>
        <v>0</v>
      </c>
      <c r="S33" s="374">
        <f>SUM(B33:E33)+SUM(G33:R33)</f>
        <v>30208977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September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F9" sqref="F9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45170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4266599</v>
      </c>
      <c r="C5" s="95">
        <f>'Regional Major'!M25</f>
        <v>8966.1</v>
      </c>
      <c r="D5" s="95">
        <f>Cargo!S16</f>
        <v>15995340</v>
      </c>
      <c r="E5" s="95">
        <f>SUM(B5:D5)</f>
        <v>20270905.100000001</v>
      </c>
      <c r="F5" s="95">
        <f>E5*0.00045359237</f>
        <v>9194.7278863540869</v>
      </c>
      <c r="G5" s="95">
        <f>'[1]Cargo Summary'!F5</f>
        <v>9508.1288707913191</v>
      </c>
      <c r="H5" s="77">
        <f>(F5-G5)/G5</f>
        <v>-3.2961373230856225E-2</v>
      </c>
      <c r="I5" s="95">
        <f>+'[2]Cargo Summary'!I5+F5</f>
        <v>78106.240176198073</v>
      </c>
      <c r="J5" s="95">
        <f>+'[1]Cargo Summary'!I5</f>
        <v>85896.668900728371</v>
      </c>
      <c r="K5" s="65">
        <f>(I5-J5)/J5</f>
        <v>-9.0695353198548059E-2</v>
      </c>
      <c r="M5" s="13"/>
      <c r="O5" s="400"/>
    </row>
    <row r="6" spans="1:18" x14ac:dyDescent="0.2">
      <c r="A6" s="45" t="s">
        <v>16</v>
      </c>
      <c r="B6" s="139">
        <f>'Major Airline Stats'!K29</f>
        <v>2375129</v>
      </c>
      <c r="C6" s="95">
        <f>'Regional Major'!M26</f>
        <v>0</v>
      </c>
      <c r="D6" s="95">
        <f>Cargo!S17</f>
        <v>121649</v>
      </c>
      <c r="E6" s="95">
        <f>SUM(B6:D6)</f>
        <v>2496778</v>
      </c>
      <c r="F6" s="95">
        <f>E6*0.00045359237</f>
        <v>1132.51945038386</v>
      </c>
      <c r="G6" s="95">
        <f>'[1]Cargo Summary'!F6</f>
        <v>1201.71859516632</v>
      </c>
      <c r="H6" s="3">
        <f>(F6-G6)/G6</f>
        <v>-5.7583485069466506E-2</v>
      </c>
      <c r="I6" s="95">
        <f>+'[2]Cargo Summary'!I6+F6</f>
        <v>5113.6516010826399</v>
      </c>
      <c r="J6" s="95">
        <f>+'[1]Cargo Summary'!I6</f>
        <v>12940.281804818058</v>
      </c>
      <c r="K6" s="65">
        <f>(I6-J6)/J6</f>
        <v>-0.60482687485378617</v>
      </c>
      <c r="M6" s="13"/>
    </row>
    <row r="7" spans="1:18" ht="18" customHeight="1" thickBot="1" x14ac:dyDescent="0.25">
      <c r="A7" s="54" t="s">
        <v>71</v>
      </c>
      <c r="B7" s="141">
        <f>SUM(B5:B6)</f>
        <v>6641728</v>
      </c>
      <c r="C7" s="105">
        <f t="shared" ref="C7:J7" si="0">SUM(C5:C6)</f>
        <v>8966.1</v>
      </c>
      <c r="D7" s="105">
        <f t="shared" si="0"/>
        <v>16116989</v>
      </c>
      <c r="E7" s="105">
        <f t="shared" si="0"/>
        <v>22767683.100000001</v>
      </c>
      <c r="F7" s="105">
        <f t="shared" si="0"/>
        <v>10327.247336737946</v>
      </c>
      <c r="G7" s="105">
        <f t="shared" si="0"/>
        <v>10709.847465957639</v>
      </c>
      <c r="H7" s="28">
        <f>(F7-G7)/G7</f>
        <v>-3.5724143638443652E-2</v>
      </c>
      <c r="I7" s="105">
        <f t="shared" si="0"/>
        <v>83219.891777280718</v>
      </c>
      <c r="J7" s="105">
        <f t="shared" si="0"/>
        <v>98836.950705546435</v>
      </c>
      <c r="K7" s="238">
        <f>(I7-J7)/J7</f>
        <v>-0.15800830374453603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453572</v>
      </c>
      <c r="C10" s="95">
        <f>'Regional Major'!M30</f>
        <v>10533.400000000001</v>
      </c>
      <c r="D10" s="95">
        <f>Cargo!S21</f>
        <v>13927613</v>
      </c>
      <c r="E10" s="95">
        <f>SUM(B10:D10)</f>
        <v>14391718.4</v>
      </c>
      <c r="F10" s="95">
        <f>E10*0.00045359237</f>
        <v>6527.973657428608</v>
      </c>
      <c r="G10" s="95">
        <f>'[1]Cargo Summary'!F10</f>
        <v>7915.1650840662396</v>
      </c>
      <c r="H10" s="3">
        <f>(F10-G10)/G10</f>
        <v>-0.17525742191153301</v>
      </c>
      <c r="I10" s="95">
        <f>+'[2]Cargo Summary'!I10+F10</f>
        <v>62994.558036212649</v>
      </c>
      <c r="J10" s="95">
        <f>+'[1]Cargo Summary'!I10</f>
        <v>68125.34431586822</v>
      </c>
      <c r="K10" s="65">
        <f>(I10-J10)/J10</f>
        <v>-7.5313913363377644E-2</v>
      </c>
      <c r="M10" s="13"/>
      <c r="O10" s="400"/>
    </row>
    <row r="11" spans="1:18" x14ac:dyDescent="0.2">
      <c r="A11" s="45" t="s">
        <v>16</v>
      </c>
      <c r="B11" s="139">
        <f>'Major Airline Stats'!K34</f>
        <v>278451</v>
      </c>
      <c r="C11" s="95">
        <f>'Regional Major'!M31</f>
        <v>0</v>
      </c>
      <c r="D11" s="95">
        <f>Cargo!S22</f>
        <v>164375</v>
      </c>
      <c r="E11" s="95">
        <f>SUM(B11:D11)</f>
        <v>442826</v>
      </c>
      <c r="F11" s="95">
        <f>E11*0.00045359237</f>
        <v>200.86249483762001</v>
      </c>
      <c r="G11" s="95">
        <f>'[1]Cargo Summary'!F11</f>
        <v>969.00892643862994</v>
      </c>
      <c r="H11" s="25">
        <f>(F11-G11)/G11</f>
        <v>-0.79271347316082619</v>
      </c>
      <c r="I11" s="95">
        <f>+'[2]Cargo Summary'!I11+F11</f>
        <v>3915.9940184049296</v>
      </c>
      <c r="J11" s="95">
        <f>+'[1]Cargo Summary'!I11</f>
        <v>9862.6164788993374</v>
      </c>
      <c r="K11" s="65">
        <f>(I11-J11)/J11</f>
        <v>-0.60294572674674729</v>
      </c>
      <c r="M11" s="13"/>
    </row>
    <row r="12" spans="1:18" ht="18" customHeight="1" thickBot="1" x14ac:dyDescent="0.25">
      <c r="A12" s="54" t="s">
        <v>72</v>
      </c>
      <c r="B12" s="141">
        <f>SUM(B10:B11)</f>
        <v>732023</v>
      </c>
      <c r="C12" s="105">
        <f t="shared" ref="C12:J12" si="1">SUM(C10:C11)</f>
        <v>10533.400000000001</v>
      </c>
      <c r="D12" s="105">
        <f t="shared" si="1"/>
        <v>14091988</v>
      </c>
      <c r="E12" s="105">
        <f t="shared" si="1"/>
        <v>14834544.4</v>
      </c>
      <c r="F12" s="105">
        <f t="shared" si="1"/>
        <v>6728.8361522662281</v>
      </c>
      <c r="G12" s="105">
        <f t="shared" si="1"/>
        <v>8884.1740105048702</v>
      </c>
      <c r="H12" s="28">
        <f>(F12-G12)/G12</f>
        <v>-0.24260419209372944</v>
      </c>
      <c r="I12" s="105">
        <f>SUM(I10:I11)</f>
        <v>66910.552054617583</v>
      </c>
      <c r="J12" s="105">
        <f t="shared" si="1"/>
        <v>77987.960794767554</v>
      </c>
      <c r="K12" s="238">
        <f>(I12-J12)/J12</f>
        <v>-0.14203998447018232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4720171</v>
      </c>
      <c r="C20" s="95">
        <f t="shared" si="3"/>
        <v>19499.5</v>
      </c>
      <c r="D20" s="95">
        <f t="shared" si="3"/>
        <v>29922953</v>
      </c>
      <c r="E20" s="95">
        <f>SUM(B20:D20)</f>
        <v>34662623.5</v>
      </c>
      <c r="F20" s="95">
        <f>E20*0.00045359237</f>
        <v>15722.701543782694</v>
      </c>
      <c r="G20" s="95">
        <f>'[1]Cargo Summary'!F20</f>
        <v>17423.29395485756</v>
      </c>
      <c r="H20" s="3">
        <f>(F20-G20)/G20</f>
        <v>-9.7604529630331227E-2</v>
      </c>
      <c r="I20" s="95">
        <f>+'[2]Cargo Summary'!I20+F20</f>
        <v>141100.79821241074</v>
      </c>
      <c r="J20" s="95">
        <f>+'[1]Cargo Summary'!I20</f>
        <v>154022.01321659662</v>
      </c>
      <c r="K20" s="65">
        <f>(I20-J20)/J20</f>
        <v>-8.3892001762210178E-2</v>
      </c>
      <c r="M20" s="13"/>
    </row>
    <row r="21" spans="1:13" x14ac:dyDescent="0.2">
      <c r="A21" s="45" t="s">
        <v>16</v>
      </c>
      <c r="B21" s="139">
        <f t="shared" si="3"/>
        <v>2653580</v>
      </c>
      <c r="C21" s="96">
        <f t="shared" si="3"/>
        <v>0</v>
      </c>
      <c r="D21" s="96">
        <f t="shared" si="3"/>
        <v>286024</v>
      </c>
      <c r="E21" s="95">
        <f>SUM(B21:D21)</f>
        <v>2939604</v>
      </c>
      <c r="F21" s="95">
        <f>E21*0.00045359237</f>
        <v>1333.38194522148</v>
      </c>
      <c r="G21" s="95">
        <f>'[1]Cargo Summary'!F21</f>
        <v>2170.7275216049497</v>
      </c>
      <c r="H21" s="3">
        <f>(F21-G21)/G21</f>
        <v>-0.38574421158320676</v>
      </c>
      <c r="I21" s="95">
        <f>+'[2]Cargo Summary'!I21+F21</f>
        <v>9029.64561948757</v>
      </c>
      <c r="J21" s="95">
        <f>+'[1]Cargo Summary'!I21</f>
        <v>22802.898283717401</v>
      </c>
      <c r="K21" s="65">
        <f>(I21-J21)/J21</f>
        <v>-0.6040132483538172</v>
      </c>
      <c r="M21" s="13"/>
    </row>
    <row r="22" spans="1:13" ht="18" customHeight="1" thickBot="1" x14ac:dyDescent="0.25">
      <c r="A22" s="67" t="s">
        <v>62</v>
      </c>
      <c r="B22" s="142">
        <f>SUM(B20:B21)</f>
        <v>7373751</v>
      </c>
      <c r="C22" s="143">
        <f t="shared" ref="C22:J22" si="4">SUM(C20:C21)</f>
        <v>19499.5</v>
      </c>
      <c r="D22" s="143">
        <f t="shared" si="4"/>
        <v>30208977</v>
      </c>
      <c r="E22" s="143">
        <f t="shared" si="4"/>
        <v>37602227.5</v>
      </c>
      <c r="F22" s="143">
        <f t="shared" si="4"/>
        <v>17056.083489004173</v>
      </c>
      <c r="G22" s="143">
        <f t="shared" si="4"/>
        <v>19594.021476462509</v>
      </c>
      <c r="H22" s="244">
        <f>(F22-G22)/G22</f>
        <v>-0.12952614094595416</v>
      </c>
      <c r="I22" s="143">
        <f>SUM(I20:I21)</f>
        <v>150130.4438318983</v>
      </c>
      <c r="J22" s="143">
        <f t="shared" si="4"/>
        <v>176824.91150031402</v>
      </c>
      <c r="K22" s="245">
        <f>(I22-J22)/J22</f>
        <v>-0.15096553671041035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September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U9" sqref="U9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2" t="s">
        <v>182</v>
      </c>
      <c r="B2" s="473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2" t="s">
        <v>178</v>
      </c>
      <c r="K2" s="473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4">
        <v>45170</v>
      </c>
      <c r="B3" s="475"/>
      <c r="C3" s="476" t="s">
        <v>9</v>
      </c>
      <c r="D3" s="477"/>
      <c r="E3" s="477"/>
      <c r="F3" s="477"/>
      <c r="G3" s="477"/>
      <c r="H3" s="478"/>
      <c r="I3" s="365"/>
      <c r="J3" s="474">
        <f>+A3</f>
        <v>45170</v>
      </c>
      <c r="K3" s="475"/>
      <c r="L3" s="469" t="s">
        <v>179</v>
      </c>
      <c r="M3" s="470"/>
      <c r="N3" s="470"/>
      <c r="O3" s="470"/>
      <c r="P3" s="470"/>
      <c r="Q3" s="470"/>
      <c r="R3" s="471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201</v>
      </c>
      <c r="D5" s="382">
        <f>SUM(D6:D7)</f>
        <v>124</v>
      </c>
      <c r="E5" s="383">
        <f>(C5-D5)/D5</f>
        <v>0.62096774193548387</v>
      </c>
      <c r="F5" s="382">
        <f>SUM(F6:F7)</f>
        <v>1611</v>
      </c>
      <c r="G5" s="382">
        <f>SUM(G6:G7)</f>
        <v>1306</v>
      </c>
      <c r="H5" s="384">
        <f>(F5-G5)/G5</f>
        <v>0.2335375191424196</v>
      </c>
      <c r="I5" s="383">
        <f>+F5/$F$34</f>
        <v>0.15527710843373493</v>
      </c>
      <c r="J5" s="258" t="s">
        <v>202</v>
      </c>
      <c r="K5" s="39"/>
      <c r="L5" s="382">
        <f>SUM(L6:L7)</f>
        <v>5593471</v>
      </c>
      <c r="M5" s="382">
        <f>SUM(M6:M7)</f>
        <v>5828039</v>
      </c>
      <c r="N5" s="383">
        <f>(L5-M5)/M5</f>
        <v>-4.0248186396830907E-2</v>
      </c>
      <c r="O5" s="382">
        <f>SUM(O6:O7)</f>
        <v>47614487</v>
      </c>
      <c r="P5" s="382">
        <f>SUM(P6:P7)</f>
        <v>51089900</v>
      </c>
      <c r="Q5" s="384">
        <f>(O5-P5)/P5</f>
        <v>-6.8025441427757738E-2</v>
      </c>
      <c r="R5" s="383">
        <f>O5/$O$34</f>
        <v>0.17712219873425994</v>
      </c>
      <c r="T5" s="391"/>
    </row>
    <row r="6" spans="1:20" ht="14.1" customHeight="1" x14ac:dyDescent="0.2">
      <c r="A6" s="37"/>
      <c r="B6" s="318" t="s">
        <v>203</v>
      </c>
      <c r="C6" s="322">
        <f>+'[3]Atlas Air'!$IN$19</f>
        <v>2</v>
      </c>
      <c r="D6" s="217">
        <f>+'[3]Atlas Air'!$HZ$19</f>
        <v>60</v>
      </c>
      <c r="E6" s="324">
        <f>(C6-D6)/D6</f>
        <v>-0.96666666666666667</v>
      </c>
      <c r="F6" s="322">
        <f>+SUM('[3]Atlas Air'!$IF$19:$IN$19)</f>
        <v>328</v>
      </c>
      <c r="G6" s="217">
        <f>+SUM('[3]Atlas Air'!$HR$19:$HZ$19)</f>
        <v>544</v>
      </c>
      <c r="H6" s="323">
        <f>(F6-G6)/G6</f>
        <v>-0.39705882352941174</v>
      </c>
      <c r="I6" s="324">
        <f>+F6/$F$34</f>
        <v>3.1614457831325299E-2</v>
      </c>
      <c r="J6" s="37"/>
      <c r="K6" s="318" t="s">
        <v>203</v>
      </c>
      <c r="L6" s="322">
        <f>+'[3]Atlas Air'!$IN$64</f>
        <v>40044</v>
      </c>
      <c r="M6" s="217">
        <f>+'[3]Atlas Air'!$HZ$64</f>
        <v>3881354</v>
      </c>
      <c r="N6" s="324">
        <f>(L6-M6)/M6</f>
        <v>-0.98968298176358049</v>
      </c>
      <c r="O6" s="217">
        <f>+SUM('[3]Atlas Air'!$IF$64:$IN$64)</f>
        <v>15592074</v>
      </c>
      <c r="P6" s="217">
        <f>+SUM('[3]Atlas Air'!$HR$64:$HZ$64)</f>
        <v>30418906</v>
      </c>
      <c r="Q6" s="323">
        <f>(O6-P6)/P6</f>
        <v>-0.48742160549758101</v>
      </c>
      <c r="R6" s="324">
        <f>O6/$O$34</f>
        <v>5.8001305982930934E-2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Cargo'!$IN$19</f>
        <v>199</v>
      </c>
      <c r="D7" s="217">
        <f>+'[3]Sun Country Cargo'!$HZ$19</f>
        <v>64</v>
      </c>
      <c r="E7" s="324">
        <f>(C7-D7)/D7</f>
        <v>2.109375</v>
      </c>
      <c r="F7" s="322">
        <f>+SUM('[3]Sun Country Cargo'!$IF$19:$IN$19)</f>
        <v>1283</v>
      </c>
      <c r="G7" s="217">
        <f>+SUM('[3]Sun Country Cargo'!$HR$19:$HZ$19)</f>
        <v>762</v>
      </c>
      <c r="H7" s="323">
        <f>(F7-G7)/G7</f>
        <v>0.68372703412073488</v>
      </c>
      <c r="I7" s="324">
        <f>+F7/$F$34</f>
        <v>0.12366265060240964</v>
      </c>
      <c r="J7" s="37"/>
      <c r="K7" s="318" t="s">
        <v>49</v>
      </c>
      <c r="L7" s="322">
        <f>+'[3]Sun Country Cargo'!$IN$64</f>
        <v>5553427</v>
      </c>
      <c r="M7" s="217">
        <f>+'[3]Sun Country Cargo'!$HZ$64</f>
        <v>1946685</v>
      </c>
      <c r="N7" s="324">
        <f>(L7-M7)/M7</f>
        <v>1.852760975709989</v>
      </c>
      <c r="O7" s="217">
        <f>+SUM('[3]Sun Country Cargo'!$IF$64:$IN$64)</f>
        <v>32022413</v>
      </c>
      <c r="P7" s="217">
        <f>+SUM('[3]Sun Country Cargo'!$HR$64:$HZ$64)</f>
        <v>20670994</v>
      </c>
      <c r="Q7" s="323">
        <f>(O7-P7)/P7</f>
        <v>0.54914722533420501</v>
      </c>
      <c r="R7" s="324">
        <f>O7/$O$34</f>
        <v>0.11912089275132901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128</v>
      </c>
      <c r="D9" s="382">
        <f>SUM(D10:D18)</f>
        <v>176</v>
      </c>
      <c r="E9" s="383">
        <f>(C9-D9)/D9</f>
        <v>-0.27272727272727271</v>
      </c>
      <c r="F9" s="382">
        <f>SUM(F10:F18)</f>
        <v>1244</v>
      </c>
      <c r="G9" s="382">
        <f>SUM(G10:G18)</f>
        <v>1372</v>
      </c>
      <c r="H9" s="384">
        <f>(F9-G9)/G9</f>
        <v>-9.3294460641399415E-2</v>
      </c>
      <c r="I9" s="383">
        <f t="shared" ref="I9:I18" si="0">+F9/$F$34</f>
        <v>0.11990361445783132</v>
      </c>
      <c r="J9" s="258" t="s">
        <v>204</v>
      </c>
      <c r="K9" s="39"/>
      <c r="L9" s="382">
        <f>SUM(L10:L18)</f>
        <v>1469550</v>
      </c>
      <c r="M9" s="382">
        <f>SUM(M10:M18)</f>
        <v>1497701</v>
      </c>
      <c r="N9" s="383">
        <f t="shared" ref="N9:N18" si="1">(L9-M9)/M9</f>
        <v>-1.8796141552953494E-2</v>
      </c>
      <c r="O9" s="382">
        <f>SUM(O10:O18)</f>
        <v>13081060</v>
      </c>
      <c r="P9" s="382">
        <f>SUM(P10:P18)</f>
        <v>14982640</v>
      </c>
      <c r="Q9" s="384">
        <f t="shared" ref="Q9:Q18" si="2">(O9-P9)/P9</f>
        <v>-0.12691888745908597</v>
      </c>
      <c r="R9" s="383">
        <f t="shared" ref="R9:R18" si="3">O9/$O$34</f>
        <v>4.8660528653281056E-2</v>
      </c>
      <c r="T9" s="391"/>
    </row>
    <row r="10" spans="1:20" ht="14.1" customHeight="1" x14ac:dyDescent="0.2">
      <c r="A10" s="258"/>
      <c r="B10" s="318" t="s">
        <v>205</v>
      </c>
      <c r="C10" s="322">
        <f>+[3]Airborne!$IN$19</f>
        <v>8</v>
      </c>
      <c r="D10" s="217">
        <f>+[3]Airborne!$HZ$19</f>
        <v>0</v>
      </c>
      <c r="E10" s="324" t="e">
        <f>(C10-D10)/D10</f>
        <v>#DIV/0!</v>
      </c>
      <c r="F10" s="322">
        <f>+SUM([3]Airborne!$IF$19:$IN$19)</f>
        <v>36</v>
      </c>
      <c r="G10" s="217">
        <f>+SUM([3]Airborne!$HR$19:$HZ$19)</f>
        <v>12</v>
      </c>
      <c r="H10" s="323">
        <f>(F10-G10)/G10</f>
        <v>2</v>
      </c>
      <c r="I10" s="324">
        <f t="shared" si="0"/>
        <v>3.469879518072289E-3</v>
      </c>
      <c r="J10" s="258"/>
      <c r="K10" s="318" t="s">
        <v>205</v>
      </c>
      <c r="L10" s="322">
        <f>+[3]Airborne!$IN$64</f>
        <v>252835</v>
      </c>
      <c r="M10" s="217">
        <f>+[3]Airborne!$HZ$64</f>
        <v>0</v>
      </c>
      <c r="N10" s="324" t="e">
        <f t="shared" si="1"/>
        <v>#DIV/0!</v>
      </c>
      <c r="O10" s="322">
        <f>+SUM([3]Airborne!$IF$64:$IN$64)</f>
        <v>977340</v>
      </c>
      <c r="P10" s="217">
        <f>+SUM([3]Airborne!$HR$64:$HZ$64)</f>
        <v>352522</v>
      </c>
      <c r="Q10" s="323">
        <f t="shared" si="2"/>
        <v>1.7724227140433788</v>
      </c>
      <c r="R10" s="324">
        <f t="shared" si="3"/>
        <v>3.6356289990258973E-3</v>
      </c>
      <c r="T10" s="391"/>
    </row>
    <row r="11" spans="1:20" ht="14.1" customHeight="1" x14ac:dyDescent="0.2">
      <c r="A11" s="258"/>
      <c r="B11" s="39" t="s">
        <v>203</v>
      </c>
      <c r="C11" s="322">
        <f>+[3]DHL_Atlas!$IN$19</f>
        <v>0</v>
      </c>
      <c r="D11" s="217">
        <f>+[3]DHL_Atlas!$HZ$19</f>
        <v>0</v>
      </c>
      <c r="E11" s="324" t="e">
        <f t="shared" ref="E11:E18" si="4">(C11-D11)/D11</f>
        <v>#DIV/0!</v>
      </c>
      <c r="F11" s="322">
        <f>+SUM([3]DHL_Atlas!$IF$19:$IN$19)</f>
        <v>0</v>
      </c>
      <c r="G11" s="217">
        <f>+SUM([3]DHL_Atlas!$HR$19:$HZ$19)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+[3]DHL_Atlas!$IN$64</f>
        <v>0</v>
      </c>
      <c r="M11" s="217">
        <f>+[3]DHL_Atlas!$HZ$64</f>
        <v>0</v>
      </c>
      <c r="N11" s="324" t="e">
        <f t="shared" si="1"/>
        <v>#DIV/0!</v>
      </c>
      <c r="O11" s="322">
        <f>+SUM([3]DHL_Atlas!$IF$64:$IN$64)</f>
        <v>0</v>
      </c>
      <c r="P11" s="217">
        <f>+SUM([3]DHL_Atlas!$HR$64:$HZ$64)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+[3]DHL!$IN$19</f>
        <v>2</v>
      </c>
      <c r="D12" s="217">
        <f>+[3]DHL!$HZ$19</f>
        <v>0</v>
      </c>
      <c r="E12" s="324" t="e">
        <f t="shared" si="4"/>
        <v>#DIV/0!</v>
      </c>
      <c r="F12" s="322">
        <f>+SUM([3]DHL!$IF$19:$IN$19)</f>
        <v>14</v>
      </c>
      <c r="G12" s="217">
        <f>+SUM([3]DHL!$HR$19:$HZ$19)</f>
        <v>0</v>
      </c>
      <c r="H12" s="323" t="e">
        <f t="shared" si="5"/>
        <v>#DIV/0!</v>
      </c>
      <c r="I12" s="324">
        <f t="shared" si="0"/>
        <v>1.3493975903614457E-3</v>
      </c>
      <c r="J12" s="258"/>
      <c r="K12" s="39" t="s">
        <v>206</v>
      </c>
      <c r="L12" s="322">
        <f>+[3]DHL!$IN$64</f>
        <v>70279</v>
      </c>
      <c r="M12" s="217">
        <f>+[3]DHL!$HZ$64</f>
        <v>0</v>
      </c>
      <c r="N12" s="324" t="e">
        <f t="shared" si="1"/>
        <v>#DIV/0!</v>
      </c>
      <c r="O12" s="322">
        <f>+SUM([3]DHL!$IF$64:$IN$64)</f>
        <v>397103</v>
      </c>
      <c r="P12" s="217">
        <f>+SUM([3]DHL!$HR$64:$HZ$64)</f>
        <v>0</v>
      </c>
      <c r="Q12" s="323" t="e">
        <f t="shared" si="2"/>
        <v>#DIV/0!</v>
      </c>
      <c r="R12" s="324">
        <f t="shared" si="3"/>
        <v>1.4771923613074067E-3</v>
      </c>
      <c r="T12" s="391"/>
    </row>
    <row r="13" spans="1:20" ht="14.1" customHeight="1" x14ac:dyDescent="0.2">
      <c r="A13" s="258"/>
      <c r="B13" s="318" t="s">
        <v>83</v>
      </c>
      <c r="C13" s="322">
        <f>+[3]DHL_Bemidji!$IN$19</f>
        <v>74</v>
      </c>
      <c r="D13" s="217">
        <f>+[3]DHL_Bemidji!$HZ$19</f>
        <v>84</v>
      </c>
      <c r="E13" s="324">
        <f>(C13-D13)/D13</f>
        <v>-0.11904761904761904</v>
      </c>
      <c r="F13" s="322">
        <f>+SUM([3]DHL_Bemidji!$IF$19:$IN$19)</f>
        <v>662</v>
      </c>
      <c r="G13" s="217">
        <f>+SUM([3]DHL_Bemidji!$HR$19:$HZ$19)</f>
        <v>724</v>
      </c>
      <c r="H13" s="323">
        <f t="shared" si="5"/>
        <v>-8.5635359116022103E-2</v>
      </c>
      <c r="I13" s="324">
        <f t="shared" si="0"/>
        <v>6.380722891566265E-2</v>
      </c>
      <c r="J13" s="258"/>
      <c r="K13" s="318" t="s">
        <v>83</v>
      </c>
      <c r="L13" s="322">
        <f>+[3]DHL_Bemidji!$IN$64</f>
        <v>89053</v>
      </c>
      <c r="M13" s="217">
        <f>+[3]DHL_Bemidji!$HZ$64</f>
        <v>97898</v>
      </c>
      <c r="N13" s="324">
        <f t="shared" ref="N13" si="6">(L13-M13)/M13</f>
        <v>-9.0349138899671083E-2</v>
      </c>
      <c r="O13" s="322">
        <f>+SUM([3]DHL_Bemidji!$IF$64:$IN$64)</f>
        <v>846503</v>
      </c>
      <c r="P13" s="217">
        <f>+SUM([3]DHL_Bemidji!$HR$64:$HZ$64)</f>
        <v>960795</v>
      </c>
      <c r="Q13" s="323">
        <f t="shared" ref="Q13" si="7">(O13-P13)/P13</f>
        <v>-0.11895565651361632</v>
      </c>
      <c r="R13" s="324">
        <f t="shared" si="3"/>
        <v>3.1489255065406301E-3</v>
      </c>
      <c r="T13" s="391"/>
    </row>
    <row r="14" spans="1:20" ht="14.1" customHeight="1" x14ac:dyDescent="0.2">
      <c r="A14" s="258"/>
      <c r="B14" s="39" t="s">
        <v>194</v>
      </c>
      <c r="C14" s="322">
        <f>+[3]Encore!$IN$19+[3]DHL_Encore!$IN$12</f>
        <v>0</v>
      </c>
      <c r="D14" s="217">
        <f>+[3]Encore!$HZ$19+[3]DHL_Encore!$HZ$19</f>
        <v>0</v>
      </c>
      <c r="E14" s="324" t="e">
        <f t="shared" si="4"/>
        <v>#DIV/0!</v>
      </c>
      <c r="F14" s="322">
        <f>+SUM([3]Encore!$IF$19:$IN$19)+SUM([3]DHL_Encore!$IF$19:$IN$19)</f>
        <v>0</v>
      </c>
      <c r="G14" s="217">
        <f>+SUM([3]Encore!$HR$19:$HZ$19)+SUM([3]DHL_Encore!$HR$19:$HZ$19)</f>
        <v>34</v>
      </c>
      <c r="H14" s="323">
        <f t="shared" si="5"/>
        <v>-1</v>
      </c>
      <c r="I14" s="324">
        <f t="shared" si="0"/>
        <v>0</v>
      </c>
      <c r="J14" s="258"/>
      <c r="K14" s="39" t="s">
        <v>194</v>
      </c>
      <c r="L14" s="322">
        <f>+[3]Encore!$IN$64+[3]DHL_Encore!$IN$64</f>
        <v>0</v>
      </c>
      <c r="M14" s="217">
        <f>+[3]Encore!$HZ$64+[3]DHL_Encore!$HZ$64</f>
        <v>0</v>
      </c>
      <c r="N14" s="324" t="e">
        <f t="shared" si="1"/>
        <v>#DIV/0!</v>
      </c>
      <c r="O14" s="322">
        <f>+SUM([3]Encore!$IF$64:$IN$64)+SUM([3]DHL_Encore!$IF$64:$IN$64)</f>
        <v>0</v>
      </c>
      <c r="P14" s="217">
        <f>+SUM([3]Encore!$HR$64:$HZ$64)+SUM([3]DHL_Encore!$HR$64:$HZ$64)</f>
        <v>769886</v>
      </c>
      <c r="Q14" s="323">
        <f t="shared" si="2"/>
        <v>-1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+[3]DHL_Kalitta!$IN$19</f>
        <v>2</v>
      </c>
      <c r="D15" s="217">
        <f>+[3]DHL_Kalitta!$HZ$19</f>
        <v>0</v>
      </c>
      <c r="E15" s="324" t="e">
        <f t="shared" si="4"/>
        <v>#DIV/0!</v>
      </c>
      <c r="F15" s="322">
        <f>+SUM([3]DHL_Kalitta!$IF$19:$IN$19)</f>
        <v>2</v>
      </c>
      <c r="G15" s="217">
        <f>+SUM([3]DHL_Kalitta!$HR$19:$HZ$19)</f>
        <v>2</v>
      </c>
      <c r="H15" s="323">
        <f t="shared" si="5"/>
        <v>0</v>
      </c>
      <c r="I15" s="324">
        <f t="shared" si="0"/>
        <v>1.9277108433734939E-4</v>
      </c>
      <c r="J15" s="258"/>
      <c r="K15" s="39" t="s">
        <v>207</v>
      </c>
      <c r="L15" s="322">
        <f>+[3]DHL_Kalitta!$IN$64</f>
        <v>56330</v>
      </c>
      <c r="M15" s="217">
        <f>+[3]DHL_Kalitta!$HZ$64</f>
        <v>0</v>
      </c>
      <c r="N15" s="324" t="e">
        <f t="shared" si="1"/>
        <v>#DIV/0!</v>
      </c>
      <c r="O15" s="322">
        <f>+SUM([3]DHL_Kalitta!$IF$64:$IN$64)</f>
        <v>56330</v>
      </c>
      <c r="P15" s="217">
        <f>+SUM([3]DHL_Kalitta!$HR$64:$HZ$64)</f>
        <v>43161</v>
      </c>
      <c r="Q15" s="323">
        <f t="shared" si="2"/>
        <v>0.30511341257153451</v>
      </c>
      <c r="R15" s="324">
        <f t="shared" si="3"/>
        <v>2.0954323113259337E-4</v>
      </c>
      <c r="T15" s="391"/>
    </row>
    <row r="16" spans="1:20" ht="14.1" customHeight="1" x14ac:dyDescent="0.2">
      <c r="A16" s="258"/>
      <c r="B16" s="39" t="s">
        <v>51</v>
      </c>
      <c r="C16" s="322">
        <f>+[3]DHL_Mesa!$IN$19</f>
        <v>40</v>
      </c>
      <c r="D16" s="217">
        <f>+[3]DHL_Mesa!$HZ$19</f>
        <v>84</v>
      </c>
      <c r="E16" s="324">
        <f t="shared" ref="E16" si="8">(C16-D16)/D16</f>
        <v>-0.52380952380952384</v>
      </c>
      <c r="F16" s="322">
        <f>+SUM([3]DHL_Mesa!$IF$19:$IN$19)</f>
        <v>264</v>
      </c>
      <c r="G16" s="217">
        <f>+SUM([3]DHL_Mesa!$HR$19:$HZ$19)</f>
        <v>314</v>
      </c>
      <c r="H16" s="323">
        <f t="shared" ref="H16" si="9">(F16-G16)/G16</f>
        <v>-0.15923566878980891</v>
      </c>
      <c r="I16" s="324">
        <f t="shared" ref="I16" si="10">+F16/$F$34</f>
        <v>2.5445783132530122E-2</v>
      </c>
      <c r="J16" s="258"/>
      <c r="K16" s="39" t="s">
        <v>51</v>
      </c>
      <c r="L16" s="322">
        <f>+[3]DHL_Mesa!$IN$64</f>
        <v>949113</v>
      </c>
      <c r="M16" s="217">
        <f>+[3]DHL_Mesa!$HZ$64</f>
        <v>1284426</v>
      </c>
      <c r="N16" s="324">
        <f t="shared" ref="N16" si="11">(L16-M16)/M16</f>
        <v>-0.26106058270386928</v>
      </c>
      <c r="O16" s="322">
        <f>+SUM([3]DHL_Mesa!$IF$64:$IN$64)</f>
        <v>5406361</v>
      </c>
      <c r="P16" s="217">
        <f>+SUM([3]DHL_Mesa!$HR$64:$HZ$64)</f>
        <v>5431550</v>
      </c>
      <c r="Q16" s="323">
        <f t="shared" ref="Q16" si="12">(O16-P16)/P16</f>
        <v>-4.63753440546437E-3</v>
      </c>
      <c r="R16" s="324">
        <f t="shared" ref="R16" si="13">O16/$O$34</f>
        <v>2.0111243611028555E-2</v>
      </c>
      <c r="T16" s="391"/>
    </row>
    <row r="17" spans="1:20" x14ac:dyDescent="0.2">
      <c r="A17" s="258"/>
      <c r="B17" s="39" t="s">
        <v>239</v>
      </c>
      <c r="C17" s="322">
        <f>+[3]DHL_Amerijet!$IN$19</f>
        <v>0</v>
      </c>
      <c r="D17" s="217">
        <f>+[3]DHL_Amerijet!$HZ$19</f>
        <v>0</v>
      </c>
      <c r="E17" s="324" t="e">
        <f t="shared" si="4"/>
        <v>#DIV/0!</v>
      </c>
      <c r="F17" s="322">
        <f>+SUM([3]DHL_Amerijet!$IF$19:$IN$19)</f>
        <v>82</v>
      </c>
      <c r="G17" s="217">
        <f>+SUM([3]DHL_Amerijet!$HR$19:$HZ$19)</f>
        <v>0</v>
      </c>
      <c r="H17" s="323" t="e">
        <f t="shared" si="5"/>
        <v>#DIV/0!</v>
      </c>
      <c r="I17" s="324">
        <f t="shared" si="0"/>
        <v>7.9036144578313247E-3</v>
      </c>
      <c r="J17" s="258"/>
      <c r="K17" s="39" t="s">
        <v>239</v>
      </c>
      <c r="L17" s="322">
        <f>+[3]DHL_Amerijet!$IN$64</f>
        <v>0</v>
      </c>
      <c r="M17" s="217">
        <f>+[3]DHL_Amerijet!$HZ$64</f>
        <v>0</v>
      </c>
      <c r="N17" s="324" t="e">
        <f t="shared" si="1"/>
        <v>#DIV/0!</v>
      </c>
      <c r="O17" s="322">
        <f>+SUM([3]DHL_Amerijet!$IF$64:$IN$64)</f>
        <v>2347965</v>
      </c>
      <c r="P17" s="217">
        <f>+SUM([3]DHL_Amerijet!$HR$64:$HZ$64)</f>
        <v>0</v>
      </c>
      <c r="Q17" s="323" t="e">
        <f t="shared" si="2"/>
        <v>#DIV/0!</v>
      </c>
      <c r="R17" s="324">
        <f t="shared" si="3"/>
        <v>8.7342476954773585E-3</v>
      </c>
      <c r="T17" s="391"/>
    </row>
    <row r="18" spans="1:20" ht="14.1" customHeight="1" x14ac:dyDescent="0.2">
      <c r="A18" s="258"/>
      <c r="B18" s="39" t="s">
        <v>208</v>
      </c>
      <c r="C18" s="322">
        <f>+[3]DHL_Swift!$IN$19</f>
        <v>2</v>
      </c>
      <c r="D18" s="217">
        <f>+[3]DHL_Swift!$HZ$19</f>
        <v>8</v>
      </c>
      <c r="E18" s="324">
        <f t="shared" si="4"/>
        <v>-0.75</v>
      </c>
      <c r="F18" s="322">
        <f>+SUM([3]DHL_Swift!$IF$19:$IN$19)</f>
        <v>184</v>
      </c>
      <c r="G18" s="217">
        <f>+SUM([3]DHL_Swift!$HR$19:$HZ$19)</f>
        <v>286</v>
      </c>
      <c r="H18" s="323">
        <f t="shared" si="5"/>
        <v>-0.35664335664335667</v>
      </c>
      <c r="I18" s="324">
        <f t="shared" si="0"/>
        <v>1.7734939759036145E-2</v>
      </c>
      <c r="J18" s="258"/>
      <c r="K18" s="39" t="s">
        <v>208</v>
      </c>
      <c r="L18" s="322">
        <f>+[3]DHL_Swift!$IN$64</f>
        <v>51940</v>
      </c>
      <c r="M18" s="217">
        <f>+[3]DHL_Swift!$HZ$64</f>
        <v>115377</v>
      </c>
      <c r="N18" s="324">
        <f t="shared" si="1"/>
        <v>-0.54982362169236498</v>
      </c>
      <c r="O18" s="322">
        <f>+SUM([3]DHL_Swift!$IF$64:$IN$64)</f>
        <v>3049458</v>
      </c>
      <c r="P18" s="217">
        <f>+SUM([3]DHL_Swift!$HR$64:$HZ$64)</f>
        <v>7424726</v>
      </c>
      <c r="Q18" s="323">
        <f t="shared" si="2"/>
        <v>-0.58928342944911372</v>
      </c>
      <c r="R18" s="324">
        <f t="shared" si="3"/>
        <v>1.1343747248768611E-2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296</v>
      </c>
      <c r="D20" s="382">
        <f>SUM(D21:D24)</f>
        <v>312</v>
      </c>
      <c r="E20" s="383">
        <f>(C20-D20)/D20</f>
        <v>-5.128205128205128E-2</v>
      </c>
      <c r="F20" s="386">
        <f>SUM(F21:F24)</f>
        <v>2370</v>
      </c>
      <c r="G20" s="382">
        <f>SUM(G21:G24)</f>
        <v>2960</v>
      </c>
      <c r="H20" s="384">
        <f t="shared" ref="H20:H21" si="14">(F20-G20)/G20</f>
        <v>-0.19932432432432431</v>
      </c>
      <c r="I20" s="383">
        <f>+F20/$F$34</f>
        <v>0.22843373493975905</v>
      </c>
      <c r="J20" s="258" t="s">
        <v>180</v>
      </c>
      <c r="K20" s="39"/>
      <c r="L20" s="386">
        <f>SUM(L21:L24)</f>
        <v>13722283</v>
      </c>
      <c r="M20" s="382">
        <f>SUM(M21:M24)</f>
        <v>15412794</v>
      </c>
      <c r="N20" s="383">
        <f>(L20-M20)/M20</f>
        <v>-0.10968231976629286</v>
      </c>
      <c r="O20" s="386">
        <f>SUM(O21:O24)</f>
        <v>115471684</v>
      </c>
      <c r="P20" s="382">
        <f>SUM(P21:P24)</f>
        <v>135300418</v>
      </c>
      <c r="Q20" s="384">
        <f t="shared" ref="Q20:Q22" si="15">(O20-P20)/P20</f>
        <v>-0.14655338315362781</v>
      </c>
      <c r="R20" s="383">
        <f>O20/$O$34</f>
        <v>0.42954570867533787</v>
      </c>
      <c r="T20" s="391"/>
    </row>
    <row r="21" spans="1:20" ht="14.1" customHeight="1" x14ac:dyDescent="0.2">
      <c r="A21" s="37"/>
      <c r="B21" s="318" t="s">
        <v>180</v>
      </c>
      <c r="C21" s="322">
        <f>+[3]FedEx!$IN$19</f>
        <v>220</v>
      </c>
      <c r="D21" s="217">
        <f>+[3]FedEx!$HZ$19</f>
        <v>236</v>
      </c>
      <c r="E21" s="324">
        <f>(C21-D21)/D21</f>
        <v>-6.7796610169491525E-2</v>
      </c>
      <c r="F21" s="322">
        <f>+SUM([3]FedEx!$IF$19:$IN$19)</f>
        <v>1718</v>
      </c>
      <c r="G21" s="217">
        <f>+SUM([3]FedEx!$HR$19:$HZ$19)</f>
        <v>2306</v>
      </c>
      <c r="H21" s="323">
        <f t="shared" si="14"/>
        <v>-0.25498699045967044</v>
      </c>
      <c r="I21" s="324">
        <f>+F21/$F$34</f>
        <v>0.16559036144578312</v>
      </c>
      <c r="J21" s="258"/>
      <c r="K21" s="318" t="s">
        <v>180</v>
      </c>
      <c r="L21" s="322">
        <f>+[3]FedEx!$IN$64</f>
        <v>13492483</v>
      </c>
      <c r="M21" s="217">
        <f>+[3]FedEx!$HZ$64</f>
        <v>15180035</v>
      </c>
      <c r="N21" s="324">
        <f>(L21-M21)/M21</f>
        <v>-0.111169177146166</v>
      </c>
      <c r="O21" s="322">
        <f>+SUM([3]FedEx!$IF$64:$IN$64)</f>
        <v>113536884</v>
      </c>
      <c r="P21" s="217">
        <f>+SUM([3]FedEx!$HR$64:$HZ$64)</f>
        <v>133451383</v>
      </c>
      <c r="Q21" s="323">
        <f t="shared" si="15"/>
        <v>-0.14922662135318598</v>
      </c>
      <c r="R21" s="324">
        <f>O21/$O$34</f>
        <v>0.42234840273542412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Cargo'!$IN$19</f>
        <v>44</v>
      </c>
      <c r="D22" s="217">
        <f>+'[3]Mountain Cargo'!$HZ$19</f>
        <v>42</v>
      </c>
      <c r="E22" s="324">
        <f>(C22-D22)/D22</f>
        <v>4.7619047619047616E-2</v>
      </c>
      <c r="F22" s="322">
        <f>+SUM('[3]Mountain Cargo'!$IF$19:$IN$19)</f>
        <v>378</v>
      </c>
      <c r="G22" s="217">
        <f>+SUM('[3]Mountain Cargo'!$HR$19:$HZ$19)</f>
        <v>376</v>
      </c>
      <c r="H22" s="323">
        <f>(F22-G22)/G22</f>
        <v>5.3191489361702126E-3</v>
      </c>
      <c r="I22" s="324">
        <f>+F22/$F$34</f>
        <v>3.6433734939759037E-2</v>
      </c>
      <c r="J22" s="363"/>
      <c r="K22" s="318" t="s">
        <v>209</v>
      </c>
      <c r="L22" s="322">
        <f>+'[3]Mountain Cargo'!$IN$64</f>
        <v>175699</v>
      </c>
      <c r="M22" s="217">
        <f>+'[3]Mountain Cargo'!$HZ$64</f>
        <v>166312</v>
      </c>
      <c r="N22" s="324">
        <f>(L22-M22)/M22</f>
        <v>5.6442108807542447E-2</v>
      </c>
      <c r="O22" s="322">
        <f>+SUM('[3]Mountain Cargo'!$IF$64:$IN$64)</f>
        <v>1431342</v>
      </c>
      <c r="P22" s="217">
        <f>+SUM('[3]Mountain Cargo'!$HR$64:$HZ$64)</f>
        <v>1321775</v>
      </c>
      <c r="Q22" s="323">
        <f t="shared" si="15"/>
        <v>8.2893835940307539E-2</v>
      </c>
      <c r="R22" s="324">
        <f>O22/$O$34</f>
        <v>5.3244812273351401E-3</v>
      </c>
      <c r="T22" s="391"/>
    </row>
    <row r="23" spans="1:20" ht="14.1" customHeight="1" x14ac:dyDescent="0.2">
      <c r="A23" s="37"/>
      <c r="B23" s="318" t="s">
        <v>174</v>
      </c>
      <c r="C23" s="322">
        <f>+[3]IFL!$IN$19</f>
        <v>32</v>
      </c>
      <c r="D23" s="217">
        <f>+[3]IFL!$HZ$19</f>
        <v>34</v>
      </c>
      <c r="E23" s="324">
        <f>(C23-D23)/D23</f>
        <v>-5.8823529411764705E-2</v>
      </c>
      <c r="F23" s="322">
        <f>+SUM([3]IFL!$IF$19:$IN$19)</f>
        <v>274</v>
      </c>
      <c r="G23" s="217">
        <f>+SUM([3]IFL!$HR$19:$HZ$19)</f>
        <v>278</v>
      </c>
      <c r="H23" s="323">
        <f>(F23-G23)/G23</f>
        <v>-1.4388489208633094E-2</v>
      </c>
      <c r="I23" s="324">
        <f>+F23/$F$34</f>
        <v>2.6409638554216866E-2</v>
      </c>
      <c r="J23" s="363"/>
      <c r="K23" s="318" t="s">
        <v>174</v>
      </c>
      <c r="L23" s="322">
        <f>+[3]IFL!$IN$64</f>
        <v>54101</v>
      </c>
      <c r="M23" s="217">
        <f>+[3]IFL!$HZ$64</f>
        <v>66447</v>
      </c>
      <c r="N23" s="324">
        <f>(L23-M23)/M23</f>
        <v>-0.18580221830932925</v>
      </c>
      <c r="O23" s="322">
        <f>+SUM([3]IFL!$IF$64:$IN$64)</f>
        <v>503458</v>
      </c>
      <c r="P23" s="217">
        <f>+SUM([3]IFL!$HR$64:$HZ$64)</f>
        <v>527260</v>
      </c>
      <c r="Q23" s="323">
        <f>(O23-P23)/P23</f>
        <v>-4.5142813792057049E-2</v>
      </c>
      <c r="R23" s="324">
        <f>O23/$O$34</f>
        <v>1.8728247125786115E-3</v>
      </c>
      <c r="T23" s="391"/>
    </row>
    <row r="24" spans="1:20" ht="14.1" customHeight="1" x14ac:dyDescent="0.2">
      <c r="A24" s="258"/>
      <c r="B24" s="318" t="s">
        <v>84</v>
      </c>
      <c r="C24" s="322">
        <f>+'[3]CSA Air'!$IN$19</f>
        <v>0</v>
      </c>
      <c r="D24" s="217">
        <f>+'[3]CSA Air'!$HZ$19</f>
        <v>0</v>
      </c>
      <c r="E24" s="324" t="e">
        <f>(C24-D24)/D24</f>
        <v>#DIV/0!</v>
      </c>
      <c r="F24" s="322">
        <f>+SUM('[3]CSA Air'!$IF$19:$IN$19)</f>
        <v>0</v>
      </c>
      <c r="G24" s="217">
        <f>+SUM('[3]CSA Air'!$HR$19:$HZ$19)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Air'!$IN$64</f>
        <v>0</v>
      </c>
      <c r="M24" s="217">
        <f>+'[3]CSA Air'!$HZ$64</f>
        <v>0</v>
      </c>
      <c r="N24" s="324" t="e">
        <f>(L24-M24)/M24</f>
        <v>#DIV/0!</v>
      </c>
      <c r="O24" s="322">
        <f>+SUM('[3]CSA Air'!$IF$64:$IN$64)</f>
        <v>0</v>
      </c>
      <c r="P24" s="217">
        <f>+SUM('[3]CSA Air'!$HR$64:$HZ$64)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500</v>
      </c>
      <c r="D26" s="382">
        <f>SUM(D27:D28)</f>
        <v>642</v>
      </c>
      <c r="E26" s="383">
        <f>(C26-D26)/D26</f>
        <v>-0.22118380062305296</v>
      </c>
      <c r="F26" s="382">
        <f>SUM(F27:F28)</f>
        <v>5150</v>
      </c>
      <c r="G26" s="382">
        <f>SUM(G27:G28)</f>
        <v>6028</v>
      </c>
      <c r="H26" s="384">
        <f>(F26-G26)/G26</f>
        <v>-0.14565361645653616</v>
      </c>
      <c r="I26" s="383">
        <f>+F26/$F$34</f>
        <v>0.4963855421686747</v>
      </c>
      <c r="J26" s="258" t="s">
        <v>82</v>
      </c>
      <c r="K26" s="39"/>
      <c r="L26" s="382">
        <f>SUM(L27:L28)</f>
        <v>9423673</v>
      </c>
      <c r="M26" s="382">
        <f>SUM(M27:M28)</f>
        <v>11787241</v>
      </c>
      <c r="N26" s="383">
        <f>(L26-M26)/M26</f>
        <v>-0.20051918850221184</v>
      </c>
      <c r="O26" s="382">
        <f>SUM(O27:O28)</f>
        <v>92655578</v>
      </c>
      <c r="P26" s="382">
        <f>SUM(P27:P28)</f>
        <v>113366901</v>
      </c>
      <c r="Q26" s="384">
        <f>(O26-P26)/P26</f>
        <v>-0.18269285670956112</v>
      </c>
      <c r="R26" s="383">
        <f>O26/$O$34</f>
        <v>0.34467156393712112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+[3]UPS!$IN$19</f>
        <v>170</v>
      </c>
      <c r="D27" s="217">
        <f>+[3]UPS!$HZ$19</f>
        <v>250</v>
      </c>
      <c r="E27" s="324">
        <f>(C27-D27)/D27</f>
        <v>-0.32</v>
      </c>
      <c r="F27" s="322">
        <f>+SUM([3]UPS!$IF$19:$IN$19)</f>
        <v>2038</v>
      </c>
      <c r="G27" s="217">
        <f>+SUM([3]UPS!$HR$19:$HZ$19)</f>
        <v>2488</v>
      </c>
      <c r="H27" s="323">
        <f>(F27-G27)/G27</f>
        <v>-0.18086816720257234</v>
      </c>
      <c r="I27" s="324">
        <f>+F27/$F$34</f>
        <v>0.19643373493975905</v>
      </c>
      <c r="J27" s="258"/>
      <c r="K27" s="318" t="s">
        <v>82</v>
      </c>
      <c r="L27" s="322">
        <f>+[3]UPS!$IN$64</f>
        <v>9423673</v>
      </c>
      <c r="M27" s="217">
        <f>+[3]UPS!$HZ$64</f>
        <v>11787241</v>
      </c>
      <c r="N27" s="324">
        <f>(L27-M27)/M27</f>
        <v>-0.20051918850221184</v>
      </c>
      <c r="O27" s="322">
        <f>+SUM([3]UPS!$IF$64:$IN$64)</f>
        <v>92655578</v>
      </c>
      <c r="P27" s="217">
        <f>+SUM([3]UPS!$HR$64:$HZ$64)</f>
        <v>113366901</v>
      </c>
      <c r="Q27" s="323">
        <f>(O27-P27)/P27</f>
        <v>-0.18269285670956112</v>
      </c>
      <c r="R27" s="324">
        <f>O27/$O$34</f>
        <v>0.34467156393712112</v>
      </c>
      <c r="S27" s="340"/>
      <c r="T27" s="393"/>
    </row>
    <row r="28" spans="1:20" x14ac:dyDescent="0.2">
      <c r="A28" s="258"/>
      <c r="B28" s="318" t="s">
        <v>83</v>
      </c>
      <c r="C28" s="322">
        <f>+[3]Bemidji!$IN$19</f>
        <v>330</v>
      </c>
      <c r="D28" s="217">
        <f>+[3]Bemidji!$HZ$19</f>
        <v>392</v>
      </c>
      <c r="E28" s="324">
        <f>(C28-D28)/D28</f>
        <v>-0.15816326530612246</v>
      </c>
      <c r="F28" s="322">
        <f>+SUM([3]Bemidji!$IF$19:$IN$19)</f>
        <v>3112</v>
      </c>
      <c r="G28" s="217">
        <f>+SUM([3]Bemidji!$HR$19:$HZ$19)</f>
        <v>3540</v>
      </c>
      <c r="H28" s="323">
        <f t="shared" ref="H28" si="18">(F28-G28)/G28</f>
        <v>-0.12090395480225989</v>
      </c>
      <c r="I28" s="324">
        <f>+F28/$F$34</f>
        <v>0.29995180722891568</v>
      </c>
      <c r="J28" s="258"/>
      <c r="K28" s="318" t="s">
        <v>83</v>
      </c>
      <c r="L28" s="466" t="s">
        <v>183</v>
      </c>
      <c r="M28" s="467"/>
      <c r="N28" s="467"/>
      <c r="O28" s="467"/>
      <c r="P28" s="467"/>
      <c r="Q28" s="467"/>
      <c r="R28" s="468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Cargo'!$IN$19</f>
        <v>0</v>
      </c>
      <c r="D30" s="382">
        <f>+'[3]Misc Cargo'!$HZ$19</f>
        <v>0</v>
      </c>
      <c r="E30" s="383" t="e">
        <f>(C30-D30)/D30</f>
        <v>#DIV/0!</v>
      </c>
      <c r="F30" s="386">
        <f>+SUM('[3]Misc Cargo'!$IF$19:$IN$19)</f>
        <v>0</v>
      </c>
      <c r="G30" s="382">
        <f>+SUM('[3]Misc Cargo'!$HR$19:$HZ$19)</f>
        <v>2</v>
      </c>
      <c r="H30" s="384">
        <f>(F30-G30)/G30</f>
        <v>-1</v>
      </c>
      <c r="I30" s="383">
        <f>+F30/$F$34</f>
        <v>0</v>
      </c>
      <c r="J30" s="258" t="s">
        <v>126</v>
      </c>
      <c r="K30" s="39"/>
      <c r="L30" s="386">
        <f>+'[3]Misc Cargo'!$IN$64</f>
        <v>0</v>
      </c>
      <c r="M30" s="382">
        <f>+'[3]Misc Cargo'!$HZ$64</f>
        <v>0</v>
      </c>
      <c r="N30" s="383" t="e">
        <f>(L30-M30)/M30</f>
        <v>#DIV/0!</v>
      </c>
      <c r="O30" s="386">
        <f>+SUM('[3]Misc Cargo'!$IF$64:$IN$64)</f>
        <v>0</v>
      </c>
      <c r="P30" s="382">
        <f>+SUM('[3]Misc Cargo'!$HR$64:$HZ$64)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1125</v>
      </c>
      <c r="D34" s="344">
        <f>+D30+D26+D20+D9+D5</f>
        <v>1254</v>
      </c>
      <c r="E34" s="345">
        <f>(C34-D34)/D34</f>
        <v>-0.10287081339712918</v>
      </c>
      <c r="F34" s="344">
        <f>+F30+F26+F20+F9+F5</f>
        <v>10375</v>
      </c>
      <c r="G34" s="344">
        <f>+G30+G26+G20+G9+G5</f>
        <v>11668</v>
      </c>
      <c r="H34" s="346">
        <f>(F34-G34)/G34</f>
        <v>-0.11081590675351388</v>
      </c>
      <c r="I34" s="352"/>
      <c r="K34" s="343" t="s">
        <v>181</v>
      </c>
      <c r="L34" s="344">
        <f>+L30+L26+L20+L9+L5</f>
        <v>30208977</v>
      </c>
      <c r="M34" s="344">
        <f>+M30+M26+M20+M9+M5</f>
        <v>34525775</v>
      </c>
      <c r="N34" s="347">
        <f>(L34-M34)/M34</f>
        <v>-0.12503116874277262</v>
      </c>
      <c r="O34" s="344">
        <f>+O30+O26+O20+O9+O5</f>
        <v>268822809</v>
      </c>
      <c r="P34" s="344">
        <f>+P30+P26+P20+P9+P5</f>
        <v>314739859</v>
      </c>
      <c r="Q34" s="346">
        <f t="shared" ref="Q34" si="19">(O34-P34)/P34</f>
        <v>-0.1458888942312197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September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2024-01-23T15:42:39Z</dcterms:modified>
</cp:coreProperties>
</file>