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H27" i="8" l="1"/>
  <c r="H26" i="8"/>
  <c r="H22" i="8"/>
  <c r="H21" i="8"/>
  <c r="H17" i="8"/>
  <c r="H16" i="8"/>
  <c r="H5" i="8"/>
  <c r="H4" i="8"/>
  <c r="H10" i="8"/>
  <c r="H31" i="8" l="1"/>
  <c r="H18" i="8"/>
  <c r="H6" i="8"/>
  <c r="H12" i="8" s="1"/>
  <c r="H23" i="8"/>
  <c r="H32" i="8"/>
  <c r="H28" i="8"/>
  <c r="E5" i="1"/>
  <c r="G16" i="5"/>
  <c r="O30" i="7"/>
  <c r="M30" i="7"/>
  <c r="L30" i="7"/>
  <c r="J30" i="7"/>
  <c r="H30" i="7"/>
  <c r="G30" i="7"/>
  <c r="E30" i="7"/>
  <c r="C30" i="7"/>
  <c r="B30" i="7"/>
  <c r="E21" i="1"/>
  <c r="H21" i="1" s="1"/>
  <c r="H20" i="1"/>
  <c r="E20" i="1"/>
  <c r="E19" i="1"/>
  <c r="E18" i="1"/>
  <c r="E7" i="1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6" i="9"/>
  <c r="N46" i="9"/>
  <c r="H46" i="9"/>
  <c r="E46" i="9"/>
  <c r="Q45" i="9"/>
  <c r="N45" i="9"/>
  <c r="H45" i="9"/>
  <c r="E45" i="9"/>
  <c r="Q44" i="9"/>
  <c r="N44" i="9"/>
  <c r="H44" i="9"/>
  <c r="E44" i="9"/>
  <c r="Q43" i="9"/>
  <c r="N43" i="9"/>
  <c r="H43" i="9"/>
  <c r="E43" i="9"/>
  <c r="Q42" i="9"/>
  <c r="N42" i="9"/>
  <c r="H42" i="9"/>
  <c r="E42" i="9"/>
  <c r="Q41" i="9"/>
  <c r="N41" i="9"/>
  <c r="H41" i="9"/>
  <c r="E41" i="9"/>
  <c r="Q40" i="9"/>
  <c r="N40" i="9"/>
  <c r="H40" i="9"/>
  <c r="E40" i="9"/>
  <c r="Q37" i="9"/>
  <c r="N37" i="9"/>
  <c r="H37" i="9"/>
  <c r="E37" i="9"/>
  <c r="Q35" i="9"/>
  <c r="N35" i="9"/>
  <c r="H35" i="9"/>
  <c r="E35" i="9"/>
  <c r="Q33" i="9"/>
  <c r="N33" i="9"/>
  <c r="H33" i="9"/>
  <c r="E33" i="9"/>
  <c r="Q32" i="9"/>
  <c r="N32" i="9"/>
  <c r="H32" i="9"/>
  <c r="E32" i="9"/>
  <c r="Q29" i="9"/>
  <c r="N29" i="9"/>
  <c r="H29" i="9"/>
  <c r="E29" i="9"/>
  <c r="Q27" i="9"/>
  <c r="N27" i="9"/>
  <c r="H27" i="9"/>
  <c r="E27" i="9"/>
  <c r="Q25" i="9"/>
  <c r="N25" i="9"/>
  <c r="H25" i="9"/>
  <c r="E25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4" i="9"/>
  <c r="N14" i="9"/>
  <c r="H14" i="9"/>
  <c r="E14" i="9"/>
  <c r="Q12" i="9"/>
  <c r="N12" i="9"/>
  <c r="H12" i="9"/>
  <c r="E12" i="9"/>
  <c r="Q11" i="9"/>
  <c r="N11" i="9"/>
  <c r="H11" i="9"/>
  <c r="E11" i="9"/>
  <c r="Q8" i="9"/>
  <c r="N8" i="9"/>
  <c r="H8" i="9"/>
  <c r="E8" i="9"/>
  <c r="Q6" i="9"/>
  <c r="N6" i="9"/>
  <c r="H6" i="9"/>
  <c r="E6" i="9"/>
  <c r="Q4" i="9"/>
  <c r="N4" i="9"/>
  <c r="H4" i="9"/>
  <c r="E4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6" i="9"/>
  <c r="L46" i="9"/>
  <c r="G46" i="9"/>
  <c r="C46" i="9"/>
  <c r="P45" i="9"/>
  <c r="L45" i="9"/>
  <c r="G45" i="9"/>
  <c r="C45" i="9"/>
  <c r="P44" i="9"/>
  <c r="L44" i="9"/>
  <c r="G44" i="9"/>
  <c r="C44" i="9"/>
  <c r="P43" i="9"/>
  <c r="L43" i="9"/>
  <c r="G43" i="9"/>
  <c r="C43" i="9"/>
  <c r="P42" i="9"/>
  <c r="L42" i="9"/>
  <c r="G42" i="9"/>
  <c r="C42" i="9"/>
  <c r="P41" i="9"/>
  <c r="L41" i="9"/>
  <c r="G41" i="9"/>
  <c r="C41" i="9"/>
  <c r="P40" i="9"/>
  <c r="L40" i="9"/>
  <c r="G40" i="9"/>
  <c r="C40" i="9"/>
  <c r="P37" i="9"/>
  <c r="L37" i="9"/>
  <c r="G37" i="9"/>
  <c r="C37" i="9"/>
  <c r="P35" i="9"/>
  <c r="L35" i="9"/>
  <c r="G35" i="9"/>
  <c r="C35" i="9"/>
  <c r="P33" i="9"/>
  <c r="L33" i="9"/>
  <c r="G33" i="9"/>
  <c r="C33" i="9"/>
  <c r="P32" i="9"/>
  <c r="L32" i="9"/>
  <c r="G32" i="9"/>
  <c r="C32" i="9"/>
  <c r="P29" i="9"/>
  <c r="L29" i="9"/>
  <c r="G29" i="9"/>
  <c r="C29" i="9"/>
  <c r="P27" i="9"/>
  <c r="L27" i="9"/>
  <c r="G27" i="9"/>
  <c r="C27" i="9"/>
  <c r="P25" i="9"/>
  <c r="L25" i="9"/>
  <c r="G25" i="9"/>
  <c r="C25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4" i="9"/>
  <c r="L14" i="9"/>
  <c r="G14" i="9"/>
  <c r="C14" i="9"/>
  <c r="P12" i="9"/>
  <c r="L12" i="9"/>
  <c r="G12" i="9"/>
  <c r="C12" i="9"/>
  <c r="P11" i="9"/>
  <c r="L11" i="9"/>
  <c r="G11" i="9"/>
  <c r="C11" i="9"/>
  <c r="P8" i="9"/>
  <c r="L8" i="9"/>
  <c r="G8" i="9"/>
  <c r="C8" i="9"/>
  <c r="P6" i="9"/>
  <c r="L6" i="9"/>
  <c r="G6" i="9"/>
  <c r="C6" i="9"/>
  <c r="P4" i="9"/>
  <c r="L4" i="9"/>
  <c r="G4" i="9"/>
  <c r="C4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L27" i="8"/>
  <c r="K27" i="8"/>
  <c r="J27" i="8"/>
  <c r="G27" i="8"/>
  <c r="E27" i="8"/>
  <c r="D27" i="8"/>
  <c r="C27" i="8"/>
  <c r="B27" i="8"/>
  <c r="L26" i="8"/>
  <c r="K26" i="8"/>
  <c r="J26" i="8"/>
  <c r="G26" i="8"/>
  <c r="E26" i="8"/>
  <c r="D26" i="8"/>
  <c r="C26" i="8"/>
  <c r="B26" i="8"/>
  <c r="L22" i="8"/>
  <c r="K22" i="8"/>
  <c r="J22" i="8"/>
  <c r="G22" i="8"/>
  <c r="E22" i="8"/>
  <c r="D22" i="8"/>
  <c r="C22" i="8"/>
  <c r="B22" i="8"/>
  <c r="L21" i="8"/>
  <c r="K21" i="8"/>
  <c r="J21" i="8"/>
  <c r="G21" i="8"/>
  <c r="E21" i="8"/>
  <c r="D21" i="8"/>
  <c r="C21" i="8"/>
  <c r="B21" i="8"/>
  <c r="L17" i="8"/>
  <c r="K17" i="8"/>
  <c r="J17" i="8"/>
  <c r="G17" i="8"/>
  <c r="E17" i="8"/>
  <c r="D17" i="8"/>
  <c r="C17" i="8"/>
  <c r="B17" i="8"/>
  <c r="L16" i="8"/>
  <c r="K16" i="8"/>
  <c r="J16" i="8"/>
  <c r="G16" i="8"/>
  <c r="E16" i="8"/>
  <c r="D16" i="8"/>
  <c r="C16" i="8"/>
  <c r="B16" i="8"/>
  <c r="L9" i="8"/>
  <c r="B9" i="8"/>
  <c r="L8" i="8"/>
  <c r="B8" i="8"/>
  <c r="L5" i="8"/>
  <c r="K5" i="8"/>
  <c r="J5" i="8"/>
  <c r="I5" i="8"/>
  <c r="G5" i="8"/>
  <c r="E5" i="8"/>
  <c r="D5" i="8"/>
  <c r="C5" i="8"/>
  <c r="B5" i="8"/>
  <c r="L4" i="8"/>
  <c r="K4" i="8"/>
  <c r="J4" i="8"/>
  <c r="I4" i="8"/>
  <c r="G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F47" i="15"/>
  <c r="E47" i="15"/>
  <c r="C47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H45" i="4"/>
  <c r="F45" i="4"/>
  <c r="B45" i="4"/>
  <c r="H44" i="4"/>
  <c r="F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C51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H33" i="8" l="1"/>
  <c r="M16" i="8"/>
  <c r="M17" i="8"/>
  <c r="M21" i="8"/>
  <c r="M22" i="8"/>
  <c r="M26" i="8"/>
  <c r="M27" i="8"/>
  <c r="D30" i="7"/>
  <c r="N30" i="7"/>
  <c r="B37" i="1"/>
  <c r="E17" i="1"/>
  <c r="P55" i="9"/>
  <c r="H19" i="1"/>
  <c r="J16" i="5"/>
  <c r="I30" i="7"/>
  <c r="J29" i="7"/>
  <c r="H29" i="7"/>
  <c r="G29" i="7"/>
  <c r="J28" i="7"/>
  <c r="O29" i="7"/>
  <c r="M29" i="7"/>
  <c r="L29" i="7"/>
  <c r="O28" i="7"/>
  <c r="E29" i="7"/>
  <c r="C29" i="7"/>
  <c r="B29" i="7"/>
  <c r="H5" i="1" l="1"/>
  <c r="E31" i="7"/>
  <c r="H17" i="1"/>
  <c r="B36" i="1"/>
  <c r="H7" i="1"/>
  <c r="D37" i="1"/>
  <c r="E16" i="1"/>
  <c r="H18" i="1"/>
  <c r="I29" i="7"/>
  <c r="D29" i="7"/>
  <c r="N29" i="7"/>
  <c r="E6" i="1" l="1"/>
  <c r="E10" i="1"/>
  <c r="G6" i="5"/>
  <c r="D36" i="1"/>
  <c r="G10" i="5"/>
  <c r="H16" i="1"/>
  <c r="E28" i="7"/>
  <c r="Q48" i="9"/>
  <c r="H48" i="9"/>
  <c r="E39" i="9"/>
  <c r="E31" i="9"/>
  <c r="R52" i="9"/>
  <c r="P48" i="9"/>
  <c r="C31" i="9"/>
  <c r="L10" i="9"/>
  <c r="G10" i="9"/>
  <c r="K37" i="16"/>
  <c r="J37" i="16"/>
  <c r="I37" i="16"/>
  <c r="H37" i="16"/>
  <c r="K30" i="16"/>
  <c r="J30" i="16"/>
  <c r="I30" i="16"/>
  <c r="H30" i="16"/>
  <c r="B30" i="16"/>
  <c r="K23" i="16"/>
  <c r="J23" i="16"/>
  <c r="H23" i="16"/>
  <c r="G23" i="16"/>
  <c r="C23" i="16"/>
  <c r="K18" i="16"/>
  <c r="J18" i="16"/>
  <c r="H16" i="16"/>
  <c r="H18" i="16" s="1"/>
  <c r="C18" i="16"/>
  <c r="B18" i="16"/>
  <c r="K11" i="16"/>
  <c r="J11" i="16"/>
  <c r="I11" i="16"/>
  <c r="H11" i="16"/>
  <c r="B11" i="16"/>
  <c r="K6" i="16"/>
  <c r="J6" i="16"/>
  <c r="I6" i="16"/>
  <c r="H6" i="16"/>
  <c r="B6" i="16"/>
  <c r="K28" i="8"/>
  <c r="G28" i="8"/>
  <c r="D28" i="8"/>
  <c r="C28" i="8"/>
  <c r="L23" i="8"/>
  <c r="K23" i="8"/>
  <c r="J23" i="8"/>
  <c r="G23" i="8"/>
  <c r="E23" i="8"/>
  <c r="D23" i="8"/>
  <c r="C23" i="8"/>
  <c r="L18" i="8"/>
  <c r="K18" i="8"/>
  <c r="J18" i="8"/>
  <c r="G18" i="8"/>
  <c r="D18" i="8"/>
  <c r="C18" i="8"/>
  <c r="I49" i="3"/>
  <c r="I51" i="2" s="1"/>
  <c r="I48" i="3"/>
  <c r="I50" i="2" s="1"/>
  <c r="J48" i="2"/>
  <c r="J47" i="2"/>
  <c r="O27" i="7"/>
  <c r="J27" i="7"/>
  <c r="E27" i="7"/>
  <c r="R17" i="9"/>
  <c r="E18" i="8"/>
  <c r="B36" i="15"/>
  <c r="C36" i="15"/>
  <c r="D36" i="15"/>
  <c r="E36" i="15"/>
  <c r="E37" i="15" s="1"/>
  <c r="F36" i="15"/>
  <c r="G36" i="15"/>
  <c r="H36" i="15"/>
  <c r="I36" i="15"/>
  <c r="J36" i="15"/>
  <c r="K36" i="15"/>
  <c r="H35" i="15"/>
  <c r="I35" i="15"/>
  <c r="J35" i="15"/>
  <c r="K35" i="15"/>
  <c r="J30" i="15"/>
  <c r="O26" i="7"/>
  <c r="J26" i="7"/>
  <c r="E26" i="7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N32" i="7"/>
  <c r="P32" i="7"/>
  <c r="I32" i="7"/>
  <c r="K32" i="7"/>
  <c r="D32" i="7"/>
  <c r="F32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J28" i="8"/>
  <c r="F12" i="15"/>
  <c r="E28" i="8"/>
  <c r="E16" i="9"/>
  <c r="C31" i="8"/>
  <c r="J10" i="5" l="1"/>
  <c r="H10" i="1"/>
  <c r="O31" i="7"/>
  <c r="O33" i="7" s="1"/>
  <c r="E28" i="1"/>
  <c r="G15" i="5"/>
  <c r="G17" i="5" s="1"/>
  <c r="G5" i="5"/>
  <c r="G7" i="5" s="1"/>
  <c r="J6" i="5"/>
  <c r="G21" i="5"/>
  <c r="H6" i="1"/>
  <c r="H8" i="1" s="1"/>
  <c r="E27" i="1"/>
  <c r="E32" i="4"/>
  <c r="C37" i="4"/>
  <c r="B20" i="15"/>
  <c r="G18" i="16"/>
  <c r="B7" i="15"/>
  <c r="F20" i="15"/>
  <c r="J31" i="8"/>
  <c r="C32" i="8"/>
  <c r="I17" i="9"/>
  <c r="I19" i="9"/>
  <c r="C6" i="16"/>
  <c r="E11" i="2"/>
  <c r="G35" i="3"/>
  <c r="E44" i="2"/>
  <c r="B12" i="15"/>
  <c r="J12" i="15"/>
  <c r="F17" i="15"/>
  <c r="D17" i="15"/>
  <c r="J20" i="15"/>
  <c r="H20" i="15"/>
  <c r="B27" i="15"/>
  <c r="J27" i="15"/>
  <c r="D27" i="15"/>
  <c r="K32" i="15"/>
  <c r="H40" i="15"/>
  <c r="G17" i="2"/>
  <c r="E35" i="2"/>
  <c r="E7" i="3"/>
  <c r="G12" i="3"/>
  <c r="E30" i="3"/>
  <c r="D17" i="4"/>
  <c r="B20" i="4"/>
  <c r="D37" i="4"/>
  <c r="E7" i="7"/>
  <c r="C17" i="4"/>
  <c r="F6" i="9"/>
  <c r="F8" i="9"/>
  <c r="F12" i="9"/>
  <c r="F17" i="9"/>
  <c r="F18" i="9"/>
  <c r="F19" i="9"/>
  <c r="F20" i="9"/>
  <c r="F22" i="9"/>
  <c r="F23" i="9"/>
  <c r="F25" i="9"/>
  <c r="F27" i="9"/>
  <c r="F29" i="9"/>
  <c r="F33" i="9"/>
  <c r="F35" i="9"/>
  <c r="F37" i="9"/>
  <c r="F41" i="9"/>
  <c r="F42" i="9"/>
  <c r="F43" i="9"/>
  <c r="F46" i="9"/>
  <c r="F49" i="9"/>
  <c r="F50" i="9"/>
  <c r="F51" i="9"/>
  <c r="F52" i="9"/>
  <c r="R4" i="9"/>
  <c r="R42" i="9"/>
  <c r="R46" i="9"/>
  <c r="Q55" i="9"/>
  <c r="B18" i="3"/>
  <c r="B30" i="3"/>
  <c r="E7" i="15"/>
  <c r="I27" i="15"/>
  <c r="I40" i="15"/>
  <c r="I11" i="9"/>
  <c r="I25" i="9"/>
  <c r="I33" i="9"/>
  <c r="I37" i="9"/>
  <c r="I41" i="9"/>
  <c r="Q16" i="9"/>
  <c r="Q39" i="9"/>
  <c r="D21" i="1"/>
  <c r="G35" i="2"/>
  <c r="E22" i="3"/>
  <c r="E35" i="3"/>
  <c r="D12" i="4"/>
  <c r="J27" i="4"/>
  <c r="I6" i="8"/>
  <c r="I12" i="8" s="1"/>
  <c r="E18" i="16"/>
  <c r="E30" i="16"/>
  <c r="R6" i="9"/>
  <c r="R8" i="9"/>
  <c r="R11" i="9"/>
  <c r="R14" i="9"/>
  <c r="R18" i="9"/>
  <c r="R19" i="9"/>
  <c r="R20" i="9"/>
  <c r="R21" i="9"/>
  <c r="R22" i="9"/>
  <c r="R23" i="9"/>
  <c r="R25" i="9"/>
  <c r="R27" i="9"/>
  <c r="R29" i="9"/>
  <c r="R33" i="9"/>
  <c r="R35" i="9"/>
  <c r="R37" i="9"/>
  <c r="R41" i="9"/>
  <c r="R43" i="9"/>
  <c r="R44" i="9"/>
  <c r="R45" i="9"/>
  <c r="R50" i="9"/>
  <c r="R51" i="9"/>
  <c r="H30" i="3"/>
  <c r="E40" i="3"/>
  <c r="J12" i="4"/>
  <c r="H40" i="4"/>
  <c r="H7" i="15"/>
  <c r="E48" i="9"/>
  <c r="C41" i="15"/>
  <c r="B32" i="8"/>
  <c r="C48" i="9"/>
  <c r="C55" i="9"/>
  <c r="D44" i="9" s="1"/>
  <c r="E21" i="2"/>
  <c r="D27" i="4"/>
  <c r="J32" i="4"/>
  <c r="D11" i="16"/>
  <c r="L18" i="16"/>
  <c r="D37" i="16"/>
  <c r="H16" i="9"/>
  <c r="I42" i="9"/>
  <c r="I46" i="9"/>
  <c r="C41" i="4"/>
  <c r="H17" i="15"/>
  <c r="D20" i="15"/>
  <c r="H27" i="15"/>
  <c r="E11" i="16"/>
  <c r="M11" i="16"/>
  <c r="M18" i="16"/>
  <c r="M30" i="16"/>
  <c r="E37" i="16"/>
  <c r="M37" i="16"/>
  <c r="P16" i="9"/>
  <c r="P31" i="9"/>
  <c r="N16" i="9"/>
  <c r="N31" i="9"/>
  <c r="B21" i="2"/>
  <c r="K31" i="8"/>
  <c r="K41" i="15"/>
  <c r="G22" i="3"/>
  <c r="H17" i="4"/>
  <c r="B32" i="4"/>
  <c r="D6" i="16"/>
  <c r="L11" i="16"/>
  <c r="L30" i="16"/>
  <c r="L16" i="9"/>
  <c r="L39" i="9"/>
  <c r="H39" i="9"/>
  <c r="F32" i="9"/>
  <c r="F6" i="16"/>
  <c r="F11" i="16"/>
  <c r="F18" i="16"/>
  <c r="F23" i="16"/>
  <c r="F30" i="16"/>
  <c r="C10" i="9"/>
  <c r="C35" i="3"/>
  <c r="D7" i="4"/>
  <c r="F20" i="4"/>
  <c r="D32" i="15"/>
  <c r="D23" i="16"/>
  <c r="D30" i="16"/>
  <c r="L37" i="16"/>
  <c r="L31" i="9"/>
  <c r="I4" i="9"/>
  <c r="I23" i="9"/>
  <c r="H31" i="9"/>
  <c r="K37" i="15"/>
  <c r="G41" i="15"/>
  <c r="G6" i="16"/>
  <c r="G11" i="16"/>
  <c r="G30" i="16"/>
  <c r="G37" i="16"/>
  <c r="I40" i="9"/>
  <c r="I49" i="9"/>
  <c r="B11" i="2"/>
  <c r="F7" i="3"/>
  <c r="F18" i="3"/>
  <c r="D22" i="3"/>
  <c r="C44" i="3"/>
  <c r="E17" i="4"/>
  <c r="G32" i="4"/>
  <c r="F40" i="4"/>
  <c r="J40" i="4"/>
  <c r="E41" i="4"/>
  <c r="I41" i="4"/>
  <c r="B40" i="15"/>
  <c r="G5" i="7"/>
  <c r="B7" i="1" s="1"/>
  <c r="B7" i="7"/>
  <c r="B6" i="8"/>
  <c r="E31" i="8"/>
  <c r="L31" i="8"/>
  <c r="E32" i="8"/>
  <c r="L32" i="8"/>
  <c r="O12" i="9"/>
  <c r="O33" i="9"/>
  <c r="O35" i="9"/>
  <c r="O45" i="9"/>
  <c r="I32" i="9"/>
  <c r="F37" i="15"/>
  <c r="G43" i="3"/>
  <c r="C43" i="3"/>
  <c r="G41" i="4"/>
  <c r="J33" i="8"/>
  <c r="E33" i="7"/>
  <c r="F37" i="4"/>
  <c r="R32" i="9"/>
  <c r="D6" i="2"/>
  <c r="H6" i="2"/>
  <c r="H17" i="2"/>
  <c r="F21" i="2"/>
  <c r="H40" i="2"/>
  <c r="I6" i="3"/>
  <c r="I5" i="2" s="1"/>
  <c r="J5" i="2" s="1"/>
  <c r="C5" i="1" s="1"/>
  <c r="D12" i="3"/>
  <c r="D44" i="3"/>
  <c r="H35" i="3"/>
  <c r="B44" i="3"/>
  <c r="F40" i="3"/>
  <c r="E7" i="4"/>
  <c r="I7" i="4"/>
  <c r="I17" i="4"/>
  <c r="G20" i="4"/>
  <c r="E27" i="4"/>
  <c r="C32" i="4"/>
  <c r="E37" i="4"/>
  <c r="L5" i="15"/>
  <c r="K5" i="4" s="1"/>
  <c r="L5" i="4" s="1"/>
  <c r="B6" i="1" s="1"/>
  <c r="C17" i="15"/>
  <c r="K17" i="15"/>
  <c r="K27" i="15"/>
  <c r="E32" i="15"/>
  <c r="I32" i="15"/>
  <c r="F7" i="7"/>
  <c r="D12" i="7"/>
  <c r="G11" i="7"/>
  <c r="C18" i="1" s="1"/>
  <c r="G6" i="8"/>
  <c r="G12" i="8" s="1"/>
  <c r="L6" i="8"/>
  <c r="M9" i="8"/>
  <c r="O6" i="9"/>
  <c r="O11" i="9"/>
  <c r="O20" i="9"/>
  <c r="O41" i="9"/>
  <c r="O42" i="9"/>
  <c r="H22" i="1"/>
  <c r="I6" i="9"/>
  <c r="I8" i="9"/>
  <c r="I12" i="9"/>
  <c r="I14" i="9"/>
  <c r="I20" i="9"/>
  <c r="I21" i="9"/>
  <c r="I22" i="9"/>
  <c r="I43" i="9"/>
  <c r="I44" i="9"/>
  <c r="I51" i="9"/>
  <c r="I52" i="9"/>
  <c r="L28" i="8"/>
  <c r="L33" i="8" s="1"/>
  <c r="G6" i="7"/>
  <c r="C7" i="1" s="1"/>
  <c r="D38" i="1"/>
  <c r="G11" i="2"/>
  <c r="E17" i="2"/>
  <c r="C21" i="2"/>
  <c r="C49" i="2"/>
  <c r="J49" i="2" s="1"/>
  <c r="C7" i="3"/>
  <c r="G7" i="3"/>
  <c r="C18" i="3"/>
  <c r="G18" i="3"/>
  <c r="C30" i="3"/>
  <c r="G30" i="3"/>
  <c r="C40" i="3"/>
  <c r="G40" i="3"/>
  <c r="B7" i="4"/>
  <c r="F7" i="4"/>
  <c r="J7" i="4"/>
  <c r="B17" i="4"/>
  <c r="F17" i="4"/>
  <c r="D20" i="4"/>
  <c r="B27" i="4"/>
  <c r="F27" i="4"/>
  <c r="B32" i="15"/>
  <c r="C7" i="7"/>
  <c r="E12" i="7"/>
  <c r="C6" i="8"/>
  <c r="C12" i="8" s="1"/>
  <c r="C37" i="15"/>
  <c r="F6" i="2"/>
  <c r="D21" i="2"/>
  <c r="B43" i="2"/>
  <c r="F30" i="2"/>
  <c r="C44" i="2"/>
  <c r="G44" i="2"/>
  <c r="H43" i="2"/>
  <c r="H7" i="3"/>
  <c r="B12" i="3"/>
  <c r="F12" i="3"/>
  <c r="H18" i="3"/>
  <c r="G44" i="3"/>
  <c r="E12" i="4"/>
  <c r="G17" i="4"/>
  <c r="D40" i="4"/>
  <c r="F7" i="15"/>
  <c r="J7" i="15"/>
  <c r="D12" i="15"/>
  <c r="H12" i="15"/>
  <c r="B17" i="15"/>
  <c r="F27" i="15"/>
  <c r="G43" i="2"/>
  <c r="G30" i="2"/>
  <c r="J51" i="2"/>
  <c r="K32" i="8"/>
  <c r="B30" i="2"/>
  <c r="F44" i="3"/>
  <c r="E43" i="3"/>
  <c r="D41" i="15"/>
  <c r="C12" i="7"/>
  <c r="C6" i="2"/>
  <c r="G6" i="2"/>
  <c r="C40" i="2"/>
  <c r="G40" i="2"/>
  <c r="C12" i="3"/>
  <c r="C22" i="3"/>
  <c r="D43" i="3"/>
  <c r="D30" i="3"/>
  <c r="H7" i="4"/>
  <c r="J20" i="4"/>
  <c r="O4" i="9"/>
  <c r="O8" i="9"/>
  <c r="O19" i="9"/>
  <c r="O23" i="9"/>
  <c r="O25" i="9"/>
  <c r="O27" i="9"/>
  <c r="O29" i="9"/>
  <c r="O40" i="9"/>
  <c r="O43" i="9"/>
  <c r="O44" i="9"/>
  <c r="O46" i="9"/>
  <c r="O50" i="9"/>
  <c r="O51" i="9"/>
  <c r="O52" i="9"/>
  <c r="H41" i="15"/>
  <c r="E33" i="8"/>
  <c r="H11" i="2"/>
  <c r="B44" i="2"/>
  <c r="F44" i="2"/>
  <c r="H44" i="2"/>
  <c r="I11" i="3"/>
  <c r="I10" i="2" s="1"/>
  <c r="J10" i="2" s="1"/>
  <c r="I17" i="3"/>
  <c r="I16" i="2" s="1"/>
  <c r="J16" i="2" s="1"/>
  <c r="F22" i="3"/>
  <c r="I29" i="3"/>
  <c r="I29" i="2" s="1"/>
  <c r="J29" i="2" s="1"/>
  <c r="B6" i="5" s="1"/>
  <c r="I34" i="3"/>
  <c r="I34" i="2" s="1"/>
  <c r="J34" i="2" s="1"/>
  <c r="F35" i="3"/>
  <c r="D40" i="3"/>
  <c r="H40" i="3"/>
  <c r="C7" i="4"/>
  <c r="I12" i="4"/>
  <c r="E20" i="4"/>
  <c r="I20" i="4"/>
  <c r="C27" i="4"/>
  <c r="G27" i="4"/>
  <c r="E40" i="4"/>
  <c r="I32" i="4"/>
  <c r="D41" i="4"/>
  <c r="H41" i="4"/>
  <c r="G40" i="4"/>
  <c r="J41" i="4"/>
  <c r="C7" i="15"/>
  <c r="L6" i="15"/>
  <c r="K6" i="4" s="1"/>
  <c r="L6" i="4" s="1"/>
  <c r="C6" i="1" s="1"/>
  <c r="I7" i="15"/>
  <c r="L10" i="15"/>
  <c r="K10" i="4" s="1"/>
  <c r="L10" i="4" s="1"/>
  <c r="G12" i="15"/>
  <c r="K12" i="15"/>
  <c r="L11" i="15"/>
  <c r="K11" i="4" s="1"/>
  <c r="L11" i="4" s="1"/>
  <c r="I12" i="15"/>
  <c r="L15" i="15"/>
  <c r="K15" i="4" s="1"/>
  <c r="L15" i="4" s="1"/>
  <c r="G17" i="15"/>
  <c r="L16" i="15"/>
  <c r="K16" i="4" s="1"/>
  <c r="L16" i="4" s="1"/>
  <c r="C20" i="15"/>
  <c r="G20" i="15"/>
  <c r="K20" i="15"/>
  <c r="L19" i="15"/>
  <c r="K19" i="4" s="1"/>
  <c r="L19" i="4" s="1"/>
  <c r="I20" i="15"/>
  <c r="L25" i="15"/>
  <c r="K25" i="4" s="1"/>
  <c r="L25" i="4" s="1"/>
  <c r="C5" i="5" s="1"/>
  <c r="E41" i="15"/>
  <c r="C32" i="15"/>
  <c r="G32" i="15"/>
  <c r="D40" i="15"/>
  <c r="D7" i="7"/>
  <c r="G10" i="7"/>
  <c r="B18" i="1" s="1"/>
  <c r="F12" i="7"/>
  <c r="M4" i="8"/>
  <c r="B19" i="1" s="1"/>
  <c r="B10" i="8"/>
  <c r="D10" i="5"/>
  <c r="D11" i="5"/>
  <c r="D15" i="5"/>
  <c r="D16" i="5"/>
  <c r="G32" i="8"/>
  <c r="N10" i="16"/>
  <c r="F31" i="9"/>
  <c r="E8" i="1"/>
  <c r="E11" i="1" s="1"/>
  <c r="E22" i="1"/>
  <c r="H37" i="4"/>
  <c r="H32" i="15"/>
  <c r="J32" i="8"/>
  <c r="C40" i="4"/>
  <c r="F44" i="9"/>
  <c r="I38" i="3"/>
  <c r="I38" i="2" s="1"/>
  <c r="J38" i="2" s="1"/>
  <c r="B15" i="5" s="1"/>
  <c r="J37" i="4"/>
  <c r="G37" i="4"/>
  <c r="E27" i="15"/>
  <c r="F17" i="2"/>
  <c r="D7" i="3"/>
  <c r="D37" i="15"/>
  <c r="D32" i="4"/>
  <c r="G37" i="15"/>
  <c r="B41" i="15"/>
  <c r="E17" i="15"/>
  <c r="F11" i="9"/>
  <c r="N39" i="9"/>
  <c r="C17" i="2"/>
  <c r="C30" i="2"/>
  <c r="E18" i="3"/>
  <c r="E20" i="15"/>
  <c r="D31" i="8"/>
  <c r="D18" i="3"/>
  <c r="I28" i="3"/>
  <c r="I28" i="2" s="1"/>
  <c r="J28" i="2" s="1"/>
  <c r="B5" i="5" s="1"/>
  <c r="L31" i="15"/>
  <c r="K31" i="4" s="1"/>
  <c r="L31" i="4" s="1"/>
  <c r="C11" i="5" s="1"/>
  <c r="L26" i="15"/>
  <c r="K26" i="4" s="1"/>
  <c r="L26" i="4" s="1"/>
  <c r="C6" i="5" s="1"/>
  <c r="H44" i="3"/>
  <c r="E12" i="15"/>
  <c r="O17" i="9"/>
  <c r="H35" i="2"/>
  <c r="H21" i="2"/>
  <c r="D35" i="2"/>
  <c r="D43" i="2"/>
  <c r="B22" i="3"/>
  <c r="H37" i="15"/>
  <c r="B46" i="4"/>
  <c r="B47" i="4" s="1"/>
  <c r="J37" i="15"/>
  <c r="D6" i="8"/>
  <c r="D12" i="8" s="1"/>
  <c r="B37" i="15"/>
  <c r="J41" i="15"/>
  <c r="L18" i="15"/>
  <c r="K18" i="4" s="1"/>
  <c r="L18" i="4" s="1"/>
  <c r="I5" i="3"/>
  <c r="I4" i="2" s="1"/>
  <c r="J4" i="2" s="1"/>
  <c r="B5" i="1" s="1"/>
  <c r="C12" i="15"/>
  <c r="N5" i="16"/>
  <c r="N9" i="16"/>
  <c r="N22" i="16"/>
  <c r="N35" i="16"/>
  <c r="J32" i="15"/>
  <c r="I41" i="15"/>
  <c r="E6" i="2"/>
  <c r="F11" i="2"/>
  <c r="C11" i="2"/>
  <c r="G21" i="2"/>
  <c r="D30" i="2"/>
  <c r="H30" i="2"/>
  <c r="B35" i="2"/>
  <c r="F35" i="2"/>
  <c r="C35" i="2"/>
  <c r="D40" i="2"/>
  <c r="E40" i="2"/>
  <c r="G33" i="8"/>
  <c r="K33" i="8"/>
  <c r="R48" i="9"/>
  <c r="G55" i="9"/>
  <c r="N27" i="16"/>
  <c r="B23" i="16"/>
  <c r="L36" i="15"/>
  <c r="K36" i="4" s="1"/>
  <c r="L36" i="4" s="1"/>
  <c r="C16" i="5" s="1"/>
  <c r="R49" i="9"/>
  <c r="P39" i="9"/>
  <c r="E10" i="9"/>
  <c r="D11" i="2"/>
  <c r="D44" i="2"/>
  <c r="L55" i="9"/>
  <c r="I37" i="15"/>
  <c r="F41" i="15"/>
  <c r="J50" i="2"/>
  <c r="G12" i="4"/>
  <c r="B41" i="4"/>
  <c r="B37" i="4"/>
  <c r="F41" i="4"/>
  <c r="F32" i="15"/>
  <c r="F40" i="15"/>
  <c r="D32" i="8"/>
  <c r="D33" i="8"/>
  <c r="C37" i="16"/>
  <c r="N34" i="16"/>
  <c r="F4" i="9"/>
  <c r="F21" i="9"/>
  <c r="O37" i="9"/>
  <c r="L48" i="9"/>
  <c r="O49" i="9"/>
  <c r="Q10" i="9"/>
  <c r="D20" i="1"/>
  <c r="E43" i="2"/>
  <c r="E30" i="2"/>
  <c r="N21" i="16"/>
  <c r="L30" i="15"/>
  <c r="K30" i="4" s="1"/>
  <c r="L30" i="4" s="1"/>
  <c r="C10" i="5" s="1"/>
  <c r="J40" i="15"/>
  <c r="B6" i="2"/>
  <c r="B17" i="2"/>
  <c r="B7" i="3"/>
  <c r="E12" i="3"/>
  <c r="H12" i="3"/>
  <c r="I20" i="3"/>
  <c r="I19" i="2" s="1"/>
  <c r="J19" i="2" s="1"/>
  <c r="I21" i="3"/>
  <c r="I20" i="2" s="1"/>
  <c r="B43" i="3"/>
  <c r="B40" i="3"/>
  <c r="I39" i="3"/>
  <c r="I39" i="2" s="1"/>
  <c r="J39" i="2" s="1"/>
  <c r="B16" i="5" s="1"/>
  <c r="G7" i="4"/>
  <c r="J17" i="4"/>
  <c r="H20" i="4"/>
  <c r="H27" i="4"/>
  <c r="B40" i="4"/>
  <c r="I37" i="4"/>
  <c r="I40" i="4"/>
  <c r="D7" i="15"/>
  <c r="J17" i="15"/>
  <c r="L35" i="15"/>
  <c r="K35" i="4" s="1"/>
  <c r="L35" i="4" s="1"/>
  <c r="C15" i="5" s="1"/>
  <c r="L46" i="15"/>
  <c r="K44" i="4" s="1"/>
  <c r="L44" i="4" s="1"/>
  <c r="B12" i="7"/>
  <c r="J6" i="8"/>
  <c r="J12" i="8" s="1"/>
  <c r="M5" i="8"/>
  <c r="C19" i="1" s="1"/>
  <c r="D5" i="5"/>
  <c r="B18" i="8"/>
  <c r="M18" i="8" s="1"/>
  <c r="B23" i="8"/>
  <c r="M23" i="8" s="1"/>
  <c r="B31" i="8"/>
  <c r="G31" i="8"/>
  <c r="B28" i="8"/>
  <c r="E6" i="16"/>
  <c r="L6" i="16"/>
  <c r="C11" i="16"/>
  <c r="F14" i="9"/>
  <c r="O22" i="9"/>
  <c r="F40" i="9"/>
  <c r="C39" i="9"/>
  <c r="F45" i="9"/>
  <c r="N16" i="16"/>
  <c r="G16" i="9"/>
  <c r="O32" i="9"/>
  <c r="Q31" i="9"/>
  <c r="R40" i="9"/>
  <c r="G48" i="9"/>
  <c r="K40" i="15"/>
  <c r="B40" i="2"/>
  <c r="I10" i="3"/>
  <c r="I9" i="2" s="1"/>
  <c r="I16" i="3"/>
  <c r="I15" i="2" s="1"/>
  <c r="H22" i="3"/>
  <c r="B35" i="3"/>
  <c r="I33" i="3"/>
  <c r="I33" i="2" s="1"/>
  <c r="B12" i="4"/>
  <c r="F12" i="4"/>
  <c r="I27" i="4"/>
  <c r="F32" i="4"/>
  <c r="E40" i="15"/>
  <c r="E6" i="8"/>
  <c r="E12" i="8" s="1"/>
  <c r="L10" i="8"/>
  <c r="M8" i="8"/>
  <c r="D6" i="5"/>
  <c r="N4" i="16"/>
  <c r="M6" i="16"/>
  <c r="I18" i="16"/>
  <c r="C16" i="9"/>
  <c r="I45" i="9"/>
  <c r="G39" i="9"/>
  <c r="N10" i="9"/>
  <c r="O10" i="9" s="1"/>
  <c r="H55" i="9"/>
  <c r="H43" i="3"/>
  <c r="E44" i="3"/>
  <c r="H12" i="4"/>
  <c r="C20" i="4"/>
  <c r="G40" i="15"/>
  <c r="L47" i="15"/>
  <c r="K45" i="4" s="1"/>
  <c r="L45" i="4" s="1"/>
  <c r="B33" i="1" s="1"/>
  <c r="D18" i="16"/>
  <c r="N17" i="16"/>
  <c r="E23" i="16"/>
  <c r="I23" i="16"/>
  <c r="M23" i="16"/>
  <c r="C30" i="16"/>
  <c r="N28" i="16"/>
  <c r="B37" i="16"/>
  <c r="F37" i="16"/>
  <c r="R12" i="9"/>
  <c r="O18" i="9"/>
  <c r="I27" i="9"/>
  <c r="I29" i="9"/>
  <c r="I35" i="9"/>
  <c r="H10" i="9"/>
  <c r="I10" i="9" s="1"/>
  <c r="E55" i="9"/>
  <c r="C43" i="2"/>
  <c r="F43" i="3"/>
  <c r="D35" i="3"/>
  <c r="C12" i="4"/>
  <c r="H32" i="4"/>
  <c r="G7" i="15"/>
  <c r="K7" i="15"/>
  <c r="I17" i="15"/>
  <c r="C27" i="15"/>
  <c r="G27" i="15"/>
  <c r="K6" i="8"/>
  <c r="K12" i="8" s="1"/>
  <c r="L23" i="16"/>
  <c r="P10" i="9"/>
  <c r="O14" i="9"/>
  <c r="I18" i="9"/>
  <c r="O21" i="9"/>
  <c r="G31" i="9"/>
  <c r="I50" i="9"/>
  <c r="N48" i="9"/>
  <c r="N55" i="9"/>
  <c r="B38" i="1"/>
  <c r="C37" i="1" s="1"/>
  <c r="C33" i="8"/>
  <c r="D17" i="2"/>
  <c r="F40" i="2"/>
  <c r="F43" i="2"/>
  <c r="C40" i="15"/>
  <c r="F30" i="3"/>
  <c r="M31" i="8" l="1"/>
  <c r="M32" i="8"/>
  <c r="M28" i="8"/>
  <c r="H21" i="15"/>
  <c r="B31" i="7"/>
  <c r="C31" i="7"/>
  <c r="B21" i="15"/>
  <c r="J5" i="5"/>
  <c r="H28" i="1"/>
  <c r="E29" i="1"/>
  <c r="J31" i="7"/>
  <c r="J33" i="7" s="1"/>
  <c r="J15" i="5"/>
  <c r="J17" i="5" s="1"/>
  <c r="H27" i="1"/>
  <c r="H29" i="1" s="1"/>
  <c r="H11" i="1"/>
  <c r="G20" i="5"/>
  <c r="G22" i="5" s="1"/>
  <c r="G11" i="5"/>
  <c r="G12" i="5" s="1"/>
  <c r="J21" i="15"/>
  <c r="R39" i="9"/>
  <c r="B7" i="5"/>
  <c r="F29" i="7"/>
  <c r="F48" i="9"/>
  <c r="B45" i="2"/>
  <c r="O39" i="9"/>
  <c r="H45" i="2"/>
  <c r="F20" i="1"/>
  <c r="F21" i="15"/>
  <c r="C21" i="4"/>
  <c r="D21" i="4"/>
  <c r="E45" i="2"/>
  <c r="D42" i="4"/>
  <c r="I42" i="15"/>
  <c r="B23" i="3"/>
  <c r="H42" i="15"/>
  <c r="G42" i="15"/>
  <c r="J42" i="4"/>
  <c r="C42" i="4"/>
  <c r="B21" i="4"/>
  <c r="E23" i="3"/>
  <c r="R16" i="9"/>
  <c r="D21" i="15"/>
  <c r="E23" i="2"/>
  <c r="F45" i="3"/>
  <c r="N30" i="16"/>
  <c r="R55" i="9"/>
  <c r="G23" i="2"/>
  <c r="D45" i="3"/>
  <c r="G45" i="2"/>
  <c r="G7" i="7"/>
  <c r="F21" i="1"/>
  <c r="D17" i="5"/>
  <c r="F21" i="4"/>
  <c r="C45" i="3"/>
  <c r="D23" i="3"/>
  <c r="C17" i="1"/>
  <c r="B42" i="15"/>
  <c r="F23" i="3"/>
  <c r="E42" i="4"/>
  <c r="O31" i="9"/>
  <c r="B12" i="8"/>
  <c r="L12" i="15"/>
  <c r="F55" i="9"/>
  <c r="I39" i="9"/>
  <c r="G42" i="4"/>
  <c r="G21" i="4"/>
  <c r="O16" i="9"/>
  <c r="L20" i="15"/>
  <c r="K42" i="15"/>
  <c r="G23" i="3"/>
  <c r="H23" i="3"/>
  <c r="N11" i="16"/>
  <c r="B23" i="2"/>
  <c r="F10" i="9"/>
  <c r="D7" i="1"/>
  <c r="I31" i="9"/>
  <c r="K21" i="15"/>
  <c r="E21" i="4"/>
  <c r="C23" i="3"/>
  <c r="I16" i="9"/>
  <c r="I21" i="4"/>
  <c r="D18" i="1"/>
  <c r="I21" i="15"/>
  <c r="H21" i="4"/>
  <c r="G21" i="15"/>
  <c r="I30" i="3"/>
  <c r="L12" i="8"/>
  <c r="R31" i="9"/>
  <c r="E42" i="15"/>
  <c r="I18" i="3"/>
  <c r="C10" i="1"/>
  <c r="I17" i="2"/>
  <c r="J17" i="2" s="1"/>
  <c r="J42" i="15"/>
  <c r="F23" i="2"/>
  <c r="C21" i="15"/>
  <c r="G45" i="3"/>
  <c r="H45" i="3"/>
  <c r="D19" i="1"/>
  <c r="I7" i="3"/>
  <c r="D45" i="2"/>
  <c r="C23" i="2"/>
  <c r="C45" i="2"/>
  <c r="D21" i="5"/>
  <c r="I21" i="2"/>
  <c r="J21" i="2" s="1"/>
  <c r="C12" i="5"/>
  <c r="B42" i="4"/>
  <c r="B8" i="1"/>
  <c r="H23" i="2"/>
  <c r="B17" i="5"/>
  <c r="E36" i="1"/>
  <c r="E37" i="1"/>
  <c r="K7" i="4"/>
  <c r="L7" i="4" s="1"/>
  <c r="F42" i="4"/>
  <c r="G12" i="7"/>
  <c r="I40" i="3"/>
  <c r="D20" i="5"/>
  <c r="L32" i="15"/>
  <c r="K12" i="4"/>
  <c r="L12" i="4" s="1"/>
  <c r="D6" i="1"/>
  <c r="L7" i="15"/>
  <c r="L37" i="15"/>
  <c r="I44" i="2"/>
  <c r="J44" i="2" s="1"/>
  <c r="D12" i="5"/>
  <c r="I30" i="2"/>
  <c r="J30" i="2" s="1"/>
  <c r="K20" i="4"/>
  <c r="L20" i="4" s="1"/>
  <c r="E45" i="3"/>
  <c r="K17" i="4"/>
  <c r="L17" i="4" s="1"/>
  <c r="D42" i="15"/>
  <c r="K40" i="4"/>
  <c r="L40" i="4" s="1"/>
  <c r="I43" i="2"/>
  <c r="J43" i="2" s="1"/>
  <c r="I12" i="3"/>
  <c r="I6" i="2"/>
  <c r="J6" i="2" s="1"/>
  <c r="D5" i="1" s="1"/>
  <c r="K27" i="4"/>
  <c r="L27" i="4" s="1"/>
  <c r="K37" i="4"/>
  <c r="H42" i="4"/>
  <c r="N18" i="16"/>
  <c r="E21" i="15"/>
  <c r="B27" i="1"/>
  <c r="L41" i="15"/>
  <c r="N56" i="9"/>
  <c r="N54" i="9" s="1"/>
  <c r="E56" i="9"/>
  <c r="E54" i="9" s="1"/>
  <c r="Q56" i="9"/>
  <c r="Q54" i="9" s="1"/>
  <c r="N6" i="16"/>
  <c r="N37" i="16"/>
  <c r="B28" i="1"/>
  <c r="E6" i="5"/>
  <c r="F6" i="5" s="1"/>
  <c r="L27" i="15"/>
  <c r="I42" i="4"/>
  <c r="C8" i="1"/>
  <c r="I44" i="3"/>
  <c r="I22" i="3"/>
  <c r="J33" i="2"/>
  <c r="B10" i="5" s="1"/>
  <c r="E10" i="5" s="1"/>
  <c r="E16" i="5"/>
  <c r="F16" i="5" s="1"/>
  <c r="E15" i="5"/>
  <c r="I48" i="9"/>
  <c r="G56" i="9"/>
  <c r="F39" i="9"/>
  <c r="B45" i="3"/>
  <c r="I43" i="3"/>
  <c r="J21" i="4"/>
  <c r="M10" i="8"/>
  <c r="L17" i="15"/>
  <c r="H56" i="9"/>
  <c r="H54" i="9" s="1"/>
  <c r="B17" i="1"/>
  <c r="K41" i="4"/>
  <c r="L41" i="4" s="1"/>
  <c r="J15" i="2"/>
  <c r="B16" i="1" s="1"/>
  <c r="C7" i="5"/>
  <c r="J20" i="2"/>
  <c r="C16" i="1" s="1"/>
  <c r="I35" i="2"/>
  <c r="J35" i="2" s="1"/>
  <c r="I35" i="3"/>
  <c r="B33" i="8"/>
  <c r="M33" i="8" s="1"/>
  <c r="F42" i="15"/>
  <c r="M6" i="8"/>
  <c r="P56" i="9"/>
  <c r="I40" i="2"/>
  <c r="J40" i="2" s="1"/>
  <c r="I11" i="2"/>
  <c r="J11" i="2" s="1"/>
  <c r="J9" i="2"/>
  <c r="B10" i="1" s="1"/>
  <c r="C21" i="5"/>
  <c r="R10" i="9"/>
  <c r="F16" i="9"/>
  <c r="K32" i="4"/>
  <c r="L32" i="4" s="1"/>
  <c r="D7" i="5"/>
  <c r="C56" i="9"/>
  <c r="D39" i="9" s="1"/>
  <c r="O48" i="9"/>
  <c r="L56" i="9"/>
  <c r="M48" i="9" s="1"/>
  <c r="O55" i="9"/>
  <c r="N23" i="16"/>
  <c r="I55" i="9"/>
  <c r="C36" i="1"/>
  <c r="C42" i="15"/>
  <c r="L40" i="15"/>
  <c r="E5" i="5"/>
  <c r="C17" i="5"/>
  <c r="C20" i="5"/>
  <c r="B11" i="5"/>
  <c r="C28" i="1"/>
  <c r="F45" i="2"/>
  <c r="D23" i="2"/>
  <c r="D31" i="7" l="1"/>
  <c r="J11" i="5"/>
  <c r="J7" i="5"/>
  <c r="J20" i="5"/>
  <c r="F30" i="7"/>
  <c r="D17" i="1"/>
  <c r="C22" i="1"/>
  <c r="F18" i="1"/>
  <c r="E17" i="5"/>
  <c r="I23" i="3"/>
  <c r="F19" i="1"/>
  <c r="L21" i="15"/>
  <c r="K21" i="4"/>
  <c r="L21" i="4" s="1"/>
  <c r="M12" i="8"/>
  <c r="D28" i="1"/>
  <c r="F7" i="1"/>
  <c r="C11" i="1"/>
  <c r="M31" i="7" s="1"/>
  <c r="K42" i="4"/>
  <c r="L42" i="4" s="1"/>
  <c r="I23" i="2"/>
  <c r="J23" i="2" s="1"/>
  <c r="D8" i="1"/>
  <c r="F8" i="1" s="1"/>
  <c r="B11" i="1"/>
  <c r="L31" i="7" s="1"/>
  <c r="I45" i="3"/>
  <c r="L37" i="4"/>
  <c r="F5" i="1"/>
  <c r="F6" i="1"/>
  <c r="O56" i="9"/>
  <c r="D22" i="5"/>
  <c r="B29" i="1"/>
  <c r="C33" i="1"/>
  <c r="D10" i="1"/>
  <c r="B32" i="1"/>
  <c r="B20" i="5"/>
  <c r="E20" i="5" s="1"/>
  <c r="I45" i="2"/>
  <c r="J45" i="2" s="1"/>
  <c r="H6" i="5"/>
  <c r="C27" i="1"/>
  <c r="C29" i="1" s="1"/>
  <c r="H16" i="5"/>
  <c r="F15" i="5"/>
  <c r="C22" i="5"/>
  <c r="B22" i="1"/>
  <c r="D16" i="1"/>
  <c r="D16" i="9"/>
  <c r="L42" i="15"/>
  <c r="D12" i="9"/>
  <c r="D51" i="9"/>
  <c r="D6" i="9"/>
  <c r="D31" i="9"/>
  <c r="D20" i="9"/>
  <c r="D11" i="9"/>
  <c r="D50" i="9"/>
  <c r="D22" i="9"/>
  <c r="D55" i="9"/>
  <c r="D33" i="9"/>
  <c r="D19" i="9"/>
  <c r="D23" i="9"/>
  <c r="D4" i="9"/>
  <c r="D40" i="9"/>
  <c r="D41" i="9"/>
  <c r="C54" i="9"/>
  <c r="D49" i="9"/>
  <c r="D17" i="9"/>
  <c r="D18" i="9"/>
  <c r="D56" i="9"/>
  <c r="D25" i="9"/>
  <c r="D46" i="9"/>
  <c r="D29" i="9"/>
  <c r="D10" i="9"/>
  <c r="D35" i="9"/>
  <c r="D21" i="9"/>
  <c r="D32" i="9"/>
  <c r="D42" i="9"/>
  <c r="D45" i="9"/>
  <c r="D27" i="9"/>
  <c r="D8" i="9"/>
  <c r="D48" i="9"/>
  <c r="D14" i="9"/>
  <c r="D43" i="9"/>
  <c r="D52" i="9"/>
  <c r="F56" i="9"/>
  <c r="D37" i="9"/>
  <c r="M39" i="9"/>
  <c r="M18" i="9"/>
  <c r="M12" i="9"/>
  <c r="M41" i="9"/>
  <c r="M19" i="9"/>
  <c r="M6" i="9"/>
  <c r="M50" i="9"/>
  <c r="M49" i="9"/>
  <c r="M56" i="9"/>
  <c r="M44" i="9"/>
  <c r="M52" i="9"/>
  <c r="M21" i="9"/>
  <c r="M45" i="9"/>
  <c r="M14" i="9"/>
  <c r="M42" i="9"/>
  <c r="M40" i="9"/>
  <c r="M20" i="9"/>
  <c r="M4" i="9"/>
  <c r="M25" i="9"/>
  <c r="L54" i="9"/>
  <c r="M54" i="9" s="1"/>
  <c r="M8" i="9"/>
  <c r="M43" i="9"/>
  <c r="M10" i="9"/>
  <c r="M31" i="9"/>
  <c r="M27" i="9"/>
  <c r="M35" i="9"/>
  <c r="M23" i="9"/>
  <c r="M17" i="9"/>
  <c r="M11" i="9"/>
  <c r="M32" i="9"/>
  <c r="M46" i="9"/>
  <c r="M51" i="9"/>
  <c r="M37" i="9"/>
  <c r="M16" i="9"/>
  <c r="M29" i="9"/>
  <c r="M22" i="9"/>
  <c r="M33" i="9"/>
  <c r="M55" i="9"/>
  <c r="P54" i="9"/>
  <c r="R54" i="9" s="1"/>
  <c r="R56" i="9"/>
  <c r="I56" i="9"/>
  <c r="G54" i="9"/>
  <c r="I54" i="9" s="1"/>
  <c r="E11" i="5"/>
  <c r="F11" i="5" s="1"/>
  <c r="B21" i="5"/>
  <c r="E21" i="5" s="1"/>
  <c r="F21" i="5" s="1"/>
  <c r="H21" i="5" s="1"/>
  <c r="B12" i="5"/>
  <c r="E7" i="5"/>
  <c r="F5" i="5"/>
  <c r="F10" i="5"/>
  <c r="H31" i="7" l="1"/>
  <c r="F31" i="7"/>
  <c r="J12" i="5"/>
  <c r="J21" i="5"/>
  <c r="J22" i="5" s="1"/>
  <c r="N31" i="7"/>
  <c r="P31" i="7" s="1"/>
  <c r="G31" i="7"/>
  <c r="P30" i="7"/>
  <c r="K30" i="7"/>
  <c r="F17" i="1"/>
  <c r="F28" i="1"/>
  <c r="F17" i="5"/>
  <c r="H17" i="5" s="1"/>
  <c r="D27" i="1"/>
  <c r="H15" i="5"/>
  <c r="C32" i="1"/>
  <c r="D22" i="1"/>
  <c r="F22" i="1" s="1"/>
  <c r="D11" i="1"/>
  <c r="F11" i="1" s="1"/>
  <c r="F16" i="1"/>
  <c r="E12" i="5"/>
  <c r="F10" i="1"/>
  <c r="D54" i="9"/>
  <c r="F54" i="9"/>
  <c r="B22" i="5"/>
  <c r="O54" i="9"/>
  <c r="F12" i="5"/>
  <c r="H12" i="5" s="1"/>
  <c r="H10" i="5"/>
  <c r="F20" i="5"/>
  <c r="E22" i="5"/>
  <c r="H5" i="5"/>
  <c r="F7" i="5"/>
  <c r="H7" i="5" s="1"/>
  <c r="H11" i="5"/>
  <c r="I31" i="7" l="1"/>
  <c r="K29" i="7"/>
  <c r="P29" i="7"/>
  <c r="F27" i="1"/>
  <c r="D29" i="1"/>
  <c r="F29" i="1" s="1"/>
  <c r="H20" i="5"/>
  <c r="F22" i="5"/>
  <c r="H22" i="5" s="1"/>
  <c r="K31" i="7" l="1"/>
  <c r="C25" i="7" l="1"/>
  <c r="B25" i="7"/>
  <c r="D25" i="7" l="1"/>
  <c r="F25" i="7" s="1"/>
  <c r="M25" i="7"/>
  <c r="H25" i="7" l="1"/>
  <c r="L25" i="7"/>
  <c r="N25" i="7" s="1"/>
  <c r="P25" i="7" s="1"/>
  <c r="G25" i="7" l="1"/>
  <c r="I25" i="7" s="1"/>
  <c r="K25" i="7" s="1"/>
  <c r="C23" i="7" l="1"/>
  <c r="B23" i="7"/>
  <c r="D23" i="7" l="1"/>
  <c r="F23" i="7" s="1"/>
  <c r="L23" i="7"/>
  <c r="G23" i="7" l="1"/>
  <c r="M23" i="7" l="1"/>
  <c r="N23" i="7" s="1"/>
  <c r="P23" i="7" s="1"/>
  <c r="H23" i="7" l="1"/>
  <c r="I23" i="7" s="1"/>
  <c r="K23" i="7" s="1"/>
  <c r="C21" i="7" l="1"/>
  <c r="B21" i="7"/>
  <c r="M21" i="7" l="1"/>
  <c r="D21" i="7"/>
  <c r="G21" i="7" l="1"/>
  <c r="L21" i="7"/>
  <c r="N21" i="7" s="1"/>
  <c r="P21" i="7" s="1"/>
  <c r="H21" i="7"/>
  <c r="F21" i="7"/>
  <c r="I21" i="7" l="1"/>
  <c r="K21" i="7" l="1"/>
  <c r="C26" i="7" l="1"/>
  <c r="M26" i="7"/>
  <c r="B26" i="7"/>
  <c r="D26" i="7" l="1"/>
  <c r="F26" i="7" s="1"/>
  <c r="H26" i="7"/>
  <c r="L26" i="7" l="1"/>
  <c r="N26" i="7" s="1"/>
  <c r="P26" i="7" s="1"/>
  <c r="G26" i="7" l="1"/>
  <c r="I26" i="7" s="1"/>
  <c r="K26" i="7" s="1"/>
  <c r="B27" i="7" l="1"/>
  <c r="C27" i="7"/>
  <c r="D27" i="7" l="1"/>
  <c r="F27" i="7" s="1"/>
  <c r="L27" i="7"/>
  <c r="G27" i="7" l="1"/>
  <c r="M27" i="7"/>
  <c r="N27" i="7" s="1"/>
  <c r="P27" i="7" s="1"/>
  <c r="H27" i="7" l="1"/>
  <c r="I27" i="7" s="1"/>
  <c r="K27" i="7" s="1"/>
  <c r="B22" i="7" l="1"/>
  <c r="M22" i="7"/>
  <c r="C22" i="7"/>
  <c r="D22" i="7" l="1"/>
  <c r="F22" i="7" s="1"/>
  <c r="L22" i="7"/>
  <c r="N22" i="7" s="1"/>
  <c r="H22" i="7"/>
  <c r="G22" i="7" l="1"/>
  <c r="I22" i="7" s="1"/>
  <c r="P22" i="7"/>
  <c r="K22" i="7" l="1"/>
  <c r="C28" i="7" l="1"/>
  <c r="B28" i="7"/>
  <c r="D28" i="7" l="1"/>
  <c r="F28" i="7" s="1"/>
  <c r="L28" i="7"/>
  <c r="M28" i="7"/>
  <c r="N28" i="7" l="1"/>
  <c r="P28" i="7" s="1"/>
  <c r="H28" i="7"/>
  <c r="G28" i="7"/>
  <c r="I28" i="7" l="1"/>
  <c r="K28" i="7" s="1"/>
  <c r="C24" i="7"/>
  <c r="C33" i="7" s="1"/>
  <c r="B24" i="7"/>
  <c r="B33" i="7" s="1"/>
  <c r="D24" i="7" l="1"/>
  <c r="D33" i="7" s="1"/>
  <c r="F33" i="7" s="1"/>
  <c r="M24" i="7"/>
  <c r="M33" i="7" s="1"/>
  <c r="F24" i="7" l="1"/>
  <c r="L24" i="7"/>
  <c r="L33" i="7" s="1"/>
  <c r="G24" i="7"/>
  <c r="H24" i="7"/>
  <c r="H33" i="7" s="1"/>
  <c r="N24" i="7" l="1"/>
  <c r="P24" i="7" s="1"/>
  <c r="I24" i="7"/>
  <c r="G33" i="7"/>
  <c r="N33" i="7" l="1"/>
  <c r="P33" i="7" s="1"/>
  <c r="K24" i="7"/>
  <c r="I33" i="7"/>
  <c r="K33" i="7" s="1"/>
  <c r="D33" i="1" l="1"/>
  <c r="G21" i="1" l="1"/>
  <c r="G20" i="1"/>
  <c r="I16" i="5"/>
  <c r="G7" i="1" l="1"/>
  <c r="I20" i="1"/>
  <c r="G18" i="1"/>
  <c r="G5" i="1"/>
  <c r="I21" i="1"/>
  <c r="G16" i="1" l="1"/>
  <c r="I7" i="1"/>
  <c r="I5" i="1"/>
  <c r="I18" i="1"/>
  <c r="G19" i="1"/>
  <c r="D32" i="1"/>
  <c r="I16" i="1" l="1"/>
  <c r="G6" i="1"/>
  <c r="D34" i="1"/>
  <c r="E33" i="1" s="1"/>
  <c r="I19" i="1"/>
  <c r="G10" i="1"/>
  <c r="G17" i="1"/>
  <c r="G22" i="1" s="1"/>
  <c r="I22" i="1" s="1"/>
  <c r="I10" i="1" l="1"/>
  <c r="I17" i="1"/>
  <c r="E32" i="1"/>
  <c r="I6" i="1"/>
  <c r="G8" i="1"/>
  <c r="G27" i="1" l="1"/>
  <c r="I6" i="5"/>
  <c r="I11" i="5"/>
  <c r="G28" i="1"/>
  <c r="I5" i="5"/>
  <c r="G11" i="1"/>
  <c r="I11" i="1" s="1"/>
  <c r="I8" i="1"/>
  <c r="I15" i="5"/>
  <c r="I28" i="1" l="1"/>
  <c r="I27" i="1"/>
  <c r="G29" i="1"/>
  <c r="I29" i="1" s="1"/>
  <c r="K6" i="5"/>
  <c r="I21" i="5"/>
  <c r="K21" i="5" s="1"/>
  <c r="I10" i="5"/>
  <c r="I20" i="5" s="1"/>
  <c r="K15" i="5"/>
  <c r="I17" i="5"/>
  <c r="K17" i="5" s="1"/>
  <c r="I7" i="5"/>
  <c r="K7" i="5" s="1"/>
  <c r="K5" i="5"/>
  <c r="K11" i="5"/>
  <c r="K20" i="5" l="1"/>
  <c r="I22" i="5"/>
  <c r="K22" i="5" s="1"/>
  <c r="I12" i="5"/>
  <c r="K12" i="5" s="1"/>
  <c r="K10" i="5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<sst xmlns="http://schemas.openxmlformats.org/spreadsheetml/2006/main" count="533" uniqueCount="218">
  <si>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</si>
  <si>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</si>
  <si>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</si>
  <si>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</si>
  <si>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</si>
  <si>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</si>
  <si>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</si>
  <si>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</si>
  <si>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</si>
  <si>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</si>
  <si>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</si>
  <si>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</si>
  <si>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</si>
  <si>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</si>
  <si>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</si>
  <si>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</si>
  <si>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</si>
  <si>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</si>
  <si>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</si>
  <si>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</si>
  <si>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</si>
  <si>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</si>
  <si>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</si>
  <si>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</si>
  <si>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</si>
  <si>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</si>
  <si>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</si>
  <si>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</si>
  <si>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</si>
  <si>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</si>
  <si>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</si>
  <si>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</si>
  <si>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</si>
  <si>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</si>
  <si>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</si>
  <si>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</si>
  <si>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</si>
  <si>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</si>
  <si>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</si>
  <si>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</si>
  <si>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</si>
  <si>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</si>
  <si>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</si>
  <si>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</si>
  <si>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</si>
  <si>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</si>
  <si>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</si>
  <si>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</si>
  <si>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</si>
  <si>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</si>
  <si>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</si>
  <si>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</si>
  <si>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</si>
  <si>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</si>
  <si>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</si>
  <si>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</si>
  <si>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</si>
  <si>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</si>
  <si>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</si>
  <si>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</si>
  <si>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</si>
  <si>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</si>
  <si>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</si>
  <si>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</si>
  <si>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</si>
  <si>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</si>
  <si>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</si>
  <si>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</si>
  <si>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</si>
  <si>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</si>
  <si>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</si>
  <si>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</si>
  <si>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</si>
  <si>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</si>
  <si>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</si>
  <si>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</si>
  <si>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</si>
  <si>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</si>
  <si>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</si>
  <si>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</si>
  <si>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</si>
  <si>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</si>
  <si>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</si>
  <si>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</si>
  <si>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</si>
  <si>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</si>
  <si>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</si>
  <si>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</si>
  <si>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</si>
  <si>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</si>
  <si>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</si>
  <si>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</si>
  <si>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</si>
  <si>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</si>
  <si>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</si>
  <si>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</si>
  <si>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</si>
  <si>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</si>
  <si>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</si>
  <si>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</si>
  <si>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</si>
  <si>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</si>
  <si>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</si>
  <si>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</si>
  <si>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</si>
  <si>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</si>
  <si>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</si>
  <si>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</si>
  <si>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</si>
  <si>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</si>
  <si>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</si>
  <si>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</si>
  <si>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</si>
  <si>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</si>
  <si>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</si>
  <si>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</si>
  <si>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</si>
  <si>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</si>
  <si>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</si>
  <si>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</si>
  <si>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</si>
  <si>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</si>
  <si>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</si>
  <si>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</si>
  <si>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</si>
  <si>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</si>
  <si>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</si>
  <si>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</si>
  <si>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</si>
  <si>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</si>
  <si>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</si>
  <si>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</si>
  <si>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</si>
  <si>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</si>
  <si>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</si>
  <si>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</si>
  <si>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</si>
  <si>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</si>
  <si>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</si>
  <si>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</si>
  <si>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</si>
  <si>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</si>
  <si>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</si>
  <si>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</si>
  <si>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</si>
  <si>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</si>
  <si>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</si>
  <si>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</si>
  <si>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</si>
  <si>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</si>
  <si>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</si>
  <si>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</si>
  <si>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</si>
  <si>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</si>
  <si>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</si>
  <si>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</si>
  <si>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</si>
  <si>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</si>
  <si>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</si>
  <si>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</si>
  <si>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</si>
  <si>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</si>
  <si>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</si>
  <si>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</si>
  <si>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</si>
  <si>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</si>
  <si>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</si>
  <si>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</si>
  <si>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</si>
  <si>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</si>
  <si>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</si>
  <si>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</si>
  <si>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</si>
  <si>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</si>
  <si>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</si>
  <si>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</si>
  <si>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</si>
  <si>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</si>
  <si>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</si>
  <si>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</si>
  <si>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</si>
  <si>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</si>
  <si>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</si>
  <si>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</si>
  <si>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</si>
  <si>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</si>
  <si>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</si>
  <si>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</si>
  <si>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</si>
  <si>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</si>
  <si>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</si>
  <si>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</si>
  <si>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</si>
  <si>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</si>
  <si>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</si>
  <si>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</si>
  <si>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</si>
  <si>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</si>
  <si>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</si>
  <si>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</si>
  <si>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</si>
  <si>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</si>
  <si>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</si>
  <si>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</si>
  <si>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</si>
  <si>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</si>
  <si>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</si>
  <si>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</si>
  <si>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</si>
  <si>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</si>
  <si>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</si>
  <si>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</si>
  <si>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</si>
  <si>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</si>
  <si>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</si>
  <si>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Condor</t>
  </si>
  <si>
    <t>November 2013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</si>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</sst>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5" xfId="3" applyNumberForma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6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0" fontId="4" fillId="0" borderId="81" xfId="0" applyFont="1" applyBorder="1" applyAlignment="1">
      <alignment horizontal="center"/>
    </xf>
    <xf numFmtId="10" fontId="4" fillId="3" borderId="82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3" xfId="0" applyFont="1" applyFill="1" applyBorder="1" applyAlignment="1">
      <alignment horizontal="center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5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November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ly%2020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ugust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September%20201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October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1696868</v>
          </cell>
          <cell r="G5">
            <v>21167013</v>
          </cell>
        </row>
        <row r="6">
          <cell r="D6">
            <v>709008</v>
          </cell>
          <cell r="G6">
            <v>8909654</v>
          </cell>
        </row>
        <row r="7">
          <cell r="D7">
            <v>727</v>
          </cell>
          <cell r="G7">
            <v>8127</v>
          </cell>
        </row>
        <row r="10">
          <cell r="D10">
            <v>89510</v>
          </cell>
          <cell r="G10">
            <v>1043957</v>
          </cell>
        </row>
        <row r="16">
          <cell r="D16">
            <v>15329</v>
          </cell>
          <cell r="G16">
            <v>177617</v>
          </cell>
        </row>
        <row r="17">
          <cell r="D17">
            <v>15689</v>
          </cell>
          <cell r="G17">
            <v>187697</v>
          </cell>
        </row>
        <row r="18">
          <cell r="D18">
            <v>8</v>
          </cell>
          <cell r="G18">
            <v>85</v>
          </cell>
        </row>
        <row r="19">
          <cell r="D19">
            <v>936</v>
          </cell>
          <cell r="G19">
            <v>10440</v>
          </cell>
        </row>
        <row r="20">
          <cell r="D20">
            <v>1809</v>
          </cell>
          <cell r="G20">
            <v>19993</v>
          </cell>
        </row>
        <row r="21">
          <cell r="D21">
            <v>98</v>
          </cell>
          <cell r="G21">
            <v>1111</v>
          </cell>
        </row>
        <row r="27">
          <cell r="D27">
            <v>15269.43553349291</v>
          </cell>
          <cell r="G27">
            <v>166874.45069010791</v>
          </cell>
        </row>
        <row r="28">
          <cell r="D28">
            <v>1073.53702014328</v>
          </cell>
          <cell r="G28">
            <v>12698.105663328468</v>
          </cell>
        </row>
        <row r="32">
          <cell r="B32">
            <v>647774</v>
          </cell>
          <cell r="D32">
            <v>8148809</v>
          </cell>
        </row>
        <row r="33">
          <cell r="B33">
            <v>557693</v>
          </cell>
          <cell r="D33">
            <v>6871349</v>
          </cell>
        </row>
      </sheetData>
      <sheetData sheetId="1"/>
      <sheetData sheetId="2"/>
      <sheetData sheetId="3"/>
      <sheetData sheetId="4"/>
      <sheetData sheetId="5">
        <row r="31">
          <cell r="D31">
            <v>137800</v>
          </cell>
          <cell r="I31">
            <v>2358313</v>
          </cell>
          <cell r="N31">
            <v>2496113</v>
          </cell>
        </row>
      </sheetData>
      <sheetData sheetId="6"/>
      <sheetData sheetId="7">
        <row r="5">
          <cell r="F5">
            <v>7030.84684262268</v>
          </cell>
          <cell r="I5">
            <v>82350.141108392083</v>
          </cell>
        </row>
        <row r="6">
          <cell r="F6">
            <v>632.24834317953002</v>
          </cell>
          <cell r="I6">
            <v>5508.2130064584699</v>
          </cell>
        </row>
        <row r="10">
          <cell r="F10">
            <v>8238.5886908702305</v>
          </cell>
          <cell r="I10">
            <v>84524.309581715876</v>
          </cell>
        </row>
        <row r="11">
          <cell r="F11">
            <v>441.28867696374999</v>
          </cell>
          <cell r="I11">
            <v>7189.8926568700008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15269.43553349291</v>
          </cell>
        </row>
        <row r="21">
          <cell r="F21">
            <v>1073.53702014328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G25">
            <v>1403714</v>
          </cell>
          <cell r="H25">
            <v>1368650</v>
          </cell>
          <cell r="L25">
            <v>1489634</v>
          </cell>
          <cell r="M25">
            <v>1461317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105898</v>
          </cell>
          <cell r="C26">
            <v>106467</v>
          </cell>
          <cell r="G26">
            <v>1525905</v>
          </cell>
          <cell r="H26">
            <v>1503083</v>
          </cell>
          <cell r="L26">
            <v>1631803</v>
          </cell>
          <cell r="M26">
            <v>1609550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117493</v>
          </cell>
          <cell r="C27">
            <v>106705</v>
          </cell>
          <cell r="G27">
            <v>1603453</v>
          </cell>
          <cell r="H27">
            <v>1609153</v>
          </cell>
          <cell r="L27">
            <v>1720946</v>
          </cell>
          <cell r="M27">
            <v>1715858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216883</v>
          </cell>
          <cell r="I27">
            <v>3096738</v>
          </cell>
          <cell r="N27">
            <v>3313621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115517</v>
          </cell>
          <cell r="C28">
            <v>112775</v>
          </cell>
          <cell r="G28">
            <v>1595845</v>
          </cell>
          <cell r="H28">
            <v>1576867</v>
          </cell>
          <cell r="L28">
            <v>1711362</v>
          </cell>
          <cell r="M28">
            <v>1689642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ugust 2013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224271</v>
          </cell>
          <cell r="I28">
            <v>3099231</v>
          </cell>
          <cell r="N28">
            <v>3323502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20927712</v>
          </cell>
        </row>
        <row r="6">
          <cell r="G6">
            <v>8030620</v>
          </cell>
        </row>
        <row r="7">
          <cell r="G7">
            <v>3894</v>
          </cell>
        </row>
        <row r="10">
          <cell r="G10">
            <v>901457</v>
          </cell>
        </row>
        <row r="16">
          <cell r="G16">
            <v>159328</v>
          </cell>
        </row>
        <row r="17">
          <cell r="G17">
            <v>157608</v>
          </cell>
        </row>
        <row r="18">
          <cell r="G18">
            <v>65</v>
          </cell>
        </row>
        <row r="19">
          <cell r="G19">
            <v>9988</v>
          </cell>
        </row>
        <row r="20">
          <cell r="G20">
            <v>20456</v>
          </cell>
        </row>
        <row r="21">
          <cell r="G21">
            <v>1016</v>
          </cell>
        </row>
        <row r="27">
          <cell r="G27">
            <v>153311.47002227596</v>
          </cell>
        </row>
        <row r="28">
          <cell r="G28">
            <v>11141.69461773984</v>
          </cell>
        </row>
        <row r="32">
          <cell r="D32">
            <v>7852459</v>
          </cell>
        </row>
        <row r="33">
          <cell r="D33">
            <v>6579885</v>
          </cell>
        </row>
      </sheetData>
      <sheetData sheetId="1"/>
      <sheetData sheetId="2"/>
      <sheetData sheetId="3"/>
      <sheetData sheetId="4"/>
      <sheetData sheetId="5">
        <row r="30">
          <cell r="B30">
            <v>86129</v>
          </cell>
          <cell r="C30">
            <v>82900</v>
          </cell>
          <cell r="G30">
            <v>1390746</v>
          </cell>
          <cell r="H30">
            <v>1402935</v>
          </cell>
          <cell r="L30">
            <v>1476875</v>
          </cell>
          <cell r="M30">
            <v>1485835</v>
          </cell>
        </row>
      </sheetData>
      <sheetData sheetId="6"/>
      <sheetData sheetId="7">
        <row r="5">
          <cell r="I5">
            <v>72202.153975229739</v>
          </cell>
        </row>
        <row r="6">
          <cell r="I6">
            <v>5348.1892470614293</v>
          </cell>
        </row>
        <row r="10">
          <cell r="I10">
            <v>81109.316047046203</v>
          </cell>
        </row>
        <row r="11">
          <cell r="I11">
            <v>5793.5053706784111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89956</v>
          </cell>
          <cell r="C29">
            <v>90244</v>
          </cell>
          <cell r="G29">
            <v>1321782</v>
          </cell>
          <cell r="H29">
            <v>1321100</v>
          </cell>
          <cell r="L29">
            <v>1411738</v>
          </cell>
          <cell r="M29">
            <v>1411344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September 2013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181115</v>
          </cell>
          <cell r="I29">
            <v>2541709</v>
          </cell>
          <cell r="N29">
            <v>2722824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170256</v>
          </cell>
          <cell r="I30">
            <v>2678497</v>
          </cell>
          <cell r="N30">
            <v>2848753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  <cell r="DP15">
            <v>31</v>
          </cell>
          <cell r="DQ15">
            <v>31</v>
          </cell>
        </row>
        <row r="16">
          <cell r="DO16">
            <v>29</v>
          </cell>
          <cell r="DP16">
            <v>31</v>
          </cell>
          <cell r="DQ16">
            <v>31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B19">
            <v>62</v>
          </cell>
          <cell r="DC19">
            <v>62</v>
          </cell>
          <cell r="DD19">
            <v>2</v>
          </cell>
          <cell r="DE19">
            <v>0</v>
          </cell>
          <cell r="DF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P19">
            <v>62</v>
          </cell>
          <cell r="DQ19">
            <v>62</v>
          </cell>
          <cell r="DR19">
            <v>0</v>
          </cell>
          <cell r="DS19">
            <v>0</v>
          </cell>
          <cell r="DT19">
            <v>0</v>
          </cell>
        </row>
        <row r="32">
          <cell r="DO32">
            <v>7177</v>
          </cell>
          <cell r="DP32">
            <v>7992</v>
          </cell>
          <cell r="DQ32">
            <v>7623</v>
          </cell>
        </row>
        <row r="33">
          <cell r="DO33">
            <v>6962</v>
          </cell>
          <cell r="DP33">
            <v>5379</v>
          </cell>
          <cell r="DQ33">
            <v>6824</v>
          </cell>
        </row>
        <row r="37">
          <cell r="DO37">
            <v>30</v>
          </cell>
          <cell r="DP37">
            <v>41</v>
          </cell>
          <cell r="DQ37">
            <v>51</v>
          </cell>
        </row>
        <row r="38">
          <cell r="DO38">
            <v>20</v>
          </cell>
          <cell r="DP38">
            <v>37</v>
          </cell>
          <cell r="DQ38">
            <v>45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B41">
            <v>13668</v>
          </cell>
          <cell r="DC41">
            <v>14757</v>
          </cell>
          <cell r="DD41">
            <v>527</v>
          </cell>
          <cell r="DE41">
            <v>0</v>
          </cell>
          <cell r="DF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P41">
            <v>13371</v>
          </cell>
          <cell r="DQ41">
            <v>14447</v>
          </cell>
          <cell r="DR41">
            <v>0</v>
          </cell>
          <cell r="DS41">
            <v>0</v>
          </cell>
          <cell r="DT41">
            <v>0</v>
          </cell>
        </row>
      </sheetData>
      <sheetData sheetId="3">
        <row r="4">
          <cell r="DT4">
            <v>81</v>
          </cell>
        </row>
        <row r="5">
          <cell r="DT5">
            <v>81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B19">
            <v>310</v>
          </cell>
          <cell r="DC19">
            <v>297</v>
          </cell>
          <cell r="DD19">
            <v>238</v>
          </cell>
          <cell r="DE19">
            <v>260</v>
          </cell>
          <cell r="DF19">
            <v>226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P19">
            <v>184</v>
          </cell>
          <cell r="DQ19">
            <v>186</v>
          </cell>
          <cell r="DR19">
            <v>118</v>
          </cell>
          <cell r="DS19">
            <v>64</v>
          </cell>
          <cell r="DT19">
            <v>162</v>
          </cell>
        </row>
        <row r="22">
          <cell r="DT22">
            <v>5448</v>
          </cell>
        </row>
        <row r="23">
          <cell r="DT23">
            <v>6016</v>
          </cell>
        </row>
        <row r="27">
          <cell r="DT27">
            <v>98</v>
          </cell>
        </row>
        <row r="28">
          <cell r="DT28">
            <v>119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B41">
            <v>30215</v>
          </cell>
          <cell r="DC41">
            <v>30648</v>
          </cell>
          <cell r="DD41">
            <v>23390</v>
          </cell>
          <cell r="DE41">
            <v>26855</v>
          </cell>
          <cell r="DF41">
            <v>21304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P41">
            <v>20118</v>
          </cell>
          <cell r="DQ41">
            <v>20274</v>
          </cell>
          <cell r="DR41">
            <v>12640</v>
          </cell>
          <cell r="DS41">
            <v>6625</v>
          </cell>
          <cell r="DT41">
            <v>11464</v>
          </cell>
        </row>
      </sheetData>
      <sheetData sheetId="4">
        <row r="4">
          <cell r="DT4">
            <v>29</v>
          </cell>
        </row>
        <row r="5">
          <cell r="DT5">
            <v>29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B19">
            <v>124</v>
          </cell>
          <cell r="DC19">
            <v>124</v>
          </cell>
          <cell r="DD19">
            <v>120</v>
          </cell>
          <cell r="DE19">
            <v>126</v>
          </cell>
          <cell r="DF19">
            <v>118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P19">
            <v>124</v>
          </cell>
          <cell r="DQ19">
            <v>122</v>
          </cell>
          <cell r="DR19">
            <v>114</v>
          </cell>
          <cell r="DS19">
            <v>116</v>
          </cell>
          <cell r="DT19">
            <v>58</v>
          </cell>
        </row>
        <row r="22">
          <cell r="DT22">
            <v>4219</v>
          </cell>
        </row>
        <row r="23">
          <cell r="DT23">
            <v>4178</v>
          </cell>
        </row>
        <row r="27">
          <cell r="DT27">
            <v>156</v>
          </cell>
        </row>
        <row r="28">
          <cell r="DT28">
            <v>240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B41">
            <v>16759</v>
          </cell>
          <cell r="DC41">
            <v>18625</v>
          </cell>
          <cell r="DD41">
            <v>14387</v>
          </cell>
          <cell r="DE41">
            <v>15228</v>
          </cell>
          <cell r="DF41">
            <v>14432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P41">
            <v>20051</v>
          </cell>
          <cell r="DQ41">
            <v>18077</v>
          </cell>
          <cell r="DR41">
            <v>15579</v>
          </cell>
          <cell r="DS41">
            <v>15677</v>
          </cell>
          <cell r="DT41">
            <v>8397</v>
          </cell>
        </row>
        <row r="47">
          <cell r="DT47">
            <v>5443</v>
          </cell>
        </row>
        <row r="52">
          <cell r="DT52">
            <v>8170</v>
          </cell>
        </row>
      </sheetData>
      <sheetData sheetId="5"/>
      <sheetData sheetId="6">
        <row r="4">
          <cell r="DT4">
            <v>322</v>
          </cell>
        </row>
        <row r="5">
          <cell r="DT5">
            <v>322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B19">
            <v>640</v>
          </cell>
          <cell r="DC19">
            <v>659</v>
          </cell>
          <cell r="DD19">
            <v>608</v>
          </cell>
          <cell r="DE19">
            <v>642</v>
          </cell>
          <cell r="DF19">
            <v>602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P19">
            <v>416</v>
          </cell>
          <cell r="DQ19">
            <v>412</v>
          </cell>
          <cell r="DR19">
            <v>396</v>
          </cell>
          <cell r="DS19">
            <v>352</v>
          </cell>
          <cell r="DT19">
            <v>644</v>
          </cell>
        </row>
        <row r="22">
          <cell r="DT22">
            <v>35733</v>
          </cell>
        </row>
        <row r="23">
          <cell r="DT23">
            <v>35462</v>
          </cell>
        </row>
        <row r="27">
          <cell r="DT27">
            <v>1615</v>
          </cell>
        </row>
        <row r="28">
          <cell r="DT28">
            <v>1730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B41">
            <v>66905</v>
          </cell>
          <cell r="DC41">
            <v>67726</v>
          </cell>
          <cell r="DD41">
            <v>59229</v>
          </cell>
          <cell r="DE41">
            <v>72017</v>
          </cell>
          <cell r="DF41">
            <v>59892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P41">
            <v>54047</v>
          </cell>
          <cell r="DQ41">
            <v>53091</v>
          </cell>
          <cell r="DR41">
            <v>46269</v>
          </cell>
          <cell r="DS41">
            <v>74515</v>
          </cell>
          <cell r="DT41">
            <v>71195</v>
          </cell>
        </row>
        <row r="47">
          <cell r="DT47">
            <v>20818</v>
          </cell>
        </row>
        <row r="52">
          <cell r="DT52">
            <v>12163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</row>
      </sheetData>
      <sheetData sheetId="8">
        <row r="15">
          <cell r="DO15">
            <v>2</v>
          </cell>
          <cell r="DP15">
            <v>9</v>
          </cell>
          <cell r="DQ15">
            <v>8</v>
          </cell>
          <cell r="DR15">
            <v>4</v>
          </cell>
        </row>
        <row r="16">
          <cell r="DO16">
            <v>2</v>
          </cell>
          <cell r="DP16">
            <v>9</v>
          </cell>
          <cell r="DQ16">
            <v>8</v>
          </cell>
          <cell r="DR16">
            <v>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P19">
            <v>18</v>
          </cell>
          <cell r="DQ19">
            <v>16</v>
          </cell>
          <cell r="DR19">
            <v>8</v>
          </cell>
          <cell r="DS19">
            <v>0</v>
          </cell>
          <cell r="DT19">
            <v>0</v>
          </cell>
        </row>
        <row r="32">
          <cell r="DO32">
            <v>442</v>
          </cell>
          <cell r="DP32">
            <v>2251</v>
          </cell>
          <cell r="DQ32">
            <v>2023</v>
          </cell>
          <cell r="DR32">
            <v>593</v>
          </cell>
        </row>
        <row r="33">
          <cell r="DO33">
            <v>468</v>
          </cell>
          <cell r="DP33">
            <v>1968</v>
          </cell>
          <cell r="DQ33">
            <v>1522</v>
          </cell>
          <cell r="DR33">
            <v>558</v>
          </cell>
        </row>
        <row r="37">
          <cell r="DO37">
            <v>5</v>
          </cell>
          <cell r="DP37">
            <v>11</v>
          </cell>
          <cell r="DQ37">
            <v>10</v>
          </cell>
          <cell r="DR37">
            <v>7</v>
          </cell>
        </row>
        <row r="38">
          <cell r="DO38">
            <v>3</v>
          </cell>
          <cell r="DP38">
            <v>18</v>
          </cell>
          <cell r="DQ38">
            <v>22</v>
          </cell>
          <cell r="DR38">
            <v>10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P41">
            <v>4219</v>
          </cell>
          <cell r="DQ41">
            <v>3545</v>
          </cell>
          <cell r="DR41">
            <v>1151</v>
          </cell>
          <cell r="DS41">
            <v>0</v>
          </cell>
          <cell r="DT41">
            <v>0</v>
          </cell>
        </row>
      </sheetData>
      <sheetData sheetId="9">
        <row r="4">
          <cell r="DT4">
            <v>4606</v>
          </cell>
        </row>
        <row r="5">
          <cell r="DT5">
            <v>4617</v>
          </cell>
        </row>
        <row r="8">
          <cell r="DT8">
            <v>1</v>
          </cell>
        </row>
        <row r="9">
          <cell r="DT9">
            <v>2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  <cell r="DP15">
            <v>348</v>
          </cell>
          <cell r="DQ15">
            <v>341</v>
          </cell>
          <cell r="DR15">
            <v>298</v>
          </cell>
          <cell r="DS15">
            <v>232</v>
          </cell>
          <cell r="DT15">
            <v>177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  <cell r="DP16">
            <v>349</v>
          </cell>
          <cell r="DQ16">
            <v>343</v>
          </cell>
          <cell r="DR16">
            <v>299</v>
          </cell>
          <cell r="DS16">
            <v>233</v>
          </cell>
          <cell r="DT16">
            <v>175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B19">
            <v>11453</v>
          </cell>
          <cell r="DC19">
            <v>11475</v>
          </cell>
          <cell r="DD19">
            <v>10037</v>
          </cell>
          <cell r="DE19">
            <v>9968</v>
          </cell>
          <cell r="DF19">
            <v>9360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P19">
            <v>12265</v>
          </cell>
          <cell r="DQ19">
            <v>12001</v>
          </cell>
          <cell r="DR19">
            <v>10331</v>
          </cell>
          <cell r="DS19">
            <v>10530</v>
          </cell>
          <cell r="DT19">
            <v>9578</v>
          </cell>
        </row>
        <row r="22">
          <cell r="DT22">
            <v>575323</v>
          </cell>
        </row>
        <row r="23">
          <cell r="DT23">
            <v>581722</v>
          </cell>
        </row>
        <row r="27">
          <cell r="DT27">
            <v>23127</v>
          </cell>
        </row>
        <row r="28">
          <cell r="DT28">
            <v>22620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  <cell r="DP32">
            <v>68814</v>
          </cell>
          <cell r="DQ32">
            <v>66942</v>
          </cell>
          <cell r="DR32">
            <v>55019</v>
          </cell>
          <cell r="DS32">
            <v>45760</v>
          </cell>
          <cell r="DT32">
            <v>35392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  <cell r="DP33">
            <v>61781</v>
          </cell>
          <cell r="DQ33">
            <v>65703</v>
          </cell>
          <cell r="DR33">
            <v>55291</v>
          </cell>
          <cell r="DS33">
            <v>43576</v>
          </cell>
          <cell r="DT33">
            <v>33264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  <cell r="DP37">
            <v>1348</v>
          </cell>
          <cell r="DQ37">
            <v>1316</v>
          </cell>
          <cell r="DR37">
            <v>1165</v>
          </cell>
          <cell r="DS37">
            <v>1328</v>
          </cell>
          <cell r="DT37">
            <v>1188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  <cell r="DP38">
            <v>1483</v>
          </cell>
          <cell r="DQ38">
            <v>1195</v>
          </cell>
          <cell r="DR38">
            <v>872</v>
          </cell>
          <cell r="DS38">
            <v>1269</v>
          </cell>
          <cell r="DT38">
            <v>1176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B41">
            <v>1639008</v>
          </cell>
          <cell r="DC41">
            <v>1634820</v>
          </cell>
          <cell r="DD41">
            <v>1340393</v>
          </cell>
          <cell r="DE41">
            <v>1328236</v>
          </cell>
          <cell r="DF41">
            <v>1165600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P41">
            <v>1782310</v>
          </cell>
          <cell r="DQ41">
            <v>1731205</v>
          </cell>
          <cell r="DR41">
            <v>1407727</v>
          </cell>
          <cell r="DS41">
            <v>1421452</v>
          </cell>
          <cell r="DT41">
            <v>1225701</v>
          </cell>
        </row>
        <row r="47">
          <cell r="DT47">
            <v>4200977</v>
          </cell>
        </row>
        <row r="48">
          <cell r="DT48">
            <v>935349</v>
          </cell>
        </row>
        <row r="52">
          <cell r="DT52">
            <v>3971985</v>
          </cell>
        </row>
        <row r="53">
          <cell r="DT53">
            <v>82037</v>
          </cell>
        </row>
        <row r="70">
          <cell r="DT70">
            <v>264172</v>
          </cell>
        </row>
        <row r="71">
          <cell r="DT71">
            <v>317550</v>
          </cell>
        </row>
        <row r="73">
          <cell r="DT73">
            <v>15106</v>
          </cell>
        </row>
        <row r="74">
          <cell r="DT74">
            <v>18158</v>
          </cell>
        </row>
      </sheetData>
      <sheetData sheetId="10">
        <row r="4">
          <cell r="DT4">
            <v>164</v>
          </cell>
        </row>
        <row r="5">
          <cell r="DT5">
            <v>164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B19">
            <v>224</v>
          </cell>
          <cell r="DC19">
            <v>232</v>
          </cell>
          <cell r="DD19">
            <v>226</v>
          </cell>
          <cell r="DE19">
            <v>230</v>
          </cell>
          <cell r="DF19">
            <v>218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P19">
            <v>302</v>
          </cell>
          <cell r="DQ19">
            <v>322</v>
          </cell>
          <cell r="DR19">
            <v>364</v>
          </cell>
          <cell r="DS19">
            <v>362</v>
          </cell>
          <cell r="DT19">
            <v>328</v>
          </cell>
        </row>
        <row r="22">
          <cell r="DT22">
            <v>22048</v>
          </cell>
        </row>
        <row r="23">
          <cell r="DT23">
            <v>22234</v>
          </cell>
        </row>
        <row r="27">
          <cell r="DT27">
            <v>210</v>
          </cell>
        </row>
        <row r="28">
          <cell r="DT28">
            <v>298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B41">
            <v>30607</v>
          </cell>
          <cell r="DC41">
            <v>30629</v>
          </cell>
          <cell r="DD41">
            <v>31510</v>
          </cell>
          <cell r="DE41">
            <v>31455</v>
          </cell>
          <cell r="DF41">
            <v>28037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P41">
            <v>44090</v>
          </cell>
          <cell r="DQ41">
            <v>48062</v>
          </cell>
          <cell r="DR41">
            <v>49938</v>
          </cell>
          <cell r="DS41">
            <v>45767</v>
          </cell>
          <cell r="DT41">
            <v>44282</v>
          </cell>
        </row>
      </sheetData>
      <sheetData sheetId="11">
        <row r="4">
          <cell r="DT4">
            <v>110</v>
          </cell>
        </row>
        <row r="5">
          <cell r="DT5">
            <v>110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B19">
            <v>1230</v>
          </cell>
          <cell r="DC19">
            <v>1138</v>
          </cell>
          <cell r="DD19">
            <v>1096</v>
          </cell>
          <cell r="DE19">
            <v>1074</v>
          </cell>
          <cell r="DF19">
            <v>834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P19">
            <v>126</v>
          </cell>
          <cell r="DQ19">
            <v>124</v>
          </cell>
          <cell r="DR19">
            <v>122</v>
          </cell>
          <cell r="DS19">
            <v>246</v>
          </cell>
          <cell r="DT19">
            <v>220</v>
          </cell>
        </row>
        <row r="22">
          <cell r="DT22">
            <v>481</v>
          </cell>
        </row>
        <row r="23">
          <cell r="DT23">
            <v>480</v>
          </cell>
        </row>
        <row r="27">
          <cell r="DT27">
            <v>53</v>
          </cell>
        </row>
        <row r="28">
          <cell r="DT28">
            <v>37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B41">
            <v>4846</v>
          </cell>
          <cell r="DC41">
            <v>4525</v>
          </cell>
          <cell r="DD41">
            <v>4361</v>
          </cell>
          <cell r="DE41">
            <v>4424</v>
          </cell>
          <cell r="DF41">
            <v>3905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P41">
            <v>700</v>
          </cell>
          <cell r="DQ41">
            <v>704</v>
          </cell>
          <cell r="DR41">
            <v>696</v>
          </cell>
          <cell r="DS41">
            <v>883</v>
          </cell>
          <cell r="DT41">
            <v>961</v>
          </cell>
        </row>
        <row r="47">
          <cell r="DT47">
            <v>42</v>
          </cell>
        </row>
      </sheetData>
      <sheetData sheetId="12">
        <row r="15">
          <cell r="DN15">
            <v>13</v>
          </cell>
          <cell r="DO15">
            <v>29</v>
          </cell>
          <cell r="DP15">
            <v>31</v>
          </cell>
          <cell r="DQ15">
            <v>31</v>
          </cell>
          <cell r="DR15">
            <v>18</v>
          </cell>
          <cell r="DS15">
            <v>8</v>
          </cell>
        </row>
        <row r="16">
          <cell r="DN16">
            <v>13</v>
          </cell>
          <cell r="DO16">
            <v>29</v>
          </cell>
          <cell r="DP16">
            <v>31</v>
          </cell>
          <cell r="DQ16">
            <v>31</v>
          </cell>
          <cell r="DR16">
            <v>18</v>
          </cell>
          <cell r="DS16">
            <v>8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B19">
            <v>72</v>
          </cell>
          <cell r="DC19">
            <v>62</v>
          </cell>
          <cell r="DD19">
            <v>38</v>
          </cell>
          <cell r="DE19">
            <v>18</v>
          </cell>
          <cell r="DF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P19">
            <v>62</v>
          </cell>
          <cell r="DQ19">
            <v>62</v>
          </cell>
          <cell r="DR19">
            <v>36</v>
          </cell>
          <cell r="DS19">
            <v>16</v>
          </cell>
          <cell r="DT19">
            <v>0</v>
          </cell>
        </row>
        <row r="32">
          <cell r="DN32">
            <v>1353</v>
          </cell>
          <cell r="DO32">
            <v>4569</v>
          </cell>
          <cell r="DP32">
            <v>5120</v>
          </cell>
          <cell r="DQ32">
            <v>4978</v>
          </cell>
        </row>
        <row r="33">
          <cell r="DN33">
            <v>2209</v>
          </cell>
          <cell r="DO33">
            <v>4774</v>
          </cell>
          <cell r="DP33">
            <v>4911</v>
          </cell>
          <cell r="DQ33">
            <v>4762</v>
          </cell>
          <cell r="DR33">
            <v>2626</v>
          </cell>
          <cell r="DS33">
            <v>1041</v>
          </cell>
        </row>
        <row r="37">
          <cell r="DN37">
            <v>48</v>
          </cell>
          <cell r="DO37">
            <v>29</v>
          </cell>
          <cell r="DP37">
            <v>71</v>
          </cell>
          <cell r="DQ37">
            <v>48</v>
          </cell>
          <cell r="DR37">
            <v>93</v>
          </cell>
          <cell r="DS37">
            <v>74</v>
          </cell>
        </row>
        <row r="38">
          <cell r="DN38">
            <v>42</v>
          </cell>
          <cell r="DO38">
            <v>35</v>
          </cell>
          <cell r="DP38">
            <v>75</v>
          </cell>
          <cell r="DQ38">
            <v>79</v>
          </cell>
          <cell r="DR38">
            <v>107</v>
          </cell>
          <cell r="DS38">
            <v>75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B41">
            <v>9972</v>
          </cell>
          <cell r="DC41">
            <v>9962</v>
          </cell>
          <cell r="DD41">
            <v>5432</v>
          </cell>
          <cell r="DE41">
            <v>2485</v>
          </cell>
          <cell r="DF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P41">
            <v>10031</v>
          </cell>
          <cell r="DQ41">
            <v>9740</v>
          </cell>
          <cell r="DR41">
            <v>5409</v>
          </cell>
          <cell r="DS41">
            <v>2178</v>
          </cell>
          <cell r="DT41">
            <v>0</v>
          </cell>
        </row>
      </sheetData>
      <sheetData sheetId="13"/>
      <sheetData sheetId="14">
        <row r="4">
          <cell r="DT4">
            <v>534</v>
          </cell>
        </row>
        <row r="5">
          <cell r="DT5">
            <v>533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B19">
            <v>1286</v>
          </cell>
          <cell r="DC19">
            <v>1281</v>
          </cell>
          <cell r="DD19">
            <v>1235</v>
          </cell>
          <cell r="DE19">
            <v>1314</v>
          </cell>
          <cell r="DF19">
            <v>1176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P19">
            <v>1340</v>
          </cell>
          <cell r="DQ19">
            <v>1274</v>
          </cell>
          <cell r="DR19">
            <v>1266</v>
          </cell>
          <cell r="DS19">
            <v>1391</v>
          </cell>
          <cell r="DT19">
            <v>1067</v>
          </cell>
        </row>
        <row r="22">
          <cell r="DT22">
            <v>58292</v>
          </cell>
        </row>
        <row r="23">
          <cell r="DT23">
            <v>57376</v>
          </cell>
        </row>
        <row r="27">
          <cell r="DT27">
            <v>986</v>
          </cell>
        </row>
        <row r="28">
          <cell r="DT28">
            <v>1008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B41">
            <v>139785</v>
          </cell>
          <cell r="DC41">
            <v>145578</v>
          </cell>
          <cell r="DD41">
            <v>124863</v>
          </cell>
          <cell r="DE41">
            <v>133894</v>
          </cell>
          <cell r="DF41">
            <v>110637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P41">
            <v>167382</v>
          </cell>
          <cell r="DQ41">
            <v>165846</v>
          </cell>
          <cell r="DR41">
            <v>145579</v>
          </cell>
          <cell r="DS41">
            <v>157361</v>
          </cell>
          <cell r="DT41">
            <v>115668</v>
          </cell>
        </row>
        <row r="47">
          <cell r="DT47">
            <v>219814</v>
          </cell>
        </row>
        <row r="52">
          <cell r="DT52">
            <v>169613</v>
          </cell>
        </row>
        <row r="70">
          <cell r="DT70">
            <v>56867</v>
          </cell>
        </row>
        <row r="71">
          <cell r="DT71">
            <v>509</v>
          </cell>
        </row>
      </sheetData>
      <sheetData sheetId="15">
        <row r="4">
          <cell r="DT4">
            <v>325</v>
          </cell>
        </row>
        <row r="5">
          <cell r="DT5">
            <v>325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B19">
            <v>370</v>
          </cell>
          <cell r="DC19">
            <v>370</v>
          </cell>
          <cell r="DD19">
            <v>414</v>
          </cell>
          <cell r="DE19">
            <v>434</v>
          </cell>
          <cell r="DF19">
            <v>613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P19">
            <v>620</v>
          </cell>
          <cell r="DQ19">
            <v>596</v>
          </cell>
          <cell r="DR19">
            <v>652</v>
          </cell>
          <cell r="DS19">
            <v>674</v>
          </cell>
          <cell r="DT19">
            <v>650</v>
          </cell>
        </row>
        <row r="22">
          <cell r="DT22">
            <v>40247</v>
          </cell>
        </row>
        <row r="23">
          <cell r="DT23">
            <v>40363</v>
          </cell>
        </row>
        <row r="27">
          <cell r="DT27">
            <v>312</v>
          </cell>
        </row>
        <row r="28">
          <cell r="DT28">
            <v>224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B41">
            <v>49976</v>
          </cell>
          <cell r="DC41">
            <v>50879</v>
          </cell>
          <cell r="DD41">
            <v>49557</v>
          </cell>
          <cell r="DE41">
            <v>52334</v>
          </cell>
          <cell r="DF41">
            <v>70011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P41">
            <v>84353</v>
          </cell>
          <cell r="DQ41">
            <v>86377</v>
          </cell>
          <cell r="DR41">
            <v>71517</v>
          </cell>
          <cell r="DS41">
            <v>81557</v>
          </cell>
          <cell r="DT41">
            <v>80610</v>
          </cell>
        </row>
      </sheetData>
      <sheetData sheetId="16">
        <row r="4">
          <cell r="DT4">
            <v>544</v>
          </cell>
        </row>
        <row r="5">
          <cell r="DT5">
            <v>537</v>
          </cell>
        </row>
        <row r="8">
          <cell r="DT8">
            <v>46</v>
          </cell>
        </row>
        <row r="9">
          <cell r="DT9">
            <v>47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  <cell r="DP15">
            <v>8</v>
          </cell>
          <cell r="DQ15">
            <v>10</v>
          </cell>
          <cell r="DR15">
            <v>4</v>
          </cell>
          <cell r="DS15">
            <v>11</v>
          </cell>
          <cell r="DT15">
            <v>20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  <cell r="DP16">
            <v>8</v>
          </cell>
          <cell r="DQ16">
            <v>8</v>
          </cell>
          <cell r="DR16">
            <v>4</v>
          </cell>
          <cell r="DS16">
            <v>11</v>
          </cell>
          <cell r="DT16">
            <v>20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B19">
            <v>1281</v>
          </cell>
          <cell r="DC19">
            <v>1289</v>
          </cell>
          <cell r="DD19">
            <v>1194</v>
          </cell>
          <cell r="DE19">
            <v>1225</v>
          </cell>
          <cell r="DF19">
            <v>1218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P19">
            <v>1415</v>
          </cell>
          <cell r="DQ19">
            <v>1411</v>
          </cell>
          <cell r="DR19">
            <v>1083</v>
          </cell>
          <cell r="DS19">
            <v>1226</v>
          </cell>
          <cell r="DT19">
            <v>1214</v>
          </cell>
        </row>
        <row r="22">
          <cell r="DT22">
            <v>57671</v>
          </cell>
        </row>
        <row r="23">
          <cell r="DT23">
            <v>51511</v>
          </cell>
        </row>
        <row r="27">
          <cell r="DT27">
            <v>1449</v>
          </cell>
        </row>
        <row r="28">
          <cell r="DT28">
            <v>1374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  <cell r="DP32">
            <v>1283</v>
          </cell>
          <cell r="DQ32">
            <v>1237</v>
          </cell>
          <cell r="DR32">
            <v>398</v>
          </cell>
          <cell r="DS32">
            <v>1543</v>
          </cell>
          <cell r="DT32">
            <v>2566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  <cell r="DP33">
            <v>1093</v>
          </cell>
          <cell r="DQ33">
            <v>1106</v>
          </cell>
          <cell r="DR33">
            <v>480</v>
          </cell>
          <cell r="DS33">
            <v>1704</v>
          </cell>
          <cell r="DT33">
            <v>3047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  <cell r="DP37">
            <v>6</v>
          </cell>
          <cell r="DQ37">
            <v>2</v>
          </cell>
          <cell r="DR37">
            <v>4</v>
          </cell>
          <cell r="DS37">
            <v>12</v>
          </cell>
          <cell r="DT37">
            <v>20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  <cell r="DP38">
            <v>4</v>
          </cell>
          <cell r="DQ38">
            <v>5</v>
          </cell>
          <cell r="DR38">
            <v>6</v>
          </cell>
          <cell r="DS38">
            <v>9</v>
          </cell>
          <cell r="DT38">
            <v>30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B41">
            <v>136962</v>
          </cell>
          <cell r="DC41">
            <v>130510</v>
          </cell>
          <cell r="DD41">
            <v>92101</v>
          </cell>
          <cell r="DE41">
            <v>112986</v>
          </cell>
          <cell r="DF41">
            <v>108713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P41">
            <v>143767</v>
          </cell>
          <cell r="DQ41">
            <v>150277</v>
          </cell>
          <cell r="DR41">
            <v>99744</v>
          </cell>
          <cell r="DS41">
            <v>120776</v>
          </cell>
          <cell r="DT41">
            <v>114795</v>
          </cell>
        </row>
        <row r="47">
          <cell r="DT47">
            <v>91260</v>
          </cell>
        </row>
        <row r="48">
          <cell r="DT48">
            <v>185910</v>
          </cell>
        </row>
        <row r="52">
          <cell r="DT52">
            <v>72414</v>
          </cell>
        </row>
        <row r="53">
          <cell r="DT53">
            <v>487804</v>
          </cell>
        </row>
        <row r="70">
          <cell r="DT70">
            <v>47247</v>
          </cell>
        </row>
        <row r="71">
          <cell r="DT71">
            <v>4262</v>
          </cell>
        </row>
        <row r="73">
          <cell r="DT73">
            <v>3047</v>
          </cell>
        </row>
        <row r="74">
          <cell r="DT74">
            <v>2</v>
          </cell>
        </row>
      </sheetData>
      <sheetData sheetId="17">
        <row r="4">
          <cell r="DT4">
            <v>76</v>
          </cell>
        </row>
        <row r="5">
          <cell r="DT5">
            <v>76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B19">
            <v>168</v>
          </cell>
          <cell r="DC19">
            <v>228</v>
          </cell>
          <cell r="DD19">
            <v>358</v>
          </cell>
          <cell r="DE19">
            <v>334</v>
          </cell>
          <cell r="DF19">
            <v>288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P19">
            <v>174</v>
          </cell>
          <cell r="DQ19">
            <v>234</v>
          </cell>
          <cell r="DR19">
            <v>332</v>
          </cell>
          <cell r="DS19">
            <v>338</v>
          </cell>
          <cell r="DT19">
            <v>152</v>
          </cell>
        </row>
        <row r="22">
          <cell r="DT22">
            <v>8902</v>
          </cell>
        </row>
        <row r="23">
          <cell r="DT23">
            <v>8238</v>
          </cell>
        </row>
        <row r="27">
          <cell r="DT27">
            <v>295</v>
          </cell>
        </row>
        <row r="28">
          <cell r="DT28">
            <v>419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B41">
            <v>17997</v>
          </cell>
          <cell r="DC41">
            <v>23237</v>
          </cell>
          <cell r="DD41">
            <v>36808</v>
          </cell>
          <cell r="DE41">
            <v>35146</v>
          </cell>
          <cell r="DF41">
            <v>25509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P41">
            <v>20693</v>
          </cell>
          <cell r="DQ41">
            <v>28471</v>
          </cell>
          <cell r="DR41">
            <v>37517</v>
          </cell>
          <cell r="DS41">
            <v>39402</v>
          </cell>
          <cell r="DT41">
            <v>17140</v>
          </cell>
        </row>
        <row r="47">
          <cell r="DT47">
            <v>18373</v>
          </cell>
        </row>
        <row r="48">
          <cell r="DT48">
            <v>92639</v>
          </cell>
        </row>
        <row r="52">
          <cell r="DT52">
            <v>10821</v>
          </cell>
        </row>
        <row r="53">
          <cell r="DT53">
            <v>135816</v>
          </cell>
        </row>
      </sheetData>
      <sheetData sheetId="18">
        <row r="4">
          <cell r="DT4">
            <v>349</v>
          </cell>
        </row>
        <row r="5">
          <cell r="DT5">
            <v>342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B19">
            <v>720</v>
          </cell>
          <cell r="DC19">
            <v>726</v>
          </cell>
          <cell r="DD19">
            <v>663</v>
          </cell>
          <cell r="DE19">
            <v>712</v>
          </cell>
          <cell r="DF19">
            <v>676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P19">
            <v>738</v>
          </cell>
          <cell r="DQ19">
            <v>709</v>
          </cell>
          <cell r="DR19">
            <v>671</v>
          </cell>
          <cell r="DS19">
            <v>774</v>
          </cell>
          <cell r="DT19">
            <v>691</v>
          </cell>
        </row>
        <row r="22">
          <cell r="DT22">
            <v>39591</v>
          </cell>
        </row>
        <row r="23">
          <cell r="DT23">
            <v>40091</v>
          </cell>
        </row>
        <row r="27">
          <cell r="DT27">
            <v>1411</v>
          </cell>
        </row>
        <row r="28">
          <cell r="DT28">
            <v>1538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B41">
            <v>106850</v>
          </cell>
          <cell r="DC41">
            <v>104609</v>
          </cell>
          <cell r="DD41">
            <v>95032</v>
          </cell>
          <cell r="DE41">
            <v>98809</v>
          </cell>
          <cell r="DF41">
            <v>88828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P41">
            <v>98579</v>
          </cell>
          <cell r="DQ41">
            <v>103600</v>
          </cell>
          <cell r="DR41">
            <v>85592</v>
          </cell>
          <cell r="DS41">
            <v>97116</v>
          </cell>
          <cell r="DT41">
            <v>79682</v>
          </cell>
        </row>
        <row r="47">
          <cell r="DT47">
            <v>13814</v>
          </cell>
        </row>
        <row r="48">
          <cell r="DT48">
            <v>23888</v>
          </cell>
        </row>
        <row r="52">
          <cell r="DT52">
            <v>13118</v>
          </cell>
        </row>
        <row r="53">
          <cell r="DT53">
            <v>102104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  <cell r="DP15">
            <v>90</v>
          </cell>
          <cell r="DQ15">
            <v>92</v>
          </cell>
          <cell r="DR15">
            <v>87</v>
          </cell>
          <cell r="DS15">
            <v>88</v>
          </cell>
          <cell r="DT15">
            <v>75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  <cell r="DP16">
            <v>91</v>
          </cell>
          <cell r="DQ16">
            <v>92</v>
          </cell>
          <cell r="DR16">
            <v>86</v>
          </cell>
          <cell r="DS16">
            <v>88</v>
          </cell>
          <cell r="DT16">
            <v>75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B19">
            <v>178</v>
          </cell>
          <cell r="DC19">
            <v>182</v>
          </cell>
          <cell r="DD19">
            <v>170</v>
          </cell>
          <cell r="DE19">
            <v>180</v>
          </cell>
          <cell r="DF19">
            <v>162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P19">
            <v>181</v>
          </cell>
          <cell r="DQ19">
            <v>184</v>
          </cell>
          <cell r="DR19">
            <v>173</v>
          </cell>
          <cell r="DS19">
            <v>176</v>
          </cell>
          <cell r="DT19">
            <v>150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  <cell r="DP32">
            <v>4258</v>
          </cell>
          <cell r="DQ32">
            <v>4081</v>
          </cell>
          <cell r="DR32">
            <v>4188</v>
          </cell>
          <cell r="DS32">
            <v>4188</v>
          </cell>
          <cell r="DT32">
            <v>3149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  <cell r="DP33">
            <v>3829</v>
          </cell>
          <cell r="DQ33">
            <v>3911</v>
          </cell>
          <cell r="DR33">
            <v>3746</v>
          </cell>
          <cell r="DS33">
            <v>3666</v>
          </cell>
          <cell r="DT33">
            <v>2727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  <cell r="DP37">
            <v>49</v>
          </cell>
          <cell r="DQ37">
            <v>49</v>
          </cell>
          <cell r="DR37">
            <v>45</v>
          </cell>
          <cell r="DS37">
            <v>51</v>
          </cell>
          <cell r="DT37">
            <v>50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  <cell r="DP38">
            <v>52</v>
          </cell>
          <cell r="DQ38">
            <v>52</v>
          </cell>
          <cell r="DR38">
            <v>48</v>
          </cell>
          <cell r="DS38">
            <v>54</v>
          </cell>
          <cell r="DT38">
            <v>46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B41">
            <v>7287</v>
          </cell>
          <cell r="DC41">
            <v>7639</v>
          </cell>
          <cell r="DD41">
            <v>6605</v>
          </cell>
          <cell r="DE41">
            <v>6574</v>
          </cell>
          <cell r="DF41">
            <v>3780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P41">
            <v>8087</v>
          </cell>
          <cell r="DQ41">
            <v>7992</v>
          </cell>
          <cell r="DR41">
            <v>7934</v>
          </cell>
          <cell r="DS41">
            <v>7854</v>
          </cell>
          <cell r="DT41">
            <v>5876</v>
          </cell>
        </row>
      </sheetData>
      <sheetData sheetId="20"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B19">
            <v>10</v>
          </cell>
          <cell r="DC19">
            <v>6</v>
          </cell>
          <cell r="DD19">
            <v>0</v>
          </cell>
          <cell r="DE19">
            <v>0</v>
          </cell>
          <cell r="DF19">
            <v>0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B41">
            <v>478</v>
          </cell>
          <cell r="DC41">
            <v>278</v>
          </cell>
          <cell r="DD41">
            <v>0</v>
          </cell>
          <cell r="DE41">
            <v>0</v>
          </cell>
          <cell r="DF41">
            <v>0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</row>
      </sheetData>
      <sheetData sheetId="21">
        <row r="4">
          <cell r="DT4">
            <v>82</v>
          </cell>
        </row>
        <row r="5">
          <cell r="DT5">
            <v>82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B19">
            <v>440</v>
          </cell>
          <cell r="DC19">
            <v>435</v>
          </cell>
          <cell r="DD19">
            <v>296</v>
          </cell>
          <cell r="DE19">
            <v>450</v>
          </cell>
          <cell r="DF19">
            <v>204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P19">
            <v>458</v>
          </cell>
          <cell r="DQ19">
            <v>436</v>
          </cell>
          <cell r="DR19">
            <v>416</v>
          </cell>
          <cell r="DS19">
            <v>229</v>
          </cell>
          <cell r="DT19">
            <v>164</v>
          </cell>
        </row>
        <row r="22">
          <cell r="DT22">
            <v>5591</v>
          </cell>
        </row>
        <row r="23">
          <cell r="DT23">
            <v>5137</v>
          </cell>
        </row>
        <row r="27">
          <cell r="DT27">
            <v>8</v>
          </cell>
        </row>
        <row r="28">
          <cell r="DT28">
            <v>9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B41">
            <v>20307</v>
          </cell>
          <cell r="DC41">
            <v>21663</v>
          </cell>
          <cell r="DD41">
            <v>12936</v>
          </cell>
          <cell r="DE41">
            <v>26195</v>
          </cell>
          <cell r="DF41">
            <v>8534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P41">
            <v>31490</v>
          </cell>
          <cell r="DQ41">
            <v>30065</v>
          </cell>
          <cell r="DR41">
            <v>26885</v>
          </cell>
          <cell r="DS41">
            <v>14301</v>
          </cell>
          <cell r="DT41">
            <v>10728</v>
          </cell>
        </row>
      </sheetData>
      <sheetData sheetId="22">
        <row r="4">
          <cell r="DT4">
            <v>411</v>
          </cell>
        </row>
        <row r="5">
          <cell r="DT5">
            <v>412</v>
          </cell>
        </row>
        <row r="8">
          <cell r="DT8">
            <v>1</v>
          </cell>
        </row>
        <row r="15">
          <cell r="DN15">
            <v>1</v>
          </cell>
          <cell r="DP15">
            <v>2</v>
          </cell>
          <cell r="DR15">
            <v>22</v>
          </cell>
          <cell r="DS15">
            <v>1</v>
          </cell>
          <cell r="DT15">
            <v>2</v>
          </cell>
        </row>
        <row r="16">
          <cell r="DN16">
            <v>2</v>
          </cell>
          <cell r="DR16">
            <v>23</v>
          </cell>
          <cell r="DT16">
            <v>2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B19">
            <v>957</v>
          </cell>
          <cell r="DC19">
            <v>895</v>
          </cell>
          <cell r="DD19">
            <v>802</v>
          </cell>
          <cell r="DE19">
            <v>931</v>
          </cell>
          <cell r="DF19">
            <v>889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P19">
            <v>989</v>
          </cell>
          <cell r="DQ19">
            <v>1005</v>
          </cell>
          <cell r="DR19">
            <v>1111</v>
          </cell>
          <cell r="DS19">
            <v>774</v>
          </cell>
          <cell r="DT19">
            <v>828</v>
          </cell>
        </row>
        <row r="22">
          <cell r="DT22">
            <v>22388</v>
          </cell>
        </row>
        <row r="23">
          <cell r="DT23">
            <v>22225</v>
          </cell>
        </row>
        <row r="27">
          <cell r="DT27">
            <v>545</v>
          </cell>
        </row>
        <row r="28">
          <cell r="DT28">
            <v>512</v>
          </cell>
        </row>
        <row r="32">
          <cell r="DR32">
            <v>1157</v>
          </cell>
          <cell r="DT32">
            <v>126</v>
          </cell>
        </row>
        <row r="33">
          <cell r="DN33">
            <v>96</v>
          </cell>
          <cell r="DR33">
            <v>1366</v>
          </cell>
          <cell r="DS33">
            <v>57</v>
          </cell>
          <cell r="DT33">
            <v>97</v>
          </cell>
        </row>
        <row r="37">
          <cell r="DR37">
            <v>23</v>
          </cell>
          <cell r="DT37">
            <v>1</v>
          </cell>
        </row>
        <row r="38">
          <cell r="DN38">
            <v>4</v>
          </cell>
          <cell r="DR38">
            <v>21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B41">
            <v>54310</v>
          </cell>
          <cell r="DC41">
            <v>50261</v>
          </cell>
          <cell r="DD41">
            <v>42543</v>
          </cell>
          <cell r="DE41">
            <v>52992</v>
          </cell>
          <cell r="DF41">
            <v>47233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P41">
            <v>58892</v>
          </cell>
          <cell r="DQ41">
            <v>59279</v>
          </cell>
          <cell r="DR41">
            <v>61488</v>
          </cell>
          <cell r="DS41">
            <v>44073</v>
          </cell>
          <cell r="DT41">
            <v>44836</v>
          </cell>
        </row>
        <row r="70">
          <cell r="DT70">
            <v>6964</v>
          </cell>
        </row>
        <row r="71">
          <cell r="DT71">
            <v>15261</v>
          </cell>
        </row>
        <row r="73">
          <cell r="DT73">
            <v>30</v>
          </cell>
        </row>
        <row r="74">
          <cell r="DT74">
            <v>67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B19">
            <v>84</v>
          </cell>
          <cell r="DC19">
            <v>88</v>
          </cell>
          <cell r="DD19">
            <v>37</v>
          </cell>
          <cell r="DE19">
            <v>46</v>
          </cell>
          <cell r="DF19">
            <v>5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B41">
            <v>3207</v>
          </cell>
          <cell r="DC41">
            <v>3554</v>
          </cell>
          <cell r="DD41">
            <v>1245</v>
          </cell>
          <cell r="DE41">
            <v>1422</v>
          </cell>
          <cell r="DF41">
            <v>124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</row>
      </sheetData>
      <sheetData sheetId="25"/>
      <sheetData sheetId="26">
        <row r="4">
          <cell r="DT4">
            <v>748</v>
          </cell>
        </row>
        <row r="5">
          <cell r="DT5">
            <v>749</v>
          </cell>
        </row>
        <row r="8">
          <cell r="DT8">
            <v>1</v>
          </cell>
        </row>
        <row r="9">
          <cell r="DT9">
            <v>1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  <cell r="DP15">
            <v>146</v>
          </cell>
          <cell r="DQ15">
            <v>176</v>
          </cell>
          <cell r="DR15">
            <v>224</v>
          </cell>
          <cell r="DS15">
            <v>246</v>
          </cell>
          <cell r="DT15">
            <v>184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  <cell r="DP16">
            <v>146</v>
          </cell>
          <cell r="DQ16">
            <v>177</v>
          </cell>
          <cell r="DR16">
            <v>225</v>
          </cell>
          <cell r="DS16">
            <v>247</v>
          </cell>
          <cell r="DT16">
            <v>183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B19">
            <v>3683</v>
          </cell>
          <cell r="DC19">
            <v>3693</v>
          </cell>
          <cell r="DD19">
            <v>2828</v>
          </cell>
          <cell r="DE19">
            <v>2924</v>
          </cell>
          <cell r="DF19">
            <v>2772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P19">
            <v>2160</v>
          </cell>
          <cell r="DQ19">
            <v>2361</v>
          </cell>
          <cell r="DR19">
            <v>2298</v>
          </cell>
          <cell r="DS19">
            <v>2481</v>
          </cell>
          <cell r="DT19">
            <v>1866</v>
          </cell>
        </row>
        <row r="22">
          <cell r="DT22">
            <v>42131</v>
          </cell>
        </row>
        <row r="23">
          <cell r="DT23">
            <v>43249</v>
          </cell>
        </row>
        <row r="27">
          <cell r="DT27">
            <v>1512</v>
          </cell>
        </row>
        <row r="28">
          <cell r="DT28">
            <v>1499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  <cell r="DP32">
            <v>9399</v>
          </cell>
          <cell r="DQ32">
            <v>11430</v>
          </cell>
          <cell r="DR32">
            <v>13779</v>
          </cell>
          <cell r="DS32">
            <v>15402</v>
          </cell>
          <cell r="DT32">
            <v>11099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  <cell r="DP33">
            <v>9414</v>
          </cell>
          <cell r="DQ33">
            <v>11646</v>
          </cell>
          <cell r="DR33">
            <v>13864</v>
          </cell>
          <cell r="DS33">
            <v>15470</v>
          </cell>
          <cell r="DT33">
            <v>11383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  <cell r="DP37">
            <v>91</v>
          </cell>
          <cell r="DQ37">
            <v>96</v>
          </cell>
          <cell r="DR37">
            <v>155</v>
          </cell>
          <cell r="DS37">
            <v>278</v>
          </cell>
          <cell r="DT37">
            <v>150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  <cell r="DP38">
            <v>92</v>
          </cell>
          <cell r="DQ38">
            <v>74</v>
          </cell>
          <cell r="DR38">
            <v>105</v>
          </cell>
          <cell r="DS38">
            <v>250</v>
          </cell>
          <cell r="DT38">
            <v>122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B41">
            <v>225966</v>
          </cell>
          <cell r="DC41">
            <v>224331</v>
          </cell>
          <cell r="DD41">
            <v>161427</v>
          </cell>
          <cell r="DE41">
            <v>173153</v>
          </cell>
          <cell r="DF41">
            <v>155108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P41">
            <v>139298</v>
          </cell>
          <cell r="DQ41">
            <v>150608</v>
          </cell>
          <cell r="DR41">
            <v>138496</v>
          </cell>
          <cell r="DS41">
            <v>153664</v>
          </cell>
          <cell r="DT41">
            <v>107862</v>
          </cell>
        </row>
        <row r="70">
          <cell r="BG70">
            <v>26242</v>
          </cell>
          <cell r="DT70">
            <v>13681</v>
          </cell>
        </row>
        <row r="71">
          <cell r="BG71">
            <v>44562</v>
          </cell>
          <cell r="DT71">
            <v>29568</v>
          </cell>
        </row>
        <row r="73">
          <cell r="BG73">
            <v>1540</v>
          </cell>
          <cell r="DT73">
            <v>3601</v>
          </cell>
        </row>
        <row r="74">
          <cell r="BG74">
            <v>2614</v>
          </cell>
          <cell r="DT74">
            <v>7782</v>
          </cell>
        </row>
      </sheetData>
      <sheetData sheetId="27"/>
      <sheetData sheetId="28">
        <row r="4">
          <cell r="DT4">
            <v>195</v>
          </cell>
        </row>
        <row r="5">
          <cell r="DT5">
            <v>195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B19">
            <v>574</v>
          </cell>
          <cell r="DC19">
            <v>550</v>
          </cell>
          <cell r="DD19">
            <v>518</v>
          </cell>
          <cell r="DE19">
            <v>548</v>
          </cell>
          <cell r="DF19">
            <v>582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P19">
            <v>416</v>
          </cell>
          <cell r="DQ19">
            <v>442</v>
          </cell>
          <cell r="DR19">
            <v>446</v>
          </cell>
          <cell r="DS19">
            <v>460</v>
          </cell>
          <cell r="DT19">
            <v>390</v>
          </cell>
        </row>
        <row r="22">
          <cell r="DT22">
            <v>7191</v>
          </cell>
        </row>
        <row r="23">
          <cell r="DT23">
            <v>6972</v>
          </cell>
        </row>
        <row r="27">
          <cell r="DT27">
            <v>346</v>
          </cell>
        </row>
        <row r="28">
          <cell r="DT28">
            <v>274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B41">
            <v>23673</v>
          </cell>
          <cell r="DC41">
            <v>23319</v>
          </cell>
          <cell r="DD41">
            <v>19536</v>
          </cell>
          <cell r="DE41">
            <v>20226</v>
          </cell>
          <cell r="DF41">
            <v>20466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P41">
            <v>18493</v>
          </cell>
          <cell r="DQ41">
            <v>19225</v>
          </cell>
          <cell r="DR41">
            <v>17994</v>
          </cell>
          <cell r="DS41">
            <v>17536</v>
          </cell>
          <cell r="DT41">
            <v>14163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</row>
      </sheetData>
      <sheetData sheetId="31">
        <row r="4">
          <cell r="DT4">
            <v>94</v>
          </cell>
        </row>
        <row r="5">
          <cell r="DT5">
            <v>94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B19">
            <v>414</v>
          </cell>
          <cell r="DC19">
            <v>342</v>
          </cell>
          <cell r="DD19">
            <v>130</v>
          </cell>
          <cell r="DE19">
            <v>90</v>
          </cell>
          <cell r="DF19">
            <v>58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P19">
            <v>286</v>
          </cell>
          <cell r="DQ19">
            <v>256</v>
          </cell>
          <cell r="DR19">
            <v>184</v>
          </cell>
          <cell r="DS19">
            <v>190</v>
          </cell>
          <cell r="DT19">
            <v>188</v>
          </cell>
        </row>
        <row r="22">
          <cell r="DT22">
            <v>5617</v>
          </cell>
        </row>
        <row r="23">
          <cell r="DT23">
            <v>5808</v>
          </cell>
        </row>
        <row r="27">
          <cell r="DT27">
            <v>205</v>
          </cell>
        </row>
        <row r="28">
          <cell r="DT28">
            <v>126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B41">
            <v>22312</v>
          </cell>
          <cell r="DC41">
            <v>19404</v>
          </cell>
          <cell r="DD41">
            <v>7611</v>
          </cell>
          <cell r="DE41">
            <v>5072</v>
          </cell>
          <cell r="DF41">
            <v>2880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P41">
            <v>18361</v>
          </cell>
          <cell r="DQ41">
            <v>16159</v>
          </cell>
          <cell r="DR41">
            <v>11476</v>
          </cell>
          <cell r="DS41">
            <v>11647</v>
          </cell>
          <cell r="DT41">
            <v>11425</v>
          </cell>
        </row>
      </sheetData>
      <sheetData sheetId="32">
        <row r="4">
          <cell r="DT4">
            <v>65</v>
          </cell>
        </row>
        <row r="5">
          <cell r="DT5">
            <v>65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P19">
            <v>124</v>
          </cell>
          <cell r="DQ19">
            <v>142</v>
          </cell>
          <cell r="DR19">
            <v>182</v>
          </cell>
          <cell r="DS19">
            <v>148</v>
          </cell>
          <cell r="DT19">
            <v>130</v>
          </cell>
        </row>
        <row r="22">
          <cell r="DT22">
            <v>3472</v>
          </cell>
        </row>
        <row r="23">
          <cell r="DT23">
            <v>3314</v>
          </cell>
        </row>
        <row r="27">
          <cell r="DT27">
            <v>154</v>
          </cell>
        </row>
        <row r="28">
          <cell r="DT28">
            <v>162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P41">
            <v>8263</v>
          </cell>
          <cell r="DQ41">
            <v>5898</v>
          </cell>
          <cell r="DR41">
            <v>10900</v>
          </cell>
          <cell r="DS41">
            <v>8206</v>
          </cell>
          <cell r="DT41">
            <v>6786</v>
          </cell>
        </row>
      </sheetData>
      <sheetData sheetId="33">
        <row r="4">
          <cell r="DT4">
            <v>1</v>
          </cell>
        </row>
        <row r="5">
          <cell r="DT5">
            <v>1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P19">
            <v>0</v>
          </cell>
          <cell r="DQ19">
            <v>0</v>
          </cell>
          <cell r="DR19">
            <v>0</v>
          </cell>
          <cell r="DS19">
            <v>10</v>
          </cell>
          <cell r="DT19">
            <v>2</v>
          </cell>
        </row>
        <row r="22">
          <cell r="DT22">
            <v>63</v>
          </cell>
        </row>
        <row r="23">
          <cell r="DT23">
            <v>5</v>
          </cell>
        </row>
        <row r="27">
          <cell r="DT27">
            <v>1</v>
          </cell>
        </row>
        <row r="28">
          <cell r="DT28">
            <v>1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P41">
            <v>0</v>
          </cell>
          <cell r="DQ41">
            <v>0</v>
          </cell>
          <cell r="DR41">
            <v>2759</v>
          </cell>
          <cell r="DS41">
            <v>534</v>
          </cell>
          <cell r="DT41">
            <v>68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</row>
      </sheetData>
      <sheetData sheetId="36">
        <row r="4">
          <cell r="DT4">
            <v>3143</v>
          </cell>
        </row>
        <row r="5">
          <cell r="DT5">
            <v>3143</v>
          </cell>
        </row>
        <row r="9">
          <cell r="DT9">
            <v>6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  <cell r="DP15">
            <v>266</v>
          </cell>
          <cell r="DQ15">
            <v>240</v>
          </cell>
          <cell r="DR15">
            <v>168</v>
          </cell>
          <cell r="DS15">
            <v>227</v>
          </cell>
          <cell r="DT15">
            <v>279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  <cell r="DP16">
            <v>266</v>
          </cell>
          <cell r="DQ16">
            <v>236</v>
          </cell>
          <cell r="DR16">
            <v>165</v>
          </cell>
          <cell r="DS16">
            <v>223</v>
          </cell>
          <cell r="DT16">
            <v>277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B19">
            <v>6456</v>
          </cell>
          <cell r="DC19">
            <v>6752</v>
          </cell>
          <cell r="DD19">
            <v>6410</v>
          </cell>
          <cell r="DE19">
            <v>7581</v>
          </cell>
          <cell r="DF19">
            <v>7021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P19">
            <v>7039</v>
          </cell>
          <cell r="DQ19">
            <v>6476</v>
          </cell>
          <cell r="DR19">
            <v>6369</v>
          </cell>
          <cell r="DS19">
            <v>6968</v>
          </cell>
          <cell r="DT19">
            <v>6848</v>
          </cell>
        </row>
        <row r="22">
          <cell r="DT22">
            <v>157055</v>
          </cell>
        </row>
        <row r="23">
          <cell r="DT23">
            <v>153972</v>
          </cell>
        </row>
        <row r="27">
          <cell r="DT27">
            <v>5506</v>
          </cell>
        </row>
        <row r="28">
          <cell r="DT28">
            <v>5608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  <cell r="DP32">
            <v>13800</v>
          </cell>
          <cell r="DQ32">
            <v>12771</v>
          </cell>
          <cell r="DR32">
            <v>8568</v>
          </cell>
          <cell r="DS32">
            <v>11543</v>
          </cell>
          <cell r="DT32">
            <v>14437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  <cell r="DP33">
            <v>13626</v>
          </cell>
          <cell r="DQ33">
            <v>12934</v>
          </cell>
          <cell r="DR33">
            <v>8986</v>
          </cell>
          <cell r="DS33">
            <v>11051</v>
          </cell>
          <cell r="DT33">
            <v>13976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  <cell r="DP37">
            <v>192</v>
          </cell>
          <cell r="DQ37">
            <v>194</v>
          </cell>
          <cell r="DR37">
            <v>191</v>
          </cell>
          <cell r="DS37">
            <v>207</v>
          </cell>
          <cell r="DT37">
            <v>276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  <cell r="DP38">
            <v>192</v>
          </cell>
          <cell r="DQ38">
            <v>186</v>
          </cell>
          <cell r="DR38">
            <v>167</v>
          </cell>
          <cell r="DS38">
            <v>214</v>
          </cell>
          <cell r="DT38">
            <v>272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B41">
            <v>294799</v>
          </cell>
          <cell r="DC41">
            <v>308851</v>
          </cell>
          <cell r="DD41">
            <v>280658</v>
          </cell>
          <cell r="DE41">
            <v>338684</v>
          </cell>
          <cell r="DF41">
            <v>301659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P41">
            <v>348880</v>
          </cell>
          <cell r="DQ41">
            <v>334750</v>
          </cell>
          <cell r="DR41">
            <v>317245</v>
          </cell>
          <cell r="DS41">
            <v>359280</v>
          </cell>
          <cell r="DT41">
            <v>339440</v>
          </cell>
        </row>
        <row r="70">
          <cell r="DT70">
            <v>40380</v>
          </cell>
        </row>
        <row r="71">
          <cell r="DT71">
            <v>113592</v>
          </cell>
        </row>
        <row r="73">
          <cell r="DT73">
            <v>3662</v>
          </cell>
        </row>
        <row r="74">
          <cell r="DT74">
            <v>10314</v>
          </cell>
        </row>
      </sheetData>
      <sheetData sheetId="37"/>
      <sheetData sheetId="38">
        <row r="4">
          <cell r="DT4">
            <v>17</v>
          </cell>
        </row>
        <row r="5">
          <cell r="DT5">
            <v>17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B19">
            <v>196</v>
          </cell>
          <cell r="DC19">
            <v>198</v>
          </cell>
          <cell r="DD19">
            <v>173</v>
          </cell>
          <cell r="DE19">
            <v>179</v>
          </cell>
          <cell r="DF19">
            <v>160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P19">
            <v>29</v>
          </cell>
          <cell r="DQ19">
            <v>80</v>
          </cell>
          <cell r="DR19">
            <v>64</v>
          </cell>
          <cell r="DS19">
            <v>18</v>
          </cell>
          <cell r="DT19">
            <v>34</v>
          </cell>
        </row>
        <row r="22">
          <cell r="DT22">
            <v>875</v>
          </cell>
        </row>
        <row r="23">
          <cell r="DT23">
            <v>910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B41">
            <v>13160</v>
          </cell>
          <cell r="DC41">
            <v>13694</v>
          </cell>
          <cell r="DD41">
            <v>11901</v>
          </cell>
          <cell r="DE41">
            <v>12106</v>
          </cell>
          <cell r="DF41">
            <v>9934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P41">
            <v>1980</v>
          </cell>
          <cell r="DQ41">
            <v>5520</v>
          </cell>
          <cell r="DR41">
            <v>3601</v>
          </cell>
          <cell r="DS41">
            <v>916</v>
          </cell>
          <cell r="DT41">
            <v>1785</v>
          </cell>
        </row>
      </sheetData>
      <sheetData sheetId="39">
        <row r="4">
          <cell r="DT4">
            <v>296</v>
          </cell>
        </row>
        <row r="5">
          <cell r="DT5">
            <v>296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B19">
            <v>310</v>
          </cell>
          <cell r="DC19">
            <v>324</v>
          </cell>
          <cell r="DD19">
            <v>248</v>
          </cell>
          <cell r="DE19">
            <v>364</v>
          </cell>
          <cell r="DF19">
            <v>284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P19">
            <v>462</v>
          </cell>
          <cell r="DQ19">
            <v>412</v>
          </cell>
          <cell r="DR19">
            <v>392</v>
          </cell>
          <cell r="DS19">
            <v>472</v>
          </cell>
          <cell r="DT19">
            <v>592</v>
          </cell>
        </row>
        <row r="22">
          <cell r="DT22">
            <v>17929</v>
          </cell>
        </row>
        <row r="23">
          <cell r="DT23">
            <v>18146</v>
          </cell>
        </row>
        <row r="27">
          <cell r="DT27">
            <v>532</v>
          </cell>
        </row>
        <row r="28">
          <cell r="DT28">
            <v>637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B41">
            <v>17558</v>
          </cell>
          <cell r="DC41">
            <v>19213</v>
          </cell>
          <cell r="DD41">
            <v>13747</v>
          </cell>
          <cell r="DE41">
            <v>19936</v>
          </cell>
          <cell r="DF41">
            <v>15628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P41">
            <v>29708</v>
          </cell>
          <cell r="DQ41">
            <v>26699</v>
          </cell>
          <cell r="DR41">
            <v>24111</v>
          </cell>
          <cell r="DS41">
            <v>28335</v>
          </cell>
          <cell r="DT41">
            <v>36075</v>
          </cell>
        </row>
      </sheetData>
      <sheetData sheetId="40">
        <row r="4">
          <cell r="DT4">
            <v>1175</v>
          </cell>
        </row>
        <row r="5">
          <cell r="DT5">
            <v>1169</v>
          </cell>
        </row>
        <row r="9">
          <cell r="DT9">
            <v>6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  <cell r="DP15">
            <v>64</v>
          </cell>
          <cell r="DQ15">
            <v>64</v>
          </cell>
          <cell r="DR15">
            <v>48</v>
          </cell>
          <cell r="DS15">
            <v>88</v>
          </cell>
          <cell r="DT15">
            <v>81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  <cell r="DP16">
            <v>63</v>
          </cell>
          <cell r="DQ16">
            <v>64</v>
          </cell>
          <cell r="DR16">
            <v>48</v>
          </cell>
          <cell r="DS16">
            <v>89</v>
          </cell>
          <cell r="DT16">
            <v>81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B19">
            <v>5212</v>
          </cell>
          <cell r="DC19">
            <v>5052</v>
          </cell>
          <cell r="DD19">
            <v>3629</v>
          </cell>
          <cell r="DE19">
            <v>3379</v>
          </cell>
          <cell r="DF19">
            <v>2820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P19">
            <v>3559</v>
          </cell>
          <cell r="DQ19">
            <v>3789</v>
          </cell>
          <cell r="DR19">
            <v>2791</v>
          </cell>
          <cell r="DS19">
            <v>2934</v>
          </cell>
          <cell r="DT19">
            <v>2512</v>
          </cell>
        </row>
        <row r="22">
          <cell r="DT22">
            <v>43962</v>
          </cell>
        </row>
        <row r="23">
          <cell r="DT23">
            <v>44288</v>
          </cell>
        </row>
        <row r="27">
          <cell r="DT27">
            <v>1998</v>
          </cell>
        </row>
        <row r="28">
          <cell r="DT28">
            <v>2011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  <cell r="DP32">
            <v>2741</v>
          </cell>
          <cell r="DQ32">
            <v>2649</v>
          </cell>
          <cell r="DR32">
            <v>1763</v>
          </cell>
          <cell r="DS32">
            <v>4565</v>
          </cell>
          <cell r="DT32">
            <v>4112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  <cell r="DP33">
            <v>2718</v>
          </cell>
          <cell r="DQ33">
            <v>2695</v>
          </cell>
          <cell r="DR33">
            <v>1972</v>
          </cell>
          <cell r="DS33">
            <v>4408</v>
          </cell>
          <cell r="DT33">
            <v>3569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  <cell r="DP37">
            <v>26</v>
          </cell>
          <cell r="DQ37">
            <v>17</v>
          </cell>
          <cell r="DR37">
            <v>25</v>
          </cell>
          <cell r="DS37">
            <v>41</v>
          </cell>
          <cell r="DT37">
            <v>39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  <cell r="DP38">
            <v>33</v>
          </cell>
          <cell r="DQ38">
            <v>14</v>
          </cell>
          <cell r="DR38">
            <v>19</v>
          </cell>
          <cell r="DS38">
            <v>56</v>
          </cell>
          <cell r="DT38">
            <v>42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B41">
            <v>226811</v>
          </cell>
          <cell r="DC41">
            <v>221057</v>
          </cell>
          <cell r="DD41">
            <v>153346</v>
          </cell>
          <cell r="DE41">
            <v>140995</v>
          </cell>
          <cell r="DF41">
            <v>105744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P41">
            <v>157143</v>
          </cell>
          <cell r="DQ41">
            <v>165829</v>
          </cell>
          <cell r="DR41">
            <v>113962</v>
          </cell>
          <cell r="DS41">
            <v>123570</v>
          </cell>
          <cell r="DT41">
            <v>95931</v>
          </cell>
        </row>
        <row r="70">
          <cell r="DT70">
            <v>10589</v>
          </cell>
        </row>
        <row r="71">
          <cell r="DT71">
            <v>33699</v>
          </cell>
        </row>
        <row r="73">
          <cell r="DT73">
            <v>853</v>
          </cell>
        </row>
        <row r="74">
          <cell r="DT74">
            <v>2716</v>
          </cell>
        </row>
      </sheetData>
      <sheetData sheetId="41">
        <row r="4">
          <cell r="DT4">
            <v>91</v>
          </cell>
        </row>
        <row r="5">
          <cell r="DT5">
            <v>90</v>
          </cell>
        </row>
        <row r="9">
          <cell r="DT9">
            <v>1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B19">
            <v>100</v>
          </cell>
          <cell r="DC19">
            <v>137</v>
          </cell>
          <cell r="DD19">
            <v>232</v>
          </cell>
          <cell r="DE19">
            <v>246</v>
          </cell>
          <cell r="DF19">
            <v>222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P19">
            <v>300</v>
          </cell>
          <cell r="DQ19">
            <v>295</v>
          </cell>
          <cell r="DR19">
            <v>163</v>
          </cell>
          <cell r="DS19">
            <v>250</v>
          </cell>
          <cell r="DT19">
            <v>182</v>
          </cell>
        </row>
        <row r="22">
          <cell r="DT22">
            <v>5394</v>
          </cell>
        </row>
        <row r="23">
          <cell r="DT23">
            <v>5184</v>
          </cell>
        </row>
        <row r="27">
          <cell r="DT27">
            <v>202</v>
          </cell>
        </row>
        <row r="28">
          <cell r="DT28">
            <v>221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B41">
            <v>5896</v>
          </cell>
          <cell r="DC41">
            <v>7316</v>
          </cell>
          <cell r="DD41">
            <v>13169</v>
          </cell>
          <cell r="DE41">
            <v>14411</v>
          </cell>
          <cell r="DF41">
            <v>11907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P41">
            <v>19191</v>
          </cell>
          <cell r="DQ41">
            <v>19262</v>
          </cell>
          <cell r="DR41">
            <v>10782</v>
          </cell>
          <cell r="DS41">
            <v>15258</v>
          </cell>
          <cell r="DT41">
            <v>10578</v>
          </cell>
        </row>
        <row r="70">
          <cell r="DT70">
            <v>2363</v>
          </cell>
        </row>
        <row r="71">
          <cell r="DT71">
            <v>2821</v>
          </cell>
        </row>
      </sheetData>
      <sheetData sheetId="42">
        <row r="4">
          <cell r="DT4">
            <v>116</v>
          </cell>
        </row>
        <row r="5">
          <cell r="DT5">
            <v>116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B19">
            <v>370</v>
          </cell>
          <cell r="DC19">
            <v>424</v>
          </cell>
          <cell r="DD19">
            <v>534</v>
          </cell>
          <cell r="DE19">
            <v>524</v>
          </cell>
          <cell r="DF19">
            <v>510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P19">
            <v>490</v>
          </cell>
          <cell r="DQ19">
            <v>452</v>
          </cell>
          <cell r="DR19">
            <v>250</v>
          </cell>
          <cell r="DS19">
            <v>330</v>
          </cell>
          <cell r="DT19">
            <v>232</v>
          </cell>
        </row>
        <row r="22">
          <cell r="DT22">
            <v>6214</v>
          </cell>
        </row>
        <row r="23">
          <cell r="DT23">
            <v>6177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B41">
            <v>22230</v>
          </cell>
          <cell r="DC41">
            <v>26626</v>
          </cell>
          <cell r="DD41">
            <v>28675</v>
          </cell>
          <cell r="DE41">
            <v>28543</v>
          </cell>
          <cell r="DF41">
            <v>26011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P41">
            <v>30772</v>
          </cell>
          <cell r="DQ41">
            <v>29047</v>
          </cell>
          <cell r="DR41">
            <v>14680</v>
          </cell>
          <cell r="DS41">
            <v>19343</v>
          </cell>
          <cell r="DT41">
            <v>12391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T4">
            <v>3</v>
          </cell>
        </row>
        <row r="5">
          <cell r="DT5">
            <v>3</v>
          </cell>
        </row>
        <row r="22">
          <cell r="DT22">
            <v>235</v>
          </cell>
        </row>
        <row r="23">
          <cell r="DT23">
            <v>236</v>
          </cell>
        </row>
      </sheetData>
      <sheetData sheetId="50">
        <row r="4">
          <cell r="DT4">
            <v>1</v>
          </cell>
        </row>
      </sheetData>
      <sheetData sheetId="51">
        <row r="4">
          <cell r="DT4">
            <v>20</v>
          </cell>
        </row>
        <row r="5">
          <cell r="DT5">
            <v>20</v>
          </cell>
        </row>
        <row r="47">
          <cell r="DT47">
            <v>673787</v>
          </cell>
        </row>
        <row r="52">
          <cell r="DT52">
            <v>391571</v>
          </cell>
        </row>
      </sheetData>
      <sheetData sheetId="52">
        <row r="15">
          <cell r="DT15">
            <v>19</v>
          </cell>
        </row>
        <row r="16">
          <cell r="DT16">
            <v>19</v>
          </cell>
        </row>
        <row r="47">
          <cell r="DT47">
            <v>20011</v>
          </cell>
        </row>
        <row r="52">
          <cell r="DT52">
            <v>62767</v>
          </cell>
        </row>
      </sheetData>
      <sheetData sheetId="53">
        <row r="4">
          <cell r="DT4">
            <v>100</v>
          </cell>
        </row>
        <row r="5">
          <cell r="DT5">
            <v>100</v>
          </cell>
        </row>
        <row r="47">
          <cell r="DT47">
            <v>6134651</v>
          </cell>
        </row>
        <row r="52">
          <cell r="DT52">
            <v>8173408</v>
          </cell>
        </row>
      </sheetData>
      <sheetData sheetId="54">
        <row r="4">
          <cell r="DT4">
            <v>89</v>
          </cell>
        </row>
        <row r="5">
          <cell r="DT5">
            <v>89</v>
          </cell>
        </row>
        <row r="47">
          <cell r="DT47">
            <v>4801517</v>
          </cell>
        </row>
        <row r="48">
          <cell r="DT48">
            <v>4788</v>
          </cell>
        </row>
        <row r="52">
          <cell r="DT52">
            <v>4483204</v>
          </cell>
        </row>
        <row r="53">
          <cell r="DT53">
            <v>109289</v>
          </cell>
        </row>
      </sheetData>
      <sheetData sheetId="55"/>
      <sheetData sheetId="56"/>
      <sheetData sheetId="57"/>
      <sheetData sheetId="58">
        <row r="4">
          <cell r="DT4">
            <v>214</v>
          </cell>
        </row>
        <row r="5">
          <cell r="DT5">
            <v>214</v>
          </cell>
        </row>
      </sheetData>
      <sheetData sheetId="59"/>
      <sheetData sheetId="60">
        <row r="4">
          <cell r="DT4">
            <v>19</v>
          </cell>
        </row>
        <row r="5">
          <cell r="DT5">
            <v>19</v>
          </cell>
        </row>
        <row r="47">
          <cell r="DT47">
            <v>47352</v>
          </cell>
        </row>
        <row r="52">
          <cell r="DT52">
            <v>120335</v>
          </cell>
        </row>
      </sheetData>
      <sheetData sheetId="61">
        <row r="4">
          <cell r="DT4">
            <v>23</v>
          </cell>
        </row>
        <row r="5">
          <cell r="DT5">
            <v>23</v>
          </cell>
        </row>
        <row r="47">
          <cell r="DT47">
            <v>31925</v>
          </cell>
        </row>
        <row r="52">
          <cell r="DT52">
            <v>39449</v>
          </cell>
        </row>
      </sheetData>
      <sheetData sheetId="62">
        <row r="4">
          <cell r="DT4">
            <v>13</v>
          </cell>
        </row>
        <row r="5">
          <cell r="DT5">
            <v>11</v>
          </cell>
        </row>
      </sheetData>
      <sheetData sheetId="63">
        <row r="4">
          <cell r="DT4">
            <v>792</v>
          </cell>
        </row>
        <row r="5">
          <cell r="DT5">
            <v>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E11" sqref="E1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41944</v>
      </c>
      <c r="B2" s="17"/>
      <c r="C2" s="17"/>
      <c r="D2" s="482" t="s">
        <v>193</v>
      </c>
      <c r="E2" s="482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3"/>
      <c r="E3" s="484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885913</v>
      </c>
      <c r="C5" s="302">
        <f>'Major Airline Stats'!J5</f>
        <v>883982</v>
      </c>
      <c r="D5" s="5">
        <f>'Major Airline Stats'!J6</f>
        <v>1769895</v>
      </c>
      <c r="E5" s="9">
        <f>'[1]Monthly Summary'!D5</f>
        <v>1696868</v>
      </c>
      <c r="F5" s="41">
        <f>(D5-E5)/E5</f>
        <v>4.3036346963935913E-2</v>
      </c>
      <c r="G5" s="9">
        <f>+D5+'[2]Monthly Summary'!G5</f>
        <v>22697607</v>
      </c>
      <c r="H5" s="9">
        <f>'[1]Monthly Summary'!G5</f>
        <v>21167013</v>
      </c>
      <c r="I5" s="88">
        <f>(G5-H5)/H5</f>
        <v>7.2310344402396309E-2</v>
      </c>
      <c r="J5" s="9"/>
    </row>
    <row r="6" spans="1:14" x14ac:dyDescent="0.2">
      <c r="A6" s="70" t="s">
        <v>5</v>
      </c>
      <c r="B6" s="300">
        <f>'Regional Major'!L5</f>
        <v>350805</v>
      </c>
      <c r="C6" s="300">
        <f>'Regional Major'!L6</f>
        <v>347139</v>
      </c>
      <c r="D6" s="5">
        <f>B6+C6</f>
        <v>697944</v>
      </c>
      <c r="E6" s="9">
        <f>'[1]Monthly Summary'!D6</f>
        <v>709008</v>
      </c>
      <c r="F6" s="41">
        <f>(D6-E6)/E6</f>
        <v>-1.5604901496174937E-2</v>
      </c>
      <c r="G6" s="9">
        <f>+D6+'[2]Monthly Summary'!G6</f>
        <v>8728564</v>
      </c>
      <c r="H6" s="9">
        <f>'[1]Monthly Summary'!G6</f>
        <v>8909654</v>
      </c>
      <c r="I6" s="88">
        <f>(G6-H6)/H6</f>
        <v>-2.0325143939371831E-2</v>
      </c>
      <c r="J6" s="21"/>
      <c r="K6" s="2"/>
    </row>
    <row r="7" spans="1:14" x14ac:dyDescent="0.2">
      <c r="A7" s="70" t="s">
        <v>6</v>
      </c>
      <c r="B7" s="9">
        <f>Charter!G5</f>
        <v>235</v>
      </c>
      <c r="C7" s="301">
        <f>Charter!G6</f>
        <v>236</v>
      </c>
      <c r="D7" s="5">
        <f>B7+C7</f>
        <v>471</v>
      </c>
      <c r="E7" s="9">
        <f>'[1]Monthly Summary'!D7</f>
        <v>727</v>
      </c>
      <c r="F7" s="41">
        <f>(D7-E7)/E7</f>
        <v>-0.35213204951856947</v>
      </c>
      <c r="G7" s="9">
        <f>+D7+'[2]Monthly Summary'!G7</f>
        <v>4365</v>
      </c>
      <c r="H7" s="9">
        <f>'[1]Monthly Summary'!G7</f>
        <v>8127</v>
      </c>
      <c r="I7" s="88">
        <f>(G7-H7)/H7</f>
        <v>-0.46290143964562569</v>
      </c>
      <c r="J7" s="21"/>
      <c r="K7" s="2"/>
    </row>
    <row r="8" spans="1:14" x14ac:dyDescent="0.2">
      <c r="A8" s="73" t="s">
        <v>7</v>
      </c>
      <c r="B8" s="152">
        <f>SUM(B5:B7)</f>
        <v>1236953</v>
      </c>
      <c r="C8" s="152">
        <f>SUM(C5:C7)</f>
        <v>1231357</v>
      </c>
      <c r="D8" s="152">
        <f>SUM(D5:D7)</f>
        <v>2468310</v>
      </c>
      <c r="E8" s="152">
        <f>SUM(E5:E7)</f>
        <v>2406603</v>
      </c>
      <c r="F8" s="95">
        <f>(D8-E8)/E8</f>
        <v>2.56407060075966E-2</v>
      </c>
      <c r="G8" s="152">
        <f>SUM(G5:G7)</f>
        <v>31430536</v>
      </c>
      <c r="H8" s="152">
        <f>SUM(H5:H7)</f>
        <v>30084794</v>
      </c>
      <c r="I8" s="94">
        <f>(G8-H8)/H8</f>
        <v>4.4731634193672723E-2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42445</v>
      </c>
      <c r="C10" s="303">
        <f>'Major Airline Stats'!J10+'Regional Major'!L11</f>
        <v>42355</v>
      </c>
      <c r="D10" s="124">
        <f>SUM(B10:C10)</f>
        <v>84800</v>
      </c>
      <c r="E10" s="124">
        <f>'[1]Monthly Summary'!D10</f>
        <v>89510</v>
      </c>
      <c r="F10" s="96">
        <f>(D10-E10)/E10</f>
        <v>-5.2619819014635236E-2</v>
      </c>
      <c r="G10" s="118">
        <f>+D10+'[2]Monthly Summary'!G10</f>
        <v>986257</v>
      </c>
      <c r="H10" s="124">
        <f>'[1]Monthly Summary'!G10</f>
        <v>1043957</v>
      </c>
      <c r="I10" s="99">
        <f>(G10-H10)/H10</f>
        <v>-5.527047569966962E-2</v>
      </c>
      <c r="J10" s="263"/>
    </row>
    <row r="11" spans="1:14" ht="15.75" thickBot="1" x14ac:dyDescent="0.3">
      <c r="A11" s="72" t="s">
        <v>15</v>
      </c>
      <c r="B11" s="278">
        <f>B10+B8</f>
        <v>1279398</v>
      </c>
      <c r="C11" s="278">
        <f>C10+C8</f>
        <v>1273712</v>
      </c>
      <c r="D11" s="278">
        <f>D10+D8</f>
        <v>2553110</v>
      </c>
      <c r="E11" s="278">
        <f>E10+E8</f>
        <v>2496113</v>
      </c>
      <c r="F11" s="97">
        <f>(D11-E11)/E11</f>
        <v>2.2834302773952941E-2</v>
      </c>
      <c r="G11" s="278">
        <f>G8+G10</f>
        <v>32416793</v>
      </c>
      <c r="H11" s="278">
        <f>H8+H10</f>
        <v>31128751</v>
      </c>
      <c r="I11" s="100">
        <f>(G11-H11)/H11</f>
        <v>4.1377888884780507E-2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2" t="s">
        <v>193</v>
      </c>
      <c r="E13" s="482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3"/>
      <c r="E14" s="484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7384</v>
      </c>
      <c r="C16" s="311">
        <f>'Major Airline Stats'!J16+'Major Airline Stats'!J20</f>
        <v>7380</v>
      </c>
      <c r="D16" s="49">
        <f t="shared" ref="D16:D21" si="0">SUM(B16:C16)</f>
        <v>14764</v>
      </c>
      <c r="E16" s="9">
        <f>'[1]Monthly Summary'!D16</f>
        <v>15329</v>
      </c>
      <c r="F16" s="98">
        <f t="shared" ref="F16:F22" si="1">(D16-E16)/E16</f>
        <v>-3.6858242546806703E-2</v>
      </c>
      <c r="G16" s="49">
        <f>+D16+'[2]Monthly Summary'!G16</f>
        <v>174092</v>
      </c>
      <c r="H16" s="9">
        <f>'[1]Monthly Summary'!G16</f>
        <v>177617</v>
      </c>
      <c r="I16" s="261">
        <f t="shared" ref="I16:I22" si="2">(G16-H16)/H16</f>
        <v>-1.9846073292533937E-2</v>
      </c>
      <c r="N16" s="134"/>
    </row>
    <row r="17" spans="1:12" x14ac:dyDescent="0.2">
      <c r="A17" s="71" t="s">
        <v>5</v>
      </c>
      <c r="B17" s="49">
        <f>'Regional Major'!L15+'Regional Major'!L18</f>
        <v>7057</v>
      </c>
      <c r="C17" s="49">
        <f>'Regional Major'!L16+'Regional Major'!L19</f>
        <v>7061</v>
      </c>
      <c r="D17" s="49">
        <f>SUM(B17:C17)</f>
        <v>14118</v>
      </c>
      <c r="E17" s="9">
        <f>'[1]Monthly Summary'!D17</f>
        <v>15689</v>
      </c>
      <c r="F17" s="98">
        <f t="shared" si="1"/>
        <v>-0.1001338517432596</v>
      </c>
      <c r="G17" s="49">
        <f>+D17+'[2]Monthly Summary'!G17</f>
        <v>171726</v>
      </c>
      <c r="H17" s="9">
        <f>'[1]Monthly Summary'!G17</f>
        <v>187697</v>
      </c>
      <c r="I17" s="261">
        <f t="shared" si="2"/>
        <v>-8.5089266210967671E-2</v>
      </c>
    </row>
    <row r="18" spans="1:12" x14ac:dyDescent="0.2">
      <c r="A18" s="71" t="s">
        <v>10</v>
      </c>
      <c r="B18" s="49">
        <f>Charter!G10</f>
        <v>3</v>
      </c>
      <c r="C18" s="49">
        <f>Charter!G11</f>
        <v>3</v>
      </c>
      <c r="D18" s="49">
        <f t="shared" si="0"/>
        <v>6</v>
      </c>
      <c r="E18" s="9">
        <f>'[1]Monthly Summary'!D18</f>
        <v>8</v>
      </c>
      <c r="F18" s="98">
        <f t="shared" si="1"/>
        <v>-0.25</v>
      </c>
      <c r="G18" s="49">
        <f>+D18+'[2]Monthly Summary'!G18</f>
        <v>71</v>
      </c>
      <c r="H18" s="9">
        <f>'[1]Monthly Summary'!G18</f>
        <v>85</v>
      </c>
      <c r="I18" s="261">
        <f t="shared" si="2"/>
        <v>-0.16470588235294117</v>
      </c>
    </row>
    <row r="19" spans="1:12" x14ac:dyDescent="0.2">
      <c r="A19" s="71" t="s">
        <v>11</v>
      </c>
      <c r="B19" s="49">
        <f>Cargo!M4</f>
        <v>485</v>
      </c>
      <c r="C19" s="49">
        <f>Cargo!M5</f>
        <v>484</v>
      </c>
      <c r="D19" s="49">
        <f t="shared" si="0"/>
        <v>969</v>
      </c>
      <c r="E19" s="9">
        <f>'[1]Monthly Summary'!D19</f>
        <v>936</v>
      </c>
      <c r="F19" s="98">
        <f t="shared" si="1"/>
        <v>3.5256410256410256E-2</v>
      </c>
      <c r="G19" s="49">
        <f>+D19+'[2]Monthly Summary'!G19</f>
        <v>10957</v>
      </c>
      <c r="H19" s="9">
        <f>'[1]Monthly Summary'!G19</f>
        <v>10440</v>
      </c>
      <c r="I19" s="261">
        <f t="shared" si="2"/>
        <v>4.9521072796934865E-2</v>
      </c>
    </row>
    <row r="20" spans="1:12" x14ac:dyDescent="0.2">
      <c r="A20" s="71" t="s">
        <v>172</v>
      </c>
      <c r="B20" s="49">
        <f>'[3]General Avation'!$DT$4</f>
        <v>792</v>
      </c>
      <c r="C20" s="49">
        <f>'[3]General Avation'!$DT$5</f>
        <v>793</v>
      </c>
      <c r="D20" s="49">
        <f t="shared" si="0"/>
        <v>1585</v>
      </c>
      <c r="E20" s="9">
        <f>'[1]Monthly Summary'!D20</f>
        <v>1809</v>
      </c>
      <c r="F20" s="98">
        <f t="shared" si="1"/>
        <v>-0.12382531785516861</v>
      </c>
      <c r="G20" s="49">
        <f>+D20+'[2]Monthly Summary'!G20</f>
        <v>22041</v>
      </c>
      <c r="H20" s="9">
        <f>'[1]Monthly Summary'!G20</f>
        <v>19993</v>
      </c>
      <c r="I20" s="261">
        <f t="shared" si="2"/>
        <v>0.10243585254839194</v>
      </c>
    </row>
    <row r="21" spans="1:12" ht="12.75" customHeight="1" x14ac:dyDescent="0.2">
      <c r="A21" s="71" t="s">
        <v>12</v>
      </c>
      <c r="B21" s="18">
        <f>'[3]Military '!$DT$4</f>
        <v>13</v>
      </c>
      <c r="C21" s="18">
        <f>'[3]Military '!$DT$5</f>
        <v>11</v>
      </c>
      <c r="D21" s="18">
        <f t="shared" si="0"/>
        <v>24</v>
      </c>
      <c r="E21" s="124">
        <f>'[1]Monthly Summary'!D21</f>
        <v>98</v>
      </c>
      <c r="F21" s="259">
        <f t="shared" si="1"/>
        <v>-0.75510204081632648</v>
      </c>
      <c r="G21" s="124">
        <f>+D21+'[2]Monthly Summary'!G21</f>
        <v>1040</v>
      </c>
      <c r="H21" s="124">
        <f>'[1]Monthly Summary'!G21+E21</f>
        <v>1209</v>
      </c>
      <c r="I21" s="262">
        <f t="shared" si="2"/>
        <v>-0.13978494623655913</v>
      </c>
    </row>
    <row r="22" spans="1:12" ht="15.75" thickBot="1" x14ac:dyDescent="0.3">
      <c r="A22" s="72" t="s">
        <v>31</v>
      </c>
      <c r="B22" s="279">
        <f>SUM(B16:B21)</f>
        <v>15734</v>
      </c>
      <c r="C22" s="279">
        <f>SUM(C16:C21)</f>
        <v>15732</v>
      </c>
      <c r="D22" s="279">
        <f>SUM(D16:D21)</f>
        <v>31466</v>
      </c>
      <c r="E22" s="279">
        <f>SUM(E16:E21)</f>
        <v>33869</v>
      </c>
      <c r="F22" s="275">
        <f t="shared" si="1"/>
        <v>-7.0949836133337274E-2</v>
      </c>
      <c r="G22" s="279">
        <f>SUM(G16:G21)</f>
        <v>379927</v>
      </c>
      <c r="H22" s="279">
        <f>SUM(H16:H21)</f>
        <v>397041</v>
      </c>
      <c r="I22" s="276">
        <f t="shared" si="2"/>
        <v>-4.3103860810344521E-2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2" t="s">
        <v>193</v>
      </c>
      <c r="E24" s="482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7384.3858076480801</v>
      </c>
      <c r="C27" s="23">
        <f>(Cargo!M21+'Major Airline Stats'!J33+'Regional Major'!L30)*0.00045359237</f>
        <v>7951.0288183926596</v>
      </c>
      <c r="D27" s="23">
        <f>(SUM(B27:C27)+('Cargo Summary'!E17*0.00045359237))</f>
        <v>15335.41462604074</v>
      </c>
      <c r="E27" s="9">
        <f>'[1]Monthly Summary'!D27</f>
        <v>15269.43553349291</v>
      </c>
      <c r="F27" s="101">
        <f>(D27-E27)/E27</f>
        <v>4.3209909366398987E-3</v>
      </c>
      <c r="G27" s="56">
        <f>+D27+'[2]Monthly Summary'!G27</f>
        <v>168646.88464831669</v>
      </c>
      <c r="H27" s="9">
        <f>'[1]Monthly Summary'!G27</f>
        <v>166874.45069010791</v>
      </c>
      <c r="I27" s="103">
        <f>(G27-H27)/H27</f>
        <v>1.0621362053201581E-2</v>
      </c>
    </row>
    <row r="28" spans="1:12" x14ac:dyDescent="0.2">
      <c r="A28" s="65" t="s">
        <v>18</v>
      </c>
      <c r="B28" s="23">
        <f>(Cargo!M17+'Major Airline Stats'!J29+'Regional Major'!L26)*0.00045359237</f>
        <v>563.62208556038001</v>
      </c>
      <c r="C28" s="23">
        <f>(Cargo!M22+'Major Airline Stats'!J34+'Regional Major'!L31)*0.00045359237</f>
        <v>415.9668829085</v>
      </c>
      <c r="D28" s="23">
        <f>SUM(B28:C28)</f>
        <v>979.58896846888001</v>
      </c>
      <c r="E28" s="9">
        <f>'[1]Monthly Summary'!D28</f>
        <v>1073.53702014328</v>
      </c>
      <c r="F28" s="101">
        <f>(D28-E28)/E28</f>
        <v>-8.7512633390007491E-2</v>
      </c>
      <c r="G28" s="23">
        <f>+D28+'[2]Monthly Summary'!G28</f>
        <v>12121.283586208719</v>
      </c>
      <c r="H28" s="9">
        <f>'[1]Monthly Summary'!G28</f>
        <v>12698.105663328468</v>
      </c>
      <c r="I28" s="103">
        <f>(G28-H28)/H28</f>
        <v>-4.5425836925076429E-2</v>
      </c>
    </row>
    <row r="29" spans="1:12" ht="15.75" thickBot="1" x14ac:dyDescent="0.3">
      <c r="A29" s="66" t="s">
        <v>67</v>
      </c>
      <c r="B29" s="57">
        <f>SUM(B27:B28)</f>
        <v>7948.0078932084598</v>
      </c>
      <c r="C29" s="57">
        <f>SUM(C27:C28)</f>
        <v>8366.995701301159</v>
      </c>
      <c r="D29" s="57">
        <f>SUM(D27:D28)</f>
        <v>16315.003594509621</v>
      </c>
      <c r="E29" s="57">
        <f>SUM(E27:E28)</f>
        <v>16342.972553636189</v>
      </c>
      <c r="F29" s="102">
        <f>(D29-E29)/E29</f>
        <v>-1.7113752736705079E-3</v>
      </c>
      <c r="G29" s="57">
        <f>SUM(G27:G28)</f>
        <v>180768.16823452539</v>
      </c>
      <c r="H29" s="57">
        <f>SUM(H27:H28)</f>
        <v>179572.55635343638</v>
      </c>
      <c r="I29" s="104">
        <f>(G29-H29)/H29</f>
        <v>6.6580991292221961E-3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1" t="s">
        <v>164</v>
      </c>
      <c r="C31" s="480"/>
      <c r="D31" s="481" t="s">
        <v>176</v>
      </c>
      <c r="E31" s="480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675056</v>
      </c>
      <c r="C32" s="413">
        <f>B32/C8</f>
        <v>0.54822119011789427</v>
      </c>
      <c r="D32" s="414">
        <f>+B32+'[2]Monthly Summary'!$D$32</f>
        <v>8527515</v>
      </c>
      <c r="E32" s="415">
        <f>+D32/D34</f>
        <v>0.54441252421761621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556301</v>
      </c>
      <c r="C33" s="418">
        <f>+B33/C8</f>
        <v>0.45177880988210567</v>
      </c>
      <c r="D33" s="419">
        <f>+B33+'[2]Monthly Summary'!$D$33</f>
        <v>7136186</v>
      </c>
      <c r="E33" s="420">
        <f>+D33/D34</f>
        <v>0.45558747578238373</v>
      </c>
      <c r="G33" s="435"/>
      <c r="H33" s="435"/>
      <c r="I33" s="434"/>
    </row>
    <row r="34" spans="1:14" ht="13.5" thickBot="1" x14ac:dyDescent="0.25">
      <c r="B34" s="315"/>
      <c r="D34" s="421">
        <f>SUM(D32:D33)</f>
        <v>15663701</v>
      </c>
    </row>
    <row r="35" spans="1:14" ht="13.5" thickBot="1" x14ac:dyDescent="0.25">
      <c r="B35" s="479" t="s">
        <v>216</v>
      </c>
      <c r="C35" s="480"/>
      <c r="D35" s="481" t="s">
        <v>195</v>
      </c>
      <c r="E35" s="480"/>
    </row>
    <row r="36" spans="1:14" x14ac:dyDescent="0.2">
      <c r="A36" s="411" t="s">
        <v>165</v>
      </c>
      <c r="B36" s="412">
        <f>'[1]Monthly Summary'!$B$32</f>
        <v>647774</v>
      </c>
      <c r="C36" s="413">
        <f>+B36/B38</f>
        <v>0.53736352799371534</v>
      </c>
      <c r="D36" s="414">
        <f>'[1]Monthly Summary'!$D$32</f>
        <v>8148809</v>
      </c>
      <c r="E36" s="415">
        <f>+D36/D38</f>
        <v>0.54252485226853142</v>
      </c>
    </row>
    <row r="37" spans="1:14" ht="13.5" thickBot="1" x14ac:dyDescent="0.25">
      <c r="A37" s="416" t="s">
        <v>166</v>
      </c>
      <c r="B37" s="417">
        <f>'[1]Monthly Summary'!$B$33</f>
        <v>557693</v>
      </c>
      <c r="C37" s="420">
        <f>+B37/B38</f>
        <v>0.46263647200628472</v>
      </c>
      <c r="D37" s="419">
        <f>'[1]Monthly Summary'!$D$33</f>
        <v>6871349</v>
      </c>
      <c r="E37" s="420">
        <f>+D37/D38</f>
        <v>0.45747514773146858</v>
      </c>
    </row>
    <row r="38" spans="1:14" x14ac:dyDescent="0.2">
      <c r="B38" s="443">
        <f>+SUM(B36:B37)</f>
        <v>1205467</v>
      </c>
      <c r="D38" s="421">
        <f>SUM(D36:D37)</f>
        <v>15020158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topLeftCell="A34" zoomScaleNormal="100" zoomScaleSheetLayoutView="85" workbookViewId="0">
      <selection activeCell="P56" sqref="P56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11.140625" customWidth="1"/>
  </cols>
  <sheetData>
    <row r="1" spans="1:23" s="228" customFormat="1" ht="26.25" thickBot="1" x14ac:dyDescent="0.25">
      <c r="A1" s="521" t="s">
        <v>148</v>
      </c>
      <c r="B1" s="522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8" t="s">
        <v>152</v>
      </c>
      <c r="K1" s="529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3">
        <v>41944</v>
      </c>
      <c r="B2" s="524"/>
      <c r="C2" s="525" t="s">
        <v>9</v>
      </c>
      <c r="D2" s="526"/>
      <c r="E2" s="526"/>
      <c r="F2" s="526"/>
      <c r="G2" s="526"/>
      <c r="H2" s="526"/>
      <c r="I2" s="527"/>
      <c r="J2" s="523">
        <v>41944</v>
      </c>
      <c r="K2" s="524"/>
      <c r="L2" s="518" t="s">
        <v>154</v>
      </c>
      <c r="M2" s="519"/>
      <c r="N2" s="519"/>
      <c r="O2" s="519"/>
      <c r="P2" s="519"/>
      <c r="Q2" s="519"/>
      <c r="R2" s="520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[3]AirCanada!$DT$19</f>
        <v>150</v>
      </c>
      <c r="D4" s="353">
        <f>C4/$C$56</f>
        <v>5.1935461533134828E-3</v>
      </c>
      <c r="E4" s="354">
        <f>[3]AirCanada!$DF$19</f>
        <v>162</v>
      </c>
      <c r="F4" s="355">
        <f>(C4-E4)/E4</f>
        <v>-7.407407407407407E-2</v>
      </c>
      <c r="G4" s="354">
        <f>SUM([3]AirCanada!$DJ$19:$DT$19)</f>
        <v>1867</v>
      </c>
      <c r="H4" s="354">
        <f>SUM([3]AirCanada!$CV$19:$DF$19)</f>
        <v>1956</v>
      </c>
      <c r="I4" s="355">
        <f>(G4-H4)/H4</f>
        <v>-4.5501022494887529E-2</v>
      </c>
      <c r="J4" s="351" t="s">
        <v>110</v>
      </c>
      <c r="K4" s="58"/>
      <c r="L4" s="352">
        <f>[3]AirCanada!$DT$41</f>
        <v>5876</v>
      </c>
      <c r="M4" s="353">
        <f>L4/$L$56</f>
        <v>2.3810305291390565E-3</v>
      </c>
      <c r="N4" s="354">
        <f>[3]AirCanada!$DF$41</f>
        <v>3780</v>
      </c>
      <c r="O4" s="355">
        <f>(L4-N4)/N4</f>
        <v>0.55449735449735449</v>
      </c>
      <c r="P4" s="354">
        <f>SUM([3]AirCanada!$DJ$41:$DT$41)</f>
        <v>72763</v>
      </c>
      <c r="Q4" s="354">
        <f>SUM([3]AirCanada!$CV$41:$DF$41)</f>
        <v>65109</v>
      </c>
      <c r="R4" s="355">
        <f>(P4-Q4)/Q4</f>
        <v>0.11755671258965734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France'!$DT$19</f>
        <v>0</v>
      </c>
      <c r="D6" s="353">
        <f>C6/$C$56</f>
        <v>0</v>
      </c>
      <c r="E6" s="354">
        <f>'[3]Air France'!$DF$19</f>
        <v>0</v>
      </c>
      <c r="F6" s="355" t="e">
        <f>(C6-E6)/E6</f>
        <v>#DIV/0!</v>
      </c>
      <c r="G6" s="354">
        <f>SUM('[3]Air France'!$DJ$19:$DT$19)</f>
        <v>182</v>
      </c>
      <c r="H6" s="354">
        <f>SUM('[3]Air France'!$CV$19:$DF$19)</f>
        <v>194</v>
      </c>
      <c r="I6" s="355">
        <f>(G6-H6)/H6</f>
        <v>-6.1855670103092786E-2</v>
      </c>
      <c r="J6" s="351" t="s">
        <v>198</v>
      </c>
      <c r="K6" s="58"/>
      <c r="L6" s="352">
        <f>'[3]Air France'!$DT$41</f>
        <v>0</v>
      </c>
      <c r="M6" s="353">
        <f>L6/$L$56</f>
        <v>0</v>
      </c>
      <c r="N6" s="354">
        <f>'[3]Air France'!$DF$41</f>
        <v>0</v>
      </c>
      <c r="O6" s="355" t="e">
        <f>(L6-N6)/N6</f>
        <v>#DIV/0!</v>
      </c>
      <c r="P6" s="354">
        <f>SUM('[3]Air France'!$DJ$41:$DT$41)</f>
        <v>41957</v>
      </c>
      <c r="Q6" s="354">
        <f>SUM('[3]Air France'!$CV$41:$DF$41)</f>
        <v>45739</v>
      </c>
      <c r="R6" s="355">
        <f>(P6-Q6)/Q6</f>
        <v>-8.2686547585211739E-2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[3]Alaska!$DT$19</f>
        <v>58</v>
      </c>
      <c r="D8" s="353">
        <f>C8/$C$56</f>
        <v>2.0081711792812131E-3</v>
      </c>
      <c r="E8" s="354">
        <f>[3]Alaska!$DF$19</f>
        <v>118</v>
      </c>
      <c r="F8" s="355">
        <f>(C8-E8)/E8</f>
        <v>-0.50847457627118642</v>
      </c>
      <c r="G8" s="354">
        <f>SUM([3]Alaska!$DJ$19:$DT$19)</f>
        <v>1258</v>
      </c>
      <c r="H8" s="354">
        <f>SUM([3]Alaska!$CV$19:$DF$19)</f>
        <v>1334</v>
      </c>
      <c r="I8" s="355">
        <f>(G8-H8)/H8</f>
        <v>-5.6971514242878558E-2</v>
      </c>
      <c r="J8" s="351" t="s">
        <v>142</v>
      </c>
      <c r="K8" s="58"/>
      <c r="L8" s="352">
        <f>[3]Alaska!$DT$41</f>
        <v>8397</v>
      </c>
      <c r="M8" s="353">
        <f>L8/$L$56</f>
        <v>3.4025720478523922E-3</v>
      </c>
      <c r="N8" s="354">
        <f>[3]Alaska!$DF$41</f>
        <v>14432</v>
      </c>
      <c r="O8" s="355">
        <f>(L8-N8)/N8</f>
        <v>-0.41816796008869178</v>
      </c>
      <c r="P8" s="354">
        <f>SUM([3]Alaska!$DJ$41:$DT$41)</f>
        <v>171046</v>
      </c>
      <c r="Q8" s="354">
        <f>SUM([3]Alaska!$CV$41:$DF$41)</f>
        <v>173859</v>
      </c>
      <c r="R8" s="355">
        <f>(P8-Q8)/Q8</f>
        <v>-1.6179777865971849E-2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808</v>
      </c>
      <c r="D10" s="353">
        <f>C10/$C$56</f>
        <v>2.7975901945848626E-2</v>
      </c>
      <c r="E10" s="357">
        <f>SUM(E11:E12)</f>
        <v>806</v>
      </c>
      <c r="F10" s="355">
        <f>(C10-E10)/E10</f>
        <v>2.4813895781637717E-3</v>
      </c>
      <c r="G10" s="357">
        <f>SUM(G11:G12)</f>
        <v>9450</v>
      </c>
      <c r="H10" s="357">
        <f>SUM(H11:H12)</f>
        <v>11276</v>
      </c>
      <c r="I10" s="355">
        <f>(G10-H10)/H10</f>
        <v>-0.16193685704150407</v>
      </c>
      <c r="J10" s="351" t="s">
        <v>19</v>
      </c>
      <c r="K10" s="359"/>
      <c r="L10" s="352">
        <f>SUM(L11:L12)</f>
        <v>81923</v>
      </c>
      <c r="M10" s="353">
        <f>L10/$L$56</f>
        <v>3.3196249836395325E-2</v>
      </c>
      <c r="N10" s="357">
        <f>SUM(N11:N12)</f>
        <v>68426</v>
      </c>
      <c r="O10" s="355">
        <f>(L10-N10)/N10</f>
        <v>0.19724958349165522</v>
      </c>
      <c r="P10" s="352">
        <f>SUM(P11:P12)</f>
        <v>898856</v>
      </c>
      <c r="Q10" s="357">
        <f>SUM(Q11:Q12)</f>
        <v>919481</v>
      </c>
      <c r="R10" s="355">
        <f>(P10-Q10)/Q10</f>
        <v>-2.2431132345312191E-2</v>
      </c>
      <c r="T10" s="21"/>
    </row>
    <row r="11" spans="1:23" ht="14.1" customHeight="1" x14ac:dyDescent="0.2">
      <c r="A11" s="55"/>
      <c r="B11" s="360" t="s">
        <v>19</v>
      </c>
      <c r="C11" s="356">
        <f>[3]American!$DT$19</f>
        <v>644</v>
      </c>
      <c r="D11" s="41">
        <f>C11/$C$56</f>
        <v>2.2297624818225885E-2</v>
      </c>
      <c r="E11" s="9">
        <f>[3]American!$DF$19</f>
        <v>602</v>
      </c>
      <c r="F11" s="89">
        <f>(C11-E11)/E11</f>
        <v>6.9767441860465115E-2</v>
      </c>
      <c r="G11" s="9">
        <f>SUM([3]American!$DJ$19:$DT$19)</f>
        <v>4954</v>
      </c>
      <c r="H11" s="9">
        <f>SUM([3]American!$CV$19:$DF$19)</f>
        <v>6689</v>
      </c>
      <c r="I11" s="89">
        <f>(G11-H11)/H11</f>
        <v>-0.25938107340409627</v>
      </c>
      <c r="J11" s="55"/>
      <c r="K11" s="360" t="s">
        <v>19</v>
      </c>
      <c r="L11" s="356">
        <f>[3]American!$DT$41</f>
        <v>71195</v>
      </c>
      <c r="M11" s="41">
        <f>L11/$L$56</f>
        <v>2.8849126705591411E-2</v>
      </c>
      <c r="N11" s="9">
        <f>[3]American!$DF$41</f>
        <v>59892</v>
      </c>
      <c r="O11" s="89">
        <f>(L11-N11)/N11</f>
        <v>0.18872303479596608</v>
      </c>
      <c r="P11" s="9">
        <f>SUM([3]American!$DJ$41:$DT$41)</f>
        <v>617677</v>
      </c>
      <c r="Q11" s="9">
        <f>SUM([3]American!$CV$41:$DF$41)</f>
        <v>707064</v>
      </c>
      <c r="R11" s="89">
        <f>(P11-Q11)/Q11</f>
        <v>-0.12641995632644287</v>
      </c>
      <c r="T11" s="21"/>
    </row>
    <row r="12" spans="1:23" ht="14.1" customHeight="1" x14ac:dyDescent="0.2">
      <c r="A12" s="55"/>
      <c r="B12" s="360" t="s">
        <v>174</v>
      </c>
      <c r="C12" s="356">
        <f>'[3]American Eagle'!$DT$19</f>
        <v>164</v>
      </c>
      <c r="D12" s="41">
        <f>C12/$C$56</f>
        <v>5.6782771276227412E-3</v>
      </c>
      <c r="E12" s="9">
        <f>'[3]American Eagle'!$DF$19</f>
        <v>204</v>
      </c>
      <c r="F12" s="89">
        <f>(C12-E12)/E12</f>
        <v>-0.19607843137254902</v>
      </c>
      <c r="G12" s="9">
        <f>SUM('[3]American Eagle'!$DJ$19:$DT$19)</f>
        <v>4496</v>
      </c>
      <c r="H12" s="9">
        <f>SUM('[3]American Eagle'!$CV$19:$DF$19)</f>
        <v>4587</v>
      </c>
      <c r="I12" s="89">
        <f>(G12-H12)/H12</f>
        <v>-1.9838674514933506E-2</v>
      </c>
      <c r="J12" s="55"/>
      <c r="K12" s="360" t="s">
        <v>174</v>
      </c>
      <c r="L12" s="356">
        <f>'[3]American Eagle'!$DT$41</f>
        <v>10728</v>
      </c>
      <c r="M12" s="41">
        <f>L12/$L$56</f>
        <v>4.3471231308039142E-3</v>
      </c>
      <c r="N12" s="9">
        <f>'[3]American Eagle'!$DF$41</f>
        <v>8534</v>
      </c>
      <c r="O12" s="89">
        <f>(L12-N12)/N12</f>
        <v>0.25708928989922664</v>
      </c>
      <c r="P12" s="9">
        <f>SUM('[3]American Eagle'!$DJ$41:$DT$41)</f>
        <v>281179</v>
      </c>
      <c r="Q12" s="9">
        <f>SUM('[3]American Eagle'!$CV$41:$DF$41)</f>
        <v>212417</v>
      </c>
      <c r="R12" s="89">
        <f>(P12-Q12)/Q12</f>
        <v>0.3237123205769783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215</v>
      </c>
      <c r="B14" s="361"/>
      <c r="C14" s="352">
        <f>[3]Condor!$DT$19</f>
        <v>0</v>
      </c>
      <c r="D14" s="353">
        <f t="shared" ref="D14:D23" si="0">C14/$C$56</f>
        <v>0</v>
      </c>
      <c r="E14" s="354">
        <f>[3]Condor!$DF$19</f>
        <v>0</v>
      </c>
      <c r="F14" s="355" t="e">
        <f>(C14-E14)/E14</f>
        <v>#DIV/0!</v>
      </c>
      <c r="G14" s="354">
        <f>SUM([3]Condor!$DJ$19:$DT$19)</f>
        <v>46</v>
      </c>
      <c r="H14" s="354">
        <f>SUM([3]Condor!$CV$19:$DF$19)</f>
        <v>0</v>
      </c>
      <c r="I14" s="355" t="e">
        <f>(G14-H14)/H14</f>
        <v>#DIV/0!</v>
      </c>
      <c r="J14" s="351" t="s">
        <v>215</v>
      </c>
      <c r="K14" s="361"/>
      <c r="L14" s="352">
        <f>[3]Condor!$DT$41</f>
        <v>0</v>
      </c>
      <c r="M14" s="353">
        <f t="shared" ref="M14:M23" si="1">L14/$L$56</f>
        <v>0</v>
      </c>
      <c r="N14" s="354">
        <f>[3]Condor!$DF$41</f>
        <v>0</v>
      </c>
      <c r="O14" s="355" t="e">
        <f>(L14-N14)/N14</f>
        <v>#DIV/0!</v>
      </c>
      <c r="P14" s="354">
        <f>SUM([3]Condor!$DJ$41:$DT$41)</f>
        <v>9825</v>
      </c>
      <c r="Q14" s="354">
        <f>SUM([3]Condor!$CV$41:$DF$41)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21814</v>
      </c>
      <c r="D16" s="353">
        <f t="shared" si="0"/>
        <v>0.75528010525586875</v>
      </c>
      <c r="E16" s="354">
        <f>SUM(E17:E23)</f>
        <v>23084</v>
      </c>
      <c r="F16" s="355">
        <f t="shared" ref="F16:F23" si="2">(C16-E16)/E16</f>
        <v>-5.5016461618437013E-2</v>
      </c>
      <c r="G16" s="357">
        <f>SUM(G17:G23)</f>
        <v>262158</v>
      </c>
      <c r="H16" s="357">
        <f>SUM(H17:H23)</f>
        <v>272208</v>
      </c>
      <c r="I16" s="355">
        <f>(G16-H16)/H16</f>
        <v>-3.6920296244048668E-2</v>
      </c>
      <c r="J16" s="351" t="s">
        <v>20</v>
      </c>
      <c r="K16" s="365"/>
      <c r="L16" s="352">
        <f>SUM(L17:L23)</f>
        <v>1824348</v>
      </c>
      <c r="M16" s="353">
        <f t="shared" si="1"/>
        <v>0.73924919737470718</v>
      </c>
      <c r="N16" s="354">
        <f>SUM(N17:N23)</f>
        <v>1787251</v>
      </c>
      <c r="O16" s="355">
        <f t="shared" ref="O16:O23" si="3">(L16-N16)/N16</f>
        <v>2.0756457822656137E-2</v>
      </c>
      <c r="P16" s="354">
        <f>SUM(P17:P23)</f>
        <v>23299810</v>
      </c>
      <c r="Q16" s="354">
        <f>SUM(Q17:Q23)</f>
        <v>22554873</v>
      </c>
      <c r="R16" s="355">
        <f t="shared" ref="R16:R23" si="4">(P16-Q16)/Q16</f>
        <v>3.3027763002700126E-2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[3]Delta!$DT$19</f>
        <v>9578</v>
      </c>
      <c r="D17" s="41">
        <f t="shared" si="0"/>
        <v>0.33162523370957692</v>
      </c>
      <c r="E17" s="9">
        <f>[3]Delta!$DF$19</f>
        <v>9360</v>
      </c>
      <c r="F17" s="89">
        <f t="shared" si="2"/>
        <v>2.3290598290598291E-2</v>
      </c>
      <c r="G17" s="9">
        <f>SUM([3]Delta!$DJ$19:$DT$19)</f>
        <v>114066</v>
      </c>
      <c r="H17" s="9">
        <f>SUM([3]Delta!$CV$19:$DF$19)</f>
        <v>109488</v>
      </c>
      <c r="I17" s="89">
        <f t="shared" ref="I17:I23" si="5">(G17-H17)/H17</f>
        <v>4.1812801402893465E-2</v>
      </c>
      <c r="J17" s="55"/>
      <c r="K17" s="360" t="s">
        <v>20</v>
      </c>
      <c r="L17" s="356">
        <f>[3]Delta!$DT$41</f>
        <v>1225701</v>
      </c>
      <c r="M17" s="41">
        <f t="shared" si="1"/>
        <v>0.49666975844048172</v>
      </c>
      <c r="N17" s="9">
        <f>[3]Delta!$DF$41</f>
        <v>1165600</v>
      </c>
      <c r="O17" s="89">
        <f t="shared" si="3"/>
        <v>5.1562285518188054E-2</v>
      </c>
      <c r="P17" s="9">
        <f>SUM([3]Delta!$DJ$41:$DT$41)</f>
        <v>15883442</v>
      </c>
      <c r="Q17" s="9">
        <f>SUM([3]Delta!$CV$41:$DF$41)</f>
        <v>14845726</v>
      </c>
      <c r="R17" s="89">
        <f t="shared" si="4"/>
        <v>6.9899983335271046E-2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[3]Compass!$DT$19</f>
        <v>1866</v>
      </c>
      <c r="D18" s="41">
        <f t="shared" si="0"/>
        <v>6.4607714147219719E-2</v>
      </c>
      <c r="E18" s="9">
        <f>[3]Compass!$DF$19</f>
        <v>2772</v>
      </c>
      <c r="F18" s="89">
        <f t="shared" si="2"/>
        <v>-0.32683982683982682</v>
      </c>
      <c r="G18" s="9">
        <f>SUM([3]Compass!$DJ$19:$DT$19)</f>
        <v>25643</v>
      </c>
      <c r="H18" s="9">
        <f>SUM([3]Compass!$CV$19:$DF$19)</f>
        <v>37770</v>
      </c>
      <c r="I18" s="89">
        <f t="shared" si="5"/>
        <v>-0.32107492719089226</v>
      </c>
      <c r="J18" s="55"/>
      <c r="K18" s="362" t="s">
        <v>131</v>
      </c>
      <c r="L18" s="356">
        <f>[3]Compass!$DT$41</f>
        <v>107862</v>
      </c>
      <c r="M18" s="41">
        <f t="shared" si="1"/>
        <v>4.3707065169162167E-2</v>
      </c>
      <c r="N18" s="9">
        <f>[3]Compass!$DF$41</f>
        <v>155108</v>
      </c>
      <c r="O18" s="89">
        <f t="shared" si="3"/>
        <v>-0.3046006653428579</v>
      </c>
      <c r="P18" s="9">
        <f>SUM([3]Compass!$DJ$41:$DT$41)</f>
        <v>1578782</v>
      </c>
      <c r="Q18" s="9">
        <f>SUM([3]Compass!$CV$41:$DF$41)</f>
        <v>2206023</v>
      </c>
      <c r="R18" s="89">
        <f t="shared" si="4"/>
        <v>-0.28433112438084279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[3]Pinnacle!$DT$19</f>
        <v>6848</v>
      </c>
      <c r="D19" s="41">
        <f t="shared" si="0"/>
        <v>0.23710269371927151</v>
      </c>
      <c r="E19" s="9">
        <f>[3]Pinnacle!$DF$19</f>
        <v>7021</v>
      </c>
      <c r="F19" s="89">
        <f t="shared" si="2"/>
        <v>-2.4640364620424442E-2</v>
      </c>
      <c r="G19" s="9">
        <f>SUM([3]Pinnacle!$DJ$19:$DT$19)</f>
        <v>75798</v>
      </c>
      <c r="H19" s="9">
        <f>SUM([3]Pinnacle!$CV$19:$DF$19)</f>
        <v>66561</v>
      </c>
      <c r="I19" s="89">
        <f t="shared" si="5"/>
        <v>0.13877495830891964</v>
      </c>
      <c r="J19" s="55"/>
      <c r="K19" s="361" t="s">
        <v>204</v>
      </c>
      <c r="L19" s="356">
        <f>[3]Pinnacle!$DT$41</f>
        <v>339440</v>
      </c>
      <c r="M19" s="41">
        <f t="shared" si="1"/>
        <v>0.13754543955258022</v>
      </c>
      <c r="N19" s="9">
        <f>[3]Pinnacle!$DF$41</f>
        <v>301659</v>
      </c>
      <c r="O19" s="89">
        <f t="shared" si="3"/>
        <v>0.12524406697628779</v>
      </c>
      <c r="P19" s="9">
        <f>SUM([3]Pinnacle!$DJ$41:$DT$41)</f>
        <v>3704540</v>
      </c>
      <c r="Q19" s="9">
        <f>SUM([3]Pinnacle!$CV$41:$DF$41)</f>
        <v>2969569</v>
      </c>
      <c r="R19" s="89">
        <f t="shared" si="4"/>
        <v>0.24750089996225041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Jet'!$DT$19</f>
        <v>0</v>
      </c>
      <c r="D20" s="41">
        <f t="shared" si="0"/>
        <v>0</v>
      </c>
      <c r="E20" s="9">
        <f>'[3]Go Jet'!$DF$19</f>
        <v>0</v>
      </c>
      <c r="F20" s="89" t="e">
        <f>(C20-E20)/E20</f>
        <v>#DIV/0!</v>
      </c>
      <c r="G20" s="9">
        <f>SUM('[3]Go Jet'!$DJ$19:$DT$19)</f>
        <v>0</v>
      </c>
      <c r="H20" s="9">
        <f>SUM('[3]Go Jet'!$CV$19:$DF$19)</f>
        <v>0</v>
      </c>
      <c r="I20" s="89" t="e">
        <f>(G20-H20)/H20</f>
        <v>#DIV/0!</v>
      </c>
      <c r="J20" s="55"/>
      <c r="K20" s="361" t="s">
        <v>181</v>
      </c>
      <c r="L20" s="356">
        <f>'[3]Go Jet'!$DT$41</f>
        <v>0</v>
      </c>
      <c r="M20" s="41">
        <f t="shared" si="1"/>
        <v>0</v>
      </c>
      <c r="N20" s="9">
        <f>'[3]Go Jet'!$DF$41</f>
        <v>0</v>
      </c>
      <c r="O20" s="89" t="e">
        <f>(L20-N20)/N20</f>
        <v>#DIV/0!</v>
      </c>
      <c r="P20" s="9">
        <f>SUM('[3]Go Jet'!$DJ$41:$DT$41)</f>
        <v>0</v>
      </c>
      <c r="Q20" s="9">
        <f>SUM('[3]Go Jet'!$CV$41:$DF$41)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West'!$DT$19</f>
        <v>2512</v>
      </c>
      <c r="D21" s="41">
        <f t="shared" si="0"/>
        <v>8.6974586247489785E-2</v>
      </c>
      <c r="E21" s="9">
        <f>'[3]Sky West'!$DF$19</f>
        <v>2820</v>
      </c>
      <c r="F21" s="89">
        <f t="shared" si="2"/>
        <v>-0.10921985815602837</v>
      </c>
      <c r="G21" s="9">
        <f>SUM('[3]Sky West'!$DJ$19:$DT$19)</f>
        <v>33536</v>
      </c>
      <c r="H21" s="9">
        <f>SUM('[3]Sky West'!$CV$19:$DF$19)</f>
        <v>47921</v>
      </c>
      <c r="I21" s="89">
        <f t="shared" si="5"/>
        <v>-0.30018154879906511</v>
      </c>
      <c r="J21" s="55"/>
      <c r="K21" s="361" t="s">
        <v>109</v>
      </c>
      <c r="L21" s="356">
        <f>'[3]Sky West'!$DT$41</f>
        <v>95931</v>
      </c>
      <c r="M21" s="41">
        <f t="shared" si="1"/>
        <v>3.8872471016140032E-2</v>
      </c>
      <c r="N21" s="9">
        <f>'[3]Sky West'!$DF$41</f>
        <v>105744</v>
      </c>
      <c r="O21" s="89">
        <f t="shared" si="3"/>
        <v>-9.2799591466182482E-2</v>
      </c>
      <c r="P21" s="9">
        <f>SUM('[3]Sky West'!$DJ$41:$DT$41)</f>
        <v>1372843</v>
      </c>
      <c r="Q21" s="9">
        <f>SUM('[3]Sky West'!$CV$41:$DF$41)</f>
        <v>1969286</v>
      </c>
      <c r="R21" s="89">
        <f t="shared" si="4"/>
        <v>-0.30287271630428492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America_Delta'!$DT$19</f>
        <v>182</v>
      </c>
      <c r="D22" s="41">
        <f t="shared" si="0"/>
        <v>6.3015026660203583E-3</v>
      </c>
      <c r="E22" s="9">
        <f>'[3]Shuttle America_Delta'!$DF$19</f>
        <v>222</v>
      </c>
      <c r="F22" s="89">
        <f t="shared" si="2"/>
        <v>-0.18018018018018017</v>
      </c>
      <c r="G22" s="9">
        <f>SUM('[3]Shuttle America_Delta'!$DJ$19:$DT$19)</f>
        <v>2656</v>
      </c>
      <c r="H22" s="9">
        <f>SUM('[3]Shuttle America_Delta'!$CV$19:$DF$19)</f>
        <v>1548</v>
      </c>
      <c r="I22" s="89">
        <f t="shared" si="5"/>
        <v>0.7157622739018088</v>
      </c>
      <c r="J22" s="55"/>
      <c r="K22" s="361" t="s">
        <v>147</v>
      </c>
      <c r="L22" s="356">
        <f>'[3]Shuttle America_Delta'!$DT$41</f>
        <v>10578</v>
      </c>
      <c r="M22" s="41">
        <f t="shared" si="1"/>
        <v>4.2863412078340607E-3</v>
      </c>
      <c r="N22" s="9">
        <f>'[3]Shuttle America_Delta'!$DF$41</f>
        <v>11907</v>
      </c>
      <c r="O22" s="89">
        <f t="shared" si="3"/>
        <v>-0.11161501637692114</v>
      </c>
      <c r="P22" s="9">
        <f>SUM('[3]Shuttle America_Delta'!$DJ$41:$DT$41)</f>
        <v>163110</v>
      </c>
      <c r="Q22" s="9">
        <f>SUM('[3]Shuttle America_Delta'!$CV$41:$DF$41)</f>
        <v>87544</v>
      </c>
      <c r="R22" s="89">
        <f t="shared" si="4"/>
        <v>0.8631773736635292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Southeast'!$DT$19</f>
        <v>828</v>
      </c>
      <c r="D23" s="41">
        <f t="shared" si="0"/>
        <v>2.8668374766290423E-2</v>
      </c>
      <c r="E23" s="9">
        <f>'[3]Atlantic Southeast'!$DF$19</f>
        <v>889</v>
      </c>
      <c r="F23" s="89">
        <f t="shared" si="2"/>
        <v>-6.8616422947131606E-2</v>
      </c>
      <c r="G23" s="9">
        <f>SUM('[3]Atlantic Southeast'!$DJ$19:$DT$19)</f>
        <v>10459</v>
      </c>
      <c r="H23" s="9">
        <f>SUM('[3]Atlantic Southeast'!$CV$19:$DF$19)</f>
        <v>8920</v>
      </c>
      <c r="I23" s="89">
        <f t="shared" si="5"/>
        <v>0.1725336322869955</v>
      </c>
      <c r="J23" s="55"/>
      <c r="K23" s="366" t="s">
        <v>55</v>
      </c>
      <c r="L23" s="356">
        <f>'[3]Atlantic Southeast'!$DT$41</f>
        <v>44836</v>
      </c>
      <c r="M23" s="41">
        <f t="shared" si="1"/>
        <v>1.8168121988508975E-2</v>
      </c>
      <c r="N23" s="9">
        <f>'[3]Atlantic Southeast'!$DF$41</f>
        <v>47233</v>
      </c>
      <c r="O23" s="89">
        <f t="shared" si="3"/>
        <v>-5.0748417420024138E-2</v>
      </c>
      <c r="P23" s="9">
        <f>SUM('[3]Atlantic Southeast'!$DJ$41:$DT$41)</f>
        <v>597093</v>
      </c>
      <c r="Q23" s="9">
        <f>SUM('[3]Atlantic Southeast'!$CV$41:$DF$41)</f>
        <v>476725</v>
      </c>
      <c r="R23" s="89">
        <f t="shared" si="4"/>
        <v>0.25248938067019772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[3]Frontier!$DT$19</f>
        <v>328</v>
      </c>
      <c r="D25" s="353">
        <f>C25/$C$56</f>
        <v>1.1356554255245482E-2</v>
      </c>
      <c r="E25" s="354">
        <f>[3]Frontier!$DF$19</f>
        <v>218</v>
      </c>
      <c r="F25" s="355">
        <f>(C25-E25)/E25</f>
        <v>0.50458715596330272</v>
      </c>
      <c r="G25" s="354">
        <f>SUM([3]Frontier!$DJ$19:$DT$19)</f>
        <v>2977</v>
      </c>
      <c r="H25" s="354">
        <f>SUM([3]Frontier!$CV$19:$DF$19)</f>
        <v>2324</v>
      </c>
      <c r="I25" s="355">
        <f>(G25-H25)/H25</f>
        <v>0.28098106712564541</v>
      </c>
      <c r="J25" s="351" t="s">
        <v>51</v>
      </c>
      <c r="K25" s="367"/>
      <c r="L25" s="352">
        <f>[3]Frontier!$DT$41</f>
        <v>44282</v>
      </c>
      <c r="M25" s="353">
        <f>L25/$L$56</f>
        <v>1.7943634086340317E-2</v>
      </c>
      <c r="N25" s="354">
        <f>[3]Frontier!$DF$41</f>
        <v>28037</v>
      </c>
      <c r="O25" s="355">
        <f>(L25-N25)/N25</f>
        <v>0.57941291864322142</v>
      </c>
      <c r="P25" s="354">
        <f>SUM([3]Frontier!$DJ$41:$DT$41)</f>
        <v>417294</v>
      </c>
      <c r="Q25" s="354">
        <f>SUM([3]Frontier!$CV$41:$DF$41)</f>
        <v>324303</v>
      </c>
      <c r="R25" s="355">
        <f>(P25-Q25)/Q25</f>
        <v>0.28674110322753721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Lakes'!$DT$19</f>
        <v>220</v>
      </c>
      <c r="D27" s="353">
        <f>C27/$C$56</f>
        <v>7.6172010248597745E-3</v>
      </c>
      <c r="E27" s="354">
        <f>'[3]Great Lakes'!$DF$19</f>
        <v>834</v>
      </c>
      <c r="F27" s="355">
        <f>(C27-E27)/E27</f>
        <v>-0.73621103117505993</v>
      </c>
      <c r="G27" s="354">
        <f>SUM('[3]Great Lakes'!$DJ$19:$DT$19)</f>
        <v>1868</v>
      </c>
      <c r="H27" s="354">
        <f>SUM('[3]Great Lakes'!$CV$19:$DF$19)</f>
        <v>12132</v>
      </c>
      <c r="I27" s="355">
        <f>(G27-H27)/H27</f>
        <v>-0.8460270359380152</v>
      </c>
      <c r="J27" s="351" t="s">
        <v>180</v>
      </c>
      <c r="K27" s="367"/>
      <c r="L27" s="352">
        <f>'[3]Great Lakes'!$DT$41</f>
        <v>961</v>
      </c>
      <c r="M27" s="353">
        <f>L27/$L$56</f>
        <v>3.8940951982686066E-4</v>
      </c>
      <c r="N27" s="354">
        <f>'[3]Great Lakes'!$DF$41</f>
        <v>3905</v>
      </c>
      <c r="O27" s="355">
        <f>(L27-N27)/N27</f>
        <v>-0.75390524967989758</v>
      </c>
      <c r="P27" s="354">
        <f>SUM('[3]Great Lakes'!$DJ$41:$DT$41)</f>
        <v>10589</v>
      </c>
      <c r="Q27" s="354">
        <f>SUM('[3]Great Lakes'!$CV$41:$DF$41)</f>
        <v>45843</v>
      </c>
      <c r="R27" s="355">
        <f>(P27-Q27)/Q27</f>
        <v>-0.7690159893549724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[3]Icelandair!$DT$19</f>
        <v>0</v>
      </c>
      <c r="D29" s="353">
        <f>C29/$C$56</f>
        <v>0</v>
      </c>
      <c r="E29" s="354">
        <f>[3]Icelandair!$DF$19</f>
        <v>0</v>
      </c>
      <c r="F29" s="355" t="e">
        <f>(C29-E29)/E29</f>
        <v>#DIV/0!</v>
      </c>
      <c r="G29" s="354">
        <f>SUM([3]Icelandair!$DJ$19:$DT$19)</f>
        <v>260</v>
      </c>
      <c r="H29" s="354">
        <f>SUM([3]Icelandair!$CV$19:$DF$19)</f>
        <v>274</v>
      </c>
      <c r="I29" s="355">
        <f>(G29-H29)/H29</f>
        <v>-5.1094890510948905E-2</v>
      </c>
      <c r="J29" s="351" t="s">
        <v>52</v>
      </c>
      <c r="K29" s="367"/>
      <c r="L29" s="352">
        <f>[3]Icelandair!$DT$41</f>
        <v>0</v>
      </c>
      <c r="M29" s="353">
        <f>L29/$L$56</f>
        <v>0</v>
      </c>
      <c r="N29" s="354">
        <f>[3]Icelandair!$DF$41</f>
        <v>0</v>
      </c>
      <c r="O29" s="355" t="e">
        <f>(L29-N29)/N29</f>
        <v>#DIV/0!</v>
      </c>
      <c r="P29" s="354">
        <f>SUM([3]Icelandair!$DJ$41:$DT$41)</f>
        <v>40263</v>
      </c>
      <c r="Q29" s="354">
        <f>SUM([3]Icelandair!$CV$41:$DF$41)</f>
        <v>40657</v>
      </c>
      <c r="R29" s="355">
        <f>(P29-Q29)/Q29</f>
        <v>-9.6908281476744476E-3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1229</v>
      </c>
      <c r="D31" s="353">
        <f>C31/$C$56</f>
        <v>4.2552454816148465E-2</v>
      </c>
      <c r="E31" s="354">
        <f>SUM(E32:E33)</f>
        <v>1402</v>
      </c>
      <c r="F31" s="355">
        <f>(C31-E31)/E31</f>
        <v>-0.12339514978601997</v>
      </c>
      <c r="G31" s="352">
        <f>SUM(G32:G33)</f>
        <v>15567</v>
      </c>
      <c r="H31" s="354">
        <f>SUM(H32:H33)</f>
        <v>16504</v>
      </c>
      <c r="I31" s="355">
        <f>(G31-H31)/H31</f>
        <v>-5.6774115365971885E-2</v>
      </c>
      <c r="J31" s="351" t="s">
        <v>144</v>
      </c>
      <c r="K31" s="58"/>
      <c r="L31" s="352">
        <f>SUM(L32:L33)</f>
        <v>127132</v>
      </c>
      <c r="M31" s="353">
        <f>L31/$L$56</f>
        <v>5.1515516206689337E-2</v>
      </c>
      <c r="N31" s="354">
        <f>SUM(N32:N33)</f>
        <v>131941</v>
      </c>
      <c r="O31" s="355">
        <f>(L31-N31)/N31</f>
        <v>-3.644810938222387E-2</v>
      </c>
      <c r="P31" s="352">
        <f>SUM(P32:P33)</f>
        <v>1739099</v>
      </c>
      <c r="Q31" s="354">
        <f>SUM(Q32:Q33)</f>
        <v>1659755</v>
      </c>
      <c r="R31" s="355">
        <f>(P31-Q31)/Q31</f>
        <v>4.7804645866407994E-2</v>
      </c>
      <c r="T31" s="21"/>
    </row>
    <row r="32" spans="1:23" ht="14.1" customHeight="1" x14ac:dyDescent="0.2">
      <c r="A32" s="363"/>
      <c r="B32" s="58" t="s">
        <v>144</v>
      </c>
      <c r="C32" s="454">
        <f>[3]Southwest!$DT$19</f>
        <v>1067</v>
      </c>
      <c r="D32" s="455">
        <f>C32/$C$56</f>
        <v>3.6943424970569905E-2</v>
      </c>
      <c r="E32" s="302">
        <f>[3]Southwest!$DF$19</f>
        <v>1176</v>
      </c>
      <c r="F32" s="456">
        <f>(C32-E32)/E32</f>
        <v>-9.2687074829931979E-2</v>
      </c>
      <c r="G32" s="302">
        <f>SUM([3]Southwest!$DJ$19:$DT$19)</f>
        <v>13535</v>
      </c>
      <c r="H32" s="302">
        <f>SUM([3]Southwest!$CV$19:$DF$19)</f>
        <v>13555</v>
      </c>
      <c r="I32" s="456">
        <f>(G32-H32)/H32</f>
        <v>-1.4754703061600886E-3</v>
      </c>
      <c r="J32" s="351"/>
      <c r="K32" s="58" t="s">
        <v>144</v>
      </c>
      <c r="L32" s="454">
        <f>[3]Southwest!$DT$41</f>
        <v>115668</v>
      </c>
      <c r="M32" s="455">
        <f>L32/$L$56</f>
        <v>4.6870156440513337E-2</v>
      </c>
      <c r="N32" s="302">
        <f>[3]Southwest!$DF$41</f>
        <v>110637</v>
      </c>
      <c r="O32" s="456">
        <f>(L32-N32)/N32</f>
        <v>4.5473033433661436E-2</v>
      </c>
      <c r="P32" s="302">
        <f>SUM([3]Southwest!$DJ$41:$DT$41)</f>
        <v>1537660</v>
      </c>
      <c r="Q32" s="302">
        <f>SUM([3]Southwest!$CV$41:$DF$41)</f>
        <v>1363656</v>
      </c>
      <c r="R32" s="456">
        <f>(P32-Q32)/Q32</f>
        <v>0.12760109587755269</v>
      </c>
      <c r="T32" s="21"/>
    </row>
    <row r="33" spans="1:21" ht="14.1" customHeight="1" x14ac:dyDescent="0.2">
      <c r="A33" s="363"/>
      <c r="B33" s="58" t="s">
        <v>205</v>
      </c>
      <c r="C33" s="454">
        <f>[3]AirTran!$DT$19</f>
        <v>162</v>
      </c>
      <c r="D33" s="455">
        <f>C33/$C$56</f>
        <v>5.6090298455785609E-3</v>
      </c>
      <c r="E33" s="302">
        <f>[3]AirTran!$DF$19</f>
        <v>226</v>
      </c>
      <c r="F33" s="456">
        <f>(C33-E33)/E33</f>
        <v>-0.2831858407079646</v>
      </c>
      <c r="G33" s="302">
        <f>SUM([3]AirTran!$DJ$19:$DT$19)</f>
        <v>2032</v>
      </c>
      <c r="H33" s="302">
        <f>SUM([3]AirTran!$CV$19:$DF$19)</f>
        <v>2949</v>
      </c>
      <c r="I33" s="456">
        <f>(G33-H33)/H33</f>
        <v>-0.31095286537809425</v>
      </c>
      <c r="J33" s="351"/>
      <c r="K33" s="58" t="s">
        <v>205</v>
      </c>
      <c r="L33" s="454">
        <f>[3]AirTran!$DT$41</f>
        <v>11464</v>
      </c>
      <c r="M33" s="455">
        <f>L33/$L$56</f>
        <v>4.6453597661759941E-3</v>
      </c>
      <c r="N33" s="302">
        <f>[3]AirTran!$DF$41</f>
        <v>21304</v>
      </c>
      <c r="O33" s="456">
        <f>(L33-N33)/N33</f>
        <v>-0.46188509200150207</v>
      </c>
      <c r="P33" s="302">
        <f>SUM([3]AirTran!$DJ$41:$DT$41)</f>
        <v>201439</v>
      </c>
      <c r="Q33" s="302">
        <f>SUM([3]AirTran!$CV$41:$DF$41)</f>
        <v>296099</v>
      </c>
      <c r="R33" s="456">
        <f>(P33-Q33)/Q33</f>
        <v>-0.31969037382767251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[3]Spirit!$DT$19</f>
        <v>650</v>
      </c>
      <c r="D35" s="353">
        <f>C35/$C$56</f>
        <v>2.2505366664358425E-2</v>
      </c>
      <c r="E35" s="354">
        <f>[3]Spirit!$DF$19</f>
        <v>613</v>
      </c>
      <c r="F35" s="355">
        <f>(C35-E35)/E35</f>
        <v>6.0358890701468187E-2</v>
      </c>
      <c r="G35" s="354">
        <f>SUM([3]Spirit!$DJ$19:$DT$19)</f>
        <v>6989</v>
      </c>
      <c r="H35" s="354">
        <f>SUM([3]Spirit!$CV$19:$DF$19)</f>
        <v>4153</v>
      </c>
      <c r="I35" s="355">
        <f>(G35-H35)/H35</f>
        <v>0.6828798458945341</v>
      </c>
      <c r="J35" s="351" t="s">
        <v>182</v>
      </c>
      <c r="K35" s="58"/>
      <c r="L35" s="352">
        <f>[3]Spirit!$DT$41</f>
        <v>80610</v>
      </c>
      <c r="M35" s="353">
        <f>L35/$L$56</f>
        <v>3.2664205403999211E-2</v>
      </c>
      <c r="N35" s="354">
        <f>[3]Spirit!$DF$41</f>
        <v>70011</v>
      </c>
      <c r="O35" s="355">
        <f>(L35-N35)/N35</f>
        <v>0.15139049577923469</v>
      </c>
      <c r="P35" s="354">
        <f>SUM([3]Spirit!$DJ$41:$DT$41)</f>
        <v>905280</v>
      </c>
      <c r="Q35" s="354">
        <f>SUM([3]Spirit!$CV$41:$DF$41)</f>
        <v>529963</v>
      </c>
      <c r="R35" s="355">
        <f>(P35-Q35)/Q35</f>
        <v>0.70819472302783404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Country'!$DT$19</f>
        <v>1214</v>
      </c>
      <c r="D37" s="353">
        <f>C37/$C$56</f>
        <v>4.2033100200817117E-2</v>
      </c>
      <c r="E37" s="354">
        <f>'[3]Sun Country'!$DF$19</f>
        <v>1218</v>
      </c>
      <c r="F37" s="355">
        <f>(C37-E37)/E37</f>
        <v>-3.2840722495894909E-3</v>
      </c>
      <c r="G37" s="354">
        <f>SUM('[3]Sun Country'!$DJ$19:$DT$19)</f>
        <v>15273</v>
      </c>
      <c r="H37" s="354">
        <f>SUM('[3]Sun Country'!$CV$19:$DF$19)</f>
        <v>13280</v>
      </c>
      <c r="I37" s="355">
        <f>(G37-H37)/H37</f>
        <v>0.15007530120481927</v>
      </c>
      <c r="J37" s="351" t="s">
        <v>53</v>
      </c>
      <c r="K37" s="367"/>
      <c r="L37" s="352">
        <f>'[3]Sun Country'!$DT$41</f>
        <v>114795</v>
      </c>
      <c r="M37" s="353">
        <f>L37/$L$56</f>
        <v>4.6516405648828793E-2</v>
      </c>
      <c r="N37" s="354">
        <f>'[3]Sun Country'!$DF$41</f>
        <v>108713</v>
      </c>
      <c r="O37" s="355">
        <f>(L37-N37)/N37</f>
        <v>5.5945471102811992E-2</v>
      </c>
      <c r="P37" s="354">
        <f>SUM('[3]Sun Country'!$DJ$41:$DT$41)</f>
        <v>1503059</v>
      </c>
      <c r="Q37" s="354">
        <f>SUM('[3]Sun Country'!$CV$41:$DF$41)</f>
        <v>1348197</v>
      </c>
      <c r="R37" s="355">
        <f>(P37-Q37)/Q37</f>
        <v>0.11486600252040317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1684</v>
      </c>
      <c r="D39" s="353">
        <f>C39/$C$56</f>
        <v>5.8306211481199362E-2</v>
      </c>
      <c r="E39" s="354">
        <f>SUM(E40:E46)</f>
        <v>1727</v>
      </c>
      <c r="F39" s="355">
        <f t="shared" ref="F39:F46" si="6">(C39-E39)/E39</f>
        <v>-2.4898668210770122E-2</v>
      </c>
      <c r="G39" s="354">
        <f>SUM(G40:G46)</f>
        <v>18772</v>
      </c>
      <c r="H39" s="354">
        <f>SUM(H40:H46)</f>
        <v>19849</v>
      </c>
      <c r="I39" s="355">
        <f t="shared" ref="I39:I46" si="7">(G39-H39)/H39</f>
        <v>-5.4259660436294023E-2</v>
      </c>
      <c r="J39" s="351" t="s">
        <v>21</v>
      </c>
      <c r="K39" s="359"/>
      <c r="L39" s="352">
        <f>SUM(L40:L46)</f>
        <v>97980</v>
      </c>
      <c r="M39" s="353">
        <f t="shared" ref="M39:M46" si="8">L39/$L$56</f>
        <v>3.9702752083908228E-2</v>
      </c>
      <c r="N39" s="354">
        <f>SUM(N40:N46)</f>
        <v>90618</v>
      </c>
      <c r="O39" s="355">
        <f t="shared" ref="O39:O46" si="9">(L39-N39)/N39</f>
        <v>8.1242137323710523E-2</v>
      </c>
      <c r="P39" s="354">
        <f>SUM(P40:P46)</f>
        <v>1200351</v>
      </c>
      <c r="Q39" s="354">
        <f>SUM(Q40:Q46)</f>
        <v>1148687</v>
      </c>
      <c r="R39" s="355">
        <f t="shared" ref="R39:R46" si="10">(P39-Q39)/Q39</f>
        <v>4.4976568899970142E-2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[3]United!$DT$19</f>
        <v>152</v>
      </c>
      <c r="D40" s="41">
        <f>C40/$C$56</f>
        <v>5.2627934353576622E-3</v>
      </c>
      <c r="E40" s="9">
        <f>[3]United!$DF$19+[3]Continental!$DF$19</f>
        <v>288</v>
      </c>
      <c r="F40" s="89">
        <f t="shared" si="6"/>
        <v>-0.47222222222222221</v>
      </c>
      <c r="G40" s="9">
        <f>SUM([3]United!$DJ$19:$DT$19)</f>
        <v>2928</v>
      </c>
      <c r="H40" s="9">
        <f>SUM([3]United!$CV$19:$DF$19)+SUM([3]Continental!$CV$19:$DF$19)</f>
        <v>3570</v>
      </c>
      <c r="I40" s="89">
        <f t="shared" si="7"/>
        <v>-0.17983193277310924</v>
      </c>
      <c r="J40" s="368"/>
      <c r="K40" s="360" t="s">
        <v>192</v>
      </c>
      <c r="L40" s="356">
        <f>[3]United!$DT$41</f>
        <v>17140</v>
      </c>
      <c r="M40" s="41">
        <f t="shared" si="8"/>
        <v>6.9453477313552465E-3</v>
      </c>
      <c r="N40" s="9">
        <f>[3]United!$DF$41+[3]Continental!$DF$41</f>
        <v>25509</v>
      </c>
      <c r="O40" s="89">
        <f t="shared" si="9"/>
        <v>-0.32808028538947037</v>
      </c>
      <c r="P40" s="9">
        <f>SUM([3]United!$DJ$41:$DT$41)+SUM([3]Continental!$DJ$41:$DT$41)</f>
        <v>327892</v>
      </c>
      <c r="Q40" s="9">
        <f>SUM([3]United!$CV$41:$DF$41)+SUM([3]Continental!$CV$41:$DF$41)</f>
        <v>361732</v>
      </c>
      <c r="R40" s="89">
        <f t="shared" si="10"/>
        <v>-9.3549920935941527E-2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[3]Chautaqua_Continental!$DT$19</f>
        <v>0</v>
      </c>
      <c r="D41" s="41">
        <f>C41/$C$56</f>
        <v>0</v>
      </c>
      <c r="E41" s="9">
        <f>[3]Chautaqua_Continental!$DF$19</f>
        <v>5</v>
      </c>
      <c r="F41" s="89">
        <f t="shared" si="6"/>
        <v>-1</v>
      </c>
      <c r="G41" s="9">
        <f>SUM([3]Chautaqua_Continental!$DJ$19:$DT$19)</f>
        <v>58</v>
      </c>
      <c r="H41" s="9">
        <f>SUM([3]Chautaqua_Continental!$CV$19:$DF$19)</f>
        <v>767</v>
      </c>
      <c r="I41" s="89">
        <f t="shared" si="7"/>
        <v>-0.92438070404172101</v>
      </c>
      <c r="J41" s="55"/>
      <c r="K41" s="361" t="s">
        <v>130</v>
      </c>
      <c r="L41" s="356">
        <f>[3]Chautaqua_Continental!$DT$41</f>
        <v>0</v>
      </c>
      <c r="M41" s="41">
        <f t="shared" si="8"/>
        <v>0</v>
      </c>
      <c r="N41" s="9">
        <f>[3]Chautaqua_Continental!$DF$41</f>
        <v>124</v>
      </c>
      <c r="O41" s="89">
        <f t="shared" si="9"/>
        <v>-1</v>
      </c>
      <c r="P41" s="9">
        <f>SUM([3]Chautaqua_Continental!$DJ$41:$DT$41)</f>
        <v>2215</v>
      </c>
      <c r="Q41" s="9">
        <f>SUM([3]Chautaqua_Continental!$CV$41:$DF$41)</f>
        <v>28038</v>
      </c>
      <c r="R41" s="89">
        <f t="shared" si="10"/>
        <v>-0.92100007133176398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Jet_UA'!$DT$19</f>
        <v>188</v>
      </c>
      <c r="D42" s="41">
        <f>C42/$C$56</f>
        <v>6.5092445121528982E-3</v>
      </c>
      <c r="E42" s="9">
        <f>'[3]Go Jet_UA'!$DF$19</f>
        <v>58</v>
      </c>
      <c r="F42" s="89">
        <f>(C42-E42)/E42</f>
        <v>2.2413793103448274</v>
      </c>
      <c r="G42" s="9">
        <f>SUM('[3]Go Jet_UA'!$DJ$19:$DT$19)</f>
        <v>2852</v>
      </c>
      <c r="H42" s="9">
        <f>SUM('[3]Go Jet_UA'!$CV$19:$DF$19)</f>
        <v>1150</v>
      </c>
      <c r="I42" s="89">
        <f>(G42-H42)/H42</f>
        <v>1.48</v>
      </c>
      <c r="J42" s="55"/>
      <c r="K42" s="361" t="s">
        <v>181</v>
      </c>
      <c r="L42" s="356">
        <f>'[3]Go Jet_UA'!$DT$41</f>
        <v>11425</v>
      </c>
      <c r="M42" s="41">
        <f t="shared" si="8"/>
        <v>4.6295564662038324E-3</v>
      </c>
      <c r="N42" s="9">
        <f>'[3]Go Jet_UA'!$DF$41</f>
        <v>2880</v>
      </c>
      <c r="O42" s="89">
        <f>(L42-N42)/N42</f>
        <v>2.9670138888888888</v>
      </c>
      <c r="P42" s="9">
        <f>SUM('[3]Go Jet_UA'!$DJ$41:$DT$41)</f>
        <v>176272</v>
      </c>
      <c r="Q42" s="9">
        <f>SUM('[3]Go Jet_UA'!$CV$41:$DF$41)</f>
        <v>63998</v>
      </c>
      <c r="R42" s="89">
        <f>(P42-Q42)/Q42</f>
        <v>1.7543360730022812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[3]MESA_UA!$DT$19</f>
        <v>130</v>
      </c>
      <c r="D43" s="41">
        <f>C43/$C$56</f>
        <v>4.5010733328716846E-3</v>
      </c>
      <c r="E43" s="9">
        <f>[3]MESA_UA!$DF$19</f>
        <v>0</v>
      </c>
      <c r="F43" s="89" t="e">
        <f>(C43-E43)/E43</f>
        <v>#DIV/0!</v>
      </c>
      <c r="G43" s="9">
        <f>SUM([3]MESA_UA!$DJ$19:$DT$19)</f>
        <v>1122</v>
      </c>
      <c r="H43" s="9">
        <f>SUM([3]MESA_UA!$CV$19:$DF$19)</f>
        <v>0</v>
      </c>
      <c r="I43" s="89" t="e">
        <f>(G43-H43)/H43</f>
        <v>#DIV/0!</v>
      </c>
      <c r="J43" s="55"/>
      <c r="K43" s="361" t="s">
        <v>56</v>
      </c>
      <c r="L43" s="356">
        <f>[3]MESA_UA!$DT$41</f>
        <v>6786</v>
      </c>
      <c r="M43" s="41">
        <f t="shared" si="8"/>
        <v>2.7497741951561668E-3</v>
      </c>
      <c r="N43" s="9">
        <f>[3]MESA_UA!$DF$41</f>
        <v>0</v>
      </c>
      <c r="O43" s="89" t="e">
        <f>(L43-N43)/N43</f>
        <v>#DIV/0!</v>
      </c>
      <c r="P43" s="9">
        <f>SUM([3]MESA_UA!$DJ$41:$DT$41)</f>
        <v>64186</v>
      </c>
      <c r="Q43" s="9">
        <f>SUM([3]MESA_UA!$CV$41:$DF$41)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Express'!$DT$19</f>
        <v>390</v>
      </c>
      <c r="D44" s="41">
        <f>C44/$C$55</f>
        <v>2.7624309392265192E-2</v>
      </c>
      <c r="E44" s="9">
        <f>'[3]Continental Express'!$DF$19</f>
        <v>582</v>
      </c>
      <c r="F44" s="89">
        <f t="shared" si="6"/>
        <v>-0.32989690721649484</v>
      </c>
      <c r="G44" s="9">
        <f>SUM('[3]Continental Express'!$DJ$19:$DT$19)</f>
        <v>4688</v>
      </c>
      <c r="H44" s="9">
        <f>SUM('[3]Continental Express'!$CV$19:$DF$19)</f>
        <v>5688</v>
      </c>
      <c r="I44" s="89">
        <f t="shared" si="7"/>
        <v>-0.17580872011251758</v>
      </c>
      <c r="J44" s="55"/>
      <c r="K44" s="361" t="s">
        <v>177</v>
      </c>
      <c r="L44" s="356">
        <f>'[3]Continental Express'!$DT$41</f>
        <v>14163</v>
      </c>
      <c r="M44" s="41">
        <f t="shared" si="8"/>
        <v>5.7390291668135565E-3</v>
      </c>
      <c r="N44" s="9">
        <f>'[3]Continental Express'!$DF$41</f>
        <v>20466</v>
      </c>
      <c r="O44" s="89">
        <f t="shared" si="9"/>
        <v>-0.30797420111404278</v>
      </c>
      <c r="P44" s="9">
        <f>SUM('[3]Continental Express'!$DJ$41:$DT$41)</f>
        <v>192325</v>
      </c>
      <c r="Q44" s="9">
        <f>SUM('[3]Continental Express'!$CV$41:$DF$41)</f>
        <v>218437</v>
      </c>
      <c r="R44" s="89">
        <f t="shared" si="10"/>
        <v>-0.11954018778869881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West_UA'!$DT$19</f>
        <v>592</v>
      </c>
      <c r="D45" s="41">
        <f>C45/$C$56</f>
        <v>2.049719548507721E-2</v>
      </c>
      <c r="E45" s="9">
        <f>'[3]Sky West_UA'!$DF$19+'[3]Sky West_CO'!$DF$19</f>
        <v>284</v>
      </c>
      <c r="F45" s="89">
        <f t="shared" si="6"/>
        <v>1.0845070422535212</v>
      </c>
      <c r="G45" s="9">
        <f>SUM('[3]Sky West_UA'!$DJ$19:$DT$19)</f>
        <v>3664</v>
      </c>
      <c r="H45" s="9">
        <f>SUM('[3]Sky West_UA'!$CV$19:$DF$19)+SUM('[3]Sky West_CO'!$CV$19:$DF$19)</f>
        <v>3086</v>
      </c>
      <c r="I45" s="89">
        <f t="shared" si="7"/>
        <v>0.18729747245625405</v>
      </c>
      <c r="J45" s="368"/>
      <c r="K45" s="361" t="s">
        <v>109</v>
      </c>
      <c r="L45" s="356">
        <f>'[3]Sky West_UA'!$DT$41</f>
        <v>36075</v>
      </c>
      <c r="M45" s="41">
        <f t="shared" si="8"/>
        <v>1.4618052474249738E-2</v>
      </c>
      <c r="N45" s="9">
        <f>'[3]Sky West_UA'!$DF$41+'[3]Sky West_CO'!$DF$41</f>
        <v>15628</v>
      </c>
      <c r="O45" s="89">
        <f t="shared" si="9"/>
        <v>1.3083567954952648</v>
      </c>
      <c r="P45" s="9">
        <f>SUM('[3]Sky West_UA'!$DJ$41:$DT$41)</f>
        <v>225368</v>
      </c>
      <c r="Q45" s="9">
        <f>SUM('[3]Sky West_UA'!$CV$41:$DF$41)+SUM('[3]Sky West_CO'!$CV$41:$DF$41)</f>
        <v>165578</v>
      </c>
      <c r="R45" s="89">
        <f t="shared" si="10"/>
        <v>0.36109869668675793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America'!$DT$19</f>
        <v>232</v>
      </c>
      <c r="D46" s="41">
        <f>C46/$C$56</f>
        <v>8.0326847171248526E-3</v>
      </c>
      <c r="E46" s="9">
        <f>'[3]Shuttle America'!$DF$19</f>
        <v>510</v>
      </c>
      <c r="F46" s="89">
        <f t="shared" si="6"/>
        <v>-0.54509803921568623</v>
      </c>
      <c r="G46" s="9">
        <f>SUM('[3]Shuttle America'!$DJ$19:$DT$19)</f>
        <v>3460</v>
      </c>
      <c r="H46" s="9">
        <f>SUM('[3]Shuttle America'!$CV$19:$DF$19)</f>
        <v>5588</v>
      </c>
      <c r="I46" s="89">
        <f t="shared" si="7"/>
        <v>-0.38081603435934147</v>
      </c>
      <c r="J46" s="368"/>
      <c r="K46" s="362" t="s">
        <v>147</v>
      </c>
      <c r="L46" s="356">
        <f>'[3]Shuttle America'!$DT$41</f>
        <v>12391</v>
      </c>
      <c r="M46" s="41">
        <f t="shared" si="8"/>
        <v>5.0209920501296888E-3</v>
      </c>
      <c r="N46" s="9">
        <f>'[3]Shuttle America'!$DF$41</f>
        <v>26011</v>
      </c>
      <c r="O46" s="89">
        <f t="shared" si="9"/>
        <v>-0.52362462035292756</v>
      </c>
      <c r="P46" s="9">
        <f>SUM('[3]Shuttle America'!$DJ$41:$DT$41)</f>
        <v>212093</v>
      </c>
      <c r="Q46" s="9">
        <f>SUM('[3]Shuttle America'!$CV$41:$DF$41)</f>
        <v>310904</v>
      </c>
      <c r="R46" s="89">
        <f t="shared" si="10"/>
        <v>-0.31781836193809021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727</v>
      </c>
      <c r="D48" s="353">
        <f>C48/$C$56</f>
        <v>2.5171387023059346E-2</v>
      </c>
      <c r="E48" s="354">
        <f>SUM(E49:E52)</f>
        <v>836</v>
      </c>
      <c r="F48" s="355">
        <f>(C48-E48)/E48</f>
        <v>-0.13038277511961721</v>
      </c>
      <c r="G48" s="354">
        <f>SUM(G49:G52)</f>
        <v>9107</v>
      </c>
      <c r="H48" s="354">
        <f>SUM(H49:H52)</f>
        <v>9830</v>
      </c>
      <c r="I48" s="355">
        <f>(G48-H48)/H48</f>
        <v>-7.3550356052899293E-2</v>
      </c>
      <c r="J48" s="363" t="s">
        <v>22</v>
      </c>
      <c r="K48" s="364"/>
      <c r="L48" s="352">
        <f>SUM(L49:L52)</f>
        <v>81535</v>
      </c>
      <c r="M48" s="353">
        <f>L48/$L$56</f>
        <v>3.3039027262313302E-2</v>
      </c>
      <c r="N48" s="354">
        <f>SUM(N49:N52)</f>
        <v>98762</v>
      </c>
      <c r="O48" s="355">
        <f>(L48-N48)/N48</f>
        <v>-0.1744294364229157</v>
      </c>
      <c r="P48" s="354">
        <f>SUM(P49:P52)</f>
        <v>1115979</v>
      </c>
      <c r="Q48" s="354">
        <f>SUM(Q49:Q52)</f>
        <v>1220201</v>
      </c>
      <c r="R48" s="355">
        <f>(P48-Q48)/Q48</f>
        <v>-8.5413796579416015E-2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Airways'!$DT$19</f>
        <v>691</v>
      </c>
      <c r="D49" s="41">
        <f>C49/$C$56</f>
        <v>2.392493594626411E-2</v>
      </c>
      <c r="E49" s="9">
        <f>'[3]US Airways'!$DF$19</f>
        <v>676</v>
      </c>
      <c r="F49" s="89">
        <f>(C49-E49)/E49</f>
        <v>2.2189349112426034E-2</v>
      </c>
      <c r="G49" s="9">
        <f>SUM('[3]US Airways'!$DJ$19:$DT$19)</f>
        <v>7724</v>
      </c>
      <c r="H49" s="9">
        <f>SUM('[3]US Airways'!$CV$19:$DF$19)</f>
        <v>7675</v>
      </c>
      <c r="I49" s="89">
        <f>(G49-H49)/H49</f>
        <v>6.3843648208469052E-3</v>
      </c>
      <c r="J49" s="368"/>
      <c r="K49" s="360" t="s">
        <v>22</v>
      </c>
      <c r="L49" s="356">
        <f>'[3]US Airways'!$DT$41</f>
        <v>79682</v>
      </c>
      <c r="M49" s="41">
        <f>L49/$L$56</f>
        <v>3.2288167907225718E-2</v>
      </c>
      <c r="N49" s="9">
        <f>'[3]US Airways'!$DF$41</f>
        <v>88828</v>
      </c>
      <c r="O49" s="89">
        <f>(L49-N49)/N49</f>
        <v>-0.1029630296753276</v>
      </c>
      <c r="P49" s="9">
        <f>SUM('[3]US Airways'!$DJ$41:$DT$41)</f>
        <v>1030184</v>
      </c>
      <c r="Q49" s="9">
        <f>SUM('[3]US Airways'!$CV$41:$DF$41)</f>
        <v>1084175</v>
      </c>
      <c r="R49" s="89">
        <f>(P49-Q49)/Q49</f>
        <v>-4.9799156040307144E-2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[3]Republic!$DT$19</f>
        <v>34</v>
      </c>
      <c r="D50" s="41">
        <f>C50/$C$56</f>
        <v>1.1772037947510561E-3</v>
      </c>
      <c r="E50" s="9">
        <f>[3]Republic!$DF$19</f>
        <v>160</v>
      </c>
      <c r="F50" s="89">
        <f>(C50-E50)/E50</f>
        <v>-0.78749999999999998</v>
      </c>
      <c r="G50" s="9">
        <f>SUM([3]Republic!$DJ$19:$DT$19)</f>
        <v>1202</v>
      </c>
      <c r="H50" s="9">
        <f>SUM([3]Republic!$CV$19:$DF$19)</f>
        <v>2099</v>
      </c>
      <c r="I50" s="89">
        <f>(G50-H50)/H50</f>
        <v>-0.42734635540733684</v>
      </c>
      <c r="J50" s="368"/>
      <c r="K50" s="362" t="s">
        <v>57</v>
      </c>
      <c r="L50" s="356">
        <f>[3]Republic!$DT$41</f>
        <v>1785</v>
      </c>
      <c r="M50" s="41">
        <f>L50/$L$56</f>
        <v>7.233048833412552E-4</v>
      </c>
      <c r="N50" s="9">
        <f>[3]Republic!$DF$41</f>
        <v>9934</v>
      </c>
      <c r="O50" s="89">
        <f>(L50-N50)/N50</f>
        <v>-0.82031407288101466</v>
      </c>
      <c r="P50" s="9">
        <f>SUM([3]Republic!$DJ$41:$DT$41)</f>
        <v>72368</v>
      </c>
      <c r="Q50" s="9">
        <f>SUM([3]Republic!$CV$41:$DF$41)</f>
        <v>133635</v>
      </c>
      <c r="R50" s="89">
        <f>(P50-Q50)/Q50</f>
        <v>-0.45846522243424254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[3]MESA!$DT$19</f>
        <v>2</v>
      </c>
      <c r="D51" s="41">
        <f>C51/$C$56</f>
        <v>6.9247282044179769E-5</v>
      </c>
      <c r="E51" s="9">
        <f>[3]MESA!$DF$19</f>
        <v>0</v>
      </c>
      <c r="F51" s="89" t="e">
        <f>(C51-E51)/E51</f>
        <v>#DIV/0!</v>
      </c>
      <c r="G51" s="9">
        <f>SUM([3]MESA!$DJ$19:$DT$19)</f>
        <v>140</v>
      </c>
      <c r="H51" s="9">
        <f>SUM([3]MESA!$CV$19:$DF$19)</f>
        <v>0</v>
      </c>
      <c r="I51" s="89" t="e">
        <f>(G51-H51)/H51</f>
        <v>#DIV/0!</v>
      </c>
      <c r="J51" s="368"/>
      <c r="K51" s="361" t="s">
        <v>108</v>
      </c>
      <c r="L51" s="356">
        <f>[3]MESA!$DT$41</f>
        <v>68</v>
      </c>
      <c r="M51" s="41">
        <f>L51/$L$56</f>
        <v>2.7554471746333533E-5</v>
      </c>
      <c r="N51" s="9">
        <f>[3]MESA!$DF$41</f>
        <v>0</v>
      </c>
      <c r="O51" s="89" t="e">
        <f>(L51-N51)/N51</f>
        <v>#DIV/0!</v>
      </c>
      <c r="P51" s="9">
        <f>SUM([3]MESA!$DJ$41:$DT$41)</f>
        <v>11755</v>
      </c>
      <c r="Q51" s="9">
        <f>SUM([3]MESA!$CV$41:$DF$41)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Wisconsin'!$DT$19</f>
        <v>0</v>
      </c>
      <c r="D52" s="372">
        <f>C52/$C$56</f>
        <v>0</v>
      </c>
      <c r="E52" s="374">
        <f>'[3]Air Wisconsin'!$DF$19</f>
        <v>0</v>
      </c>
      <c r="F52" s="373" t="e">
        <f>(C52-E52)/E52</f>
        <v>#DIV/0!</v>
      </c>
      <c r="G52" s="374">
        <f>SUM('[3]Air Wisconsin'!$DJ$19:$DT$19)</f>
        <v>41</v>
      </c>
      <c r="H52" s="374">
        <f>SUM('[3]Air Wisconsin'!$CV$19:$DF$19)</f>
        <v>56</v>
      </c>
      <c r="I52" s="398">
        <f>(G52-H52)/H52</f>
        <v>-0.26785714285714285</v>
      </c>
      <c r="J52" s="369"/>
      <c r="K52" s="370" t="s">
        <v>54</v>
      </c>
      <c r="L52" s="371">
        <f>'[3]Air Wisconsin'!$DT$41</f>
        <v>0</v>
      </c>
      <c r="M52" s="372">
        <f>L52/$L$56</f>
        <v>0</v>
      </c>
      <c r="N52" s="374">
        <f>'[3]Air Wisconsin'!$DF$41</f>
        <v>0</v>
      </c>
      <c r="O52" s="373" t="e">
        <f>(L52-N52)/N52</f>
        <v>#DIV/0!</v>
      </c>
      <c r="P52" s="374">
        <f>SUM('[3]Air Wisconsin'!$DJ$41:$DT$41)</f>
        <v>1672</v>
      </c>
      <c r="Q52" s="374">
        <f>SUM('[3]Air Wisconsin'!$CV$41:$DF$41)</f>
        <v>2391</v>
      </c>
      <c r="R52" s="373">
        <f>(P52-Q52)/Q52</f>
        <v>-0.30071099958176495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14764</v>
      </c>
      <c r="D54" s="451">
        <f>C54/$C$56</f>
        <v>0.51118343605013505</v>
      </c>
      <c r="E54" s="382">
        <f>+E56-E55</f>
        <v>15329</v>
      </c>
      <c r="F54" s="384">
        <f>(C54-E54)/E54</f>
        <v>-3.6858242546806703E-2</v>
      </c>
      <c r="G54" s="382">
        <f>+G56-G55</f>
        <v>174092</v>
      </c>
      <c r="H54" s="382">
        <f>+H56-H55</f>
        <v>177617</v>
      </c>
      <c r="I54" s="385">
        <f>(G54-H54)/H54</f>
        <v>-1.9846073292533937E-2</v>
      </c>
      <c r="K54" s="381" t="s">
        <v>149</v>
      </c>
      <c r="L54" s="382">
        <f>+L56-L55</f>
        <v>1769895</v>
      </c>
      <c r="M54" s="383">
        <f>+L54/L56</f>
        <v>0.71718414369819106</v>
      </c>
      <c r="N54" s="382">
        <f>+N56-N55</f>
        <v>1696868</v>
      </c>
      <c r="O54" s="384">
        <f>(L54-N54)/N54</f>
        <v>4.3036346963935913E-2</v>
      </c>
      <c r="P54" s="382">
        <f>+P56-P55</f>
        <v>22697607</v>
      </c>
      <c r="Q54" s="382">
        <f>+Q56-Q55</f>
        <v>21167013</v>
      </c>
      <c r="R54" s="385">
        <f>(P54-Q54)/Q54</f>
        <v>7.2310344402396309E-2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14118</v>
      </c>
      <c r="D55" s="452">
        <f>C55/$C$56</f>
        <v>0.48881656394986495</v>
      </c>
      <c r="E55" s="386">
        <f>+E52+E51+E50+E46+E23+E21+E19+E18+E4+E22+E12+E45+E20+E44+E41+E42+E43</f>
        <v>15689</v>
      </c>
      <c r="F55" s="388">
        <f>(C55-E55)/E55</f>
        <v>-0.1001338517432596</v>
      </c>
      <c r="G55" s="386">
        <f>+G52+G51+G50+G46+G23+G21+G19+G18+G4+G22+G12+G45+G20+G44+G41+G42+G43</f>
        <v>171682</v>
      </c>
      <c r="H55" s="386">
        <f>+H52+H51+H50+H46+H23+H21+H19+H18+H4+H22+H12+H45+H20+H44+H41+H42+H43</f>
        <v>187697</v>
      </c>
      <c r="I55" s="389">
        <f>(G55-H55)/H55</f>
        <v>-8.5323686579966654E-2</v>
      </c>
      <c r="K55" s="335" t="s">
        <v>150</v>
      </c>
      <c r="L55" s="386">
        <f>+L52+L51+L50+L46+L23+L21+L19+L18+L4+L22+L12+L45+L20+L44+L41+L42+L43</f>
        <v>697944</v>
      </c>
      <c r="M55" s="387">
        <f>+L55/L56</f>
        <v>0.282815856301809</v>
      </c>
      <c r="N55" s="386">
        <f>+N52+N51+N50+N46+N23+N21+N19+N18+N4+N22+N12+N45+N20+N44+N41+N42+N43</f>
        <v>709008</v>
      </c>
      <c r="O55" s="388">
        <f>(L55-N55)/N55</f>
        <v>-1.5604901496174937E-2</v>
      </c>
      <c r="P55" s="386">
        <f>+P52+P51+P50+P46+P23+P21+P19+P18+P4+P22+P12+P45+P20+P44+P41+P42+P43</f>
        <v>8728564</v>
      </c>
      <c r="Q55" s="386">
        <f>+Q52+Q51+Q50+Q46+Q23+Q21+Q19+Q18+Q4+Q22+Q12+Q45+Q20+Q44+Q41+Q42+Q43</f>
        <v>8909654</v>
      </c>
      <c r="R55" s="389">
        <f>(P55-Q55)/Q55</f>
        <v>-2.0325143939371831E-2</v>
      </c>
    </row>
    <row r="56" spans="1:21" ht="14.1" customHeight="1" x14ac:dyDescent="0.2">
      <c r="B56" s="335" t="s">
        <v>151</v>
      </c>
      <c r="C56" s="390">
        <f>+C48+C39+C37+C31+C29+C25+C16+C10+C8+C4+C27+C35+C6+C14</f>
        <v>28882</v>
      </c>
      <c r="D56" s="453">
        <f>+C56/C56</f>
        <v>1</v>
      </c>
      <c r="E56" s="390">
        <f>+E48+E39+E37+E31+E29+E25+E16+E10+E8+E4+E27+E35+E6+E14</f>
        <v>31018</v>
      </c>
      <c r="F56" s="392">
        <f>(C56-E56)/E56</f>
        <v>-6.8863240698949002E-2</v>
      </c>
      <c r="G56" s="390">
        <f>+G48+G39+G37+G31+G29+G25+G16+G10+G8+G4+G27+G35+G6+G14</f>
        <v>345774</v>
      </c>
      <c r="H56" s="390">
        <f>+H48+H39+H37+H31+H29+H25+H16+H10+H8+H4+H27+H35+H6+H14</f>
        <v>365314</v>
      </c>
      <c r="I56" s="393">
        <f>(G56-H56)/H56</f>
        <v>-5.3488232041476645E-2</v>
      </c>
      <c r="K56" s="335" t="s">
        <v>151</v>
      </c>
      <c r="L56" s="390">
        <f>+L48+L39+L37+L31+L29+L25+L16+L10+L8+L4+L27+L35+L6+L14</f>
        <v>2467839</v>
      </c>
      <c r="M56" s="391">
        <f>+L56/L56</f>
        <v>1</v>
      </c>
      <c r="N56" s="390">
        <f>+N48+N39+N37+N31+N29+N25+N16+N10+N8+N4+N27+N35+N6+N14</f>
        <v>2405876</v>
      </c>
      <c r="O56" s="392">
        <f>(L56-N56)/N56</f>
        <v>2.5754860183982882E-2</v>
      </c>
      <c r="P56" s="390">
        <f>+P48+P39+P37+P31+P29+P25+P16+P10+P8+P4+P27+P35+P6+P14</f>
        <v>31426171</v>
      </c>
      <c r="Q56" s="390">
        <f>+Q48+Q39+Q37+Q31+Q29+Q25+Q16+Q10+Q8+Q4+Q27+Q35+Q6+Q14</f>
        <v>30076667</v>
      </c>
      <c r="R56" s="393">
        <f>(P56-Q56)/Q56</f>
        <v>4.4868801453299328E-2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November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41" zoomScaleNormal="100" zoomScaleSheetLayoutView="100" workbookViewId="0">
      <selection activeCell="C50" sqref="C5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41944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215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[3]American!$DT$22</f>
        <v>35733</v>
      </c>
      <c r="C4" s="22">
        <f>[3]Delta!$DT$22+[3]Delta!$DT$32</f>
        <v>610715</v>
      </c>
      <c r="D4" s="22">
        <f>[3]United!$DT$22</f>
        <v>8902</v>
      </c>
      <c r="E4" s="22">
        <f>'[3]US Airways'!$DT$22</f>
        <v>39591</v>
      </c>
      <c r="F4" s="22">
        <f>[3]Spirit!$DT$22</f>
        <v>40247</v>
      </c>
      <c r="G4" s="22">
        <f>[3]Condor!$DT$22+[3]Condor!$DT$32</f>
        <v>0</v>
      </c>
      <c r="H4" s="22">
        <f>'[3]Air France'!$DT$22+'[3]Air France'!$DT$32</f>
        <v>0</v>
      </c>
      <c r="I4" s="22">
        <f>'Other Major Airline Stats'!I5</f>
        <v>150725</v>
      </c>
      <c r="J4" s="286">
        <f>SUM(B4:I4)</f>
        <v>885913</v>
      </c>
    </row>
    <row r="5" spans="1:19" x14ac:dyDescent="0.2">
      <c r="A5" s="65" t="s">
        <v>34</v>
      </c>
      <c r="B5" s="14">
        <f>[3]American!$DT$23</f>
        <v>35462</v>
      </c>
      <c r="C5" s="14">
        <f>[3]Delta!$DT$23+[3]Delta!$DT$33</f>
        <v>614986</v>
      </c>
      <c r="D5" s="14">
        <f>[3]United!$DT$23</f>
        <v>8238</v>
      </c>
      <c r="E5" s="14">
        <f>'[3]US Airways'!$DT$23</f>
        <v>40091</v>
      </c>
      <c r="F5" s="14">
        <f>[3]Spirit!$DT$23</f>
        <v>40363</v>
      </c>
      <c r="G5" s="14">
        <f>[3]Condor!$DT$23+[3]Condor!$DT$33</f>
        <v>0</v>
      </c>
      <c r="H5" s="14">
        <f>'[3]Air France'!$DT$23+'[3]Air France'!$DT$33</f>
        <v>0</v>
      </c>
      <c r="I5" s="14">
        <f>'Other Major Airline Stats'!I6</f>
        <v>144842</v>
      </c>
      <c r="J5" s="287">
        <f>SUM(B5:I5)</f>
        <v>883982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71195</v>
      </c>
      <c r="C6" s="36">
        <f t="shared" si="0"/>
        <v>1225701</v>
      </c>
      <c r="D6" s="36">
        <f t="shared" si="0"/>
        <v>17140</v>
      </c>
      <c r="E6" s="36">
        <f t="shared" si="0"/>
        <v>79682</v>
      </c>
      <c r="F6" s="36">
        <f t="shared" si="0"/>
        <v>80610</v>
      </c>
      <c r="G6" s="36">
        <f t="shared" si="0"/>
        <v>0</v>
      </c>
      <c r="H6" s="36">
        <f t="shared" si="0"/>
        <v>0</v>
      </c>
      <c r="I6" s="36">
        <f t="shared" si="0"/>
        <v>295567</v>
      </c>
      <c r="J6" s="288">
        <f>SUM(B6:I6)</f>
        <v>1769895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[3]American!$DT$27</f>
        <v>1615</v>
      </c>
      <c r="C9" s="22">
        <f>[3]Delta!$DT$27+[3]Delta!$DT$37</f>
        <v>24315</v>
      </c>
      <c r="D9" s="22">
        <f>[3]United!$DT$27</f>
        <v>295</v>
      </c>
      <c r="E9" s="22">
        <f>'[3]US Airways'!$DT$27</f>
        <v>1411</v>
      </c>
      <c r="F9" s="22">
        <f>[3]Spirit!$DT$27</f>
        <v>312</v>
      </c>
      <c r="G9" s="22">
        <f>[3]Condor!$DT$27+[3]Condor!$DT$37</f>
        <v>0</v>
      </c>
      <c r="H9" s="22">
        <f>'[3]Air France'!$DT$27+'[3]Air France'!$DT$37</f>
        <v>0</v>
      </c>
      <c r="I9" s="22">
        <f>'Other Major Airline Stats'!I10</f>
        <v>2972</v>
      </c>
      <c r="J9" s="286">
        <f>SUM(B9:I9)</f>
        <v>30920</v>
      </c>
    </row>
    <row r="10" spans="1:19" x14ac:dyDescent="0.2">
      <c r="A10" s="65" t="s">
        <v>36</v>
      </c>
      <c r="B10" s="14">
        <f>[3]American!$DT$28</f>
        <v>1730</v>
      </c>
      <c r="C10" s="14">
        <f>[3]Delta!$DT$28+[3]Delta!$DT$38</f>
        <v>23796</v>
      </c>
      <c r="D10" s="14">
        <f>[3]United!$DT$28</f>
        <v>419</v>
      </c>
      <c r="E10" s="14">
        <f>'[3]US Airways'!$DT$28</f>
        <v>1538</v>
      </c>
      <c r="F10" s="14">
        <f>[3]Spirit!$DT$28</f>
        <v>224</v>
      </c>
      <c r="G10" s="14">
        <f>[3]Condor!$DT$28+[3]Condor!$DT$38</f>
        <v>0</v>
      </c>
      <c r="H10" s="14">
        <f>'[3]Air France'!$DT$28+'[3]Air France'!$DT$38</f>
        <v>0</v>
      </c>
      <c r="I10" s="14">
        <f>'Other Major Airline Stats'!I11</f>
        <v>3106</v>
      </c>
      <c r="J10" s="287">
        <f>SUM(B10:I10)</f>
        <v>30813</v>
      </c>
    </row>
    <row r="11" spans="1:19" ht="15.75" thickBot="1" x14ac:dyDescent="0.3">
      <c r="A11" s="66" t="s">
        <v>37</v>
      </c>
      <c r="B11" s="289">
        <f t="shared" ref="B11:I11" si="1">SUM(B9:B10)</f>
        <v>3345</v>
      </c>
      <c r="C11" s="289">
        <f t="shared" si="1"/>
        <v>48111</v>
      </c>
      <c r="D11" s="289">
        <f t="shared" si="1"/>
        <v>714</v>
      </c>
      <c r="E11" s="289">
        <f t="shared" si="1"/>
        <v>2949</v>
      </c>
      <c r="F11" s="289">
        <f t="shared" si="1"/>
        <v>536</v>
      </c>
      <c r="G11" s="289">
        <f t="shared" si="1"/>
        <v>0</v>
      </c>
      <c r="H11" s="289">
        <f t="shared" si="1"/>
        <v>0</v>
      </c>
      <c r="I11" s="289">
        <f t="shared" si="1"/>
        <v>6078</v>
      </c>
      <c r="J11" s="290">
        <f>SUM(B11:I11)</f>
        <v>61733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[3]American!$DT$4</f>
        <v>322</v>
      </c>
      <c r="C15" s="22">
        <f>[3]Delta!$DT$4+[3]Delta!$DT$15</f>
        <v>4783</v>
      </c>
      <c r="D15" s="22">
        <f>[3]United!$DT$4</f>
        <v>76</v>
      </c>
      <c r="E15" s="22">
        <f>'[3]US Airways'!$DT$4</f>
        <v>349</v>
      </c>
      <c r="F15" s="22">
        <f>[3]Spirit!$DT$4</f>
        <v>325</v>
      </c>
      <c r="G15" s="22">
        <f>[3]Condor!$DT$4+[3]Condor!$DT$15</f>
        <v>0</v>
      </c>
      <c r="H15" s="22">
        <f>'[3]Air France'!$DT$4+'[3]Air France'!$DT$15</f>
        <v>0</v>
      </c>
      <c r="I15" s="22">
        <f>'Other Major Airline Stats'!I16</f>
        <v>1482</v>
      </c>
      <c r="J15" s="29">
        <f>SUM(B15:I15)</f>
        <v>7337</v>
      </c>
    </row>
    <row r="16" spans="1:19" x14ac:dyDescent="0.2">
      <c r="A16" s="65" t="s">
        <v>26</v>
      </c>
      <c r="B16" s="14">
        <f>[3]American!$DT$5</f>
        <v>322</v>
      </c>
      <c r="C16" s="14">
        <f>[3]Delta!$DT$5+[3]Delta!$DT$16</f>
        <v>4792</v>
      </c>
      <c r="D16" s="14">
        <f>[3]United!$DT$5</f>
        <v>76</v>
      </c>
      <c r="E16" s="14">
        <f>'[3]US Airways'!$DT$5</f>
        <v>342</v>
      </c>
      <c r="F16" s="14">
        <f>[3]Spirit!$DT$5</f>
        <v>325</v>
      </c>
      <c r="G16" s="14">
        <f>[3]Condor!$DT$5+[3]Condor!$DT$16</f>
        <v>0</v>
      </c>
      <c r="H16" s="14">
        <f>'[3]Air France'!$DT$5+'[3]Air France'!$DT$16</f>
        <v>0</v>
      </c>
      <c r="I16" s="14">
        <f>'Other Major Airline Stats'!I17</f>
        <v>1474</v>
      </c>
      <c r="J16" s="35">
        <f>SUM(B16:I16)</f>
        <v>7331</v>
      </c>
    </row>
    <row r="17" spans="1:10" x14ac:dyDescent="0.2">
      <c r="A17" s="65" t="s">
        <v>27</v>
      </c>
      <c r="B17" s="293">
        <f t="shared" ref="B17:I17" si="2">SUM(B15:B16)</f>
        <v>644</v>
      </c>
      <c r="C17" s="291">
        <f t="shared" si="2"/>
        <v>9575</v>
      </c>
      <c r="D17" s="291">
        <f t="shared" si="2"/>
        <v>152</v>
      </c>
      <c r="E17" s="291">
        <f t="shared" si="2"/>
        <v>691</v>
      </c>
      <c r="F17" s="291">
        <f t="shared" si="2"/>
        <v>650</v>
      </c>
      <c r="G17" s="291">
        <f t="shared" si="2"/>
        <v>0</v>
      </c>
      <c r="H17" s="291">
        <f t="shared" si="2"/>
        <v>0</v>
      </c>
      <c r="I17" s="291">
        <f t="shared" si="2"/>
        <v>2956</v>
      </c>
      <c r="J17" s="292">
        <f>SUM(B17:I17)</f>
        <v>14668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[3]American!$DT$8</f>
        <v>0</v>
      </c>
      <c r="C19" s="22">
        <f>[3]Delta!$DT$8</f>
        <v>1</v>
      </c>
      <c r="D19" s="22">
        <f>[3]United!$DT$8</f>
        <v>0</v>
      </c>
      <c r="E19" s="22">
        <f>'[3]US Airways'!$DT$8</f>
        <v>0</v>
      </c>
      <c r="F19" s="22">
        <f>[3]Spirit!$DT$8</f>
        <v>0</v>
      </c>
      <c r="G19" s="22">
        <f>[3]Condor!$DT$8</f>
        <v>0</v>
      </c>
      <c r="H19" s="22">
        <f>'[3]Air France'!$DT$8</f>
        <v>0</v>
      </c>
      <c r="I19" s="22">
        <f>'Other Major Airline Stats'!I20</f>
        <v>46</v>
      </c>
      <c r="J19" s="29">
        <f>SUM(B19:I19)</f>
        <v>47</v>
      </c>
    </row>
    <row r="20" spans="1:10" x14ac:dyDescent="0.2">
      <c r="A20" s="65" t="s">
        <v>29</v>
      </c>
      <c r="B20" s="14">
        <f>[3]American!$DT$9</f>
        <v>0</v>
      </c>
      <c r="C20" s="14">
        <f>[3]Delta!$DT$9</f>
        <v>2</v>
      </c>
      <c r="D20" s="14">
        <f>[3]United!$DT$9</f>
        <v>0</v>
      </c>
      <c r="E20" s="14">
        <f>'[3]US Airways'!$DT$9</f>
        <v>0</v>
      </c>
      <c r="F20" s="14">
        <f>[3]Spirit!$DT$9</f>
        <v>0</v>
      </c>
      <c r="G20" s="14">
        <f>[3]Condor!$DT$9</f>
        <v>0</v>
      </c>
      <c r="H20" s="14">
        <f>'[3]Air France'!$DT$9</f>
        <v>0</v>
      </c>
      <c r="I20" s="14">
        <f>'Other Major Airline Stats'!I21</f>
        <v>47</v>
      </c>
      <c r="J20" s="35">
        <f>SUM(B20:I20)</f>
        <v>49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3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93</v>
      </c>
      <c r="J21" s="180">
        <f>SUM(B21:I21)</f>
        <v>96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644</v>
      </c>
      <c r="C23" s="30">
        <f t="shared" si="4"/>
        <v>9578</v>
      </c>
      <c r="D23" s="30">
        <f t="shared" si="4"/>
        <v>152</v>
      </c>
      <c r="E23" s="30">
        <f t="shared" si="4"/>
        <v>691</v>
      </c>
      <c r="F23" s="30">
        <f>F17+F21</f>
        <v>650</v>
      </c>
      <c r="G23" s="30">
        <f>G17+G21</f>
        <v>0</v>
      </c>
      <c r="H23" s="30">
        <f>H17+H21</f>
        <v>0</v>
      </c>
      <c r="I23" s="30">
        <f t="shared" si="4"/>
        <v>3049</v>
      </c>
      <c r="J23" s="31">
        <f>SUM(B23:I23)</f>
        <v>14764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[3]American!$DT$47</f>
        <v>20818</v>
      </c>
      <c r="C28" s="22">
        <f>[3]Delta!$DT$47</f>
        <v>4200977</v>
      </c>
      <c r="D28" s="22">
        <f>[3]United!$DT$47</f>
        <v>18373</v>
      </c>
      <c r="E28" s="22">
        <f>'[3]US Airways'!$DT$47</f>
        <v>13814</v>
      </c>
      <c r="F28" s="22">
        <f>[3]Spirit!$DT$47</f>
        <v>0</v>
      </c>
      <c r="G28" s="22">
        <f>[3]Condor!$DT$47</f>
        <v>0</v>
      </c>
      <c r="H28" s="22">
        <f>'[3]Air France'!$DT$47</f>
        <v>0</v>
      </c>
      <c r="I28" s="22">
        <f>'Other Major Airline Stats'!I28</f>
        <v>316559</v>
      </c>
      <c r="J28" s="29">
        <f>SUM(B28:I28)</f>
        <v>4570541</v>
      </c>
    </row>
    <row r="29" spans="1:10" x14ac:dyDescent="0.2">
      <c r="A29" s="65" t="s">
        <v>41</v>
      </c>
      <c r="B29" s="14">
        <f>[3]American!$DT$48</f>
        <v>0</v>
      </c>
      <c r="C29" s="14">
        <f>[3]Delta!$DT$48</f>
        <v>935349</v>
      </c>
      <c r="D29" s="14">
        <f>[3]United!$DT$48</f>
        <v>92639</v>
      </c>
      <c r="E29" s="14">
        <f>'[3]US Airways'!$DT$48</f>
        <v>23888</v>
      </c>
      <c r="F29" s="14">
        <f>[3]Spirit!$DT$48</f>
        <v>0</v>
      </c>
      <c r="G29" s="14">
        <f>[3]Condor!$DT$48</f>
        <v>0</v>
      </c>
      <c r="H29" s="14">
        <f>'[3]Air France'!$DT$48</f>
        <v>0</v>
      </c>
      <c r="I29" s="14">
        <f>'Other Major Airline Stats'!I29</f>
        <v>185910</v>
      </c>
      <c r="J29" s="35">
        <f>SUM(B29:I29)</f>
        <v>1237786</v>
      </c>
    </row>
    <row r="30" spans="1:10" x14ac:dyDescent="0.2">
      <c r="A30" s="69" t="s">
        <v>42</v>
      </c>
      <c r="B30" s="293">
        <f t="shared" ref="B30:I30" si="5">SUM(B28:B29)</f>
        <v>20818</v>
      </c>
      <c r="C30" s="293">
        <f t="shared" si="5"/>
        <v>5136326</v>
      </c>
      <c r="D30" s="293">
        <f t="shared" si="5"/>
        <v>111012</v>
      </c>
      <c r="E30" s="293">
        <f t="shared" si="5"/>
        <v>37702</v>
      </c>
      <c r="F30" s="293">
        <f t="shared" si="5"/>
        <v>0</v>
      </c>
      <c r="G30" s="293">
        <f t="shared" si="5"/>
        <v>0</v>
      </c>
      <c r="H30" s="293">
        <f t="shared" si="5"/>
        <v>0</v>
      </c>
      <c r="I30" s="293">
        <f t="shared" si="5"/>
        <v>502469</v>
      </c>
      <c r="J30" s="29">
        <f>SUM(B30:I30)</f>
        <v>5808327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[3]American!$DT$52</f>
        <v>12163</v>
      </c>
      <c r="C33" s="22">
        <f>[3]Delta!$DT$52</f>
        <v>3971985</v>
      </c>
      <c r="D33" s="22">
        <f>[3]United!$DT$52</f>
        <v>10821</v>
      </c>
      <c r="E33" s="22">
        <f>'[3]US Airways'!$DT$52</f>
        <v>13118</v>
      </c>
      <c r="F33" s="22">
        <f>[3]Spirit!$DT$52</f>
        <v>0</v>
      </c>
      <c r="G33" s="22">
        <f>[3]Condor!$DT$52</f>
        <v>0</v>
      </c>
      <c r="H33" s="22">
        <f>'[3]Air France'!$DT$52</f>
        <v>0</v>
      </c>
      <c r="I33" s="22">
        <f>'Other Major Airline Stats'!I33</f>
        <v>250197</v>
      </c>
      <c r="J33" s="29">
        <f t="shared" si="6"/>
        <v>4258284</v>
      </c>
    </row>
    <row r="34" spans="1:10" x14ac:dyDescent="0.2">
      <c r="A34" s="65" t="s">
        <v>41</v>
      </c>
      <c r="B34" s="14">
        <f>[3]American!$DT$53</f>
        <v>0</v>
      </c>
      <c r="C34" s="14">
        <f>[3]Delta!$DT$53</f>
        <v>82037</v>
      </c>
      <c r="D34" s="14">
        <f>[3]United!$DT$53</f>
        <v>135816</v>
      </c>
      <c r="E34" s="14">
        <f>'[3]US Airways'!$DT$53</f>
        <v>102104</v>
      </c>
      <c r="F34" s="14">
        <f>[3]Spirit!$DT$53</f>
        <v>0</v>
      </c>
      <c r="G34" s="14">
        <f>[3]Condor!$DT$53</f>
        <v>0</v>
      </c>
      <c r="H34" s="14">
        <f>'[3]Air France'!$DT$53</f>
        <v>0</v>
      </c>
      <c r="I34" s="14">
        <f>'Other Major Airline Stats'!I34</f>
        <v>487804</v>
      </c>
      <c r="J34" s="35">
        <f t="shared" si="6"/>
        <v>807761</v>
      </c>
    </row>
    <row r="35" spans="1:10" x14ac:dyDescent="0.2">
      <c r="A35" s="69" t="s">
        <v>44</v>
      </c>
      <c r="B35" s="293">
        <f t="shared" ref="B35:I35" si="7">SUM(B33:B34)</f>
        <v>12163</v>
      </c>
      <c r="C35" s="293">
        <f t="shared" si="7"/>
        <v>4054022</v>
      </c>
      <c r="D35" s="293">
        <f t="shared" si="7"/>
        <v>146637</v>
      </c>
      <c r="E35" s="293">
        <f t="shared" si="7"/>
        <v>115222</v>
      </c>
      <c r="F35" s="293">
        <f t="shared" si="7"/>
        <v>0</v>
      </c>
      <c r="G35" s="293">
        <f t="shared" si="7"/>
        <v>0</v>
      </c>
      <c r="H35" s="293">
        <f t="shared" si="7"/>
        <v>0</v>
      </c>
      <c r="I35" s="293">
        <f t="shared" si="7"/>
        <v>738001</v>
      </c>
      <c r="J35" s="29">
        <f t="shared" si="6"/>
        <v>5066045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[3]American!$DT$57</f>
        <v>0</v>
      </c>
      <c r="C38" s="22">
        <f>[3]Delta!$DT$57</f>
        <v>0</v>
      </c>
      <c r="D38" s="22">
        <f>[3]United!$DT$57</f>
        <v>0</v>
      </c>
      <c r="E38" s="22">
        <f>'[3]US Airways'!$DT$57</f>
        <v>0</v>
      </c>
      <c r="F38" s="22">
        <f>[3]Spirit!$DT$57</f>
        <v>0</v>
      </c>
      <c r="G38" s="22">
        <f>[3]Condor!$DT$57</f>
        <v>0</v>
      </c>
      <c r="H38" s="22">
        <f>'[3]Air France'!$DT$57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[3]American!$DT$58</f>
        <v>0</v>
      </c>
      <c r="C39" s="14">
        <f>[3]Delta!$DT$58</f>
        <v>0</v>
      </c>
      <c r="D39" s="14">
        <f>[3]United!$DT$58</f>
        <v>0</v>
      </c>
      <c r="E39" s="14">
        <f>'[3]US Airways'!$DT$58</f>
        <v>0</v>
      </c>
      <c r="F39" s="14">
        <f>[3]Spirit!$DT$58</f>
        <v>0</v>
      </c>
      <c r="G39" s="14">
        <f>[3]Condor!$DT$58</f>
        <v>0</v>
      </c>
      <c r="H39" s="14">
        <f>'[3]Air France'!$DT$58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32981</v>
      </c>
      <c r="C43" s="22">
        <f t="shared" si="9"/>
        <v>8172962</v>
      </c>
      <c r="D43" s="22">
        <f t="shared" si="9"/>
        <v>29194</v>
      </c>
      <c r="E43" s="22">
        <f t="shared" si="9"/>
        <v>26932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0</v>
      </c>
      <c r="I43" s="22">
        <f t="shared" si="9"/>
        <v>566756</v>
      </c>
      <c r="J43" s="29">
        <f>SUM(B43:I43)</f>
        <v>8828825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1017386</v>
      </c>
      <c r="D44" s="14">
        <f t="shared" si="9"/>
        <v>228455</v>
      </c>
      <c r="E44" s="14">
        <f t="shared" si="9"/>
        <v>125992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673714</v>
      </c>
      <c r="J44" s="29">
        <f>SUM(B44:I44)</f>
        <v>2045547</v>
      </c>
    </row>
    <row r="45" spans="1:10" ht="15.75" thickBot="1" x14ac:dyDescent="0.3">
      <c r="A45" s="66" t="s">
        <v>49</v>
      </c>
      <c r="B45" s="294">
        <f t="shared" ref="B45:I45" si="11">SUM(B43:B44)</f>
        <v>32981</v>
      </c>
      <c r="C45" s="294">
        <f t="shared" si="11"/>
        <v>9190348</v>
      </c>
      <c r="D45" s="294">
        <f t="shared" si="11"/>
        <v>257649</v>
      </c>
      <c r="E45" s="294">
        <f t="shared" si="11"/>
        <v>152924</v>
      </c>
      <c r="F45" s="294">
        <f t="shared" si="11"/>
        <v>0</v>
      </c>
      <c r="G45" s="294">
        <f t="shared" si="11"/>
        <v>0</v>
      </c>
      <c r="H45" s="294">
        <f t="shared" si="11"/>
        <v>0</v>
      </c>
      <c r="I45" s="294">
        <f t="shared" si="11"/>
        <v>1240470</v>
      </c>
      <c r="J45" s="295">
        <f>SUM(B45:I45)</f>
        <v>10874372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[3]Delta!$DT$70+[3]Delta!$DT$73</f>
        <v>279278</v>
      </c>
      <c r="D47" s="312"/>
      <c r="E47" s="312"/>
      <c r="F47" s="312"/>
      <c r="G47" s="312"/>
      <c r="H47" s="312"/>
      <c r="I47" s="312"/>
      <c r="J47" s="313">
        <f>SUM(B47:I47)</f>
        <v>279278</v>
      </c>
    </row>
    <row r="48" spans="1:10" hidden="1" x14ac:dyDescent="0.2">
      <c r="A48" s="395" t="s">
        <v>136</v>
      </c>
      <c r="C48" s="325">
        <f>[3]Delta!$DT$71+[3]Delta!$DT$74</f>
        <v>335708</v>
      </c>
      <c r="D48" s="312"/>
      <c r="E48" s="312"/>
      <c r="F48" s="312"/>
      <c r="G48" s="312"/>
      <c r="H48" s="312"/>
      <c r="I48" s="312"/>
      <c r="J48" s="313">
        <f>SUM(B48:I48)</f>
        <v>335708</v>
      </c>
    </row>
    <row r="49" spans="1:10" hidden="1" x14ac:dyDescent="0.2">
      <c r="A49" s="396" t="s">
        <v>137</v>
      </c>
      <c r="C49" s="326">
        <f>SUM(C47:C48)</f>
        <v>614986</v>
      </c>
      <c r="J49" s="313">
        <f>SUM(B49:I49)</f>
        <v>614986</v>
      </c>
    </row>
    <row r="50" spans="1:10" x14ac:dyDescent="0.2">
      <c r="A50" s="394" t="s">
        <v>135</v>
      </c>
      <c r="B50" s="408"/>
      <c r="C50" s="328">
        <f>[3]Delta!$DT$70+[3]Delta!$DT$73</f>
        <v>279278</v>
      </c>
      <c r="D50" s="408"/>
      <c r="E50" s="408"/>
      <c r="F50" s="408"/>
      <c r="G50" s="408"/>
      <c r="H50" s="408"/>
      <c r="I50" s="327">
        <f>'Other Major Airline Stats'!I48</f>
        <v>107161</v>
      </c>
      <c r="J50" s="316">
        <f>SUM(B50:I50)</f>
        <v>386439</v>
      </c>
    </row>
    <row r="51" spans="1:10" x14ac:dyDescent="0.2">
      <c r="A51" s="410" t="s">
        <v>136</v>
      </c>
      <c r="B51" s="408"/>
      <c r="C51" s="328">
        <f>[3]Delta!$DT$71+[3]Delta!$DT$74</f>
        <v>335708</v>
      </c>
      <c r="D51" s="408"/>
      <c r="E51" s="408"/>
      <c r="F51" s="408"/>
      <c r="G51" s="408"/>
      <c r="H51" s="408"/>
      <c r="I51" s="327">
        <f>+'Other Major Airline Stats'!I49</f>
        <v>4773</v>
      </c>
      <c r="J51" s="316">
        <f>SUM(B51:I51)</f>
        <v>340481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34" zoomScaleNormal="100" workbookViewId="0">
      <selection activeCell="F51" sqref="F51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41944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[3]AirTran!$DT$22</f>
        <v>5448</v>
      </c>
      <c r="C5" s="150">
        <f>[3]Frontier!$DT$22</f>
        <v>22048</v>
      </c>
      <c r="D5" s="150">
        <f>'[3]Great Lakes'!$DT$22</f>
        <v>481</v>
      </c>
      <c r="E5" s="150">
        <f>[3]Icelandair!$DT$32</f>
        <v>0</v>
      </c>
      <c r="F5" s="122">
        <f>[3]Southwest!$DT$22</f>
        <v>58292</v>
      </c>
      <c r="G5" s="122">
        <f>'[3]Sun Country'!$DT$22+'[3]Sun Country'!$DT$32</f>
        <v>60237</v>
      </c>
      <c r="H5" s="122">
        <f>[3]Alaska!$DT$22</f>
        <v>4219</v>
      </c>
      <c r="I5" s="151">
        <f>SUM(B5:H5)</f>
        <v>150725</v>
      </c>
      <c r="L5" s="134"/>
    </row>
    <row r="6" spans="1:12" x14ac:dyDescent="0.2">
      <c r="A6" s="65" t="s">
        <v>34</v>
      </c>
      <c r="B6" s="297">
        <f>[3]AirTran!$DT$23</f>
        <v>6016</v>
      </c>
      <c r="C6" s="150">
        <f>[3]Frontier!$DT$23</f>
        <v>22234</v>
      </c>
      <c r="D6" s="150">
        <f>'[3]Great Lakes'!$DT$23</f>
        <v>480</v>
      </c>
      <c r="E6" s="150">
        <f>[3]Icelandair!$DT$33</f>
        <v>0</v>
      </c>
      <c r="F6" s="122">
        <f>[3]Southwest!$DT$23</f>
        <v>57376</v>
      </c>
      <c r="G6" s="122">
        <f>'[3]Sun Country'!$DT$23+'[3]Sun Country'!$DT$33</f>
        <v>54558</v>
      </c>
      <c r="H6" s="122">
        <f>[3]Alaska!$DT$23</f>
        <v>4178</v>
      </c>
      <c r="I6" s="151">
        <f>SUM(B6:H6)</f>
        <v>144842</v>
      </c>
    </row>
    <row r="7" spans="1:12" ht="15" x14ac:dyDescent="0.25">
      <c r="A7" s="63" t="s">
        <v>7</v>
      </c>
      <c r="B7" s="159">
        <f t="shared" ref="B7:H7" si="0">SUM(B5:B6)</f>
        <v>11464</v>
      </c>
      <c r="C7" s="159">
        <f t="shared" si="0"/>
        <v>44282</v>
      </c>
      <c r="D7" s="159">
        <f t="shared" si="0"/>
        <v>961</v>
      </c>
      <c r="E7" s="159">
        <f t="shared" si="0"/>
        <v>0</v>
      </c>
      <c r="F7" s="159">
        <f t="shared" si="0"/>
        <v>115668</v>
      </c>
      <c r="G7" s="159">
        <f>SUM(G5:G6)</f>
        <v>114795</v>
      </c>
      <c r="H7" s="159">
        <f t="shared" si="0"/>
        <v>8397</v>
      </c>
      <c r="I7" s="160">
        <f>SUM(B7:H7)</f>
        <v>295567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[3]AirTran!$DT$27</f>
        <v>98</v>
      </c>
      <c r="C10" s="158">
        <f>[3]Frontier!$DT$27</f>
        <v>210</v>
      </c>
      <c r="D10" s="158">
        <f>'[3]Great Lakes'!$DT$27</f>
        <v>53</v>
      </c>
      <c r="E10" s="158">
        <f>[3]Icelandair!$DT$37</f>
        <v>0</v>
      </c>
      <c r="F10" s="158">
        <f>[3]Southwest!$DT$27</f>
        <v>986</v>
      </c>
      <c r="G10" s="158">
        <f>'[3]Sun Country'!$DT$27+'[3]Sun Country'!$DT$37</f>
        <v>1469</v>
      </c>
      <c r="H10" s="158">
        <f>[3]Alaska!$DT$27</f>
        <v>156</v>
      </c>
      <c r="I10" s="151">
        <f>SUM(B10:H10)</f>
        <v>2972</v>
      </c>
    </row>
    <row r="11" spans="1:12" x14ac:dyDescent="0.2">
      <c r="A11" s="65" t="s">
        <v>36</v>
      </c>
      <c r="B11" s="14">
        <f>[3]AirTran!$DT$28</f>
        <v>119</v>
      </c>
      <c r="C11" s="161">
        <f>[3]Frontier!$DT$28</f>
        <v>298</v>
      </c>
      <c r="D11" s="161">
        <f>'[3]Great Lakes'!$DT$28</f>
        <v>37</v>
      </c>
      <c r="E11" s="161">
        <f>[3]Icelandair!$DT$38</f>
        <v>0</v>
      </c>
      <c r="F11" s="161">
        <f>[3]Southwest!$DT$28</f>
        <v>1008</v>
      </c>
      <c r="G11" s="161">
        <f>'[3]Sun Country'!$DT$28+'[3]Sun Country'!$DT$38</f>
        <v>1404</v>
      </c>
      <c r="H11" s="161">
        <f>[3]Alaska!$DT$28</f>
        <v>240</v>
      </c>
      <c r="I11" s="151">
        <f>SUM(B11:H11)</f>
        <v>3106</v>
      </c>
    </row>
    <row r="12" spans="1:12" ht="15.75" thickBot="1" x14ac:dyDescent="0.3">
      <c r="A12" s="66" t="s">
        <v>37</v>
      </c>
      <c r="B12" s="154">
        <f t="shared" ref="B12:H12" si="1">SUM(B10:B11)</f>
        <v>217</v>
      </c>
      <c r="C12" s="154">
        <f t="shared" si="1"/>
        <v>508</v>
      </c>
      <c r="D12" s="154">
        <f t="shared" si="1"/>
        <v>90</v>
      </c>
      <c r="E12" s="154">
        <f t="shared" si="1"/>
        <v>0</v>
      </c>
      <c r="F12" s="154">
        <f t="shared" si="1"/>
        <v>1994</v>
      </c>
      <c r="G12" s="154">
        <f>SUM(G10:G11)</f>
        <v>2873</v>
      </c>
      <c r="H12" s="154">
        <f t="shared" si="1"/>
        <v>396</v>
      </c>
      <c r="I12" s="162">
        <f>SUM(B12:H12)</f>
        <v>6078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[3]AirTran!$DT$4</f>
        <v>81</v>
      </c>
      <c r="C16" s="150">
        <f>[3]Frontier!$DT$4</f>
        <v>164</v>
      </c>
      <c r="D16" s="150">
        <f>'[3]Great Lakes'!$DT$4</f>
        <v>110</v>
      </c>
      <c r="E16" s="150">
        <f>[3]Icelandair!$DT$15</f>
        <v>0</v>
      </c>
      <c r="F16" s="109">
        <f>[3]Southwest!$DT$4</f>
        <v>534</v>
      </c>
      <c r="G16" s="122">
        <f>'[3]Sun Country'!$DT$4+'[3]Sun Country'!$DT$15</f>
        <v>564</v>
      </c>
      <c r="H16" s="122">
        <f>[3]Alaska!$DT$4</f>
        <v>29</v>
      </c>
      <c r="I16" s="151">
        <f>SUM(B16:H16)</f>
        <v>1482</v>
      </c>
    </row>
    <row r="17" spans="1:256" x14ac:dyDescent="0.2">
      <c r="A17" s="65" t="s">
        <v>26</v>
      </c>
      <c r="B17" s="14">
        <f>[3]AirTran!$DT$5</f>
        <v>81</v>
      </c>
      <c r="C17" s="150">
        <f>[3]Frontier!$DT$5</f>
        <v>164</v>
      </c>
      <c r="D17" s="150">
        <f>'[3]Great Lakes'!$DT$5</f>
        <v>110</v>
      </c>
      <c r="E17" s="150">
        <f>[3]Icelandair!$DT$16</f>
        <v>0</v>
      </c>
      <c r="F17" s="109">
        <f>[3]Southwest!$DT$5</f>
        <v>533</v>
      </c>
      <c r="G17" s="122">
        <f>'[3]Sun Country'!$DT$5+'[3]Sun Country'!$DT$16</f>
        <v>557</v>
      </c>
      <c r="H17" s="122">
        <f>[3]Alaska!$DT$5</f>
        <v>29</v>
      </c>
      <c r="I17" s="151">
        <f>SUM(B17:H17)</f>
        <v>1474</v>
      </c>
    </row>
    <row r="18" spans="1:256" x14ac:dyDescent="0.2">
      <c r="A18" s="69" t="s">
        <v>27</v>
      </c>
      <c r="B18" s="152">
        <f t="shared" ref="B18:H18" si="2">SUM(B16:B17)</f>
        <v>162</v>
      </c>
      <c r="C18" s="152">
        <f t="shared" si="2"/>
        <v>328</v>
      </c>
      <c r="D18" s="152">
        <f t="shared" si="2"/>
        <v>220</v>
      </c>
      <c r="E18" s="152">
        <f t="shared" si="2"/>
        <v>0</v>
      </c>
      <c r="F18" s="152">
        <f t="shared" si="2"/>
        <v>1067</v>
      </c>
      <c r="G18" s="152">
        <f t="shared" si="2"/>
        <v>1121</v>
      </c>
      <c r="H18" s="152">
        <f t="shared" si="2"/>
        <v>58</v>
      </c>
      <c r="I18" s="153">
        <f>SUM(B18:H18)</f>
        <v>2956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[3]AirTran!$DT$8</f>
        <v>0</v>
      </c>
      <c r="C20" s="150">
        <f>[3]Frontier!$DT$8</f>
        <v>0</v>
      </c>
      <c r="D20" s="150">
        <f>'[3]Great Lakes'!$DT$8</f>
        <v>0</v>
      </c>
      <c r="E20" s="150">
        <f>[3]Icelandair!$DT$8</f>
        <v>0</v>
      </c>
      <c r="F20" s="122">
        <f>[3]Southwest!$DT$8</f>
        <v>0</v>
      </c>
      <c r="G20" s="122">
        <f>'[3]Sun Country'!$DT$8</f>
        <v>46</v>
      </c>
      <c r="H20" s="122">
        <f>[3]Alaska!$DT$8</f>
        <v>0</v>
      </c>
      <c r="I20" s="151">
        <f>SUM(B20:H20)</f>
        <v>46</v>
      </c>
    </row>
    <row r="21" spans="1:256" x14ac:dyDescent="0.2">
      <c r="A21" s="65" t="s">
        <v>29</v>
      </c>
      <c r="B21" s="14">
        <f>[3]AirTran!$DT$9</f>
        <v>0</v>
      </c>
      <c r="C21" s="150">
        <f>[3]Frontier!$DT$9</f>
        <v>0</v>
      </c>
      <c r="D21" s="150">
        <f>'[3]Great Lakes'!$DT$9</f>
        <v>0</v>
      </c>
      <c r="E21" s="150">
        <f>[3]Icelandair!$DT$9</f>
        <v>0</v>
      </c>
      <c r="F21" s="122">
        <f>[3]Southwest!$DT$9</f>
        <v>0</v>
      </c>
      <c r="G21" s="122">
        <f>'[3]Sun Country'!$DT$9</f>
        <v>47</v>
      </c>
      <c r="H21" s="122">
        <f>[3]Alaska!$DT$9</f>
        <v>0</v>
      </c>
      <c r="I21" s="151">
        <f>SUM(B21:H21)</f>
        <v>47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93</v>
      </c>
      <c r="H22" s="152">
        <f t="shared" si="3"/>
        <v>0</v>
      </c>
      <c r="I22" s="153">
        <f>SUM(B22:H22)</f>
        <v>93</v>
      </c>
    </row>
    <row r="23" spans="1:256" ht="15.75" thickBot="1" x14ac:dyDescent="0.3">
      <c r="A23" s="66" t="s">
        <v>31</v>
      </c>
      <c r="B23" s="154">
        <f t="shared" ref="B23:H23" si="4">B22+B18</f>
        <v>162</v>
      </c>
      <c r="C23" s="154">
        <f t="shared" si="4"/>
        <v>328</v>
      </c>
      <c r="D23" s="154">
        <f t="shared" si="4"/>
        <v>220</v>
      </c>
      <c r="E23" s="154">
        <f t="shared" si="4"/>
        <v>0</v>
      </c>
      <c r="F23" s="154">
        <f t="shared" si="4"/>
        <v>1067</v>
      </c>
      <c r="G23" s="154">
        <f t="shared" si="4"/>
        <v>1214</v>
      </c>
      <c r="H23" s="154">
        <f t="shared" si="4"/>
        <v>58</v>
      </c>
      <c r="I23" s="155">
        <f>SUM(B23:H23)</f>
        <v>3049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[3]AirTran!$DT$47</f>
        <v>0</v>
      </c>
      <c r="C28" s="150">
        <f>[3]Frontier!$DT$47</f>
        <v>0</v>
      </c>
      <c r="D28" s="150">
        <f>'[3]Great Lakes'!$DT$47</f>
        <v>42</v>
      </c>
      <c r="E28" s="150">
        <f>[3]Icelandair!$DT$47</f>
        <v>0</v>
      </c>
      <c r="F28" s="122">
        <f>[3]Southwest!$DT$47</f>
        <v>219814</v>
      </c>
      <c r="G28" s="122">
        <f>'[3]Sun Country'!$DT$47</f>
        <v>91260</v>
      </c>
      <c r="H28" s="122">
        <f>[3]Alaska!$DT$47</f>
        <v>5443</v>
      </c>
      <c r="I28" s="151">
        <f>SUM(B28:H28)</f>
        <v>316559</v>
      </c>
    </row>
    <row r="29" spans="1:256" x14ac:dyDescent="0.2">
      <c r="A29" s="65" t="s">
        <v>41</v>
      </c>
      <c r="B29" s="14">
        <f>[3]AirTran!$DT$48</f>
        <v>0</v>
      </c>
      <c r="C29" s="150">
        <f>[3]Frontier!$DT$48</f>
        <v>0</v>
      </c>
      <c r="D29" s="150">
        <f>'[3]Great Lakes'!$DT$48</f>
        <v>0</v>
      </c>
      <c r="E29" s="150">
        <f>[3]Icelandair!$DT$48</f>
        <v>0</v>
      </c>
      <c r="F29" s="122">
        <f>[3]Southwest!$DT$48</f>
        <v>0</v>
      </c>
      <c r="G29" s="122">
        <f>'[3]Sun Country'!$DT$48</f>
        <v>185910</v>
      </c>
      <c r="H29" s="122">
        <f>[3]Alaska!$DT$48</f>
        <v>0</v>
      </c>
      <c r="I29" s="151">
        <f>SUM(B29:H29)</f>
        <v>185910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42</v>
      </c>
      <c r="E30" s="166">
        <f t="shared" si="5"/>
        <v>0</v>
      </c>
      <c r="F30" s="166">
        <f t="shared" si="5"/>
        <v>219814</v>
      </c>
      <c r="G30" s="166">
        <f t="shared" si="5"/>
        <v>277170</v>
      </c>
      <c r="H30" s="166">
        <f t="shared" si="5"/>
        <v>5443</v>
      </c>
      <c r="I30" s="169">
        <f>SUM(B30:H30)</f>
        <v>502469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[3]AirTran!$DT$52</f>
        <v>0</v>
      </c>
      <c r="C33" s="150">
        <f>[3]Frontier!$DT$52</f>
        <v>0</v>
      </c>
      <c r="D33" s="150">
        <f>'[3]Great Lakes'!$DT$52</f>
        <v>0</v>
      </c>
      <c r="E33" s="150">
        <f>[3]Icelandair!$DT$52</f>
        <v>0</v>
      </c>
      <c r="F33" s="122">
        <f>[3]Southwest!$DT$52</f>
        <v>169613</v>
      </c>
      <c r="G33" s="122">
        <f>'[3]Sun Country'!$DT$52</f>
        <v>72414</v>
      </c>
      <c r="H33" s="122">
        <f>[3]Alaska!$DT$52</f>
        <v>8170</v>
      </c>
      <c r="I33" s="151">
        <f>SUM(B33:H33)</f>
        <v>250197</v>
      </c>
    </row>
    <row r="34" spans="1:9" x14ac:dyDescent="0.2">
      <c r="A34" s="65" t="s">
        <v>41</v>
      </c>
      <c r="B34" s="14">
        <f>[3]AirTran!$DT$53</f>
        <v>0</v>
      </c>
      <c r="C34" s="150">
        <f>[3]Frontier!$DT$53</f>
        <v>0</v>
      </c>
      <c r="D34" s="150">
        <f>'[3]Great Lakes'!$DT$53</f>
        <v>0</v>
      </c>
      <c r="E34" s="150">
        <f>[3]Icelandair!$DT$53</f>
        <v>0</v>
      </c>
      <c r="F34" s="122">
        <f>[3]Southwest!$DT$53</f>
        <v>0</v>
      </c>
      <c r="G34" s="122">
        <f>'[3]Sun Country'!$DT$53</f>
        <v>487804</v>
      </c>
      <c r="H34" s="122">
        <f>[3]Alaska!$DT$53</f>
        <v>0</v>
      </c>
      <c r="I34" s="167">
        <f>SUM(B34:H34)</f>
        <v>487804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169613</v>
      </c>
      <c r="G35" s="168">
        <f t="shared" si="6"/>
        <v>560218</v>
      </c>
      <c r="H35" s="168">
        <f t="shared" si="6"/>
        <v>8170</v>
      </c>
      <c r="I35" s="169">
        <f>SUM(B35:H35)</f>
        <v>738001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[3]AirTran!$DT$57</f>
        <v>0</v>
      </c>
      <c r="C38" s="158">
        <f>[3]Frontier!$DT$57</f>
        <v>0</v>
      </c>
      <c r="D38" s="158">
        <f>'[3]Great Lakes'!$DT$57</f>
        <v>0</v>
      </c>
      <c r="E38" s="158">
        <f>[3]Icelandair!$DT$57</f>
        <v>0</v>
      </c>
      <c r="F38" s="158">
        <f>[3]Southwest!$DT$57</f>
        <v>0</v>
      </c>
      <c r="G38" s="158">
        <f>'[3]Sun Country'!$DT$57</f>
        <v>0</v>
      </c>
      <c r="H38" s="158">
        <f>[3]Alaska!$DT$57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[3]AirTran!$DT$58</f>
        <v>0</v>
      </c>
      <c r="C39" s="161">
        <f>[3]Frontier!$DT$58</f>
        <v>0</v>
      </c>
      <c r="D39" s="161">
        <f>'[3]Great Lakes'!$DT$58</f>
        <v>0</v>
      </c>
      <c r="E39" s="161">
        <f>[3]Icelandair!$DT$58</f>
        <v>0</v>
      </c>
      <c r="F39" s="161">
        <f>[3]Southwest!$DT$58</f>
        <v>0</v>
      </c>
      <c r="G39" s="161">
        <f>'[3]Sun Country'!$DT$58</f>
        <v>0</v>
      </c>
      <c r="H39" s="161">
        <f>[3]Alaska!$DT$58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42</v>
      </c>
      <c r="E43" s="158">
        <f t="shared" si="8"/>
        <v>0</v>
      </c>
      <c r="F43" s="158">
        <f t="shared" si="8"/>
        <v>389427</v>
      </c>
      <c r="G43" s="158">
        <f t="shared" si="8"/>
        <v>163674</v>
      </c>
      <c r="H43" s="158">
        <f t="shared" si="8"/>
        <v>13613</v>
      </c>
      <c r="I43" s="151">
        <f>SUM(B43:H43)</f>
        <v>566756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673714</v>
      </c>
      <c r="H44" s="161">
        <f t="shared" si="9"/>
        <v>0</v>
      </c>
      <c r="I44" s="151">
        <f>SUM(B44:H44)</f>
        <v>673714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42</v>
      </c>
      <c r="E45" s="171">
        <f t="shared" si="10"/>
        <v>0</v>
      </c>
      <c r="F45" s="171">
        <f t="shared" si="10"/>
        <v>389427</v>
      </c>
      <c r="G45" s="171">
        <f t="shared" si="10"/>
        <v>837388</v>
      </c>
      <c r="H45" s="171">
        <f t="shared" si="10"/>
        <v>13613</v>
      </c>
      <c r="I45" s="172">
        <f>SUM(B45:H45)</f>
        <v>1240470</v>
      </c>
    </row>
    <row r="48" spans="1:9" x14ac:dyDescent="0.2">
      <c r="A48" s="394" t="s">
        <v>135</v>
      </c>
      <c r="B48" s="408"/>
      <c r="C48" s="408"/>
      <c r="D48" s="408"/>
      <c r="F48" s="328">
        <f>[3]Southwest!$DT$70+[3]Southwest!$DT$73</f>
        <v>56867</v>
      </c>
      <c r="G48" s="328">
        <f>'[3]Sun Country'!$DT$70+'[3]Sun Country'!$DT$73</f>
        <v>50294</v>
      </c>
      <c r="H48" s="408"/>
      <c r="I48" s="316">
        <f>SUM(B48:H48)</f>
        <v>107161</v>
      </c>
    </row>
    <row r="49" spans="1:9" x14ac:dyDescent="0.2">
      <c r="A49" s="410" t="s">
        <v>136</v>
      </c>
      <c r="B49" s="408"/>
      <c r="C49" s="408"/>
      <c r="D49" s="408"/>
      <c r="F49" s="328">
        <f>[3]Southwest!$DT$71+[3]Southwest!$DT$74</f>
        <v>509</v>
      </c>
      <c r="G49" s="328">
        <f>'[3]Sun Country'!$DT$71+'[3]Sun Country'!$DT$74</f>
        <v>4264</v>
      </c>
      <c r="H49" s="408"/>
      <c r="I49" s="316">
        <f>SUM(B49:H49)</f>
        <v>4773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November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6" zoomScaleNormal="100" workbookViewId="0">
      <selection activeCell="K48" sqref="K4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41944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[3]Pinnacle!$DT$22+[3]Pinnacle!$DT$32</f>
        <v>171492</v>
      </c>
      <c r="C5" s="136">
        <f>[3]Chautaqua_AA!$DT$22</f>
        <v>0</v>
      </c>
      <c r="D5" s="136">
        <f>[3]Chautaqua_Continental!$DT$22</f>
        <v>0</v>
      </c>
      <c r="E5" s="134">
        <f>[3]MESA_UA!$DT$22+[3]MESA_UA!$DT$32</f>
        <v>3472</v>
      </c>
      <c r="F5" s="134">
        <f>'[3]Sky West'!$DT$22+'[3]Sky West'!$DT$32</f>
        <v>48074</v>
      </c>
      <c r="G5" s="134">
        <f>'[3]Sky West_UA'!$DT$22</f>
        <v>17929</v>
      </c>
      <c r="H5" s="134">
        <f>[3]Comair!$DT$22+[3]Comair!$DT$32</f>
        <v>0</v>
      </c>
      <c r="I5" s="134">
        <f>[3]Republic!$DT$22</f>
        <v>875</v>
      </c>
      <c r="J5" s="134">
        <f>'[3]American Eagle'!$DT$22</f>
        <v>5591</v>
      </c>
      <c r="K5" s="134">
        <f>'Other Regional'!L5</f>
        <v>103372</v>
      </c>
      <c r="L5" s="113">
        <f>SUM(B5:K5)</f>
        <v>350805</v>
      </c>
    </row>
    <row r="6" spans="1:12" s="10" customFormat="1" x14ac:dyDescent="0.2">
      <c r="A6" s="65" t="s">
        <v>34</v>
      </c>
      <c r="B6" s="135">
        <f>[3]Pinnacle!$DT$23+[3]Pinnacle!$DT$33</f>
        <v>167948</v>
      </c>
      <c r="C6" s="136">
        <f>[3]Chautaqua_AA!$DT$23</f>
        <v>0</v>
      </c>
      <c r="D6" s="136">
        <f>[3]Chautaqua_Continental!$DT$23</f>
        <v>0</v>
      </c>
      <c r="E6" s="134">
        <f>[3]MESA_UA!$DT$23+[3]MESA_UA!$DT$33</f>
        <v>3314</v>
      </c>
      <c r="F6" s="134">
        <f>'[3]Sky West'!$DT$23+'[3]Sky West'!$DT$33</f>
        <v>47857</v>
      </c>
      <c r="G6" s="134">
        <f>'[3]Sky West_UA'!$DT$23</f>
        <v>18146</v>
      </c>
      <c r="H6" s="134">
        <f>[3]Comair!$DT$23+[3]Comair!$DT$33</f>
        <v>0</v>
      </c>
      <c r="I6" s="134">
        <f>[3]Republic!$DT$23</f>
        <v>910</v>
      </c>
      <c r="J6" s="134">
        <f>'[3]American Eagle'!$DT$23</f>
        <v>5137</v>
      </c>
      <c r="K6" s="134">
        <f>'Other Regional'!L6</f>
        <v>103827</v>
      </c>
      <c r="L6" s="119">
        <f>SUM(B6:K6)</f>
        <v>347139</v>
      </c>
    </row>
    <row r="7" spans="1:12" ht="15" thickBot="1" x14ac:dyDescent="0.25">
      <c r="A7" s="76" t="s">
        <v>7</v>
      </c>
      <c r="B7" s="137">
        <f>SUM(B5:B6)</f>
        <v>339440</v>
      </c>
      <c r="C7" s="137">
        <f t="shared" ref="C7:K7" si="0">SUM(C5:C6)</f>
        <v>0</v>
      </c>
      <c r="D7" s="137">
        <f t="shared" si="0"/>
        <v>0</v>
      </c>
      <c r="E7" s="137">
        <f t="shared" si="0"/>
        <v>6786</v>
      </c>
      <c r="F7" s="137">
        <f t="shared" si="0"/>
        <v>95931</v>
      </c>
      <c r="G7" s="137">
        <f t="shared" si="0"/>
        <v>36075</v>
      </c>
      <c r="H7" s="137">
        <f t="shared" si="0"/>
        <v>0</v>
      </c>
      <c r="I7" s="137">
        <f t="shared" si="0"/>
        <v>1785</v>
      </c>
      <c r="J7" s="137">
        <f t="shared" si="0"/>
        <v>10728</v>
      </c>
      <c r="K7" s="137">
        <f t="shared" si="0"/>
        <v>207199</v>
      </c>
      <c r="L7" s="138">
        <f>SUM(B7:K7)</f>
        <v>697944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[3]Pinnacle!$DT$27+[3]Pinnacle!$DT$37</f>
        <v>5782</v>
      </c>
      <c r="C10" s="136">
        <f>[3]Chautaqua_AA!$DT$27</f>
        <v>0</v>
      </c>
      <c r="D10" s="136">
        <f>[3]Chautaqua_Continental!$DT$27</f>
        <v>0</v>
      </c>
      <c r="E10" s="134">
        <f>[3]MESA_UA!$DT$27+[3]MESA_UA!$DT$37</f>
        <v>154</v>
      </c>
      <c r="F10" s="134">
        <f>'[3]Sky West'!$DT$27+'[3]Sky West'!$DT$37</f>
        <v>2037</v>
      </c>
      <c r="G10" s="134">
        <f>'[3]Sky West_UA'!$DT$27</f>
        <v>532</v>
      </c>
      <c r="H10" s="134">
        <f>[3]Comair!$DT$27+[3]Comair!$DT$37</f>
        <v>0</v>
      </c>
      <c r="I10" s="134">
        <f>[3]Republic!$DT$27</f>
        <v>0</v>
      </c>
      <c r="J10" s="134">
        <f>'[3]American Eagle'!$DT$27</f>
        <v>8</v>
      </c>
      <c r="K10" s="134">
        <f>'Other Regional'!L10</f>
        <v>3012</v>
      </c>
      <c r="L10" s="113">
        <f>SUM(B10:K10)</f>
        <v>11525</v>
      </c>
    </row>
    <row r="11" spans="1:12" x14ac:dyDescent="0.2">
      <c r="A11" s="65" t="s">
        <v>36</v>
      </c>
      <c r="B11" s="135">
        <f>[3]Pinnacle!$DT$28+[3]Pinnacle!$DT$38</f>
        <v>5880</v>
      </c>
      <c r="C11" s="136">
        <f>[3]Chautaqua_AA!$DT$28</f>
        <v>0</v>
      </c>
      <c r="D11" s="136">
        <f>[3]Chautaqua_Continental!$DT$28</f>
        <v>0</v>
      </c>
      <c r="E11" s="134">
        <f>[3]MESA_UA!$DT$28+[3]MESA_UA!$DT$38</f>
        <v>162</v>
      </c>
      <c r="F11" s="134">
        <f>'[3]Sky West'!$DT$28+'[3]Sky West'!$DT$38</f>
        <v>2053</v>
      </c>
      <c r="G11" s="134">
        <f>'[3]Sky West_UA'!$DT$28</f>
        <v>637</v>
      </c>
      <c r="H11" s="134">
        <f>[3]Comair!$DT$28+[3]Comair!$DT$38</f>
        <v>0</v>
      </c>
      <c r="I11" s="134">
        <f>[3]Republic!$DT$28</f>
        <v>0</v>
      </c>
      <c r="J11" s="134">
        <f>'[3]American Eagle'!$DT$28</f>
        <v>9</v>
      </c>
      <c r="K11" s="134">
        <f>'Other Regional'!L11</f>
        <v>2801</v>
      </c>
      <c r="L11" s="119">
        <f>SUM(B11:K11)</f>
        <v>11542</v>
      </c>
    </row>
    <row r="12" spans="1:12" ht="15" thickBot="1" x14ac:dyDescent="0.25">
      <c r="A12" s="77" t="s">
        <v>37</v>
      </c>
      <c r="B12" s="140">
        <f>SUM(B10:B11)</f>
        <v>11662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316</v>
      </c>
      <c r="F12" s="140">
        <f t="shared" si="1"/>
        <v>4090</v>
      </c>
      <c r="G12" s="140">
        <f t="shared" si="1"/>
        <v>1169</v>
      </c>
      <c r="H12" s="140">
        <f t="shared" si="1"/>
        <v>0</v>
      </c>
      <c r="I12" s="140">
        <f t="shared" si="1"/>
        <v>0</v>
      </c>
      <c r="J12" s="140">
        <f t="shared" si="1"/>
        <v>17</v>
      </c>
      <c r="K12" s="140">
        <f>SUM(K10:K11)</f>
        <v>5813</v>
      </c>
      <c r="L12" s="141">
        <f>SUM(B12:K12)</f>
        <v>23067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[3]Pinnacle!$DT$4+[3]Pinnacle!$DT$15</f>
        <v>3422</v>
      </c>
      <c r="C15" s="111">
        <f>[3]Chautaqua_AA!$DT$4</f>
        <v>0</v>
      </c>
      <c r="D15" s="111">
        <f>[3]Chautaqua_Continental!$DT$4</f>
        <v>0</v>
      </c>
      <c r="E15" s="109">
        <f>[3]MESA_UA!$DT$4+[3]MESA_UA!$DT$15</f>
        <v>65</v>
      </c>
      <c r="F15" s="109">
        <f>'[3]Sky West'!$DT$4+'[3]Sky West'!$DT$15</f>
        <v>1256</v>
      </c>
      <c r="G15" s="109">
        <f>'[3]Sky West_UA'!$DT$4</f>
        <v>296</v>
      </c>
      <c r="H15" s="109">
        <f>[3]Comair!$DT$4+[3]Comair!$DT$15</f>
        <v>0</v>
      </c>
      <c r="I15" s="112">
        <f>[3]Republic!$DT$4</f>
        <v>17</v>
      </c>
      <c r="J15" s="112">
        <f>'[3]American Eagle'!$DT$4</f>
        <v>82</v>
      </c>
      <c r="K15" s="110">
        <f>'Other Regional'!L15</f>
        <v>1917</v>
      </c>
      <c r="L15" s="113">
        <f t="shared" si="2"/>
        <v>7055</v>
      </c>
    </row>
    <row r="16" spans="1:12" x14ac:dyDescent="0.2">
      <c r="A16" s="65" t="s">
        <v>59</v>
      </c>
      <c r="B16" s="14">
        <f>[3]Pinnacle!$DT$5+[3]Pinnacle!$DT$16</f>
        <v>3420</v>
      </c>
      <c r="C16" s="116">
        <f>[3]Chautaqua_AA!$DT$5</f>
        <v>0</v>
      </c>
      <c r="D16" s="116">
        <f>[3]Chautaqua_Continental!$DT$5</f>
        <v>0</v>
      </c>
      <c r="E16" s="114">
        <f>[3]MESA_UA!$DT$5+[3]MESA_UA!$DT$16</f>
        <v>65</v>
      </c>
      <c r="F16" s="114">
        <f>'[3]Sky West'!$DT$5+'[3]Sky West'!$DT$16</f>
        <v>1250</v>
      </c>
      <c r="G16" s="114">
        <f>'[3]Sky West_UA'!$DT$5</f>
        <v>296</v>
      </c>
      <c r="H16" s="114">
        <f>[3]Comair!$DT$5+[3]Comair!$DT$16</f>
        <v>0</v>
      </c>
      <c r="I16" s="117">
        <f>[3]Republic!$DT$5</f>
        <v>17</v>
      </c>
      <c r="J16" s="117">
        <f>'[3]American Eagle'!$DT$5</f>
        <v>82</v>
      </c>
      <c r="K16" s="115">
        <f>'Other Regional'!L16</f>
        <v>1917</v>
      </c>
      <c r="L16" s="119">
        <f t="shared" si="2"/>
        <v>7047</v>
      </c>
    </row>
    <row r="17" spans="1:12" x14ac:dyDescent="0.2">
      <c r="A17" s="74" t="s">
        <v>60</v>
      </c>
      <c r="B17" s="120">
        <f t="shared" ref="B17:J17" si="3">SUM(B15:B16)</f>
        <v>6842</v>
      </c>
      <c r="C17" s="120">
        <f t="shared" si="3"/>
        <v>0</v>
      </c>
      <c r="D17" s="120">
        <f t="shared" si="3"/>
        <v>0</v>
      </c>
      <c r="E17" s="120">
        <f t="shared" si="3"/>
        <v>130</v>
      </c>
      <c r="F17" s="120">
        <f t="shared" si="3"/>
        <v>2506</v>
      </c>
      <c r="G17" s="120">
        <f t="shared" si="3"/>
        <v>592</v>
      </c>
      <c r="H17" s="120">
        <f t="shared" si="3"/>
        <v>0</v>
      </c>
      <c r="I17" s="120">
        <f t="shared" si="3"/>
        <v>34</v>
      </c>
      <c r="J17" s="120">
        <f t="shared" si="3"/>
        <v>164</v>
      </c>
      <c r="K17" s="120">
        <f>SUM(K15:K16)</f>
        <v>3834</v>
      </c>
      <c r="L17" s="121">
        <f t="shared" si="2"/>
        <v>14102</v>
      </c>
    </row>
    <row r="18" spans="1:12" x14ac:dyDescent="0.2">
      <c r="A18" s="65" t="s">
        <v>61</v>
      </c>
      <c r="B18" s="122">
        <f>[3]Pinnacle!$DT$8</f>
        <v>0</v>
      </c>
      <c r="C18" s="123">
        <f>[3]Chautaqua_AA!$DT$8</f>
        <v>0</v>
      </c>
      <c r="D18" s="123">
        <f>[3]Chautaqua_Continental!$DT$8</f>
        <v>0</v>
      </c>
      <c r="E18" s="122">
        <f>[3]MESA_UA!$DT$8</f>
        <v>0</v>
      </c>
      <c r="F18" s="122">
        <f>'[3]Sky West'!$DT$8</f>
        <v>0</v>
      </c>
      <c r="G18" s="122">
        <f>'[3]Sky West_UA'!$DT$8</f>
        <v>0</v>
      </c>
      <c r="H18" s="122">
        <f>[3]Comair!$DT$8</f>
        <v>0</v>
      </c>
      <c r="I18" s="122">
        <f>[3]Republic!$DT$8</f>
        <v>0</v>
      </c>
      <c r="J18" s="122">
        <f>'[3]American Eagle'!$DT$8</f>
        <v>0</v>
      </c>
      <c r="K18" s="122">
        <f>'Other Regional'!L18</f>
        <v>2</v>
      </c>
      <c r="L18" s="113">
        <f t="shared" si="2"/>
        <v>2</v>
      </c>
    </row>
    <row r="19" spans="1:12" x14ac:dyDescent="0.2">
      <c r="A19" s="65" t="s">
        <v>62</v>
      </c>
      <c r="B19" s="124">
        <f>[3]Pinnacle!$DT$9</f>
        <v>6</v>
      </c>
      <c r="C19" s="125">
        <f>[3]Chautaqua_AA!$DT$9</f>
        <v>0</v>
      </c>
      <c r="D19" s="125">
        <f>[3]Chautaqua_Continental!$DT$9</f>
        <v>0</v>
      </c>
      <c r="E19" s="124">
        <f>[3]MESA_UA!$DT$9</f>
        <v>0</v>
      </c>
      <c r="F19" s="124">
        <f>'[3]Sky West'!$DT$9</f>
        <v>6</v>
      </c>
      <c r="G19" s="124">
        <f>'[3]Sky West_UA'!$DT$9</f>
        <v>0</v>
      </c>
      <c r="H19" s="124">
        <f>[3]Comair!$DT$9</f>
        <v>0</v>
      </c>
      <c r="I19" s="124">
        <f>[3]Republic!$DT$9</f>
        <v>0</v>
      </c>
      <c r="J19" s="124">
        <f>'[3]American Eagle'!$DT$9</f>
        <v>0</v>
      </c>
      <c r="K19" s="124">
        <f>'Other Regional'!L19</f>
        <v>2</v>
      </c>
      <c r="L19" s="119">
        <f t="shared" si="2"/>
        <v>14</v>
      </c>
    </row>
    <row r="20" spans="1:12" x14ac:dyDescent="0.2">
      <c r="A20" s="74" t="s">
        <v>63</v>
      </c>
      <c r="B20" s="120">
        <f t="shared" ref="B20:K20" si="4">SUM(B18:B19)</f>
        <v>6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6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4</v>
      </c>
      <c r="L20" s="121">
        <f t="shared" si="2"/>
        <v>16</v>
      </c>
    </row>
    <row r="21" spans="1:12" ht="15.75" thickBot="1" x14ac:dyDescent="0.3">
      <c r="A21" s="75" t="s">
        <v>31</v>
      </c>
      <c r="B21" s="126">
        <f t="shared" ref="B21:J21" si="5">SUM(B20,B17)</f>
        <v>6848</v>
      </c>
      <c r="C21" s="126">
        <f t="shared" si="5"/>
        <v>0</v>
      </c>
      <c r="D21" s="126">
        <f t="shared" si="5"/>
        <v>0</v>
      </c>
      <c r="E21" s="126">
        <f t="shared" si="5"/>
        <v>130</v>
      </c>
      <c r="F21" s="126">
        <f t="shared" si="5"/>
        <v>2512</v>
      </c>
      <c r="G21" s="126">
        <f t="shared" si="5"/>
        <v>592</v>
      </c>
      <c r="H21" s="126">
        <f t="shared" si="5"/>
        <v>0</v>
      </c>
      <c r="I21" s="126">
        <f t="shared" si="5"/>
        <v>34</v>
      </c>
      <c r="J21" s="126">
        <f t="shared" si="5"/>
        <v>164</v>
      </c>
      <c r="K21" s="126">
        <f>SUM(K20,K17)</f>
        <v>3838</v>
      </c>
      <c r="L21" s="127">
        <f t="shared" si="2"/>
        <v>14118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[3]Pinnacle!$DT$47</f>
        <v>0</v>
      </c>
      <c r="C25" s="136">
        <f>[3]Chautaqua_AA!$DT$47</f>
        <v>0</v>
      </c>
      <c r="D25" s="136">
        <f>[3]Chautaqua_Continental!$DT$47</f>
        <v>0</v>
      </c>
      <c r="E25" s="134">
        <f>[3]MESA_UA!$DT$47</f>
        <v>0</v>
      </c>
      <c r="F25" s="134">
        <f>'[3]Sky West'!$DT$47</f>
        <v>0</v>
      </c>
      <c r="G25" s="134">
        <f>'[3]Sky West_UA'!$DT$47</f>
        <v>0</v>
      </c>
      <c r="H25" s="134">
        <f>[3]Comair!$DT$47</f>
        <v>0</v>
      </c>
      <c r="I25" s="134">
        <f>[3]Republic!$DT$47</f>
        <v>0</v>
      </c>
      <c r="J25" s="134">
        <f>'[3]American Eagle'!$DT$47</f>
        <v>0</v>
      </c>
      <c r="K25" s="134">
        <f>'Other Regional'!L25</f>
        <v>0</v>
      </c>
      <c r="L25" s="113">
        <f>SUM(B25:K25)</f>
        <v>0</v>
      </c>
    </row>
    <row r="26" spans="1:12" x14ac:dyDescent="0.2">
      <c r="A26" s="78" t="s">
        <v>41</v>
      </c>
      <c r="B26" s="134">
        <f>[3]Pinnacle!$DT$48</f>
        <v>0</v>
      </c>
      <c r="C26" s="136">
        <f>[3]Chautaqua_AA!$DT$48</f>
        <v>0</v>
      </c>
      <c r="D26" s="136">
        <f>[3]Chautaqua_Continental!$DT$48</f>
        <v>0</v>
      </c>
      <c r="E26" s="134">
        <f>[3]MESA_UA!$DT$48</f>
        <v>0</v>
      </c>
      <c r="F26" s="134">
        <f>'[3]Sky West'!$DT$48</f>
        <v>0</v>
      </c>
      <c r="G26" s="134">
        <f>'[3]Sky West_UA'!$DT$48</f>
        <v>0</v>
      </c>
      <c r="H26" s="134">
        <f>[3]Comair!$DT$48</f>
        <v>0</v>
      </c>
      <c r="I26" s="134">
        <f>[3]Republic!$DT$48</f>
        <v>0</v>
      </c>
      <c r="J26" s="134">
        <f>'[3]American Eagle'!$DT$48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[3]Pinnacle!$DT$52</f>
        <v>0</v>
      </c>
      <c r="C30" s="136">
        <f>[3]Chautaqua_AA!$DT$52</f>
        <v>0</v>
      </c>
      <c r="D30" s="136">
        <f>[3]Chautaqua_Continental!$DT$52</f>
        <v>0</v>
      </c>
      <c r="E30" s="134">
        <f>[3]MESA_UA!$DT$52</f>
        <v>0</v>
      </c>
      <c r="F30" s="134">
        <f>'[3]Sky West'!$DT$52</f>
        <v>0</v>
      </c>
      <c r="G30" s="134">
        <f>'[3]Sky West_UA'!$DT$52</f>
        <v>0</v>
      </c>
      <c r="H30" s="134">
        <f>[3]Comair!$DT$52</f>
        <v>0</v>
      </c>
      <c r="I30" s="134">
        <f>[3]Republic!$DT$52</f>
        <v>0</v>
      </c>
      <c r="J30" s="134">
        <f>'[3]American Eagle'!$DT$52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[3]Pinnacle!$DT$53</f>
        <v>0</v>
      </c>
      <c r="C31" s="136">
        <f>[3]Chautaqua_AA!$DT$53</f>
        <v>0</v>
      </c>
      <c r="D31" s="136">
        <f>[3]Chautaqua_Continental!$DT$53</f>
        <v>0</v>
      </c>
      <c r="E31" s="134">
        <f>[3]MESA_UA!$DT$53</f>
        <v>0</v>
      </c>
      <c r="F31" s="134">
        <f>'[3]Sky West'!$DT$53</f>
        <v>0</v>
      </c>
      <c r="G31" s="134">
        <f>'[3]Sky West_UA'!$DT$53</f>
        <v>0</v>
      </c>
      <c r="H31" s="134">
        <f>[3]Comair!$DT$53</f>
        <v>0</v>
      </c>
      <c r="I31" s="134">
        <f>[3]Republic!$DT$53</f>
        <v>0</v>
      </c>
      <c r="J31" s="134">
        <f>'[3]American Eagle'!$DT$53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[3]Pinnacle!$DT$57</f>
        <v>0</v>
      </c>
      <c r="C35" s="136">
        <f>[3]Chautaqua_AA!$DT$57</f>
        <v>0</v>
      </c>
      <c r="D35" s="136">
        <f>[3]Chautaqua_Continental!$DT$57</f>
        <v>0</v>
      </c>
      <c r="E35" s="134">
        <f>[3]MESA_UA!$DT$57</f>
        <v>0</v>
      </c>
      <c r="F35" s="134">
        <f>'[3]Sky West'!$DT$57</f>
        <v>0</v>
      </c>
      <c r="G35" s="134">
        <f>'[3]Sky West_UA'!$DT$57</f>
        <v>0</v>
      </c>
      <c r="H35" s="134">
        <f>[3]Comair!$DT$57</f>
        <v>0</v>
      </c>
      <c r="I35" s="134">
        <f>[3]Republic!$DT$57</f>
        <v>0</v>
      </c>
      <c r="J35" s="134">
        <f>'[3]American Eagle'!$DT$57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[3]Pinnacle!$DT$58</f>
        <v>0</v>
      </c>
      <c r="C36" s="136">
        <f>[3]Chautaqua_AA!$DT$58</f>
        <v>0</v>
      </c>
      <c r="D36" s="136">
        <f>[3]Chautaqua_Continental!$DT$58</f>
        <v>0</v>
      </c>
      <c r="E36" s="134">
        <f>[3]MESA_UA!$DT$58</f>
        <v>0</v>
      </c>
      <c r="F36" s="134">
        <f>'[3]Sky West'!$DT$58</f>
        <v>0</v>
      </c>
      <c r="G36" s="134">
        <f>'[3]Sky West_UA'!$DT$58</f>
        <v>0</v>
      </c>
      <c r="H36" s="134">
        <f>[3]Comair!$DT$58</f>
        <v>0</v>
      </c>
      <c r="I36" s="134">
        <f>[3]Republic!$DT$58</f>
        <v>0</v>
      </c>
      <c r="J36" s="134">
        <f>'[3]American Eagle'!$DT$58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0</v>
      </c>
      <c r="K40" s="134">
        <f>K35+K30+K25</f>
        <v>0</v>
      </c>
      <c r="L40" s="113">
        <f>SUM(B40:K40)</f>
        <v>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0</v>
      </c>
      <c r="K42" s="140">
        <f>SUM(K37,K32,K27)</f>
        <v>0</v>
      </c>
      <c r="L42" s="141">
        <f>SUM(B42:K42)</f>
        <v>0</v>
      </c>
    </row>
    <row r="44" spans="1:12" x14ac:dyDescent="0.2">
      <c r="A44" s="394" t="s">
        <v>135</v>
      </c>
      <c r="B44" s="327">
        <f>[3]Pinnacle!$DT$70+[3]Pinnacle!$DT$73</f>
        <v>44042</v>
      </c>
      <c r="F44" s="328">
        <f>'[3]Sky West'!$DT$70+'[3]Sky West'!$DT$73</f>
        <v>11442</v>
      </c>
      <c r="H44" s="328">
        <f>[3]Comair!$DT$70+[3]Comair!$DT$73</f>
        <v>0</v>
      </c>
      <c r="K44" s="5">
        <f>+'Other Regional'!L46</f>
        <v>26639</v>
      </c>
      <c r="L44" s="316">
        <f>SUM(B44:K44)</f>
        <v>82123</v>
      </c>
    </row>
    <row r="45" spans="1:12" x14ac:dyDescent="0.2">
      <c r="A45" s="410" t="s">
        <v>136</v>
      </c>
      <c r="B45" s="327">
        <f>[3]Pinnacle!$DT$71+[3]Pinnacle!$DT$74</f>
        <v>123906</v>
      </c>
      <c r="F45" s="328">
        <f>'[3]Sky West'!$DT$71+'[3]Sky West'!$DT$74</f>
        <v>36415</v>
      </c>
      <c r="H45" s="328">
        <f>[3]Comair!$DT$71+[3]Comair!$DT$74</f>
        <v>0</v>
      </c>
      <c r="K45" s="5">
        <f>+'Other Regional'!L47</f>
        <v>55499</v>
      </c>
      <c r="L45" s="316">
        <f>SUM(B45:K45)</f>
        <v>215820</v>
      </c>
    </row>
    <row r="46" spans="1:12" x14ac:dyDescent="0.2">
      <c r="A46" s="318" t="s">
        <v>137</v>
      </c>
      <c r="B46" s="319">
        <f>SUM(B44:B45)</f>
        <v>167948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November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zoomScaleNormal="100" zoomScaleSheetLayoutView="100" workbookViewId="0">
      <selection activeCell="B5" sqref="B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9.285156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41944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America'!$DT$22</f>
        <v>6214</v>
      </c>
      <c r="C5" s="135">
        <f>'[3]Shuttle America_Delta'!$DT$22</f>
        <v>5394</v>
      </c>
      <c r="D5" s="135">
        <f>[3]AirCanada!$DT$32</f>
        <v>3149</v>
      </c>
      <c r="E5" s="22">
        <f>[3]Compass!$DT$22+[3]Compass!$DT$32</f>
        <v>53230</v>
      </c>
      <c r="F5" s="135">
        <f>'[3]Atlantic Southeast'!$DT$22+'[3]Atlantic Southeast'!$DT$32</f>
        <v>22514</v>
      </c>
      <c r="G5" s="135">
        <f>'[3]Continental Express'!$DT$22</f>
        <v>7191</v>
      </c>
      <c r="H5" s="134">
        <f>'[3]Go Jet_UA'!$DT$22</f>
        <v>5617</v>
      </c>
      <c r="I5" s="134">
        <f>'[3]Go Jet'!$DT$22</f>
        <v>0</v>
      </c>
      <c r="J5" s="136">
        <f>'[3]Air Wisconsin'!$DT$22</f>
        <v>0</v>
      </c>
      <c r="K5" s="134">
        <f>[3]MESA!$DT$22</f>
        <v>63</v>
      </c>
      <c r="L5" s="113">
        <f>SUM(B5:K5)</f>
        <v>103372</v>
      </c>
    </row>
    <row r="6" spans="1:12" s="10" customFormat="1" x14ac:dyDescent="0.2">
      <c r="A6" s="65" t="s">
        <v>34</v>
      </c>
      <c r="B6" s="135">
        <f>'[3]Shuttle America'!$DT$23</f>
        <v>6177</v>
      </c>
      <c r="C6" s="135">
        <f>'[3]Shuttle America_Delta'!$DT$23</f>
        <v>5184</v>
      </c>
      <c r="D6" s="135">
        <f>[3]AirCanada!$DT$33</f>
        <v>2727</v>
      </c>
      <c r="E6" s="14">
        <f>[3]Compass!$DT$23+[3]Compass!$DT$33</f>
        <v>54632</v>
      </c>
      <c r="F6" s="135">
        <f>'[3]Atlantic Southeast'!$DT$23+'[3]Atlantic Southeast'!$DT$33</f>
        <v>22322</v>
      </c>
      <c r="G6" s="135">
        <f>'[3]Continental Express'!$DT$23</f>
        <v>6972</v>
      </c>
      <c r="H6" s="134">
        <f>'[3]Go Jet_UA'!$DT$23</f>
        <v>5808</v>
      </c>
      <c r="I6" s="134">
        <f>'[3]Go Jet'!$DT$23</f>
        <v>0</v>
      </c>
      <c r="J6" s="136">
        <f>'[3]Air Wisconsin'!$DT$23</f>
        <v>0</v>
      </c>
      <c r="K6" s="134">
        <f>[3]MESA!$DT$23</f>
        <v>5</v>
      </c>
      <c r="L6" s="119">
        <f>SUM(B6:K6)</f>
        <v>103827</v>
      </c>
    </row>
    <row r="7" spans="1:12" ht="15" thickBot="1" x14ac:dyDescent="0.25">
      <c r="A7" s="76" t="s">
        <v>7</v>
      </c>
      <c r="B7" s="137">
        <f t="shared" ref="B7:K7" si="0">SUM(B5:B6)</f>
        <v>12391</v>
      </c>
      <c r="C7" s="137">
        <f t="shared" si="0"/>
        <v>10578</v>
      </c>
      <c r="D7" s="137">
        <f t="shared" si="0"/>
        <v>5876</v>
      </c>
      <c r="E7" s="137">
        <f>SUM(E5:E6)</f>
        <v>107862</v>
      </c>
      <c r="F7" s="137">
        <f t="shared" si="0"/>
        <v>44836</v>
      </c>
      <c r="G7" s="137">
        <f t="shared" si="0"/>
        <v>14163</v>
      </c>
      <c r="H7" s="137">
        <f t="shared" si="0"/>
        <v>11425</v>
      </c>
      <c r="I7" s="137">
        <f t="shared" si="0"/>
        <v>0</v>
      </c>
      <c r="J7" s="137">
        <f t="shared" si="0"/>
        <v>0</v>
      </c>
      <c r="K7" s="137">
        <f t="shared" si="0"/>
        <v>68</v>
      </c>
      <c r="L7" s="138">
        <f>SUM(L5:L6)</f>
        <v>207199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America'!$DT$27</f>
        <v>0</v>
      </c>
      <c r="C10" s="135">
        <f>'[3]Shuttle America_Delta'!$DT$27</f>
        <v>202</v>
      </c>
      <c r="D10" s="135">
        <f>[3]AirCanada!$DT$37</f>
        <v>50</v>
      </c>
      <c r="E10" s="22">
        <f>[3]Compass!$DT$27+[3]Compass!$DT$37</f>
        <v>1662</v>
      </c>
      <c r="F10" s="22">
        <f>'[3]Atlantic Southeast'!$DT$27+'[3]Atlantic Southeast'!$DT$37</f>
        <v>546</v>
      </c>
      <c r="G10" s="135">
        <f>'[3]Continental Express'!$DT$27</f>
        <v>346</v>
      </c>
      <c r="H10" s="134">
        <f>'[3]Go Jet_UA'!$DT$27</f>
        <v>205</v>
      </c>
      <c r="I10" s="134">
        <f>'[3]Go Jet'!$DT$27</f>
        <v>0</v>
      </c>
      <c r="J10" s="136">
        <f>'[3]Air Wisconsin'!$DT$27</f>
        <v>0</v>
      </c>
      <c r="K10" s="134">
        <f>[3]MESA!$DT$27</f>
        <v>1</v>
      </c>
      <c r="L10" s="113">
        <f>SUM(B10:K10)</f>
        <v>3012</v>
      </c>
    </row>
    <row r="11" spans="1:12" x14ac:dyDescent="0.2">
      <c r="A11" s="65" t="s">
        <v>36</v>
      </c>
      <c r="B11" s="135">
        <f>'[3]Shuttle America'!$DT$28</f>
        <v>0</v>
      </c>
      <c r="C11" s="135">
        <f>'[3]Shuttle America_Delta'!$DT$28</f>
        <v>221</v>
      </c>
      <c r="D11" s="135">
        <f>[3]AirCanada!$DT$38</f>
        <v>46</v>
      </c>
      <c r="E11" s="14">
        <f>[3]Compass!$DT$28+[3]Compass!$DT$38</f>
        <v>1621</v>
      </c>
      <c r="F11" s="14">
        <f>'[3]Atlantic Southeast'!$DT$28+'[3]Atlantic Southeast'!$DT$38</f>
        <v>512</v>
      </c>
      <c r="G11" s="135">
        <f>'[3]Continental Express'!$DT$28</f>
        <v>274</v>
      </c>
      <c r="H11" s="134">
        <f>'[3]Go Jet_UA'!$DT$28</f>
        <v>126</v>
      </c>
      <c r="I11" s="134">
        <f>'[3]Go Jet'!$DT$28</f>
        <v>0</v>
      </c>
      <c r="J11" s="136">
        <f>'[3]Air Wisconsin'!$DT$28</f>
        <v>0</v>
      </c>
      <c r="K11" s="134">
        <f>[3]MESA!$DT$28</f>
        <v>1</v>
      </c>
      <c r="L11" s="119">
        <f>SUM(B11:K11)</f>
        <v>2801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423</v>
      </c>
      <c r="D12" s="140">
        <f t="shared" ref="D12:K12" si="1">SUM(D10:D11)</f>
        <v>96</v>
      </c>
      <c r="E12" s="140">
        <f t="shared" si="1"/>
        <v>3283</v>
      </c>
      <c r="F12" s="140">
        <f t="shared" si="1"/>
        <v>1058</v>
      </c>
      <c r="G12" s="140">
        <f t="shared" si="1"/>
        <v>620</v>
      </c>
      <c r="H12" s="140">
        <f t="shared" si="1"/>
        <v>331</v>
      </c>
      <c r="I12" s="140">
        <f t="shared" si="1"/>
        <v>0</v>
      </c>
      <c r="J12" s="140">
        <f t="shared" si="1"/>
        <v>0</v>
      </c>
      <c r="K12" s="140">
        <f t="shared" si="1"/>
        <v>2</v>
      </c>
      <c r="L12" s="141">
        <f>SUM(B12:K12)</f>
        <v>5813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America'!$DT$4</f>
        <v>116</v>
      </c>
      <c r="C15" s="109">
        <f>'[3]Shuttle America_Delta'!$DT$4</f>
        <v>91</v>
      </c>
      <c r="D15" s="110">
        <f>[3]AirCanada!$DT$15</f>
        <v>75</v>
      </c>
      <c r="E15" s="22">
        <f>[3]Compass!$DT$4+[3]Compass!$DT$15</f>
        <v>932</v>
      </c>
      <c r="F15" s="110">
        <f>'[3]Atlantic Southeast'!$DT$4+'[3]Atlantic Southeast'!$DT$15</f>
        <v>413</v>
      </c>
      <c r="G15" s="110">
        <f>'[3]Continental Express'!$DT$4</f>
        <v>195</v>
      </c>
      <c r="H15" s="109">
        <f>'[3]Go Jet_UA'!$DT$4</f>
        <v>94</v>
      </c>
      <c r="I15" s="109">
        <f>'[3]Go Jet'!$DT$4</f>
        <v>0</v>
      </c>
      <c r="J15" s="111">
        <f>'[3]Air Wisconsin'!$DT$4</f>
        <v>0</v>
      </c>
      <c r="K15" s="109">
        <f>[3]MESA!$DT$4</f>
        <v>1</v>
      </c>
      <c r="L15" s="113">
        <f t="shared" ref="L15:L21" si="2">SUM(B15:K15)</f>
        <v>1917</v>
      </c>
    </row>
    <row r="16" spans="1:12" x14ac:dyDescent="0.2">
      <c r="A16" s="65" t="s">
        <v>59</v>
      </c>
      <c r="B16" s="114">
        <f>'[3]Shuttle America'!$DT$5</f>
        <v>116</v>
      </c>
      <c r="C16" s="114">
        <f>'[3]Shuttle America_Delta'!$DT$5</f>
        <v>90</v>
      </c>
      <c r="D16" s="115">
        <f>[3]AirCanada!$DT$16</f>
        <v>75</v>
      </c>
      <c r="E16" s="14">
        <f>[3]Compass!$DT$5+[3]Compass!$DT$16</f>
        <v>932</v>
      </c>
      <c r="F16" s="115">
        <f>'[3]Atlantic Southeast'!$DT$5+'[3]Atlantic Southeast'!$DT$16</f>
        <v>414</v>
      </c>
      <c r="G16" s="115">
        <f>'[3]Continental Express'!$DT$5</f>
        <v>195</v>
      </c>
      <c r="H16" s="114">
        <f>'[3]Go Jet_UA'!$DT$5</f>
        <v>94</v>
      </c>
      <c r="I16" s="114">
        <f>'[3]Go Jet'!$DT$5</f>
        <v>0</v>
      </c>
      <c r="J16" s="116">
        <f>'[3]Air Wisconsin'!$DT$5</f>
        <v>0</v>
      </c>
      <c r="K16" s="114">
        <f>[3]MESA!$DT$5</f>
        <v>1</v>
      </c>
      <c r="L16" s="119">
        <f t="shared" si="2"/>
        <v>1917</v>
      </c>
    </row>
    <row r="17" spans="1:12" x14ac:dyDescent="0.2">
      <c r="A17" s="74" t="s">
        <v>60</v>
      </c>
      <c r="B17" s="120">
        <f>SUM(B15:B16)</f>
        <v>232</v>
      </c>
      <c r="C17" s="120">
        <f>SUM(C15:C16)</f>
        <v>181</v>
      </c>
      <c r="D17" s="120">
        <f t="shared" ref="D17:K17" si="3">SUM(D15:D16)</f>
        <v>150</v>
      </c>
      <c r="E17" s="291">
        <f>SUM(E15:E16)</f>
        <v>1864</v>
      </c>
      <c r="F17" s="120">
        <f t="shared" si="3"/>
        <v>827</v>
      </c>
      <c r="G17" s="120">
        <f t="shared" si="3"/>
        <v>390</v>
      </c>
      <c r="H17" s="120">
        <f t="shared" si="3"/>
        <v>188</v>
      </c>
      <c r="I17" s="120">
        <f t="shared" si="3"/>
        <v>0</v>
      </c>
      <c r="J17" s="120">
        <f t="shared" si="3"/>
        <v>0</v>
      </c>
      <c r="K17" s="120">
        <f t="shared" si="3"/>
        <v>2</v>
      </c>
      <c r="L17" s="121">
        <f t="shared" si="2"/>
        <v>3834</v>
      </c>
    </row>
    <row r="18" spans="1:12" x14ac:dyDescent="0.2">
      <c r="A18" s="65" t="s">
        <v>61</v>
      </c>
      <c r="B18" s="122">
        <f>'[3]Shuttle America'!$DT$8</f>
        <v>0</v>
      </c>
      <c r="C18" s="122">
        <f>'[3]Shuttle America_Delta'!$DT$8</f>
        <v>0</v>
      </c>
      <c r="D18" s="122">
        <f>[3]AirCanada!$DT$8</f>
        <v>0</v>
      </c>
      <c r="E18" s="22">
        <f>[3]Compass!$DT$8</f>
        <v>1</v>
      </c>
      <c r="F18" s="112">
        <f>'[3]Atlantic Southeast'!$DT$8</f>
        <v>1</v>
      </c>
      <c r="G18" s="112">
        <f>'[3]Continental Express'!$DT$8</f>
        <v>0</v>
      </c>
      <c r="H18" s="122">
        <f>'[3]Go Jet_UA'!$DT$8</f>
        <v>0</v>
      </c>
      <c r="I18" s="122">
        <f>'[3]Go Jet'!$DT$8</f>
        <v>0</v>
      </c>
      <c r="J18" s="123">
        <f>'[3]Air Wisconsin'!$DT$8</f>
        <v>0</v>
      </c>
      <c r="K18" s="122">
        <f>[3]MESA!$DT$8</f>
        <v>0</v>
      </c>
      <c r="L18" s="113">
        <f t="shared" si="2"/>
        <v>2</v>
      </c>
    </row>
    <row r="19" spans="1:12" x14ac:dyDescent="0.2">
      <c r="A19" s="65" t="s">
        <v>62</v>
      </c>
      <c r="B19" s="124">
        <f>'[3]Shuttle America'!$DT$9</f>
        <v>0</v>
      </c>
      <c r="C19" s="124">
        <f>'[3]Shuttle America_Delta'!$DT$9</f>
        <v>1</v>
      </c>
      <c r="D19" s="124">
        <f>[3]AirCanada!$DT$9</f>
        <v>0</v>
      </c>
      <c r="E19" s="14">
        <f>[3]Compass!$DT$9</f>
        <v>1</v>
      </c>
      <c r="F19" s="117">
        <f>'[3]Atlantic Southeast'!$DT$9</f>
        <v>0</v>
      </c>
      <c r="G19" s="117">
        <f>'[3]Continental Express'!$DT$9</f>
        <v>0</v>
      </c>
      <c r="H19" s="124">
        <f>'[3]Go Jet_UA'!$DT$9</f>
        <v>0</v>
      </c>
      <c r="I19" s="124">
        <f>'[3]Go Jet'!$DT$9</f>
        <v>0</v>
      </c>
      <c r="J19" s="125">
        <f>'[3]Air Wisconsin'!$DT$9</f>
        <v>0</v>
      </c>
      <c r="K19" s="124">
        <f>[3]MESA!$DT$9</f>
        <v>0</v>
      </c>
      <c r="L19" s="119">
        <f t="shared" si="2"/>
        <v>2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1</v>
      </c>
      <c r="D20" s="120">
        <f t="shared" ref="D20:K20" si="4">SUM(D18:D19)</f>
        <v>0</v>
      </c>
      <c r="E20" s="291">
        <f>SUM(E18:E19)</f>
        <v>2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4</v>
      </c>
    </row>
    <row r="21" spans="1:12" ht="15.75" thickBot="1" x14ac:dyDescent="0.3">
      <c r="A21" s="75" t="s">
        <v>31</v>
      </c>
      <c r="B21" s="126">
        <f>SUM(B20,B17)</f>
        <v>232</v>
      </c>
      <c r="C21" s="126">
        <f>SUM(C20,C17)</f>
        <v>182</v>
      </c>
      <c r="D21" s="126">
        <f t="shared" ref="D21:K21" si="5">SUM(D20,D17)</f>
        <v>150</v>
      </c>
      <c r="E21" s="126">
        <f t="shared" si="5"/>
        <v>1866</v>
      </c>
      <c r="F21" s="126">
        <f t="shared" si="5"/>
        <v>828</v>
      </c>
      <c r="G21" s="126">
        <f t="shared" si="5"/>
        <v>390</v>
      </c>
      <c r="H21" s="126">
        <f t="shared" si="5"/>
        <v>188</v>
      </c>
      <c r="I21" s="126">
        <f t="shared" si="5"/>
        <v>0</v>
      </c>
      <c r="J21" s="126">
        <f t="shared" si="5"/>
        <v>0</v>
      </c>
      <c r="K21" s="126">
        <f t="shared" si="5"/>
        <v>2</v>
      </c>
      <c r="L21" s="127">
        <f t="shared" si="2"/>
        <v>3838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America'!$DT$47</f>
        <v>0</v>
      </c>
      <c r="C25" s="134">
        <f>'[3]Shuttle America_Delta'!$DT$47</f>
        <v>0</v>
      </c>
      <c r="D25" s="134">
        <f>[3]AirCanada!$DT$47</f>
        <v>0</v>
      </c>
      <c r="E25" s="134">
        <f>[3]Compass!$DT$47</f>
        <v>0</v>
      </c>
      <c r="F25" s="135">
        <f>'[3]Atlantic Southeast'!$DT$47</f>
        <v>0</v>
      </c>
      <c r="G25" s="135">
        <f>'[3]Continental Express'!$DT$47</f>
        <v>0</v>
      </c>
      <c r="H25" s="134">
        <f>'[3]Go Jet_UA'!$DT$47</f>
        <v>0</v>
      </c>
      <c r="I25" s="134">
        <f>'[3]Go Jet'!$DT$47</f>
        <v>0</v>
      </c>
      <c r="J25" s="136">
        <f>'[3]Air Wisconsin'!$DT$47</f>
        <v>0</v>
      </c>
      <c r="K25" s="134">
        <f>[3]MESA!$DT$47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America'!$DT$48</f>
        <v>0</v>
      </c>
      <c r="C26" s="134">
        <f>'[3]Shuttle America_Delta'!$DT$48</f>
        <v>0</v>
      </c>
      <c r="D26" s="134">
        <f>[3]AirCanada!$DT$48</f>
        <v>0</v>
      </c>
      <c r="E26" s="134">
        <f>[3]Compass!$DT$48</f>
        <v>0</v>
      </c>
      <c r="F26" s="135">
        <f>'[3]Atlantic Southeast'!$DT$48</f>
        <v>0</v>
      </c>
      <c r="G26" s="135">
        <f>'[3]Continental Express'!$DT$48</f>
        <v>0</v>
      </c>
      <c r="H26" s="134">
        <f>'[3]Go Jet_UA'!$DT$48</f>
        <v>0</v>
      </c>
      <c r="I26" s="134">
        <f>'[3]Go Jet'!$DT$48</f>
        <v>0</v>
      </c>
      <c r="J26" s="136">
        <f>'[3]Air Wisconsin'!$DT$48</f>
        <v>0</v>
      </c>
      <c r="K26" s="134">
        <f>[3]MESA!$DT$48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America'!$DT$52</f>
        <v>0</v>
      </c>
      <c r="C30" s="134">
        <f>'[3]Shuttle America_Delta'!$DT$52</f>
        <v>0</v>
      </c>
      <c r="D30" s="134">
        <f>[3]AirCanada!$DT$52</f>
        <v>0</v>
      </c>
      <c r="E30" s="134">
        <f>[3]Compass!$DT$52</f>
        <v>0</v>
      </c>
      <c r="F30" s="135">
        <f>'[3]Atlantic Southeast'!$DT$52</f>
        <v>0</v>
      </c>
      <c r="G30" s="135">
        <f>'[3]Continental Express'!$DT$52</f>
        <v>0</v>
      </c>
      <c r="H30" s="134">
        <f>'[3]Go Jet_UA'!$DT$52</f>
        <v>0</v>
      </c>
      <c r="I30" s="134">
        <f>'[3]Go Jet'!$DT$52</f>
        <v>0</v>
      </c>
      <c r="J30" s="136">
        <f>'[3]Air Wisconsin'!BH$52</f>
        <v>0</v>
      </c>
      <c r="K30" s="134">
        <f>[3]MESA!$DT$52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America'!$DT$53</f>
        <v>0</v>
      </c>
      <c r="C31" s="134">
        <f>'[3]Shuttle America_Delta'!$DT$53</f>
        <v>0</v>
      </c>
      <c r="D31" s="134">
        <f>[3]AirCanada!$DT$53</f>
        <v>0</v>
      </c>
      <c r="E31" s="134">
        <f>[3]Compass!$DT$53</f>
        <v>0</v>
      </c>
      <c r="F31" s="135">
        <f>'[3]Atlantic Southeast'!$DT$53</f>
        <v>0</v>
      </c>
      <c r="G31" s="135">
        <f>'[3]Continental Express'!$DT$53</f>
        <v>0</v>
      </c>
      <c r="H31" s="134">
        <f>'[3]Go Jet_UA'!$DT$53</f>
        <v>0</v>
      </c>
      <c r="I31" s="134">
        <f>'[3]Go Jet'!$DT$53</f>
        <v>0</v>
      </c>
      <c r="J31" s="136">
        <f>'[3]Air Wisconsin'!$DT$53</f>
        <v>0</v>
      </c>
      <c r="K31" s="134">
        <f>[3]MESA!$DT$53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America'!$DT$57</f>
        <v>0</v>
      </c>
      <c r="C35" s="134">
        <f>'[3]Shuttle America_Delta'!$DT$57</f>
        <v>0</v>
      </c>
      <c r="D35" s="134">
        <f>[3]AirCanada!$DT$57</f>
        <v>0</v>
      </c>
      <c r="E35" s="134">
        <f>[3]Compass!$DT$57</f>
        <v>0</v>
      </c>
      <c r="F35" s="135">
        <f>'[3]Atlantic Southeast'!$DT$57</f>
        <v>0</v>
      </c>
      <c r="G35" s="135">
        <f>'[3]Continental Express'!$DT$57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America_Delta'!$DT$70+'[3]Shuttle America_Delta'!$DT$73</f>
        <v>2363</v>
      </c>
      <c r="E46" s="328">
        <f>[3]Compass!$DT$70+[3]Compass!$DT$73</f>
        <v>17282</v>
      </c>
      <c r="F46" s="328">
        <f>'[3]Atlantic Southeast'!$DT$70+'[3]Atlantic Southeast'!$DT$73</f>
        <v>6994</v>
      </c>
      <c r="L46" s="409">
        <f>SUM(B46:K46)</f>
        <v>26639</v>
      </c>
    </row>
    <row r="47" spans="1:12" x14ac:dyDescent="0.2">
      <c r="A47" s="410" t="s">
        <v>136</v>
      </c>
      <c r="C47" s="328">
        <f>'[3]Shuttle America_Delta'!$DT$71+'[3]Shuttle America_Delta'!$DT$74</f>
        <v>2821</v>
      </c>
      <c r="E47" s="328">
        <f>[3]Compass!$DT$71+[3]Compass!$DT$74</f>
        <v>37350</v>
      </c>
      <c r="F47" s="328">
        <f>'[3]Atlantic Southeast'!$DT$71+'[3]Atlantic Southeast'!$DT$74</f>
        <v>15328</v>
      </c>
      <c r="L47" s="409">
        <f>SUM(B47:K47)</f>
        <v>55499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November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10" zoomScaleNormal="100" workbookViewId="0">
      <selection activeCell="G19" sqref="G19:J19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41944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Misc'!$DT$22</f>
        <v>235</v>
      </c>
      <c r="C5" s="188">
        <f>[3]Ryan!$DT$22</f>
        <v>0</v>
      </c>
      <c r="D5" s="188">
        <f>'[3]Charter Misc'!$DT$32</f>
        <v>0</v>
      </c>
      <c r="E5" s="188">
        <f>[3]Omni!$DT$32</f>
        <v>0</v>
      </c>
      <c r="F5" s="188">
        <f>[3]Xtra!$DT$32+[3]Xtra!$DT$22</f>
        <v>0</v>
      </c>
      <c r="G5" s="340">
        <f>SUM(B5:F5)</f>
        <v>235</v>
      </c>
    </row>
    <row r="6" spans="1:17" x14ac:dyDescent="0.2">
      <c r="A6" s="65" t="s">
        <v>34</v>
      </c>
      <c r="B6" s="446">
        <f>'[3]Charter Misc'!$DT$23</f>
        <v>236</v>
      </c>
      <c r="C6" s="191">
        <f>[3]Ryan!$DT$23</f>
        <v>0</v>
      </c>
      <c r="D6" s="191">
        <f>'[3]Charter Misc'!$DT$33</f>
        <v>0</v>
      </c>
      <c r="E6" s="191">
        <f>[3]Omni!$DT$33</f>
        <v>0</v>
      </c>
      <c r="F6" s="191">
        <f>[3]Xtra!$DT$33+[3]Xtra!$DT$23</f>
        <v>0</v>
      </c>
      <c r="G6" s="339">
        <f>SUM(B6:F6)</f>
        <v>236</v>
      </c>
    </row>
    <row r="7" spans="1:17" ht="15.75" thickBot="1" x14ac:dyDescent="0.3">
      <c r="A7" s="187" t="s">
        <v>7</v>
      </c>
      <c r="B7" s="447">
        <f>SUM(B5:B6)</f>
        <v>471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471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Misc'!$DT$4</f>
        <v>3</v>
      </c>
      <c r="C10" s="188">
        <f>[3]Ryan!$DT$4</f>
        <v>0</v>
      </c>
      <c r="D10" s="188">
        <f>'[3]Charter Misc'!$DT$15</f>
        <v>0</v>
      </c>
      <c r="E10" s="188">
        <f>[3]Omni!$DT$15</f>
        <v>0</v>
      </c>
      <c r="F10" s="188">
        <f>[3]Xtra!$DT$15+[3]Xtra!$DT$4</f>
        <v>0</v>
      </c>
      <c r="G10" s="339">
        <f>SUM(B10:F10)</f>
        <v>3</v>
      </c>
    </row>
    <row r="11" spans="1:17" x14ac:dyDescent="0.2">
      <c r="A11" s="186" t="s">
        <v>86</v>
      </c>
      <c r="B11" s="445">
        <f>'[3]Charter Misc'!$DT$5</f>
        <v>3</v>
      </c>
      <c r="C11" s="188">
        <f>[3]Ryan!$DT$5</f>
        <v>0</v>
      </c>
      <c r="D11" s="188">
        <f>'[3]Charter Misc'!$DT$16</f>
        <v>0</v>
      </c>
      <c r="E11" s="188">
        <f>[3]Omni!$DT$16</f>
        <v>0</v>
      </c>
      <c r="F11" s="188">
        <f>[3]Xtra!$DT$16+[3]Xtra!$DT$5</f>
        <v>0</v>
      </c>
      <c r="G11" s="339">
        <f>SUM(B11:F11)</f>
        <v>3</v>
      </c>
    </row>
    <row r="12" spans="1:17" ht="15.75" thickBot="1" x14ac:dyDescent="0.3">
      <c r="A12" s="282" t="s">
        <v>31</v>
      </c>
      <c r="B12" s="449">
        <f>SUM(B10:B11)</f>
        <v>6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6</v>
      </c>
      <c r="Q12" s="134"/>
    </row>
    <row r="17" spans="1:16" x14ac:dyDescent="0.2">
      <c r="B17" s="485" t="s">
        <v>175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8" t="s">
        <v>132</v>
      </c>
      <c r="C19" s="489"/>
      <c r="D19" s="489"/>
      <c r="E19" s="490"/>
      <c r="G19" s="488" t="s">
        <v>133</v>
      </c>
      <c r="H19" s="491"/>
      <c r="I19" s="491"/>
      <c r="J19" s="492"/>
      <c r="L19" s="493" t="s">
        <v>134</v>
      </c>
      <c r="M19" s="494"/>
      <c r="N19" s="494"/>
      <c r="O19" s="495"/>
    </row>
    <row r="20" spans="1:16" ht="13.5" thickBot="1" x14ac:dyDescent="0.25">
      <c r="A20" s="241" t="s">
        <v>111</v>
      </c>
      <c r="B20" s="463" t="s">
        <v>112</v>
      </c>
      <c r="C20" s="8" t="s">
        <v>113</v>
      </c>
      <c r="D20" s="8" t="s">
        <v>196</v>
      </c>
      <c r="E20" s="8" t="s">
        <v>189</v>
      </c>
      <c r="F20" s="474" t="s">
        <v>107</v>
      </c>
      <c r="G20" s="463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3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x14ac:dyDescent="0.2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3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32" si="2">SUM(G21:H21)</f>
        <v>2341884</v>
      </c>
      <c r="J21" s="471">
        <f>[5]Charter!$I21</f>
        <v>2215560</v>
      </c>
      <c r="K21" s="468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1">
        <f>[5]Charter!$N$21</f>
        <v>2404429</v>
      </c>
      <c r="P21" s="247">
        <f>(N21-O21)/O21</f>
        <v>6.4016030417200928E-2</v>
      </c>
    </row>
    <row r="22" spans="1:16" ht="14.1" customHeight="1" x14ac:dyDescent="0.2">
      <c r="A22" s="248" t="s">
        <v>115</v>
      </c>
      <c r="B22" s="461">
        <f>[6]Charter!B22</f>
        <v>109972</v>
      </c>
      <c r="C22" s="460">
        <f>[6]Charter!C22</f>
        <v>111618</v>
      </c>
      <c r="D22" s="460">
        <f t="shared" si="0"/>
        <v>221590</v>
      </c>
      <c r="E22" s="462">
        <f>[7]Charter!$D22</f>
        <v>206738</v>
      </c>
      <c r="F22" s="464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72">
        <f>[7]Charter!$I22</f>
        <v>2137287</v>
      </c>
      <c r="K22" s="469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2">
        <f>[7]Charter!$N22</f>
        <v>2344025</v>
      </c>
      <c r="P22" s="249">
        <f t="shared" ref="P22:P32" si="5">(N22-O22)/O22</f>
        <v>4.6018707138362432E-2</v>
      </c>
    </row>
    <row r="23" spans="1:16" ht="14.1" customHeight="1" x14ac:dyDescent="0.2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2">
        <f>[9]Charter!$D23</f>
        <v>270939</v>
      </c>
      <c r="F23" s="465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72">
        <f>[9]Charter!$I23</f>
        <v>2750397</v>
      </c>
      <c r="K23" s="469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2">
        <f>[9]Charter!$N23</f>
        <v>3021336</v>
      </c>
      <c r="P23" s="249">
        <f t="shared" si="5"/>
        <v>6.6219712074393575E-2</v>
      </c>
    </row>
    <row r="24" spans="1:16" ht="14.1" customHeight="1" x14ac:dyDescent="0.2">
      <c r="A24" s="248" t="s">
        <v>117</v>
      </c>
      <c r="B24" s="461">
        <f>[10]Charter!B24</f>
        <v>96003</v>
      </c>
      <c r="C24" s="460">
        <f>[10]Charter!C24</f>
        <v>84563</v>
      </c>
      <c r="D24" s="460">
        <f t="shared" si="0"/>
        <v>180566</v>
      </c>
      <c r="E24" s="462">
        <f>[11]Charter!$D24</f>
        <v>163833</v>
      </c>
      <c r="F24" s="465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72">
        <f>[11]Charter!$I24</f>
        <v>2509733</v>
      </c>
      <c r="K24" s="469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2">
        <f>[11]Charter!$N24</f>
        <v>2673566</v>
      </c>
      <c r="P24" s="249">
        <f t="shared" si="5"/>
        <v>5.3322042545424352E-2</v>
      </c>
    </row>
    <row r="25" spans="1:16" ht="14.1" customHeight="1" x14ac:dyDescent="0.2">
      <c r="A25" s="239" t="s">
        <v>81</v>
      </c>
      <c r="B25" s="461">
        <f>[12]Charter!B25</f>
        <v>85920</v>
      </c>
      <c r="C25" s="460">
        <f>[12]Charter!C25</f>
        <v>92667</v>
      </c>
      <c r="D25" s="460">
        <f t="shared" si="0"/>
        <v>178587</v>
      </c>
      <c r="E25" s="462">
        <f>[13]Charter!$D25</f>
        <v>177686</v>
      </c>
      <c r="F25" s="466">
        <f t="shared" si="1"/>
        <v>5.0707427709555056E-3</v>
      </c>
      <c r="G25" s="461">
        <f>[12]Charter!G25</f>
        <v>1403714</v>
      </c>
      <c r="H25" s="460">
        <f>[12]Charter!H25</f>
        <v>1368650</v>
      </c>
      <c r="I25" s="460">
        <f t="shared" si="2"/>
        <v>2772364</v>
      </c>
      <c r="J25" s="472">
        <f>[13]Charter!$I25</f>
        <v>2673501</v>
      </c>
      <c r="K25" s="470">
        <f t="shared" si="3"/>
        <v>3.697885282257235E-2</v>
      </c>
      <c r="L25" s="461">
        <f>[12]Charter!$L25</f>
        <v>1489634</v>
      </c>
      <c r="M25" s="460">
        <f>[12]Charter!$M25</f>
        <v>1461317</v>
      </c>
      <c r="N25" s="460">
        <f t="shared" si="4"/>
        <v>2950951</v>
      </c>
      <c r="O25" s="472">
        <f>[13]Charter!$N25</f>
        <v>2851187</v>
      </c>
      <c r="P25" s="242">
        <f t="shared" si="5"/>
        <v>3.499033911139466E-2</v>
      </c>
    </row>
    <row r="26" spans="1:16" ht="14.1" customHeight="1" x14ac:dyDescent="0.2">
      <c r="A26" s="248" t="s">
        <v>118</v>
      </c>
      <c r="B26" s="461">
        <f>[14]Charter!B26</f>
        <v>105898</v>
      </c>
      <c r="C26" s="460">
        <f>[14]Charter!C26</f>
        <v>106467</v>
      </c>
      <c r="D26" s="460">
        <f t="shared" si="0"/>
        <v>212365</v>
      </c>
      <c r="E26" s="462">
        <f>[15]Charter!$D26</f>
        <v>206661</v>
      </c>
      <c r="F26" s="465">
        <f t="shared" si="1"/>
        <v>2.7600756794944378E-2</v>
      </c>
      <c r="G26" s="461">
        <f>[14]Charter!G26</f>
        <v>1525905</v>
      </c>
      <c r="H26" s="460">
        <f>[14]Charter!H26</f>
        <v>1503083</v>
      </c>
      <c r="I26" s="460">
        <f t="shared" si="2"/>
        <v>3028988</v>
      </c>
      <c r="J26" s="472">
        <f>[15]Charter!$I26</f>
        <v>2922734</v>
      </c>
      <c r="K26" s="469">
        <f t="shared" si="3"/>
        <v>3.6354317567045102E-2</v>
      </c>
      <c r="L26" s="461">
        <f>[14]Charter!$L26</f>
        <v>1631803</v>
      </c>
      <c r="M26" s="460">
        <f>[14]Charter!$M26</f>
        <v>1609550</v>
      </c>
      <c r="N26" s="460">
        <f t="shared" ref="N26:N31" si="6">SUM(L26:M26)</f>
        <v>3241353</v>
      </c>
      <c r="O26" s="472">
        <f>[15]Charter!$N26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>
        <f>[16]Charter!B27</f>
        <v>117493</v>
      </c>
      <c r="C27" s="460">
        <f>[16]Charter!C27</f>
        <v>106705</v>
      </c>
      <c r="D27" s="460">
        <f t="shared" si="0"/>
        <v>224198</v>
      </c>
      <c r="E27" s="462">
        <f>[17]Charter!$D27</f>
        <v>216883</v>
      </c>
      <c r="F27" s="466">
        <f t="shared" si="1"/>
        <v>3.3727862488069603E-2</v>
      </c>
      <c r="G27" s="461">
        <f>[16]Charter!G27</f>
        <v>1603453</v>
      </c>
      <c r="H27" s="460">
        <f>[16]Charter!H27</f>
        <v>1609153</v>
      </c>
      <c r="I27" s="460">
        <f t="shared" ref="I27" si="7">SUM(G27:H27)</f>
        <v>3212606</v>
      </c>
      <c r="J27" s="472">
        <f>[17]Charter!$I27</f>
        <v>3096738</v>
      </c>
      <c r="K27" s="470">
        <f t="shared" si="3"/>
        <v>3.7416145634535436E-2</v>
      </c>
      <c r="L27" s="461">
        <f>[16]Charter!$L27</f>
        <v>1720946</v>
      </c>
      <c r="M27" s="460">
        <f>[16]Charter!$M27</f>
        <v>1715858</v>
      </c>
      <c r="N27" s="460">
        <f t="shared" si="6"/>
        <v>3436804</v>
      </c>
      <c r="O27" s="472">
        <f>[17]Charter!$N27</f>
        <v>3313621</v>
      </c>
      <c r="P27" s="242">
        <f t="shared" si="5"/>
        <v>3.7174740261484339E-2</v>
      </c>
    </row>
    <row r="28" spans="1:16" ht="14.1" customHeight="1" x14ac:dyDescent="0.2">
      <c r="A28" s="248" t="s">
        <v>120</v>
      </c>
      <c r="B28" s="461">
        <f>[18]Charter!B28</f>
        <v>115517</v>
      </c>
      <c r="C28" s="460">
        <f>[18]Charter!C28</f>
        <v>112775</v>
      </c>
      <c r="D28" s="460">
        <f t="shared" ref="D28" si="8">SUM(B28:C28)</f>
        <v>228292</v>
      </c>
      <c r="E28" s="462">
        <f>[19]Charter!$D28</f>
        <v>224271</v>
      </c>
      <c r="F28" s="465">
        <f t="shared" si="1"/>
        <v>1.7929201724699136E-2</v>
      </c>
      <c r="G28" s="461">
        <f>[18]Charter!G28</f>
        <v>1595845</v>
      </c>
      <c r="H28" s="460">
        <f>[18]Charter!H28</f>
        <v>1576867</v>
      </c>
      <c r="I28" s="460">
        <f t="shared" ref="I28" si="9">SUM(G28:H28)</f>
        <v>3172712</v>
      </c>
      <c r="J28" s="472">
        <f>[19]Charter!$I28</f>
        <v>3099231</v>
      </c>
      <c r="K28" s="469">
        <f t="shared" si="3"/>
        <v>2.3709429855341534E-2</v>
      </c>
      <c r="L28" s="461">
        <f>[18]Charter!$L28</f>
        <v>1711362</v>
      </c>
      <c r="M28" s="460">
        <f>[18]Charter!$M28</f>
        <v>1689642</v>
      </c>
      <c r="N28" s="460">
        <f t="shared" si="6"/>
        <v>3401004</v>
      </c>
      <c r="O28" s="472">
        <f>[19]Charter!$N28</f>
        <v>3323502</v>
      </c>
      <c r="P28" s="249">
        <f t="shared" si="5"/>
        <v>2.3319378173986355E-2</v>
      </c>
    </row>
    <row r="29" spans="1:16" ht="14.1" customHeight="1" x14ac:dyDescent="0.2">
      <c r="A29" s="239" t="s">
        <v>121</v>
      </c>
      <c r="B29" s="461">
        <f>[20]Charter!B29</f>
        <v>89956</v>
      </c>
      <c r="C29" s="460">
        <f>[20]Charter!C29</f>
        <v>90244</v>
      </c>
      <c r="D29" s="460">
        <f t="shared" ref="D29" si="10">SUM(B29:C29)</f>
        <v>180200</v>
      </c>
      <c r="E29" s="462">
        <f>[21]Charter!$D29</f>
        <v>181115</v>
      </c>
      <c r="F29" s="466">
        <f t="shared" si="1"/>
        <v>-5.0520387599039289E-3</v>
      </c>
      <c r="G29" s="461">
        <f>[20]Charter!G29</f>
        <v>1321782</v>
      </c>
      <c r="H29" s="460">
        <f>[20]Charter!H29</f>
        <v>1321100</v>
      </c>
      <c r="I29" s="460">
        <f t="shared" ref="I29" si="11">SUM(G29:H29)</f>
        <v>2642882</v>
      </c>
      <c r="J29" s="472">
        <f>[21]Charter!$I29</f>
        <v>2541709</v>
      </c>
      <c r="K29" s="470">
        <f t="shared" si="3"/>
        <v>3.9805107508373301E-2</v>
      </c>
      <c r="L29" s="461">
        <f>[20]Charter!$L29</f>
        <v>1411738</v>
      </c>
      <c r="M29" s="460">
        <f>[20]Charter!$M29</f>
        <v>1411344</v>
      </c>
      <c r="N29" s="460">
        <f t="shared" si="6"/>
        <v>2823082</v>
      </c>
      <c r="O29" s="472">
        <f>[21]Charter!$N29</f>
        <v>2722824</v>
      </c>
      <c r="P29" s="242">
        <f t="shared" si="5"/>
        <v>3.6821329619542063E-2</v>
      </c>
    </row>
    <row r="30" spans="1:16" ht="14.1" customHeight="1" x14ac:dyDescent="0.2">
      <c r="A30" s="248" t="s">
        <v>122</v>
      </c>
      <c r="B30" s="461">
        <f>[2]Charter!B30</f>
        <v>86129</v>
      </c>
      <c r="C30" s="460">
        <f>[2]Charter!C30</f>
        <v>82900</v>
      </c>
      <c r="D30" s="460">
        <f t="shared" ref="D30" si="12">SUM(B30:C30)</f>
        <v>169029</v>
      </c>
      <c r="E30" s="462">
        <f>[22]Charter!$D30</f>
        <v>170256</v>
      </c>
      <c r="F30" s="465">
        <f t="shared" si="1"/>
        <v>-7.2067944742035522E-3</v>
      </c>
      <c r="G30" s="461">
        <f>[2]Charter!G30</f>
        <v>1390746</v>
      </c>
      <c r="H30" s="460">
        <f>[2]Charter!H30</f>
        <v>1402935</v>
      </c>
      <c r="I30" s="460">
        <f t="shared" ref="I30" si="13">SUM(G30:H30)</f>
        <v>2793681</v>
      </c>
      <c r="J30" s="472">
        <f>[22]Charter!$I30</f>
        <v>2678497</v>
      </c>
      <c r="K30" s="469">
        <f t="shared" si="3"/>
        <v>4.300322158285038E-2</v>
      </c>
      <c r="L30" s="461">
        <f>[2]Charter!$L30</f>
        <v>1476875</v>
      </c>
      <c r="M30" s="460">
        <f>[2]Charter!$M30</f>
        <v>1485835</v>
      </c>
      <c r="N30" s="460">
        <f t="shared" si="6"/>
        <v>2962710</v>
      </c>
      <c r="O30" s="472">
        <f>[22]Charter!$N30</f>
        <v>2848753</v>
      </c>
      <c r="P30" s="249">
        <f t="shared" si="5"/>
        <v>4.0002415091796306E-2</v>
      </c>
    </row>
    <row r="31" spans="1:16" ht="14.1" customHeight="1" x14ac:dyDescent="0.2">
      <c r="A31" s="239" t="s">
        <v>123</v>
      </c>
      <c r="B31" s="461">
        <f>'Intl Detail'!$N$4+'Intl Detail'!$N$9</f>
        <v>72605</v>
      </c>
      <c r="C31" s="460">
        <f>'Intl Detail'!$N$5+'Intl Detail'!$N$10</f>
        <v>69751</v>
      </c>
      <c r="D31" s="460">
        <f t="shared" ref="D31" si="14">SUM(B31:C31)</f>
        <v>142356</v>
      </c>
      <c r="E31" s="462">
        <f>[1]Charter!$D31</f>
        <v>137800</v>
      </c>
      <c r="F31" s="466">
        <f t="shared" si="1"/>
        <v>3.3062409288824382E-2</v>
      </c>
      <c r="G31" s="461">
        <f>L31-B31</f>
        <v>1206793</v>
      </c>
      <c r="H31" s="460">
        <f>M31-C31</f>
        <v>1203961</v>
      </c>
      <c r="I31" s="460">
        <f t="shared" ref="I31" si="15">SUM(G31:H31)</f>
        <v>2410754</v>
      </c>
      <c r="J31" s="472">
        <f>[1]Charter!$I31</f>
        <v>2358313</v>
      </c>
      <c r="K31" s="470">
        <f t="shared" si="3"/>
        <v>2.2236658153519061E-2</v>
      </c>
      <c r="L31" s="461">
        <f>'Monthly Summary'!$B$11</f>
        <v>1279398</v>
      </c>
      <c r="M31" s="460">
        <f>+'Monthly Summary'!$C$11</f>
        <v>1273712</v>
      </c>
      <c r="N31" s="460">
        <f t="shared" si="6"/>
        <v>2553110</v>
      </c>
      <c r="O31" s="472">
        <f>[1]Charter!$N31</f>
        <v>2496113</v>
      </c>
      <c r="P31" s="242">
        <f t="shared" si="5"/>
        <v>2.2834302773952941E-2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2"/>
      <c r="F32" s="467" t="e">
        <f t="shared" si="1"/>
        <v>#DIV/0!</v>
      </c>
      <c r="G32" s="461"/>
      <c r="H32" s="460"/>
      <c r="I32" s="460">
        <f t="shared" si="2"/>
        <v>0</v>
      </c>
      <c r="J32" s="462"/>
      <c r="K32" s="467" t="e">
        <f t="shared" si="3"/>
        <v>#DIV/0!</v>
      </c>
      <c r="L32" s="461"/>
      <c r="M32" s="460"/>
      <c r="N32" s="460">
        <f t="shared" si="4"/>
        <v>0</v>
      </c>
      <c r="O32" s="462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1136645</v>
      </c>
      <c r="C33" s="255">
        <f>SUM(C21:C32)</f>
        <v>1109394</v>
      </c>
      <c r="D33" s="255">
        <f>SUM(D21:D32)</f>
        <v>2246039</v>
      </c>
      <c r="E33" s="256">
        <f>SUM(E21:E32)</f>
        <v>2145051</v>
      </c>
      <c r="F33" s="475">
        <f>(D33-E33)/E33</f>
        <v>4.7079533307133492E-2</v>
      </c>
      <c r="G33" s="257">
        <f>SUM(G21:G32)</f>
        <v>15127161</v>
      </c>
      <c r="H33" s="255">
        <f>SUM(H21:H32)</f>
        <v>15043593</v>
      </c>
      <c r="I33" s="255">
        <f>SUM(I21:I32)</f>
        <v>30170754</v>
      </c>
      <c r="J33" s="258">
        <f>SUM(J21:J32)</f>
        <v>28983700</v>
      </c>
      <c r="K33" s="476">
        <f>(I33-J33)/J33</f>
        <v>4.0955916601400098E-2</v>
      </c>
      <c r="L33" s="257">
        <f>SUM(L21:L32)</f>
        <v>16263806</v>
      </c>
      <c r="M33" s="255">
        <f>SUM(M21:M32)</f>
        <v>16152987</v>
      </c>
      <c r="N33" s="255">
        <f>SUM(N21:N32)</f>
        <v>32416793</v>
      </c>
      <c r="O33" s="256">
        <f>SUM(O21:O32)</f>
        <v>31128751</v>
      </c>
      <c r="P33" s="243">
        <f>(N33-O33)/O33</f>
        <v>4.1377888884780507E-2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November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R25" sqref="R25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9" t="s">
        <v>102</v>
      </c>
      <c r="C1" s="500"/>
      <c r="D1" s="500"/>
      <c r="E1" s="500"/>
      <c r="F1" s="264"/>
      <c r="G1" s="499" t="s">
        <v>101</v>
      </c>
      <c r="H1" s="501"/>
      <c r="I1" s="501"/>
      <c r="J1" s="501"/>
      <c r="K1" s="501"/>
      <c r="L1" s="502"/>
    </row>
    <row r="2" spans="1:20" s="195" customFormat="1" ht="30.75" customHeight="1" thickBot="1" x14ac:dyDescent="0.25">
      <c r="A2" s="399">
        <v>41944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[3]Airborne!$DT$4</f>
        <v>1</v>
      </c>
      <c r="C4" s="165">
        <f>[3]DHL!$DT$4</f>
        <v>20</v>
      </c>
      <c r="D4" s="165">
        <f>[3]FedEx!$DT$4+[3]FedEx!$DT$15</f>
        <v>100</v>
      </c>
      <c r="E4" s="165">
        <f>[3]UPS!$DT$4</f>
        <v>89</v>
      </c>
      <c r="F4" s="196"/>
      <c r="G4" s="122">
        <f>[3]ATI_BAX!$DT$4</f>
        <v>0</v>
      </c>
      <c r="H4" s="122">
        <f>'[3]Suburban Air Freight'!$DT$15</f>
        <v>19</v>
      </c>
      <c r="I4" s="122">
        <f>[3]Bemidji!$DT$4</f>
        <v>214</v>
      </c>
      <c r="J4" s="122">
        <f>'[3]CSA Air'!$DT$4</f>
        <v>0</v>
      </c>
      <c r="K4" s="122">
        <f>'[3]Mountain Cargo'!$DT$4</f>
        <v>19</v>
      </c>
      <c r="L4" s="122">
        <f>'[3]Misc Cargo'!$DT$4</f>
        <v>23</v>
      </c>
      <c r="M4" s="208">
        <f>SUM(B4:L4)</f>
        <v>485</v>
      </c>
    </row>
    <row r="5" spans="1:20" x14ac:dyDescent="0.2">
      <c r="A5" s="55" t="s">
        <v>59</v>
      </c>
      <c r="B5" s="426">
        <f>[3]Airborne!$DT$5</f>
        <v>0</v>
      </c>
      <c r="C5" s="202">
        <f>[3]DHL!$DT$5</f>
        <v>20</v>
      </c>
      <c r="D5" s="202">
        <f>[3]FedEx!$DT$5</f>
        <v>100</v>
      </c>
      <c r="E5" s="202">
        <f>[3]UPS!$DT$5</f>
        <v>89</v>
      </c>
      <c r="F5" s="196"/>
      <c r="G5" s="124">
        <f>[3]ATI_BAX!$DT$5</f>
        <v>0</v>
      </c>
      <c r="H5" s="124">
        <f>'[3]Suburban Air Freight'!$DT$16</f>
        <v>19</v>
      </c>
      <c r="I5" s="124">
        <f>[3]Bemidji!$DT$5</f>
        <v>214</v>
      </c>
      <c r="J5" s="124">
        <f>'[3]CSA Air'!$DT$5</f>
        <v>0</v>
      </c>
      <c r="K5" s="124">
        <f>'[3]Mountain Cargo'!$DT$5</f>
        <v>19</v>
      </c>
      <c r="L5" s="124">
        <f>'[3]Misc Cargo'!$DT$5</f>
        <v>23</v>
      </c>
      <c r="M5" s="212">
        <f>SUM(B5:L5)</f>
        <v>484</v>
      </c>
    </row>
    <row r="6" spans="1:20" s="193" customFormat="1" x14ac:dyDescent="0.2">
      <c r="A6" s="209" t="s">
        <v>60</v>
      </c>
      <c r="B6" s="427">
        <f>SUM(B4:B5)</f>
        <v>1</v>
      </c>
      <c r="C6" s="210">
        <f>SUM(C4:C5)</f>
        <v>40</v>
      </c>
      <c r="D6" s="210">
        <f>SUM(D4:D5)</f>
        <v>200</v>
      </c>
      <c r="E6" s="210">
        <f>SUM(E4:E5)</f>
        <v>178</v>
      </c>
      <c r="F6" s="197"/>
      <c r="G6" s="192">
        <f t="shared" ref="G6:L6" si="0">SUM(G4:G5)</f>
        <v>0</v>
      </c>
      <c r="H6" s="192">
        <f t="shared" si="0"/>
        <v>38</v>
      </c>
      <c r="I6" s="192">
        <f t="shared" si="0"/>
        <v>428</v>
      </c>
      <c r="J6" s="192">
        <f t="shared" si="0"/>
        <v>0</v>
      </c>
      <c r="K6" s="192">
        <f t="shared" si="0"/>
        <v>38</v>
      </c>
      <c r="L6" s="192">
        <f t="shared" si="0"/>
        <v>46</v>
      </c>
      <c r="M6" s="211">
        <f>SUM(B6:L6)</f>
        <v>969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[3]Airborne!$DT$8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Cargo'!$DT$8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[3]Airborne!$DT$9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Cargo'!$DT$9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1</v>
      </c>
      <c r="C12" s="214">
        <f>C6+C10</f>
        <v>40</v>
      </c>
      <c r="D12" s="214">
        <f>D6+D10</f>
        <v>200</v>
      </c>
      <c r="E12" s="214">
        <f>E6+E10</f>
        <v>178</v>
      </c>
      <c r="F12" s="215"/>
      <c r="G12" s="216">
        <f t="shared" ref="G12:L12" si="2">G6+G10</f>
        <v>0</v>
      </c>
      <c r="H12" s="216">
        <f t="shared" si="2"/>
        <v>38</v>
      </c>
      <c r="I12" s="216">
        <f t="shared" si="2"/>
        <v>428</v>
      </c>
      <c r="J12" s="216">
        <f t="shared" si="2"/>
        <v>0</v>
      </c>
      <c r="K12" s="216">
        <f t="shared" si="2"/>
        <v>38</v>
      </c>
      <c r="L12" s="216">
        <f t="shared" si="2"/>
        <v>46</v>
      </c>
      <c r="M12" s="217">
        <f>SUM(B12:L12)</f>
        <v>969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[3]Airborne!$DT$47</f>
        <v>0</v>
      </c>
      <c r="C16" s="165">
        <f>[3]DHL!$DT$47</f>
        <v>673787</v>
      </c>
      <c r="D16" s="165">
        <f>[3]FedEx!$DT$47</f>
        <v>6134651</v>
      </c>
      <c r="E16" s="165">
        <f>[3]UPS!$DT$47</f>
        <v>4801517</v>
      </c>
      <c r="F16" s="196"/>
      <c r="G16" s="122">
        <f>[3]ATI_BAX!$DT$47</f>
        <v>0</v>
      </c>
      <c r="H16" s="122">
        <f>'[3]Suburban Air Freight'!$DT$47</f>
        <v>20011</v>
      </c>
      <c r="I16" s="496" t="s">
        <v>95</v>
      </c>
      <c r="J16" s="122">
        <f>'[3]CSA Air'!$DT$47</f>
        <v>0</v>
      </c>
      <c r="K16" s="122">
        <f>'[3]Mountain Cargo'!$DT$47</f>
        <v>47352</v>
      </c>
      <c r="L16" s="122">
        <f>'[3]Misc Cargo'!$DT$47</f>
        <v>31925</v>
      </c>
      <c r="M16" s="208">
        <f>SUM(B16:H16)+SUM(J16:L16)</f>
        <v>11709243</v>
      </c>
    </row>
    <row r="17" spans="1:14" x14ac:dyDescent="0.2">
      <c r="A17" s="55" t="s">
        <v>41</v>
      </c>
      <c r="B17" s="252">
        <f>[3]Airborne!$DT$48</f>
        <v>0</v>
      </c>
      <c r="C17" s="165">
        <f>[3]DHL!$DT$48</f>
        <v>0</v>
      </c>
      <c r="D17" s="165">
        <f>[3]FedEx!$DT$48</f>
        <v>0</v>
      </c>
      <c r="E17" s="165">
        <f>[3]UPS!$DT$48</f>
        <v>4788</v>
      </c>
      <c r="F17" s="196"/>
      <c r="G17" s="122">
        <f>[3]ATI_BAX!$DT$48</f>
        <v>0</v>
      </c>
      <c r="H17" s="122">
        <f>'[3]Suburban Air Freight'!$DT$48</f>
        <v>0</v>
      </c>
      <c r="I17" s="497"/>
      <c r="J17" s="122">
        <f>'[3]CSA Air'!$DT$48</f>
        <v>0</v>
      </c>
      <c r="K17" s="122">
        <f>'[3]Mountain Cargo'!$DT$48</f>
        <v>0</v>
      </c>
      <c r="L17" s="122">
        <f>'[3]Misc Cargo'!$DT$48</f>
        <v>0</v>
      </c>
      <c r="M17" s="208">
        <f>SUM(B17:H17)+SUM(J17:L17)</f>
        <v>4788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673787</v>
      </c>
      <c r="D18" s="308">
        <f>SUM(D16:D17)</f>
        <v>6134651</v>
      </c>
      <c r="E18" s="308">
        <f>SUM(E16:E17)</f>
        <v>4806305</v>
      </c>
      <c r="F18" s="201"/>
      <c r="G18" s="309">
        <f>SUM(G16:G17)</f>
        <v>0</v>
      </c>
      <c r="H18" s="309">
        <f>SUM(H16:H17)</f>
        <v>20011</v>
      </c>
      <c r="I18" s="497"/>
      <c r="J18" s="309">
        <f>SUM(J16:J17)</f>
        <v>0</v>
      </c>
      <c r="K18" s="309">
        <f>SUM(K16:K17)</f>
        <v>47352</v>
      </c>
      <c r="L18" s="309">
        <f>SUM(L16:L17)</f>
        <v>31925</v>
      </c>
      <c r="M18" s="224">
        <f>SUM(B18:H18)+SUM(J18:L18)</f>
        <v>11714031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7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7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[3]Airborne!$DT$52</f>
        <v>0</v>
      </c>
      <c r="C21" s="165">
        <f>[3]DHL!$DT$52</f>
        <v>391571</v>
      </c>
      <c r="D21" s="165">
        <f>[3]FedEx!$DT$52</f>
        <v>8173408</v>
      </c>
      <c r="E21" s="165">
        <f>[3]UPS!$DT$52</f>
        <v>4483204</v>
      </c>
      <c r="F21" s="196"/>
      <c r="G21" s="122">
        <f>[3]ATI_BAX!$DT$52</f>
        <v>0</v>
      </c>
      <c r="H21" s="122">
        <f>'[3]Suburban Air Freight'!$DT$52</f>
        <v>62767</v>
      </c>
      <c r="I21" s="497"/>
      <c r="J21" s="122">
        <f>'[3]CSA Air'!$DT$52</f>
        <v>0</v>
      </c>
      <c r="K21" s="122">
        <f>'[3]Mountain Cargo'!$DT$52</f>
        <v>120335</v>
      </c>
      <c r="L21" s="122">
        <f>'[3]Misc Cargo'!$DT$52</f>
        <v>39449</v>
      </c>
      <c r="M21" s="208">
        <f>SUM(B21:H21)+SUM(J21:L21)</f>
        <v>13270734</v>
      </c>
    </row>
    <row r="22" spans="1:14" x14ac:dyDescent="0.2">
      <c r="A22" s="55" t="s">
        <v>65</v>
      </c>
      <c r="B22" s="252">
        <f>[3]Airborne!$DT$53</f>
        <v>0</v>
      </c>
      <c r="C22" s="165">
        <f>[3]DHL!$DT$53</f>
        <v>0</v>
      </c>
      <c r="D22" s="165">
        <f>[3]FedEx!$DT$53</f>
        <v>0</v>
      </c>
      <c r="E22" s="165">
        <f>[3]UPS!$DT$53</f>
        <v>109289</v>
      </c>
      <c r="F22" s="196"/>
      <c r="G22" s="122">
        <f>[3]ATI_BAX!$DT$53</f>
        <v>0</v>
      </c>
      <c r="H22" s="122">
        <f>'[3]Suburban Air Freight'!$DT$53</f>
        <v>0</v>
      </c>
      <c r="I22" s="497"/>
      <c r="J22" s="122">
        <f>'[3]CSA Air'!$DT$53</f>
        <v>0</v>
      </c>
      <c r="K22" s="122">
        <f>'[3]Mountain Cargo'!$DT$53</f>
        <v>0</v>
      </c>
      <c r="L22" s="122">
        <f>'[3]Misc Cargo'!$DT$53</f>
        <v>0</v>
      </c>
      <c r="M22" s="208">
        <f>SUM(B22:H22)+SUM(J22:L22)</f>
        <v>109289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391571</v>
      </c>
      <c r="D23" s="308">
        <f>SUM(D21:D22)</f>
        <v>8173408</v>
      </c>
      <c r="E23" s="308">
        <f>SUM(E21:E22)</f>
        <v>4592493</v>
      </c>
      <c r="F23" s="201"/>
      <c r="G23" s="309">
        <f>SUM(G21:G22)</f>
        <v>0</v>
      </c>
      <c r="H23" s="309">
        <f>SUM(H21:H22)</f>
        <v>62767</v>
      </c>
      <c r="I23" s="497"/>
      <c r="J23" s="309">
        <f>SUM(J21:J22)</f>
        <v>0</v>
      </c>
      <c r="K23" s="309">
        <f>SUM(K21:K22)</f>
        <v>120335</v>
      </c>
      <c r="L23" s="309">
        <f>SUM(L21:L22)</f>
        <v>39449</v>
      </c>
      <c r="M23" s="224">
        <f>SUM(B23:H23)+SUM(J23:L23)</f>
        <v>13380023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7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7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[3]Airborne!$DT$57</f>
        <v>0</v>
      </c>
      <c r="C26" s="165">
        <f>[3]DHL!$DT$57</f>
        <v>0</v>
      </c>
      <c r="D26" s="165">
        <f>[3]FedEx!$DT$57</f>
        <v>0</v>
      </c>
      <c r="E26" s="165">
        <f>[3]UPS!$DT$57</f>
        <v>0</v>
      </c>
      <c r="F26" s="196"/>
      <c r="G26" s="122">
        <f>[3]ATI_BAX!$DT$57</f>
        <v>0</v>
      </c>
      <c r="H26" s="122">
        <f>'[3]Suburban Air Freight'!$DT$57</f>
        <v>0</v>
      </c>
      <c r="I26" s="497"/>
      <c r="J26" s="122">
        <f>'[3]CSA Air'!$DT$57</f>
        <v>0</v>
      </c>
      <c r="K26" s="122">
        <f>'[3]Mountain Cargo'!$DT$57</f>
        <v>0</v>
      </c>
      <c r="L26" s="122">
        <f>'[3]Misc Cargo'!$DT$57</f>
        <v>0</v>
      </c>
      <c r="M26" s="208">
        <f>SUM(B26:H26)+SUM(J26:L26)</f>
        <v>0</v>
      </c>
    </row>
    <row r="27" spans="1:14" x14ac:dyDescent="0.2">
      <c r="A27" s="55" t="s">
        <v>65</v>
      </c>
      <c r="B27" s="252">
        <f>[3]Airborne!$DT$58</f>
        <v>0</v>
      </c>
      <c r="C27" s="165">
        <f>[3]DHL!$DT$58</f>
        <v>0</v>
      </c>
      <c r="D27" s="165">
        <f>[3]FedEx!$DT$58</f>
        <v>0</v>
      </c>
      <c r="E27" s="165">
        <f>[3]UPS!$DT$58</f>
        <v>0</v>
      </c>
      <c r="F27" s="196"/>
      <c r="G27" s="122">
        <f>[3]ATI_BAX!$DT$58</f>
        <v>0</v>
      </c>
      <c r="H27" s="122">
        <f>'[3]Suburban Air Freight'!$DT$58</f>
        <v>0</v>
      </c>
      <c r="I27" s="497"/>
      <c r="J27" s="122">
        <f>'[3]CSA Air'!$DT$58</f>
        <v>0</v>
      </c>
      <c r="K27" s="122">
        <f>'[3]Mountain Cargo'!$DT$58</f>
        <v>0</v>
      </c>
      <c r="L27" s="122">
        <f>'[3]Misc Cargo'!$DT$58</f>
        <v>0</v>
      </c>
      <c r="M27" s="208">
        <f>SUM(B27:H27)+SUM(J27:L27)</f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7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7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7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3">B26+B21+B16</f>
        <v>0</v>
      </c>
      <c r="C31" s="165">
        <f t="shared" si="3"/>
        <v>1065358</v>
      </c>
      <c r="D31" s="165">
        <f t="shared" si="3"/>
        <v>14308059</v>
      </c>
      <c r="E31" s="165">
        <f t="shared" si="3"/>
        <v>9284721</v>
      </c>
      <c r="F31" s="196"/>
      <c r="G31" s="122">
        <f t="shared" ref="G31:H33" si="4">G26+G21+G16</f>
        <v>0</v>
      </c>
      <c r="H31" s="122">
        <f t="shared" si="4"/>
        <v>82778</v>
      </c>
      <c r="I31" s="497"/>
      <c r="J31" s="122">
        <f t="shared" ref="J31:L33" si="5">J26+J21+J16</f>
        <v>0</v>
      </c>
      <c r="K31" s="122">
        <f t="shared" si="5"/>
        <v>167687</v>
      </c>
      <c r="L31" s="122">
        <f>L26+L21+L16</f>
        <v>71374</v>
      </c>
      <c r="M31" s="208">
        <f>SUM(B31:H31)+SUM(J31:L31)</f>
        <v>24979977</v>
      </c>
    </row>
    <row r="32" spans="1:14" x14ac:dyDescent="0.2">
      <c r="A32" s="55" t="s">
        <v>65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114077</v>
      </c>
      <c r="F32" s="196"/>
      <c r="G32" s="122">
        <f t="shared" si="4"/>
        <v>0</v>
      </c>
      <c r="H32" s="122">
        <f t="shared" si="4"/>
        <v>0</v>
      </c>
      <c r="I32" s="498"/>
      <c r="J32" s="122">
        <f t="shared" si="5"/>
        <v>0</v>
      </c>
      <c r="K32" s="122">
        <f t="shared" si="5"/>
        <v>0</v>
      </c>
      <c r="L32" s="122">
        <f>L27+L22+L17</f>
        <v>0</v>
      </c>
      <c r="M32" s="212">
        <f>SUM(B32:H32)+SUM(J32:L32)</f>
        <v>114077</v>
      </c>
    </row>
    <row r="33" spans="1:13" ht="18" customHeight="1" thickBot="1" x14ac:dyDescent="0.25">
      <c r="A33" s="213" t="s">
        <v>49</v>
      </c>
      <c r="B33" s="428">
        <f t="shared" si="3"/>
        <v>0</v>
      </c>
      <c r="C33" s="214">
        <f t="shared" si="3"/>
        <v>1065358</v>
      </c>
      <c r="D33" s="214">
        <f t="shared" si="3"/>
        <v>14308059</v>
      </c>
      <c r="E33" s="214">
        <f t="shared" si="3"/>
        <v>9398798</v>
      </c>
      <c r="F33" s="227"/>
      <c r="G33" s="216">
        <f t="shared" si="4"/>
        <v>0</v>
      </c>
      <c r="H33" s="216">
        <f t="shared" si="4"/>
        <v>82778</v>
      </c>
      <c r="I33" s="310">
        <f>I28+I23+I18</f>
        <v>0</v>
      </c>
      <c r="J33" s="216">
        <f t="shared" si="5"/>
        <v>0</v>
      </c>
      <c r="K33" s="216">
        <f t="shared" si="5"/>
        <v>167687</v>
      </c>
      <c r="L33" s="216">
        <f t="shared" si="5"/>
        <v>71374</v>
      </c>
      <c r="M33" s="217">
        <f>SUM(B33:H33)+SUM(J33:L33)</f>
        <v>25094054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November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27" sqref="I2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41944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4570541</v>
      </c>
      <c r="C5" s="122">
        <f>'Regional Major'!L25</f>
        <v>0</v>
      </c>
      <c r="D5" s="122">
        <f>Cargo!M16</f>
        <v>11709243</v>
      </c>
      <c r="E5" s="122">
        <f>SUM(B5:D5)</f>
        <v>16279784</v>
      </c>
      <c r="F5" s="122">
        <f>E5*0.00045359237</f>
        <v>7384.3858076480801</v>
      </c>
      <c r="G5" s="150">
        <f>'[1]Cargo Summary'!F5</f>
        <v>7030.84684262268</v>
      </c>
      <c r="H5" s="101">
        <f>(F5-G5)/G5</f>
        <v>5.0283980427814484E-2</v>
      </c>
      <c r="I5" s="150">
        <f>+F5+'[2]Cargo Summary'!I5</f>
        <v>79586.539782877822</v>
      </c>
      <c r="J5" s="150">
        <f>'[1]Cargo Summary'!I5</f>
        <v>82350.141108392083</v>
      </c>
      <c r="K5" s="88">
        <f>(I5-J5)/J5</f>
        <v>-3.3559157134615152E-2</v>
      </c>
      <c r="M5" s="37"/>
    </row>
    <row r="6" spans="1:18" x14ac:dyDescent="0.2">
      <c r="A6" s="65" t="s">
        <v>18</v>
      </c>
      <c r="B6" s="173">
        <f>'Major Airline Stats'!J29</f>
        <v>1237786</v>
      </c>
      <c r="C6" s="122">
        <f>'Regional Major'!L26</f>
        <v>0</v>
      </c>
      <c r="D6" s="122">
        <f>Cargo!M17</f>
        <v>4788</v>
      </c>
      <c r="E6" s="122">
        <f>SUM(B6:D6)</f>
        <v>1242574</v>
      </c>
      <c r="F6" s="122">
        <f>E6*0.00045359237</f>
        <v>563.62208556038001</v>
      </c>
      <c r="G6" s="150">
        <f>'[1]Cargo Summary'!F6</f>
        <v>632.24834317953002</v>
      </c>
      <c r="H6" s="39">
        <f>(F6-G6)/G6</f>
        <v>-0.10854319882284491</v>
      </c>
      <c r="I6" s="150">
        <f>+F6+'[2]Cargo Summary'!I6</f>
        <v>5911.811332621809</v>
      </c>
      <c r="J6" s="150">
        <f>'[1]Cargo Summary'!I6</f>
        <v>5508.2130064584699</v>
      </c>
      <c r="K6" s="88">
        <f>(I6-J6)/J6</f>
        <v>7.3272098535425823E-2</v>
      </c>
      <c r="M6" s="37"/>
    </row>
    <row r="7" spans="1:18" ht="18" customHeight="1" thickBot="1" x14ac:dyDescent="0.25">
      <c r="A7" s="76" t="s">
        <v>77</v>
      </c>
      <c r="B7" s="175">
        <f>SUM(B5:B6)</f>
        <v>5808327</v>
      </c>
      <c r="C7" s="137">
        <f t="shared" ref="C7:J7" si="0">SUM(C5:C6)</f>
        <v>0</v>
      </c>
      <c r="D7" s="137">
        <f t="shared" si="0"/>
        <v>11714031</v>
      </c>
      <c r="E7" s="137">
        <f t="shared" si="0"/>
        <v>17522358</v>
      </c>
      <c r="F7" s="137">
        <f t="shared" si="0"/>
        <v>7948.0078932084598</v>
      </c>
      <c r="G7" s="137">
        <f t="shared" si="0"/>
        <v>7663.0951858022099</v>
      </c>
      <c r="H7" s="46">
        <f>(F7-G7)/G7</f>
        <v>3.7179847111141397E-2</v>
      </c>
      <c r="I7" s="137">
        <f t="shared" si="0"/>
        <v>85498.351115499638</v>
      </c>
      <c r="J7" s="137">
        <f t="shared" si="0"/>
        <v>87858.354114850546</v>
      </c>
      <c r="K7" s="324">
        <f>(I7-J7)/J7</f>
        <v>-2.6861452426776129E-2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4258284</v>
      </c>
      <c r="C10" s="122">
        <f>'Regional Major'!L30</f>
        <v>0</v>
      </c>
      <c r="D10" s="122">
        <f>Cargo!M21</f>
        <v>13270734</v>
      </c>
      <c r="E10" s="122">
        <f>SUM(B10:D10)</f>
        <v>17529018</v>
      </c>
      <c r="F10" s="122">
        <f>E10*0.00045359237</f>
        <v>7951.0288183926596</v>
      </c>
      <c r="G10" s="150">
        <f>'[1]Cargo Summary'!F10</f>
        <v>8238.5886908702305</v>
      </c>
      <c r="H10" s="39">
        <f>(F10-G10)/G10</f>
        <v>-3.490402097585435E-2</v>
      </c>
      <c r="I10" s="150">
        <f>+F10+'[2]Cargo Summary'!I10</f>
        <v>89060.344865438863</v>
      </c>
      <c r="J10" s="150">
        <f>'[1]Cargo Summary'!I10</f>
        <v>84524.309581715876</v>
      </c>
      <c r="K10" s="88">
        <f>(I10-J10)/J10</f>
        <v>5.3665452059536413E-2</v>
      </c>
      <c r="M10" s="37"/>
    </row>
    <row r="11" spans="1:18" x14ac:dyDescent="0.2">
      <c r="A11" s="65" t="s">
        <v>18</v>
      </c>
      <c r="B11" s="173">
        <f>'Major Airline Stats'!J34</f>
        <v>807761</v>
      </c>
      <c r="C11" s="122">
        <f>'Regional Major'!L31</f>
        <v>0</v>
      </c>
      <c r="D11" s="122">
        <f>Cargo!M22</f>
        <v>109289</v>
      </c>
      <c r="E11" s="122">
        <f>SUM(B11:D11)</f>
        <v>917050</v>
      </c>
      <c r="F11" s="122">
        <f>E11*0.00045359237</f>
        <v>415.9668829085</v>
      </c>
      <c r="G11" s="150">
        <f>'[1]Cargo Summary'!F11</f>
        <v>441.28867696374999</v>
      </c>
      <c r="H11" s="37">
        <f>(F11-G11)/G11</f>
        <v>-5.7381472439933176E-2</v>
      </c>
      <c r="I11" s="150">
        <f>+F11+'[2]Cargo Summary'!I11</f>
        <v>6209.4722535869114</v>
      </c>
      <c r="J11" s="150">
        <f>'[1]Cargo Summary'!I11</f>
        <v>7189.8926568700008</v>
      </c>
      <c r="K11" s="88">
        <f>(I11-J11)/J11</f>
        <v>-0.13636092360103452</v>
      </c>
      <c r="M11" s="37"/>
    </row>
    <row r="12" spans="1:18" ht="18" customHeight="1" thickBot="1" x14ac:dyDescent="0.25">
      <c r="A12" s="76" t="s">
        <v>78</v>
      </c>
      <c r="B12" s="175">
        <f>SUM(B10:B11)</f>
        <v>5066045</v>
      </c>
      <c r="C12" s="137">
        <f t="shared" ref="C12:J12" si="1">SUM(C10:C11)</f>
        <v>0</v>
      </c>
      <c r="D12" s="137">
        <f t="shared" si="1"/>
        <v>13380023</v>
      </c>
      <c r="E12" s="137">
        <f t="shared" si="1"/>
        <v>18446068</v>
      </c>
      <c r="F12" s="137">
        <f t="shared" si="1"/>
        <v>8366.995701301159</v>
      </c>
      <c r="G12" s="137">
        <f t="shared" si="1"/>
        <v>8679.8773678339803</v>
      </c>
      <c r="H12" s="46">
        <f>(F12-G12)/G12</f>
        <v>-3.6046784219821229E-2</v>
      </c>
      <c r="I12" s="137">
        <f t="shared" si="1"/>
        <v>95269.817119025771</v>
      </c>
      <c r="J12" s="137">
        <f t="shared" si="1"/>
        <v>91714.202238585873</v>
      </c>
      <c r="K12" s="324">
        <f>(I12-J12)/J12</f>
        <v>3.8768421832752802E-2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8828825</v>
      </c>
      <c r="C20" s="122">
        <f t="shared" si="3"/>
        <v>0</v>
      </c>
      <c r="D20" s="122">
        <f t="shared" si="3"/>
        <v>24979977</v>
      </c>
      <c r="E20" s="122">
        <f>SUM(B20:D20)</f>
        <v>33808802</v>
      </c>
      <c r="F20" s="122">
        <f>E20*0.00045359237</f>
        <v>15335.41462604074</v>
      </c>
      <c r="G20" s="150">
        <f>'[1]Cargo Summary'!F20</f>
        <v>15269.43553349291</v>
      </c>
      <c r="H20" s="39">
        <f>(F20-G20)/G20</f>
        <v>4.3209909366398987E-3</v>
      </c>
      <c r="I20" s="150">
        <f>+I5+I10+I15</f>
        <v>168646.88464831669</v>
      </c>
      <c r="J20" s="150">
        <f>+J5+J10+J15</f>
        <v>166874.45069010794</v>
      </c>
      <c r="K20" s="88">
        <f>(I20-J20)/J20</f>
        <v>1.0621362053201404E-2</v>
      </c>
      <c r="M20" s="37"/>
    </row>
    <row r="21" spans="1:13" x14ac:dyDescent="0.2">
      <c r="A21" s="65" t="s">
        <v>18</v>
      </c>
      <c r="B21" s="173">
        <f t="shared" si="3"/>
        <v>2045547</v>
      </c>
      <c r="C21" s="124">
        <f t="shared" si="3"/>
        <v>0</v>
      </c>
      <c r="D21" s="124">
        <f t="shared" si="3"/>
        <v>114077</v>
      </c>
      <c r="E21" s="122">
        <f>SUM(B21:D21)</f>
        <v>2159624</v>
      </c>
      <c r="F21" s="122">
        <f>E21*0.00045359237</f>
        <v>979.58896846888001</v>
      </c>
      <c r="G21" s="150">
        <f>'[1]Cargo Summary'!F21</f>
        <v>1073.53702014328</v>
      </c>
      <c r="H21" s="39">
        <f>(F21-G21)/G21</f>
        <v>-8.7512633390007491E-2</v>
      </c>
      <c r="I21" s="150">
        <f>+I6+I11+I16</f>
        <v>12121.283586208719</v>
      </c>
      <c r="J21" s="150">
        <f>+J6+J11+J16</f>
        <v>12698.105663328472</v>
      </c>
      <c r="K21" s="88">
        <f>(I21-J21)/J21</f>
        <v>-4.54258369250767E-2</v>
      </c>
      <c r="M21" s="37"/>
    </row>
    <row r="22" spans="1:13" ht="18" customHeight="1" thickBot="1" x14ac:dyDescent="0.25">
      <c r="A22" s="91" t="s">
        <v>67</v>
      </c>
      <c r="B22" s="176">
        <f>SUM(B20:B21)</f>
        <v>10874372</v>
      </c>
      <c r="C22" s="177">
        <f t="shared" ref="C22:J22" si="4">SUM(C20:C21)</f>
        <v>0</v>
      </c>
      <c r="D22" s="177">
        <f t="shared" si="4"/>
        <v>25094054</v>
      </c>
      <c r="E22" s="177">
        <f t="shared" si="4"/>
        <v>35968426</v>
      </c>
      <c r="F22" s="177">
        <f t="shared" si="4"/>
        <v>16315.003594509621</v>
      </c>
      <c r="G22" s="177">
        <f t="shared" si="4"/>
        <v>16342.972553636189</v>
      </c>
      <c r="H22" s="330">
        <f>(F22-G22)/G22</f>
        <v>-1.7113752736705079E-3</v>
      </c>
      <c r="I22" s="177">
        <f t="shared" si="4"/>
        <v>180768.16823452539</v>
      </c>
      <c r="J22" s="177">
        <f t="shared" si="4"/>
        <v>179572.5563534364</v>
      </c>
      <c r="K22" s="331">
        <f>(I22-J22)/J22</f>
        <v>6.658099129222033E-3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22" zoomScaleNormal="100" zoomScaleSheetLayoutView="100" workbookViewId="0">
      <selection activeCell="L37" sqref="L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41944</v>
      </c>
      <c r="B1" s="458" t="s">
        <v>20</v>
      </c>
      <c r="C1" s="457" t="s">
        <v>209</v>
      </c>
      <c r="D1" s="19" t="s">
        <v>203</v>
      </c>
      <c r="E1" s="19" t="s">
        <v>212</v>
      </c>
      <c r="F1" s="477" t="s">
        <v>210</v>
      </c>
      <c r="G1" s="458" t="s">
        <v>53</v>
      </c>
      <c r="H1" s="458" t="s">
        <v>125</v>
      </c>
      <c r="I1" s="458" t="s">
        <v>110</v>
      </c>
      <c r="J1" s="458" t="s">
        <v>215</v>
      </c>
      <c r="K1" s="458" t="s">
        <v>198</v>
      </c>
      <c r="L1" s="477" t="s">
        <v>211</v>
      </c>
      <c r="M1" s="458" t="s">
        <v>158</v>
      </c>
      <c r="N1" s="478" t="s">
        <v>24</v>
      </c>
    </row>
    <row r="2" spans="1:14" ht="15" x14ac:dyDescent="0.25">
      <c r="A2" s="503" t="s">
        <v>159</v>
      </c>
      <c r="B2" s="504"/>
      <c r="C2" s="504"/>
      <c r="D2" s="505"/>
      <c r="E2" s="504"/>
      <c r="F2" s="504"/>
      <c r="G2" s="504"/>
      <c r="H2" s="504"/>
      <c r="I2" s="504"/>
      <c r="J2" s="504"/>
      <c r="K2" s="504"/>
      <c r="L2" s="504"/>
      <c r="M2" s="504"/>
      <c r="N2" s="506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[3]Delta!$DT$32</f>
        <v>35392</v>
      </c>
      <c r="C4" s="22">
        <f>'[3]Atlantic Southeast'!$DT$32</f>
        <v>126</v>
      </c>
      <c r="D4" s="22">
        <f>[3]Pinnacle!$DT$32</f>
        <v>14437</v>
      </c>
      <c r="E4" s="22">
        <f>[3]Compass!$DT$32</f>
        <v>11099</v>
      </c>
      <c r="F4" s="22">
        <f>'[3]Sky West'!$DT$32</f>
        <v>4112</v>
      </c>
      <c r="G4" s="22">
        <f>'[3]Sun Country'!$DT$32</f>
        <v>2566</v>
      </c>
      <c r="H4" s="22">
        <f>[3]Icelandair!$DT$32</f>
        <v>0</v>
      </c>
      <c r="I4" s="22">
        <f>[3]AirCanada!$DT$32</f>
        <v>3149</v>
      </c>
      <c r="J4" s="22">
        <f>[3]Condor!$DT$32</f>
        <v>0</v>
      </c>
      <c r="K4" s="22">
        <f>'[3]Air France'!$DT$32</f>
        <v>0</v>
      </c>
      <c r="L4" s="22">
        <f>[3]Comair!$DT$32</f>
        <v>0</v>
      </c>
      <c r="M4" s="22">
        <f>'[3]Charter Misc'!$DT$32+[3]Ryan!$DT$32+[3]Omni!$DT$32</f>
        <v>0</v>
      </c>
      <c r="N4" s="286">
        <f>SUM(B4:M4)</f>
        <v>70881</v>
      </c>
    </row>
    <row r="5" spans="1:14" x14ac:dyDescent="0.2">
      <c r="A5" s="65" t="s">
        <v>34</v>
      </c>
      <c r="B5" s="14">
        <f>[3]Delta!$DT$33</f>
        <v>33264</v>
      </c>
      <c r="C5" s="14">
        <f>'[3]Atlantic Southeast'!$DT$33</f>
        <v>97</v>
      </c>
      <c r="D5" s="14">
        <f>[3]Pinnacle!$DT$33</f>
        <v>13976</v>
      </c>
      <c r="E5" s="14">
        <f>[3]Compass!$DT$33</f>
        <v>11383</v>
      </c>
      <c r="F5" s="14">
        <f>'[3]Sky West'!$DT$33</f>
        <v>3569</v>
      </c>
      <c r="G5" s="14">
        <f>'[3]Sun Country'!$DT$33</f>
        <v>3047</v>
      </c>
      <c r="H5" s="14">
        <f>[3]Icelandair!$DT$33</f>
        <v>0</v>
      </c>
      <c r="I5" s="14">
        <f>[3]AirCanada!$DT$33</f>
        <v>2727</v>
      </c>
      <c r="J5" s="14">
        <f>[3]Condor!$DT$33</f>
        <v>0</v>
      </c>
      <c r="K5" s="14">
        <f>'[3]Air France'!$DT$33</f>
        <v>0</v>
      </c>
      <c r="L5" s="14">
        <f>[3]Comair!$DT$33</f>
        <v>0</v>
      </c>
      <c r="M5" s="14">
        <f>'[3]Charter Misc'!$DT$33++[3]Ryan!$DT$33+[3]Omni!$DT$33</f>
        <v>0</v>
      </c>
      <c r="N5" s="287">
        <f>SUM(B5:M5)</f>
        <v>68063</v>
      </c>
    </row>
    <row r="6" spans="1:14" ht="15" x14ac:dyDescent="0.25">
      <c r="A6" s="63" t="s">
        <v>7</v>
      </c>
      <c r="B6" s="36">
        <f t="shared" ref="B6:M6" si="0">SUM(B4:B5)</f>
        <v>68656</v>
      </c>
      <c r="C6" s="36">
        <f t="shared" si="0"/>
        <v>223</v>
      </c>
      <c r="D6" s="36">
        <f t="shared" si="0"/>
        <v>28413</v>
      </c>
      <c r="E6" s="36">
        <f t="shared" si="0"/>
        <v>22482</v>
      </c>
      <c r="F6" s="36">
        <f t="shared" si="0"/>
        <v>7681</v>
      </c>
      <c r="G6" s="36">
        <f t="shared" si="0"/>
        <v>5613</v>
      </c>
      <c r="H6" s="36">
        <f t="shared" si="0"/>
        <v>0</v>
      </c>
      <c r="I6" s="36">
        <f t="shared" si="0"/>
        <v>5876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88">
        <f>SUM(B6:M6)</f>
        <v>138944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[3]Delta!$DT$37</f>
        <v>1188</v>
      </c>
      <c r="C9" s="22">
        <f>'[3]Atlantic Southeast'!$DT$37</f>
        <v>1</v>
      </c>
      <c r="D9" s="22">
        <f>[3]Pinnacle!$DT$37</f>
        <v>276</v>
      </c>
      <c r="E9" s="22">
        <f>[3]Compass!$DT$37</f>
        <v>150</v>
      </c>
      <c r="F9" s="22">
        <f>'[3]Sky West'!$DT$37</f>
        <v>39</v>
      </c>
      <c r="G9" s="22">
        <f>'[3]Sun Country'!$DT$37</f>
        <v>20</v>
      </c>
      <c r="H9" s="22">
        <f>[3]Icelandair!$DT$37</f>
        <v>0</v>
      </c>
      <c r="I9" s="22">
        <f>[3]AirCanada!$DT$37</f>
        <v>50</v>
      </c>
      <c r="J9" s="22">
        <f>[3]Condor!$DT$37</f>
        <v>0</v>
      </c>
      <c r="K9" s="22">
        <f>'[3]Air France'!$DT$37</f>
        <v>0</v>
      </c>
      <c r="L9" s="22">
        <f>[3]Comair!$DT$37</f>
        <v>0</v>
      </c>
      <c r="M9" s="22">
        <f>'[3]Charter Misc'!$DT$37+[3]Ryan!$DT$37+[3]Omni!$DT$37</f>
        <v>0</v>
      </c>
      <c r="N9" s="286">
        <f>SUM(B9:M9)</f>
        <v>1724</v>
      </c>
    </row>
    <row r="10" spans="1:14" x14ac:dyDescent="0.2">
      <c r="A10" s="65" t="s">
        <v>36</v>
      </c>
      <c r="B10" s="14">
        <f>[3]Delta!$DT$38</f>
        <v>1176</v>
      </c>
      <c r="C10" s="14">
        <f>'[3]Atlantic Southeast'!$DT$38</f>
        <v>0</v>
      </c>
      <c r="D10" s="14">
        <f>[3]Pinnacle!$DT$38</f>
        <v>272</v>
      </c>
      <c r="E10" s="14">
        <f>[3]Compass!$DT$38</f>
        <v>122</v>
      </c>
      <c r="F10" s="14">
        <f>'[3]Sky West'!$DT$38</f>
        <v>42</v>
      </c>
      <c r="G10" s="14">
        <f>'[3]Sun Country'!$DT$38</f>
        <v>30</v>
      </c>
      <c r="H10" s="14">
        <f>[3]Icelandair!$DT$38</f>
        <v>0</v>
      </c>
      <c r="I10" s="14">
        <f>[3]AirCanada!$DT$38</f>
        <v>46</v>
      </c>
      <c r="J10" s="14">
        <f>[3]Condor!$DT$38</f>
        <v>0</v>
      </c>
      <c r="K10" s="14">
        <f>'[3]Air France'!$DT$38</f>
        <v>0</v>
      </c>
      <c r="L10" s="14">
        <f>[3]Comair!$DT$38</f>
        <v>0</v>
      </c>
      <c r="M10" s="14">
        <f>'[3]Charter Misc'!$DT$38+[3]Ryan!$DT$38+[3]Omni!$DT$38</f>
        <v>0</v>
      </c>
      <c r="N10" s="287">
        <f>SUM(B10:M10)</f>
        <v>1688</v>
      </c>
    </row>
    <row r="11" spans="1:14" ht="15.75" thickBot="1" x14ac:dyDescent="0.3">
      <c r="A11" s="66" t="s">
        <v>37</v>
      </c>
      <c r="B11" s="289">
        <f t="shared" ref="B11:G11" si="1">SUM(B9:B10)</f>
        <v>2364</v>
      </c>
      <c r="C11" s="289">
        <f t="shared" si="1"/>
        <v>1</v>
      </c>
      <c r="D11" s="289">
        <f t="shared" si="1"/>
        <v>548</v>
      </c>
      <c r="E11" s="289">
        <f t="shared" si="1"/>
        <v>272</v>
      </c>
      <c r="F11" s="289">
        <f t="shared" si="1"/>
        <v>81</v>
      </c>
      <c r="G11" s="289">
        <f t="shared" si="1"/>
        <v>50</v>
      </c>
      <c r="H11" s="289">
        <f t="shared" ref="H11:M11" si="2">SUM(H9:H10)</f>
        <v>0</v>
      </c>
      <c r="I11" s="289">
        <f t="shared" si="2"/>
        <v>96</v>
      </c>
      <c r="J11" s="289">
        <f t="shared" si="2"/>
        <v>0</v>
      </c>
      <c r="K11" s="289">
        <f t="shared" si="2"/>
        <v>0</v>
      </c>
      <c r="L11" s="289">
        <f t="shared" si="2"/>
        <v>0</v>
      </c>
      <c r="M11" s="289">
        <f t="shared" si="2"/>
        <v>0</v>
      </c>
      <c r="N11" s="290">
        <f>SUM(B11:M11)</f>
        <v>3412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7" t="s">
        <v>210</v>
      </c>
      <c r="G13" s="458" t="s">
        <v>157</v>
      </c>
      <c r="H13" s="458" t="s">
        <v>125</v>
      </c>
      <c r="I13" s="458" t="s">
        <v>110</v>
      </c>
      <c r="J13" s="458" t="s">
        <v>215</v>
      </c>
      <c r="K13" s="458" t="s">
        <v>198</v>
      </c>
      <c r="L13" s="477" t="s">
        <v>211</v>
      </c>
      <c r="M13" s="458" t="s">
        <v>158</v>
      </c>
      <c r="N13" s="478" t="s">
        <v>160</v>
      </c>
    </row>
    <row r="14" spans="1:14" ht="15" x14ac:dyDescent="0.25">
      <c r="A14" s="507" t="s">
        <v>161</v>
      </c>
      <c r="B14" s="508"/>
      <c r="C14" s="508"/>
      <c r="D14" s="509"/>
      <c r="E14" s="508"/>
      <c r="F14" s="508"/>
      <c r="G14" s="508"/>
      <c r="H14" s="508"/>
      <c r="I14" s="508"/>
      <c r="J14" s="508"/>
      <c r="K14" s="508"/>
      <c r="L14" s="508"/>
      <c r="M14" s="508"/>
      <c r="N14" s="510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SUM([3]Delta!$DJ$32:$DT$32)</f>
        <v>628491</v>
      </c>
      <c r="C16" s="22">
        <f>SUM('[3]Atlantic Southeast'!$DJ$32:$DT$32)</f>
        <v>1283</v>
      </c>
      <c r="D16" s="22">
        <f>SUM([3]Pinnacle!$DJ$32:$DT$32)</f>
        <v>125009</v>
      </c>
      <c r="E16" s="22">
        <f>SUM([3]Compass!$DJ$32:$DT$32)</f>
        <v>140225</v>
      </c>
      <c r="F16" s="22">
        <f>SUM('[3]Sky West'!$DJ$32:$DT$32)</f>
        <v>40027</v>
      </c>
      <c r="G16" s="22">
        <f>SUM('[3]Sun Country'!$DJ$32:$DT$32)</f>
        <v>94589</v>
      </c>
      <c r="H16" s="22">
        <f>SUM([3]Icelandair!$DJ$32:$DQ$32)</f>
        <v>16020</v>
      </c>
      <c r="I16" s="22">
        <f>SUM([3]AirCanada!$DJ$32:$DT$32)</f>
        <v>37610</v>
      </c>
      <c r="J16" s="22">
        <f>SUM([3]Condor!$DJ$32:$DT$32)</f>
        <v>5309</v>
      </c>
      <c r="K16" s="22">
        <f>SUM('[3]Air France'!$DJ$32:$DT$32)</f>
        <v>22792</v>
      </c>
      <c r="L16" s="22">
        <f>SUM([3]Comair!$DJ$32:$DT$32)</f>
        <v>0</v>
      </c>
      <c r="M16" s="22">
        <f>SUM('[3]Charter Misc'!$DJ$32:$DT$32)+SUM([3]Ryan!$DJ$32:$DT$32)+SUM([3]Omni!$DJ$32:$DT$32)</f>
        <v>0</v>
      </c>
      <c r="N16" s="286">
        <f>SUM(B16:M16)</f>
        <v>1111355</v>
      </c>
    </row>
    <row r="17" spans="1:14" x14ac:dyDescent="0.2">
      <c r="A17" s="65" t="s">
        <v>34</v>
      </c>
      <c r="B17" s="14">
        <f>SUM([3]Delta!$DJ$33:$DT$33)</f>
        <v>608948</v>
      </c>
      <c r="C17" s="14">
        <f>SUM('[3]Atlantic Southeast'!$DJ$33:$DT$33)</f>
        <v>1616</v>
      </c>
      <c r="D17" s="14">
        <f>SUM([3]Pinnacle!$DJ$33:$DT$33)</f>
        <v>125167</v>
      </c>
      <c r="E17" s="14">
        <f>SUM([3]Compass!$DJ$33:$DT$33)</f>
        <v>142025</v>
      </c>
      <c r="F17" s="14">
        <f>SUM('[3]Sky West'!$DJ$33:$DT$33)</f>
        <v>40482</v>
      </c>
      <c r="G17" s="14">
        <f>SUM('[3]Sun Country'!$DJ$33:$DT$33)</f>
        <v>91241</v>
      </c>
      <c r="H17" s="14">
        <f>SUM([3]Icelandair!$DJ$33:$DT$33)</f>
        <v>20323</v>
      </c>
      <c r="I17" s="14">
        <f>SUM([3]AirCanada!$DJ$33:$DT$33)</f>
        <v>35153</v>
      </c>
      <c r="J17" s="14">
        <f>SUM([3]Condor!$DJ$33:$DT$33)</f>
        <v>4516</v>
      </c>
      <c r="K17" s="14">
        <f>SUM('[3]Air France'!$DJ$33:$DT$33)</f>
        <v>19165</v>
      </c>
      <c r="L17" s="14">
        <f>SUM([3]Comair!$DJ$33:$DT$33)</f>
        <v>0</v>
      </c>
      <c r="M17" s="14">
        <f>SUM('[3]Charter Misc'!$DJ$33:$DT$33)++SUM([3]Ryan!$DJ$33:$DT$33)+SUM([3]Omni!$DJ$33:$DT$33)</f>
        <v>0</v>
      </c>
      <c r="N17" s="287">
        <f>SUM(B17:M17)</f>
        <v>1088636</v>
      </c>
    </row>
    <row r="18" spans="1:14" ht="15" x14ac:dyDescent="0.25">
      <c r="A18" s="63" t="s">
        <v>7</v>
      </c>
      <c r="B18" s="36">
        <f t="shared" ref="B18:M18" si="3">SUM(B16:B17)</f>
        <v>1237439</v>
      </c>
      <c r="C18" s="36">
        <f t="shared" si="3"/>
        <v>2899</v>
      </c>
      <c r="D18" s="36">
        <f t="shared" si="3"/>
        <v>250176</v>
      </c>
      <c r="E18" s="36">
        <f t="shared" si="3"/>
        <v>282250</v>
      </c>
      <c r="F18" s="36">
        <f t="shared" si="3"/>
        <v>80509</v>
      </c>
      <c r="G18" s="36">
        <f t="shared" si="3"/>
        <v>185830</v>
      </c>
      <c r="H18" s="36">
        <f t="shared" si="3"/>
        <v>36343</v>
      </c>
      <c r="I18" s="36">
        <f t="shared" si="3"/>
        <v>72763</v>
      </c>
      <c r="J18" s="36">
        <f t="shared" si="3"/>
        <v>9825</v>
      </c>
      <c r="K18" s="36">
        <f t="shared" si="3"/>
        <v>41957</v>
      </c>
      <c r="L18" s="36">
        <f t="shared" si="3"/>
        <v>0</v>
      </c>
      <c r="M18" s="36">
        <f t="shared" si="3"/>
        <v>0</v>
      </c>
      <c r="N18" s="288">
        <f>SUM(B18:M18)</f>
        <v>2199991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SUM([3]Delta!$DJ$37:$DT$37)</f>
        <v>15355</v>
      </c>
      <c r="C21" s="22">
        <f>SUM('[3]Atlantic Southeast'!$DJ$37:$DT$37)</f>
        <v>24</v>
      </c>
      <c r="D21" s="22">
        <f>SUM([3]Pinnacle!$DJ$37:$DT$37)</f>
        <v>2187</v>
      </c>
      <c r="E21" s="22">
        <f>SUM([3]Compass!$DJ$37:$DT$37)</f>
        <v>1840</v>
      </c>
      <c r="F21" s="22">
        <f>SUM('[3]Sky West'!$DJ$37:$DT$37)</f>
        <v>348</v>
      </c>
      <c r="G21" s="22">
        <f>SUM('[3]Sun Country'!$DJ$37:$DT$37)</f>
        <v>633</v>
      </c>
      <c r="H21" s="22">
        <f>SUM([3]Icelandair!$DJ$37:$DT$37)</f>
        <v>363</v>
      </c>
      <c r="I21" s="22">
        <f>SUM([3]AirCanada!$DJ$37:$DT$37)</f>
        <v>465</v>
      </c>
      <c r="J21" s="22">
        <f>SUM([3]Condor!$DJ$37:$DT$37)</f>
        <v>33</v>
      </c>
      <c r="K21" s="22">
        <f>SUM('[3]Air France'!$DJ$37:$DT$37)</f>
        <v>122</v>
      </c>
      <c r="L21" s="22">
        <f>SUM([3]Comair!$DJ$37:$DT$37)</f>
        <v>0</v>
      </c>
      <c r="M21" s="22">
        <f>SUM('[3]Charter Misc'!$DJ$37:$DT$37)++SUM([3]Ryan!$DJ$37:$DT$37)+SUM([3]Omni!$DJ$37:$DT$37)</f>
        <v>0</v>
      </c>
      <c r="N21" s="286">
        <f>SUM(B21:M21)</f>
        <v>21370</v>
      </c>
    </row>
    <row r="22" spans="1:14" x14ac:dyDescent="0.2">
      <c r="A22" s="65" t="s">
        <v>36</v>
      </c>
      <c r="B22" s="14">
        <f>SUM([3]Delta!$DJ$38:$DT$38)</f>
        <v>14735</v>
      </c>
      <c r="C22" s="14">
        <f>SUM('[3]Atlantic Southeast'!$DJ$38:$DT$38)</f>
        <v>25</v>
      </c>
      <c r="D22" s="14">
        <f>SUM([3]Pinnacle!$DJ$38:$DT$38)</f>
        <v>2184</v>
      </c>
      <c r="E22" s="14">
        <f>SUM([3]Compass!$DJ$38:$DT$38)</f>
        <v>1634</v>
      </c>
      <c r="F22" s="14">
        <f>SUM('[3]Sky West'!$DJ$38:$DT$38)</f>
        <v>399</v>
      </c>
      <c r="G22" s="14">
        <f>SUM('[3]Sun Country'!$DJ$38:$DT$38)</f>
        <v>753</v>
      </c>
      <c r="H22" s="14">
        <f>SUM([3]Icelandair!$DJ$38:$DT$38)</f>
        <v>413</v>
      </c>
      <c r="I22" s="14">
        <f>SUM([3]AirCanada!$DJ$38:$DT$38)</f>
        <v>460</v>
      </c>
      <c r="J22" s="14">
        <f>SUM([3]Condor!$DJ$38:$DT$38)</f>
        <v>53</v>
      </c>
      <c r="K22" s="14">
        <f>SUM('[3]Air France'!$DJ$38:$DT$38)</f>
        <v>102</v>
      </c>
      <c r="L22" s="14">
        <f>SUM([3]Comair!$DJ$38:$DT$38)</f>
        <v>0</v>
      </c>
      <c r="M22" s="14">
        <f>SUM('[3]Charter Misc'!$DJ$38:$DT$38)++SUM([3]Ryan!$DJ$38:$DT$38)+SUM([3]Omni!$DJ$38:$DT$38)</f>
        <v>0</v>
      </c>
      <c r="N22" s="287">
        <f>SUM(B22:M22)</f>
        <v>20758</v>
      </c>
    </row>
    <row r="23" spans="1:14" ht="15.75" thickBot="1" x14ac:dyDescent="0.3">
      <c r="A23" s="66" t="s">
        <v>37</v>
      </c>
      <c r="B23" s="289">
        <f t="shared" ref="B23:M23" si="4">SUM(B21:B22)</f>
        <v>30090</v>
      </c>
      <c r="C23" s="289">
        <f t="shared" si="4"/>
        <v>49</v>
      </c>
      <c r="D23" s="289">
        <f t="shared" si="4"/>
        <v>4371</v>
      </c>
      <c r="E23" s="289">
        <f t="shared" si="4"/>
        <v>3474</v>
      </c>
      <c r="F23" s="289">
        <f t="shared" si="4"/>
        <v>747</v>
      </c>
      <c r="G23" s="289">
        <f t="shared" si="4"/>
        <v>1386</v>
      </c>
      <c r="H23" s="289">
        <f t="shared" si="4"/>
        <v>776</v>
      </c>
      <c r="I23" s="289">
        <f t="shared" si="4"/>
        <v>925</v>
      </c>
      <c r="J23" s="289">
        <f t="shared" si="4"/>
        <v>86</v>
      </c>
      <c r="K23" s="289">
        <f t="shared" si="4"/>
        <v>224</v>
      </c>
      <c r="L23" s="289">
        <f t="shared" si="4"/>
        <v>0</v>
      </c>
      <c r="M23" s="289">
        <f t="shared" si="4"/>
        <v>0</v>
      </c>
      <c r="N23" s="290">
        <f>SUM(B23:M23)</f>
        <v>42128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7" t="s">
        <v>210</v>
      </c>
      <c r="G25" s="458" t="s">
        <v>157</v>
      </c>
      <c r="H25" s="458" t="s">
        <v>125</v>
      </c>
      <c r="I25" s="458" t="s">
        <v>110</v>
      </c>
      <c r="J25" s="458" t="s">
        <v>215</v>
      </c>
      <c r="K25" s="458" t="s">
        <v>198</v>
      </c>
      <c r="L25" s="477" t="s">
        <v>211</v>
      </c>
      <c r="M25" s="458" t="s">
        <v>158</v>
      </c>
      <c r="N25" s="478" t="s">
        <v>24</v>
      </c>
    </row>
    <row r="26" spans="1:14" ht="15" x14ac:dyDescent="0.25">
      <c r="A26" s="511" t="s">
        <v>162</v>
      </c>
      <c r="B26" s="512"/>
      <c r="C26" s="512"/>
      <c r="D26" s="513"/>
      <c r="E26" s="512"/>
      <c r="F26" s="512"/>
      <c r="G26" s="512"/>
      <c r="H26" s="512"/>
      <c r="I26" s="512"/>
      <c r="J26" s="512"/>
      <c r="K26" s="512"/>
      <c r="L26" s="512"/>
      <c r="M26" s="512"/>
      <c r="N26" s="514"/>
    </row>
    <row r="27" spans="1:14" x14ac:dyDescent="0.2">
      <c r="A27" s="65" t="s">
        <v>25</v>
      </c>
      <c r="B27" s="22">
        <f>[3]Delta!$DT$15</f>
        <v>177</v>
      </c>
      <c r="C27" s="22">
        <f>'[3]Atlantic Southeast'!$DT$15</f>
        <v>2</v>
      </c>
      <c r="D27" s="22">
        <f>[3]Pinnacle!$DT$15</f>
        <v>279</v>
      </c>
      <c r="E27" s="22">
        <f>[3]Compass!$DT$15</f>
        <v>184</v>
      </c>
      <c r="F27" s="22">
        <f>'[3]Sky West'!$DT$15</f>
        <v>81</v>
      </c>
      <c r="G27" s="22">
        <f>'[3]Sun Country'!$DT$15</f>
        <v>20</v>
      </c>
      <c r="H27" s="22">
        <f>[3]Icelandair!$DT$15</f>
        <v>0</v>
      </c>
      <c r="I27" s="22">
        <f>[3]AirCanada!$DT$15</f>
        <v>75</v>
      </c>
      <c r="J27" s="22">
        <f>[3]Condor!$DT$15</f>
        <v>0</v>
      </c>
      <c r="K27" s="22">
        <f>'[3]Air France'!$DT$15</f>
        <v>0</v>
      </c>
      <c r="L27" s="22">
        <f>[3]Comair!$DT$15</f>
        <v>0</v>
      </c>
      <c r="M27" s="22">
        <f>'[3]Charter Misc'!$DT$15+[3]Ryan!$DT$15+[3]Omni!$DT$15</f>
        <v>0</v>
      </c>
      <c r="N27" s="286">
        <f>SUM(B27:M27)</f>
        <v>818</v>
      </c>
    </row>
    <row r="28" spans="1:14" x14ac:dyDescent="0.2">
      <c r="A28" s="65" t="s">
        <v>26</v>
      </c>
      <c r="B28" s="22">
        <f>[3]Delta!$DT$16</f>
        <v>175</v>
      </c>
      <c r="C28" s="22">
        <f>'[3]Atlantic Southeast'!$DT$16</f>
        <v>2</v>
      </c>
      <c r="D28" s="22">
        <f>[3]Pinnacle!$DT$16</f>
        <v>277</v>
      </c>
      <c r="E28" s="22">
        <f>[3]Compass!$DT$16</f>
        <v>183</v>
      </c>
      <c r="F28" s="22">
        <f>'[3]Sky West'!$DT$16</f>
        <v>81</v>
      </c>
      <c r="G28" s="22">
        <f>'[3]Sun Country'!$DT$16</f>
        <v>20</v>
      </c>
      <c r="H28" s="22">
        <f>[3]Icelandair!$DT$16</f>
        <v>0</v>
      </c>
      <c r="I28" s="22">
        <f>[3]AirCanada!$DT$16</f>
        <v>75</v>
      </c>
      <c r="J28" s="22">
        <f>[3]Condor!$DT$16</f>
        <v>0</v>
      </c>
      <c r="K28" s="22">
        <f>'[3]Air France'!$DT$16</f>
        <v>0</v>
      </c>
      <c r="L28" s="22">
        <f>[3]Comair!$DT$16</f>
        <v>0</v>
      </c>
      <c r="M28" s="22">
        <f>'[3]Charter Misc'!$DT$16+[3]Ryan!$DT$16+[3]Omni!$DT$16</f>
        <v>0</v>
      </c>
      <c r="N28" s="286">
        <f>SUM(B28:M28)</f>
        <v>813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352</v>
      </c>
      <c r="C30" s="402">
        <f t="shared" si="5"/>
        <v>4</v>
      </c>
      <c r="D30" s="402">
        <f t="shared" si="5"/>
        <v>556</v>
      </c>
      <c r="E30" s="402">
        <f t="shared" si="5"/>
        <v>367</v>
      </c>
      <c r="F30" s="402">
        <f>SUM(F27:F28)</f>
        <v>162</v>
      </c>
      <c r="G30" s="402">
        <f t="shared" si="5"/>
        <v>40</v>
      </c>
      <c r="H30" s="402">
        <f t="shared" si="5"/>
        <v>0</v>
      </c>
      <c r="I30" s="402">
        <f t="shared" si="5"/>
        <v>150</v>
      </c>
      <c r="J30" s="402">
        <f>SUM(J27:J28)</f>
        <v>0</v>
      </c>
      <c r="K30" s="402">
        <f>SUM(K27:K28)</f>
        <v>0</v>
      </c>
      <c r="L30" s="402">
        <f>SUM(L27:L28)</f>
        <v>0</v>
      </c>
      <c r="M30" s="402">
        <f>SUM(M27:M28)</f>
        <v>0</v>
      </c>
      <c r="N30" s="403">
        <f>SUM(B30:M30)</f>
        <v>1631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7" t="s">
        <v>210</v>
      </c>
      <c r="G32" s="458" t="s">
        <v>157</v>
      </c>
      <c r="H32" s="458" t="s">
        <v>125</v>
      </c>
      <c r="I32" s="458" t="s">
        <v>110</v>
      </c>
      <c r="J32" s="458" t="s">
        <v>215</v>
      </c>
      <c r="K32" s="458" t="s">
        <v>198</v>
      </c>
      <c r="L32" s="477" t="s">
        <v>211</v>
      </c>
      <c r="M32" s="458" t="s">
        <v>158</v>
      </c>
      <c r="N32" s="478" t="s">
        <v>160</v>
      </c>
    </row>
    <row r="33" spans="1:14" ht="15" x14ac:dyDescent="0.25">
      <c r="A33" s="515" t="s">
        <v>163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7"/>
    </row>
    <row r="34" spans="1:14" x14ac:dyDescent="0.2">
      <c r="A34" s="65" t="s">
        <v>25</v>
      </c>
      <c r="B34" s="22">
        <f>SUM([3]Delta!$DJ$15:$DT$15)</f>
        <v>3428</v>
      </c>
      <c r="C34" s="22">
        <f>SUM('[3]Atlantic Southeast'!$DJ$15:$DT$15)</f>
        <v>28</v>
      </c>
      <c r="D34" s="22">
        <f>SUM([3]Pinnacle!$DJ$15:$DT$15)</f>
        <v>2587</v>
      </c>
      <c r="E34" s="22">
        <f>SUM([3]Compass!$DJ$15:$DT$15)</f>
        <v>2292</v>
      </c>
      <c r="F34" s="22">
        <f>SUM('[3]Sky West'!$DJ$15:$DT$15)</f>
        <v>908</v>
      </c>
      <c r="G34" s="22">
        <f>SUM('[3]Sun Country'!$DJ$15:$DT$15)</f>
        <v>710</v>
      </c>
      <c r="H34" s="22">
        <f>SUM([3]Icelandair!$DJ$15:$DT$15)</f>
        <v>130</v>
      </c>
      <c r="I34" s="22">
        <f>SUM([3]AirCanada!$DJ$15:$DT$15)</f>
        <v>934</v>
      </c>
      <c r="J34" s="22">
        <f>SUM([3]Condor!$DJ$15:$DT$15)</f>
        <v>23</v>
      </c>
      <c r="K34" s="22">
        <f>SUM('[3]Air France'!$DJ$15:$DT$15)</f>
        <v>91</v>
      </c>
      <c r="L34" s="22">
        <f>SUM([3]Comair!$DJ$15:$DT$15)</f>
        <v>0</v>
      </c>
      <c r="M34" s="22">
        <f>SUM('[3]Charter Misc'!$DJ$15:$DT$15)+SUM([3]Ryan!$DJ$15:$DT$15)+SUM([3]Omni!$DJ$15:$DT$15)</f>
        <v>0</v>
      </c>
      <c r="N34" s="286">
        <f>SUM(B34:M34)</f>
        <v>11131</v>
      </c>
    </row>
    <row r="35" spans="1:14" x14ac:dyDescent="0.2">
      <c r="A35" s="65" t="s">
        <v>26</v>
      </c>
      <c r="B35" s="22">
        <f>SUM([3]Delta!$DJ$16:$DT$16)</f>
        <v>3440</v>
      </c>
      <c r="C35" s="14">
        <f>SUM('[3]Atlantic Southeast'!$DJ$16:$DT$16)</f>
        <v>27</v>
      </c>
      <c r="D35" s="14">
        <f>SUM([3]Pinnacle!$DJ$16:$DT$16)</f>
        <v>2563</v>
      </c>
      <c r="E35" s="14">
        <f>SUM([3]Compass!$DJ$16:$DT$16)</f>
        <v>2284</v>
      </c>
      <c r="F35" s="14">
        <f>SUM('[3]Sky West'!$DJ$16:$DT$16)</f>
        <v>911</v>
      </c>
      <c r="G35" s="14">
        <f>SUM('[3]Sun Country'!$DJ$16:$DT$16)</f>
        <v>722</v>
      </c>
      <c r="H35" s="14">
        <f>SUM([3]Icelandair!$DJ$16:$DT$16)</f>
        <v>130</v>
      </c>
      <c r="I35" s="14">
        <f>SUM([3]AirCanada!$DJ$16:$DT$16)</f>
        <v>933</v>
      </c>
      <c r="J35" s="14">
        <f>SUM([3]Condor!$DJ$16:$DT$16)</f>
        <v>23</v>
      </c>
      <c r="K35" s="14">
        <f>SUM('[3]Air France'!$DJ$16:$DT$16)</f>
        <v>91</v>
      </c>
      <c r="L35" s="14">
        <f>SUM([3]Comair!$DJ$16:$DT$16)</f>
        <v>0</v>
      </c>
      <c r="M35" s="14">
        <f>SUM('[3]Charter Misc'!$DJ$16:$DT$16)++SUM([3]Ryan!$DJ$16:$DT$16)+SUM([3]Omni!$DJ$16:$DT$16)</f>
        <v>0</v>
      </c>
      <c r="N35" s="14">
        <f>SUM(B35:M35)</f>
        <v>11124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6868</v>
      </c>
      <c r="C37" s="402">
        <f t="shared" si="6"/>
        <v>55</v>
      </c>
      <c r="D37" s="402">
        <f t="shared" si="6"/>
        <v>5150</v>
      </c>
      <c r="E37" s="402">
        <f t="shared" si="6"/>
        <v>4576</v>
      </c>
      <c r="F37" s="402">
        <f>+SUM(F34:F35)</f>
        <v>1819</v>
      </c>
      <c r="G37" s="402">
        <f t="shared" si="6"/>
        <v>1432</v>
      </c>
      <c r="H37" s="402">
        <f t="shared" si="6"/>
        <v>260</v>
      </c>
      <c r="I37" s="402">
        <f t="shared" si="6"/>
        <v>1867</v>
      </c>
      <c r="J37" s="402">
        <f>+SUM(J34:J35)</f>
        <v>46</v>
      </c>
      <c r="K37" s="402">
        <f>+SUM(K34:K35)</f>
        <v>182</v>
      </c>
      <c r="L37" s="402">
        <f>+SUM(L34:L35)</f>
        <v>0</v>
      </c>
      <c r="M37" s="402">
        <f>+SUM(M34:M35)</f>
        <v>0</v>
      </c>
      <c r="N37" s="403">
        <f>SUM(B37:M37)</f>
        <v>22255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&amp;"Arial,Bold"November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2014-12-24T16:16:05Z</cp:lastPrinted>
  <dcterms:created xsi:type="dcterms:W3CDTF">2007-09-24T12:26:24Z</dcterms:created>
  <dcterms:modified xsi:type="dcterms:W3CDTF">2018-11-14T00:50:31Z</dcterms:modified>
</cp:coreProperties>
</file>