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47055FED-2F20-480C-A2F2-C02A7A75AA77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Q59" i="9" l="1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8" i="9"/>
  <c r="N28" i="9"/>
  <c r="H28" i="9"/>
  <c r="E28" i="9"/>
  <c r="Q26" i="9"/>
  <c r="N26" i="9"/>
  <c r="H26" i="9"/>
  <c r="E26" i="9"/>
  <c r="Q24" i="9"/>
  <c r="N24" i="9"/>
  <c r="H24" i="9"/>
  <c r="E24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8" i="9"/>
  <c r="L28" i="9"/>
  <c r="G28" i="9"/>
  <c r="C28" i="9"/>
  <c r="P26" i="9"/>
  <c r="L26" i="9"/>
  <c r="G26" i="9"/>
  <c r="C26" i="9"/>
  <c r="P24" i="9"/>
  <c r="L24" i="9"/>
  <c r="G24" i="9"/>
  <c r="C24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O31" i="7"/>
  <c r="M30" i="7"/>
  <c r="L30" i="7"/>
  <c r="J31" i="7"/>
  <c r="E31" i="7"/>
  <c r="C30" i="7"/>
  <c r="B30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J17" i="3" l="1"/>
  <c r="N30" i="7"/>
  <c r="D30" i="7"/>
  <c r="M29" i="7"/>
  <c r="L29" i="7"/>
  <c r="O30" i="7"/>
  <c r="J30" i="7"/>
  <c r="C29" i="7"/>
  <c r="B29" i="7"/>
  <c r="E30" i="7"/>
  <c r="G29" i="7" l="1"/>
  <c r="O29" i="7"/>
  <c r="J29" i="7"/>
  <c r="E29" i="7"/>
  <c r="O28" i="7" l="1"/>
  <c r="J28" i="7"/>
  <c r="E28" i="7"/>
  <c r="R22" i="9" l="1"/>
  <c r="I22" i="9"/>
  <c r="F22" i="9"/>
  <c r="O22" i="9" l="1"/>
  <c r="D36" i="15"/>
  <c r="J27" i="7" l="1"/>
  <c r="O27" i="7" l="1"/>
  <c r="E27" i="7"/>
  <c r="C63" i="9" l="1"/>
  <c r="G63" i="9"/>
  <c r="H63" i="9"/>
  <c r="E63" i="9"/>
  <c r="L63" i="9"/>
  <c r="N63" i="9"/>
  <c r="P63" i="9"/>
  <c r="Q63" i="9"/>
  <c r="M16" i="8"/>
  <c r="G11" i="2"/>
  <c r="F11" i="2"/>
  <c r="F6" i="2"/>
  <c r="G6" i="2" l="1"/>
  <c r="I7" i="15"/>
  <c r="I12" i="15"/>
  <c r="G17" i="2"/>
  <c r="I28" i="9"/>
  <c r="R31" i="9" l="1"/>
  <c r="O31" i="9"/>
  <c r="R28" i="9"/>
  <c r="F28" i="9"/>
  <c r="O28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E26" i="7"/>
  <c r="E25" i="7"/>
  <c r="D23" i="3" l="1"/>
  <c r="E45" i="3"/>
  <c r="E23" i="3"/>
  <c r="D45" i="3"/>
  <c r="J24" i="7"/>
  <c r="J25" i="7"/>
  <c r="J30" i="16" l="1"/>
  <c r="J18" i="16"/>
  <c r="J6" i="16"/>
  <c r="J23" i="16"/>
  <c r="J11" i="16" l="1"/>
  <c r="J37" i="16"/>
  <c r="O24" i="7"/>
  <c r="E24" i="7"/>
  <c r="N16" i="16" l="1"/>
  <c r="G18" i="8" l="1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9" i="9" l="1"/>
  <c r="Q13" i="9"/>
  <c r="G17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J7" i="15"/>
  <c r="K23" i="16"/>
  <c r="I40" i="15"/>
  <c r="F21" i="2"/>
  <c r="F35" i="2"/>
  <c r="G30" i="2"/>
  <c r="G40" i="2"/>
  <c r="J37" i="15"/>
  <c r="K30" i="16"/>
  <c r="K6" i="16"/>
  <c r="I17" i="15"/>
  <c r="I27" i="15"/>
  <c r="I37" i="15"/>
  <c r="G43" i="2"/>
  <c r="I32" i="15"/>
  <c r="K37" i="16"/>
  <c r="F17" i="2"/>
  <c r="F30" i="2"/>
  <c r="F40" i="2"/>
  <c r="J32" i="15"/>
  <c r="J12" i="15"/>
  <c r="J27" i="15"/>
  <c r="J17" i="15"/>
  <c r="I41" i="15"/>
  <c r="G35" i="2"/>
  <c r="K18" i="16"/>
  <c r="I20" i="15"/>
  <c r="J40" i="15"/>
  <c r="J20" i="15"/>
  <c r="K11" i="16"/>
  <c r="J41" i="15"/>
  <c r="F43" i="2"/>
  <c r="G44" i="2"/>
  <c r="F44" i="2"/>
  <c r="F4" i="9" l="1"/>
  <c r="F17" i="9"/>
  <c r="I21" i="15"/>
  <c r="F45" i="2"/>
  <c r="I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2" i="7"/>
  <c r="P32" i="7"/>
  <c r="I32" i="7"/>
  <c r="K32" i="7"/>
  <c r="D32" i="7"/>
  <c r="F32" i="7" s="1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H18" i="3"/>
  <c r="H23" i="3" s="1"/>
  <c r="C17" i="4"/>
  <c r="J37" i="4"/>
  <c r="I37" i="16"/>
  <c r="D32" i="8"/>
  <c r="H37" i="16"/>
  <c r="R59" i="9"/>
  <c r="B18" i="3"/>
  <c r="E17" i="15"/>
  <c r="B37" i="16"/>
  <c r="F37" i="16"/>
  <c r="H45" i="9"/>
  <c r="H44" i="3"/>
  <c r="J48" i="3"/>
  <c r="H50" i="2" s="1"/>
  <c r="I50" i="2" s="1"/>
  <c r="D30" i="16"/>
  <c r="H30" i="16"/>
  <c r="F34" i="9"/>
  <c r="O56" i="9"/>
  <c r="F58" i="9"/>
  <c r="F32" i="9"/>
  <c r="M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L18" i="16"/>
  <c r="O35" i="9"/>
  <c r="R53" i="9"/>
  <c r="D6" i="16"/>
  <c r="C7" i="7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53" i="9"/>
  <c r="O43" i="9"/>
  <c r="E43" i="2"/>
  <c r="B43" i="2"/>
  <c r="G32" i="15"/>
  <c r="C32" i="15"/>
  <c r="G44" i="3"/>
  <c r="B23" i="16"/>
  <c r="I18" i="9"/>
  <c r="R54" i="9"/>
  <c r="R20" i="9"/>
  <c r="G11" i="16"/>
  <c r="F6" i="16"/>
  <c r="B6" i="16"/>
  <c r="I11" i="16"/>
  <c r="E11" i="16"/>
  <c r="H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G30" i="16"/>
  <c r="H52" i="9"/>
  <c r="I59" i="9"/>
  <c r="G7" i="3"/>
  <c r="E7" i="7"/>
  <c r="C12" i="7"/>
  <c r="K6" i="8"/>
  <c r="K12" i="8" s="1"/>
  <c r="C44" i="3"/>
  <c r="E32" i="15"/>
  <c r="J32" i="4"/>
  <c r="D27" i="4"/>
  <c r="L18" i="8"/>
  <c r="D18" i="8"/>
  <c r="F31" i="8"/>
  <c r="H23" i="16"/>
  <c r="I11" i="9"/>
  <c r="I58" i="9"/>
  <c r="I32" i="9"/>
  <c r="G6" i="16"/>
  <c r="C6" i="16"/>
  <c r="E6" i="16"/>
  <c r="F7" i="3"/>
  <c r="I7" i="3"/>
  <c r="C7" i="3"/>
  <c r="B6" i="8"/>
  <c r="B12" i="8" s="1"/>
  <c r="B40" i="4"/>
  <c r="E23" i="16"/>
  <c r="I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H7" i="15"/>
  <c r="K12" i="15"/>
  <c r="D12" i="4"/>
  <c r="C12" i="3"/>
  <c r="C22" i="3"/>
  <c r="G40" i="3"/>
  <c r="C40" i="2"/>
  <c r="O37" i="9"/>
  <c r="C52" i="9"/>
  <c r="R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30" i="9"/>
  <c r="R56" i="9"/>
  <c r="D37" i="4"/>
  <c r="B40" i="15"/>
  <c r="J20" i="3"/>
  <c r="H19" i="2" s="1"/>
  <c r="I19" i="2" s="1"/>
  <c r="M8" i="8"/>
  <c r="G43" i="3"/>
  <c r="B27" i="4"/>
  <c r="L19" i="15"/>
  <c r="K19" i="4" s="1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F43" i="3"/>
  <c r="B41" i="4"/>
  <c r="C32" i="4"/>
  <c r="B18" i="16"/>
  <c r="F18" i="16"/>
  <c r="N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G23" i="16"/>
  <c r="R32" i="9"/>
  <c r="Q30" i="9"/>
  <c r="J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I30" i="16"/>
  <c r="N28" i="16"/>
  <c r="N17" i="16"/>
  <c r="G18" i="16"/>
  <c r="D23" i="16"/>
  <c r="G40" i="4"/>
  <c r="G37" i="4"/>
  <c r="J38" i="3"/>
  <c r="H38" i="2" s="1"/>
  <c r="F40" i="3"/>
  <c r="F28" i="8"/>
  <c r="F32" i="8"/>
  <c r="D5" i="5"/>
  <c r="G37" i="15"/>
  <c r="L18" i="15"/>
  <c r="K18" i="4" s="1"/>
  <c r="J32" i="8"/>
  <c r="F41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F50" i="9"/>
  <c r="I39" i="9"/>
  <c r="O34" i="9"/>
  <c r="O55" i="9"/>
  <c r="F56" i="9"/>
  <c r="F55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O11" i="9"/>
  <c r="G37" i="16"/>
  <c r="O48" i="9"/>
  <c r="R35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M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H16" i="2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52" i="9"/>
  <c r="J12" i="5"/>
  <c r="J21" i="5"/>
  <c r="M4" i="8"/>
  <c r="B19" i="1" s="1"/>
  <c r="C6" i="8"/>
  <c r="K31" i="8"/>
  <c r="K23" i="8"/>
  <c r="C32" i="8"/>
  <c r="F11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O18" i="9"/>
  <c r="O39" i="9"/>
  <c r="O50" i="9"/>
  <c r="L11" i="15"/>
  <c r="K11" i="4" s="1"/>
  <c r="L11" i="4" s="1"/>
  <c r="D12" i="15"/>
  <c r="F36" i="9"/>
  <c r="R18" i="9"/>
  <c r="L15" i="15"/>
  <c r="K15" i="4" s="1"/>
  <c r="C30" i="9"/>
  <c r="E45" i="9"/>
  <c r="N52" i="9"/>
  <c r="L6" i="16"/>
  <c r="B7" i="7"/>
  <c r="F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B31" i="7" l="1"/>
  <c r="C31" i="7"/>
  <c r="N64" i="9"/>
  <c r="N62" i="9" s="1"/>
  <c r="H64" i="9"/>
  <c r="H62" i="9" s="1"/>
  <c r="E64" i="9"/>
  <c r="E62" i="9" s="1"/>
  <c r="Q64" i="9"/>
  <c r="Q62" i="9" s="1"/>
  <c r="F20" i="1"/>
  <c r="F21" i="1"/>
  <c r="G21" i="4"/>
  <c r="O30" i="9"/>
  <c r="F52" i="9"/>
  <c r="G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J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J22" i="3"/>
  <c r="R52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30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D42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J43" i="3"/>
  <c r="I52" i="9"/>
  <c r="D31" i="7" l="1"/>
  <c r="F31" i="7" s="1"/>
  <c r="F30" i="7"/>
  <c r="D29" i="7"/>
  <c r="F29" i="7" s="1"/>
  <c r="F18" i="1"/>
  <c r="M12" i="8"/>
  <c r="B10" i="1"/>
  <c r="L21" i="15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H30" i="7" l="1"/>
  <c r="M31" i="7"/>
  <c r="H31" i="7" s="1"/>
  <c r="H29" i="7"/>
  <c r="D10" i="1"/>
  <c r="C32" i="1"/>
  <c r="B11" i="1"/>
  <c r="L31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N31" i="7" l="1"/>
  <c r="P31" i="7" s="1"/>
  <c r="G31" i="7"/>
  <c r="P30" i="7"/>
  <c r="G30" i="7"/>
  <c r="I30" i="7" s="1"/>
  <c r="K30" i="7" s="1"/>
  <c r="N29" i="7"/>
  <c r="P29" i="7" s="1"/>
  <c r="D11" i="1"/>
  <c r="F11" i="1" s="1"/>
  <c r="F10" i="1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31" i="7" l="1"/>
  <c r="I29" i="7"/>
  <c r="K29" i="7" s="1"/>
  <c r="I21" i="7"/>
  <c r="F22" i="5"/>
  <c r="H22" i="5" s="1"/>
  <c r="H20" i="5"/>
  <c r="K31" i="7" l="1"/>
  <c r="K21" i="7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P64" i="9" s="1"/>
  <c r="I46" i="9"/>
  <c r="G45" i="9"/>
  <c r="C45" i="9"/>
  <c r="C64" i="9" s="1"/>
  <c r="F46" i="9"/>
  <c r="G64" i="9" l="1"/>
  <c r="D28" i="9"/>
  <c r="D22" i="9"/>
  <c r="L64" i="9"/>
  <c r="R45" i="9"/>
  <c r="O45" i="9"/>
  <c r="F45" i="9"/>
  <c r="D26" i="9"/>
  <c r="I45" i="9"/>
  <c r="M28" i="9" l="1"/>
  <c r="M22" i="9"/>
  <c r="M26" i="9"/>
  <c r="M31" i="9"/>
  <c r="M9" i="9"/>
  <c r="D45" i="9"/>
  <c r="D9" i="9"/>
  <c r="M57" i="9"/>
  <c r="M15" i="9"/>
  <c r="M13" i="9"/>
  <c r="M6" i="9"/>
  <c r="M5" i="9"/>
  <c r="M48" i="9"/>
  <c r="M41" i="9"/>
  <c r="M14" i="9"/>
  <c r="M39" i="9"/>
  <c r="M19" i="9"/>
  <c r="M18" i="9"/>
  <c r="M50" i="9"/>
  <c r="O64" i="9"/>
  <c r="M53" i="9"/>
  <c r="M55" i="9"/>
  <c r="M23" i="9"/>
  <c r="M52" i="9"/>
  <c r="M21" i="9"/>
  <c r="M37" i="9"/>
  <c r="M4" i="9"/>
  <c r="L62" i="9"/>
  <c r="M20" i="9"/>
  <c r="M56" i="9"/>
  <c r="M43" i="9"/>
  <c r="M30" i="9"/>
  <c r="M59" i="9"/>
  <c r="M64" i="9"/>
  <c r="M36" i="9"/>
  <c r="M63" i="9"/>
  <c r="M11" i="9"/>
  <c r="M24" i="9"/>
  <c r="M33" i="9"/>
  <c r="M34" i="9"/>
  <c r="M7" i="9"/>
  <c r="M58" i="9"/>
  <c r="M17" i="9"/>
  <c r="M35" i="9"/>
  <c r="M32" i="9"/>
  <c r="M46" i="9"/>
  <c r="R64" i="9"/>
  <c r="P62" i="9"/>
  <c r="M45" i="9"/>
  <c r="I64" i="9"/>
  <c r="G62" i="9"/>
  <c r="D13" i="9"/>
  <c r="D64" i="9"/>
  <c r="D59" i="9"/>
  <c r="D50" i="9"/>
  <c r="D57" i="9"/>
  <c r="D56" i="9"/>
  <c r="D32" i="9"/>
  <c r="D21" i="9"/>
  <c r="D15" i="9"/>
  <c r="D17" i="9"/>
  <c r="D52" i="9"/>
  <c r="D41" i="9"/>
  <c r="D39" i="9"/>
  <c r="D5" i="9"/>
  <c r="D19" i="9"/>
  <c r="D30" i="9"/>
  <c r="D36" i="9"/>
  <c r="D18" i="9"/>
  <c r="D7" i="9"/>
  <c r="C62" i="9"/>
  <c r="D58" i="9"/>
  <c r="D55" i="9"/>
  <c r="D4" i="9"/>
  <c r="D53" i="9"/>
  <c r="D33" i="9"/>
  <c r="F64" i="9"/>
  <c r="D63" i="9"/>
  <c r="D6" i="9"/>
  <c r="D31" i="9"/>
  <c r="D34" i="9"/>
  <c r="D35" i="9"/>
  <c r="D37" i="9"/>
  <c r="D48" i="9"/>
  <c r="D20" i="9"/>
  <c r="D24" i="9"/>
  <c r="D11" i="9"/>
  <c r="D14" i="9"/>
  <c r="D43" i="9"/>
  <c r="D23" i="9"/>
  <c r="D46" i="9"/>
  <c r="R62" i="9" l="1"/>
  <c r="I62" i="9"/>
  <c r="M62" i="9"/>
  <c r="O62" i="9"/>
  <c r="F62" i="9"/>
  <c r="D62" i="9"/>
  <c r="B25" i="7" l="1"/>
  <c r="C25" i="7"/>
  <c r="D25" i="7" s="1"/>
  <c r="F25" i="7" s="1"/>
  <c r="L25" i="7" l="1"/>
  <c r="G25" i="7"/>
  <c r="M25" i="7"/>
  <c r="H25" i="7" s="1"/>
  <c r="N25" i="7" l="1"/>
  <c r="P25" i="7" s="1"/>
  <c r="I25" i="7"/>
  <c r="K25" i="7" s="1"/>
  <c r="B23" i="7" l="1"/>
  <c r="C23" i="7"/>
  <c r="D23" i="7" l="1"/>
  <c r="F23" i="7" s="1"/>
  <c r="L23" i="7" l="1"/>
  <c r="G23" i="7" s="1"/>
  <c r="M23" i="7"/>
  <c r="H23" i="7" s="1"/>
  <c r="I23" i="7" l="1"/>
  <c r="K23" i="7" s="1"/>
  <c r="N23" i="7"/>
  <c r="P23" i="7" s="1"/>
  <c r="B26" i="7" l="1"/>
  <c r="C26" i="7"/>
  <c r="D26" i="7" l="1"/>
  <c r="F26" i="7" s="1"/>
  <c r="M26" i="7"/>
  <c r="H26" i="7" s="1"/>
  <c r="L26" i="7" l="1"/>
  <c r="N26" i="7" s="1"/>
  <c r="P26" i="7" s="1"/>
  <c r="G26" i="7" l="1"/>
  <c r="I26" i="7" s="1"/>
  <c r="K26" i="7" s="1"/>
  <c r="C27" i="7" l="1"/>
  <c r="B27" i="7"/>
  <c r="D27" i="7" s="1"/>
  <c r="F27" i="7" s="1"/>
  <c r="M27" i="7" l="1"/>
  <c r="H27" i="7" s="1"/>
  <c r="L27" i="7" l="1"/>
  <c r="G27" i="7" s="1"/>
  <c r="I27" i="7" s="1"/>
  <c r="K27" i="7" s="1"/>
  <c r="N27" i="7" l="1"/>
  <c r="P27" i="7" s="1"/>
  <c r="B22" i="7" l="1"/>
  <c r="C22" i="7"/>
  <c r="D22" i="7" s="1"/>
  <c r="M22" i="7" l="1"/>
  <c r="H22" i="7" s="1"/>
  <c r="F22" i="7"/>
  <c r="L22" i="7" l="1"/>
  <c r="N22" i="7" s="1"/>
  <c r="G22" i="7" l="1"/>
  <c r="I22" i="7" s="1"/>
  <c r="P22" i="7"/>
  <c r="K22" i="7" l="1"/>
  <c r="C28" i="7" l="1"/>
  <c r="B28" i="7"/>
  <c r="M28" i="7" l="1"/>
  <c r="H28" i="7" s="1"/>
  <c r="D28" i="7"/>
  <c r="F28" i="7" s="1"/>
  <c r="L28" i="7" l="1"/>
  <c r="N28" i="7" l="1"/>
  <c r="P28" i="7" s="1"/>
  <c r="G28" i="7"/>
  <c r="I28" i="7" s="1"/>
  <c r="K28" i="7" s="1"/>
  <c r="D33" i="1" l="1"/>
  <c r="I16" i="5" l="1"/>
  <c r="C24" i="7"/>
  <c r="C33" i="7" s="1"/>
  <c r="B24" i="7"/>
  <c r="M24" i="7" l="1"/>
  <c r="M33" i="7" s="1"/>
  <c r="D24" i="7"/>
  <c r="B33" i="7"/>
  <c r="H24" i="7" l="1"/>
  <c r="H33" i="7" s="1"/>
  <c r="L24" i="7"/>
  <c r="F24" i="7"/>
  <c r="D33" i="7"/>
  <c r="F33" i="7" s="1"/>
  <c r="G24" i="7" l="1"/>
  <c r="N24" i="7"/>
  <c r="L33" i="7"/>
  <c r="G20" i="1" l="1"/>
  <c r="I6" i="5"/>
  <c r="P24" i="7"/>
  <c r="N33" i="7"/>
  <c r="P33" i="7" s="1"/>
  <c r="I24" i="7"/>
  <c r="G33" i="7"/>
  <c r="G21" i="1" l="1"/>
  <c r="I20" i="1"/>
  <c r="I10" i="5"/>
  <c r="I5" i="5"/>
  <c r="I15" i="5"/>
  <c r="D32" i="1"/>
  <c r="G5" i="1"/>
  <c r="K6" i="5"/>
  <c r="I11" i="5"/>
  <c r="K24" i="7"/>
  <c r="I33" i="7"/>
  <c r="K33" i="7" s="1"/>
  <c r="I21" i="5" l="1"/>
  <c r="K21" i="5" s="1"/>
  <c r="K11" i="5"/>
  <c r="I5" i="1"/>
  <c r="K15" i="5"/>
  <c r="I17" i="5"/>
  <c r="K17" i="5" s="1"/>
  <c r="K10" i="5"/>
  <c r="I12" i="5"/>
  <c r="K12" i="5" s="1"/>
  <c r="G17" i="1"/>
  <c r="G19" i="1"/>
  <c r="G7" i="1"/>
  <c r="G18" i="1"/>
  <c r="D34" i="1"/>
  <c r="E33" i="1" s="1"/>
  <c r="E32" i="1"/>
  <c r="I20" i="5"/>
  <c r="I7" i="5"/>
  <c r="K7" i="5" s="1"/>
  <c r="K5" i="5"/>
  <c r="G16" i="1"/>
  <c r="I21" i="1"/>
  <c r="G27" i="1"/>
  <c r="I27" i="1" l="1"/>
  <c r="G6" i="1"/>
  <c r="I19" i="1"/>
  <c r="G28" i="1"/>
  <c r="I16" i="1"/>
  <c r="G22" i="1"/>
  <c r="I22" i="1" s="1"/>
  <c r="I18" i="1"/>
  <c r="I7" i="1"/>
  <c r="I22" i="5"/>
  <c r="K22" i="5" s="1"/>
  <c r="K20" i="5"/>
  <c r="I17" i="1"/>
  <c r="G10" i="1" l="1"/>
  <c r="I6" i="1"/>
  <c r="G8" i="1"/>
  <c r="I28" i="1"/>
  <c r="G29" i="1"/>
  <c r="I29" i="1" s="1"/>
  <c r="I10" i="1" l="1"/>
  <c r="G11" i="1"/>
  <c r="I11" i="1" s="1"/>
  <c r="I8" i="1"/>
</calcChain>
</file>

<file path=xl/sharedStrings.xml><?xml version="1.0" encoding="utf-8"?>
<sst xmlns="http://schemas.openxmlformats.org/spreadsheetml/2006/main" count="545" uniqueCount="222">
  <si>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</si>
  <si>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</si>
  <si>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</si>
  <si>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</si>
  <si>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</si>
  <si>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</si>
  <si>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</si>
  <si>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</si>
  <si>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</si>
  <si>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</si>
  <si>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</si>
  <si>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</si>
  <si>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</si>
  <si>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</si>
  <si>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</si>
  <si>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</si>
  <si>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</si>
  <si>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</si>
  <si>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</si>
  <si>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</si>
  <si>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</si>
  <si>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</si>
  <si>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</si>
  <si>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</si>
  <si>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</si>
  <si>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</si>
  <si>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</si>
  <si>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</si>
  <si>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</si>
  <si>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</si>
  <si>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</si>
  <si>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</si>
  <si>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</si>
  <si>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</si>
  <si>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</si>
  <si>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</si>
  <si>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</si>
  <si>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</si>
  <si>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</si>
  <si>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</si>
  <si>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</si>
  <si>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</si>
  <si>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</si>
  <si>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</si>
  <si>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</si>
  <si>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</si>
  <si>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</si>
  <si>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</si>
  <si>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</si>
  <si>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</si>
  <si>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</si>
  <si>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</si>
  <si>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</si>
  <si>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</si>
  <si>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</si>
  <si>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</si>
  <si>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</si>
  <si>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</si>
  <si>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</si>
  <si>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</si>
  <si>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</si>
  <si>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</si>
  <si>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</si>
  <si>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</si>
  <si>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</si>
  <si>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</si>
  <si>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</si>
  <si>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</si>
  <si>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</si>
  <si>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</si>
  <si>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</si>
  <si>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</si>
  <si>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</si>
  <si>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</si>
  <si>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</si>
  <si>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</si>
  <si>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</si>
  <si>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</si>
  <si>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</si>
  <si>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</si>
  <si>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</si>
  <si>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</si>
  <si>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</si>
  <si>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</si>
  <si>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</si>
  <si>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</si>
  <si>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</si>
  <si>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</si>
  <si>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</si>
  <si>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</si>
  <si>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</si>
  <si>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</si>
  <si>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</si>
  <si>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</si>
  <si>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</si>
  <si>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</si>
  <si>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</si>
  <si>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</si>
  <si>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</si>
  <si>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</si>
  <si>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</si>
  <si>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</si>
  <si>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</si>
  <si>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</si>
  <si>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</si>
  <si>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</si>
  <si>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</si>
  <si>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</si>
  <si>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</si>
  <si>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</si>
  <si>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</si>
  <si>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</si>
  <si>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</si>
  <si>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</si>
  <si>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</si>
  <si>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</si>
  <si>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</si>
  <si>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</si>
  <si>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</si>
  <si>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</si>
  <si>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</si>
  <si>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</si>
  <si>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</si>
  <si>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</si>
  <si>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</si>
  <si>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</si>
  <si>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</si>
  <si>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</si>
  <si>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</si>
  <si>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</si>
  <si>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</si>
  <si>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</si>
  <si>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</si>
  <si>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</si>
  <si>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</si>
  <si>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</si>
  <si>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</si>
  <si>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</si>
  <si>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</si>
  <si>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</si>
  <si>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</si>
  <si>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</si>
  <si>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</si>
  <si>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</si>
  <si>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</si>
  <si>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</si>
  <si>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</si>
  <si>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</si>
  <si>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</si>
  <si>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</si>
  <si>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</si>
  <si>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</si>
  <si>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</si>
  <si>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</si>
  <si>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</si>
  <si>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</si>
  <si>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</si>
  <si>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</si>
  <si>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</si>
  <si>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</si>
  <si>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</si>
  <si>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</si>
  <si>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</si>
  <si>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</si>
  <si>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</si>
  <si>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</si>
  <si>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</si>
  <si>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</si>
  <si>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</si>
  <si>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</si>
  <si>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</si>
  <si>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</si>
  <si>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</si>
  <si>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</si>
  <si>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</si>
  <si>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</si>
  <si>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</si>
  <si>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</si>
  <si>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</si>
  <si>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</si>
  <si>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</si>
  <si>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</si>
  <si>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</si>
  <si>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</si>
  <si>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</si>
  <si>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</si>
  <si>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</si>
  <si>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</si>
  <si>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</si>
  <si>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</si>
  <si>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</si>
  <si>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</si>
  <si>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</si>
  <si>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</si>
  <si>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</si>
  <si>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</si>
  <si>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</si>
  <si>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</si>
  <si>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</si>
  <si>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</si>
  <si>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</si>
  <si>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</si>
  <si>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</si>
  <si>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</si>
  <si>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</si>
  <si>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</si>
  <si>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</si>
  <si>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</si>
  <si>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</si>
  <si>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</si>
  <si>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</si>
  <si>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</si>
  <si>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</si>
  <si>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</si>
  <si>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</si>
  <si>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</si>
  <si>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</si>
  <si>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</si>
  <si>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</si>
  <si>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PSA - American</t>
  </si>
  <si>
    <t>PSA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</si>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</sst>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9" fontId="0" fillId="0" borderId="0" xfId="0" applyNumberFormat="1" applyFill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November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ugust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September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Octob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2065247</v>
          </cell>
          <cell r="G5">
            <v>24931742</v>
          </cell>
        </row>
        <row r="6">
          <cell r="D6">
            <v>686427</v>
          </cell>
          <cell r="G6">
            <v>7820775</v>
          </cell>
        </row>
        <row r="7">
          <cell r="D7">
            <v>800</v>
          </cell>
          <cell r="G7">
            <v>5089</v>
          </cell>
        </row>
        <row r="10">
          <cell r="D10">
            <v>84876</v>
          </cell>
          <cell r="G10">
            <v>1004480</v>
          </cell>
        </row>
        <row r="16">
          <cell r="D16">
            <v>16590</v>
          </cell>
          <cell r="G16">
            <v>189611</v>
          </cell>
        </row>
        <row r="17">
          <cell r="D17">
            <v>13199</v>
          </cell>
          <cell r="G17">
            <v>149905</v>
          </cell>
        </row>
        <row r="18">
          <cell r="D18">
            <v>10</v>
          </cell>
          <cell r="G18">
            <v>76</v>
          </cell>
        </row>
        <row r="19">
          <cell r="D19">
            <v>973</v>
          </cell>
          <cell r="G19">
            <v>11386</v>
          </cell>
        </row>
        <row r="20">
          <cell r="D20">
            <v>1374</v>
          </cell>
          <cell r="G20">
            <v>20203</v>
          </cell>
        </row>
        <row r="21">
          <cell r="D21">
            <v>78</v>
          </cell>
          <cell r="G21">
            <v>1168</v>
          </cell>
        </row>
        <row r="27">
          <cell r="D27">
            <v>15175.51061502938</v>
          </cell>
          <cell r="G27">
            <v>166060.2106554599</v>
          </cell>
        </row>
        <row r="28">
          <cell r="D28">
            <v>1113.9262455451899</v>
          </cell>
          <cell r="G28">
            <v>14352.785227915749</v>
          </cell>
        </row>
        <row r="32">
          <cell r="B32">
            <v>768522</v>
          </cell>
          <cell r="D32">
            <v>8937787</v>
          </cell>
        </row>
        <row r="33">
          <cell r="B33">
            <v>608922</v>
          </cell>
          <cell r="D33">
            <v>7406298</v>
          </cell>
        </row>
      </sheetData>
      <sheetData sheetId="1"/>
      <sheetData sheetId="2"/>
      <sheetData sheetId="3"/>
      <sheetData sheetId="4"/>
      <sheetData sheetId="5">
        <row r="31">
          <cell r="D31">
            <v>192752</v>
          </cell>
          <cell r="I31">
            <v>2644598</v>
          </cell>
          <cell r="N31">
            <v>2837350</v>
          </cell>
        </row>
      </sheetData>
      <sheetData sheetId="6"/>
      <sheetData sheetId="7">
        <row r="5">
          <cell r="F5">
            <v>7368.3200194950496</v>
          </cell>
          <cell r="I5">
            <v>72578.786688588967</v>
          </cell>
        </row>
        <row r="6">
          <cell r="F6">
            <v>761.00235177350999</v>
          </cell>
          <cell r="I6">
            <v>6983.8038707452397</v>
          </cell>
        </row>
        <row r="10">
          <cell r="F10">
            <v>7807.19059553433</v>
          </cell>
          <cell r="I10">
            <v>78297.320497984285</v>
          </cell>
        </row>
        <row r="11">
          <cell r="F11">
            <v>352.92389377168001</v>
          </cell>
          <cell r="I11">
            <v>6308.81306494824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15175.51061502938</v>
          </cell>
        </row>
        <row r="21">
          <cell r="F21">
            <v>1113.9262455451899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142826</v>
          </cell>
          <cell r="C27">
            <v>132539</v>
          </cell>
          <cell r="L27">
            <v>1823310</v>
          </cell>
          <cell r="M27">
            <v>1823604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131232</v>
          </cell>
          <cell r="C28">
            <v>123377</v>
          </cell>
          <cell r="L28">
            <v>1776780</v>
          </cell>
          <cell r="M28">
            <v>1768776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237011</v>
          </cell>
          <cell r="I28">
            <v>3290700</v>
          </cell>
          <cell r="N28">
            <v>3527711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23769175</v>
          </cell>
        </row>
        <row r="6">
          <cell r="G6">
            <v>6995467</v>
          </cell>
        </row>
        <row r="7">
          <cell r="G7">
            <v>4859</v>
          </cell>
        </row>
        <row r="10">
          <cell r="G10">
            <v>979252</v>
          </cell>
        </row>
        <row r="16">
          <cell r="G16">
            <v>179897</v>
          </cell>
        </row>
        <row r="17">
          <cell r="G17">
            <v>135659</v>
          </cell>
        </row>
        <row r="18">
          <cell r="G18">
            <v>66</v>
          </cell>
        </row>
        <row r="19">
          <cell r="G19">
            <v>11528</v>
          </cell>
        </row>
        <row r="20">
          <cell r="G20">
            <v>19164.5</v>
          </cell>
        </row>
        <row r="21">
          <cell r="G21">
            <v>1135</v>
          </cell>
        </row>
        <row r="27">
          <cell r="G27">
            <v>154499.77997339269</v>
          </cell>
        </row>
        <row r="28">
          <cell r="G28">
            <v>12298.130880678124</v>
          </cell>
        </row>
        <row r="32">
          <cell r="D32">
            <v>8804780</v>
          </cell>
        </row>
        <row r="33">
          <cell r="D33">
            <v>6551513</v>
          </cell>
        </row>
      </sheetData>
      <sheetData sheetId="1"/>
      <sheetData sheetId="2"/>
      <sheetData sheetId="3"/>
      <sheetData sheetId="4"/>
      <sheetData sheetId="5">
        <row r="30">
          <cell r="B30">
            <v>99841</v>
          </cell>
          <cell r="C30">
            <v>86529</v>
          </cell>
          <cell r="L30">
            <v>1589462</v>
          </cell>
          <cell r="M30">
            <v>1608359</v>
          </cell>
        </row>
      </sheetData>
      <sheetData sheetId="6"/>
      <sheetData sheetId="7">
        <row r="5">
          <cell r="I5">
            <v>72755.907705188409</v>
          </cell>
        </row>
        <row r="6">
          <cell r="I6">
            <v>4670.5152364649439</v>
          </cell>
        </row>
        <row r="10">
          <cell r="I10">
            <v>64881.518307223312</v>
          </cell>
        </row>
        <row r="11">
          <cell r="I11">
            <v>5991.1777503778203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105404</v>
          </cell>
          <cell r="C29">
            <v>101785</v>
          </cell>
          <cell r="L29">
            <v>1542851</v>
          </cell>
          <cell r="M29">
            <v>1536099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200482</v>
          </cell>
          <cell r="I29">
            <v>2806358</v>
          </cell>
          <cell r="N29">
            <v>3006840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193439</v>
          </cell>
          <cell r="I30">
            <v>2966040</v>
          </cell>
          <cell r="N30">
            <v>3159479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V4">
            <v>105</v>
          </cell>
        </row>
        <row r="5">
          <cell r="EV5">
            <v>105</v>
          </cell>
        </row>
        <row r="8">
          <cell r="EV8"/>
        </row>
        <row r="9">
          <cell r="EV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</row>
        <row r="22">
          <cell r="EV22">
            <v>432</v>
          </cell>
        </row>
        <row r="23">
          <cell r="EV23">
            <v>381</v>
          </cell>
        </row>
        <row r="27">
          <cell r="EV27"/>
        </row>
        <row r="28">
          <cell r="EV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3"/>
      <sheetData sheetId="4">
        <row r="4">
          <cell r="EV4"/>
        </row>
        <row r="5">
          <cell r="EV5"/>
        </row>
        <row r="8">
          <cell r="EV8"/>
        </row>
        <row r="9">
          <cell r="EV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  <cell r="ET15">
            <v>19</v>
          </cell>
          <cell r="EU15"/>
          <cell r="EV15"/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  <cell r="ET16">
            <v>19</v>
          </cell>
          <cell r="EU16"/>
          <cell r="EV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</row>
        <row r="22">
          <cell r="EV22"/>
        </row>
        <row r="23">
          <cell r="EV23"/>
        </row>
        <row r="27">
          <cell r="EV27"/>
        </row>
        <row r="28">
          <cell r="EV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  <cell r="ET32">
            <v>4440</v>
          </cell>
          <cell r="EU32"/>
          <cell r="EV32"/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  <cell r="ET33">
            <v>3974</v>
          </cell>
          <cell r="EU33"/>
          <cell r="EV33"/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  <cell r="ET37">
            <v>12</v>
          </cell>
          <cell r="EU37"/>
          <cell r="EV37"/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  <cell r="ET38">
            <v>7</v>
          </cell>
          <cell r="EU38"/>
          <cell r="EV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5"/>
      <sheetData sheetId="6">
        <row r="4">
          <cell r="EV4">
            <v>48</v>
          </cell>
        </row>
        <row r="5">
          <cell r="EV5">
            <v>48</v>
          </cell>
        </row>
        <row r="8">
          <cell r="EV8"/>
        </row>
        <row r="9">
          <cell r="EV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</row>
        <row r="22">
          <cell r="EV22">
            <v>7714</v>
          </cell>
        </row>
        <row r="23">
          <cell r="EV23">
            <v>7231</v>
          </cell>
        </row>
        <row r="27">
          <cell r="EV27">
            <v>218</v>
          </cell>
        </row>
        <row r="28">
          <cell r="EV28">
            <v>302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</row>
        <row r="47">
          <cell r="EV47">
            <v>13149</v>
          </cell>
        </row>
        <row r="48">
          <cell r="EV48"/>
        </row>
        <row r="52">
          <cell r="EV52">
            <v>7938</v>
          </cell>
        </row>
        <row r="53">
          <cell r="EV53"/>
        </row>
        <row r="57">
          <cell r="EV57"/>
        </row>
        <row r="58">
          <cell r="EV58"/>
        </row>
      </sheetData>
      <sheetData sheetId="7"/>
      <sheetData sheetId="8">
        <row r="4">
          <cell r="EV4">
            <v>707</v>
          </cell>
        </row>
        <row r="5">
          <cell r="EV5">
            <v>708</v>
          </cell>
        </row>
        <row r="8">
          <cell r="EV8"/>
        </row>
        <row r="9">
          <cell r="EV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</row>
        <row r="22">
          <cell r="EV22">
            <v>80394</v>
          </cell>
        </row>
        <row r="23">
          <cell r="EV23">
            <v>78676</v>
          </cell>
        </row>
        <row r="27">
          <cell r="EV27">
            <v>3375</v>
          </cell>
        </row>
        <row r="28">
          <cell r="EV28">
            <v>3575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</row>
        <row r="47">
          <cell r="EV47">
            <v>27957</v>
          </cell>
        </row>
        <row r="48">
          <cell r="EV48">
            <v>45490</v>
          </cell>
        </row>
        <row r="52">
          <cell r="EV52">
            <v>8955</v>
          </cell>
        </row>
        <row r="53">
          <cell r="EV53">
            <v>82350</v>
          </cell>
        </row>
        <row r="57">
          <cell r="EV57"/>
        </row>
        <row r="58">
          <cell r="EV58"/>
        </row>
      </sheetData>
      <sheetData sheetId="9"/>
      <sheetData sheetId="10">
        <row r="4">
          <cell r="EV4">
            <v>704</v>
          </cell>
        </row>
        <row r="5">
          <cell r="EV5">
            <v>708</v>
          </cell>
        </row>
        <row r="8">
          <cell r="EV8">
            <v>56</v>
          </cell>
        </row>
        <row r="9">
          <cell r="EV9">
            <v>49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  <cell r="ET15">
            <v>3</v>
          </cell>
          <cell r="EU15">
            <v>21</v>
          </cell>
          <cell r="EV15">
            <v>33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  <cell r="ET16">
            <v>4</v>
          </cell>
          <cell r="EU16">
            <v>21</v>
          </cell>
          <cell r="EV16">
            <v>35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</row>
        <row r="22">
          <cell r="EV22">
            <v>79998</v>
          </cell>
        </row>
        <row r="23">
          <cell r="EV23">
            <v>81781</v>
          </cell>
        </row>
        <row r="27">
          <cell r="EV27">
            <v>1795</v>
          </cell>
        </row>
        <row r="28">
          <cell r="EV28">
            <v>1702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  <cell r="ET32">
            <v>765</v>
          </cell>
          <cell r="EU32">
            <v>2368</v>
          </cell>
          <cell r="EV32">
            <v>3853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  <cell r="EU33">
            <v>2572</v>
          </cell>
          <cell r="EV33">
            <v>4660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  <cell r="ET37">
            <v>6</v>
          </cell>
          <cell r="EU37">
            <v>34</v>
          </cell>
          <cell r="EV37">
            <v>68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  <cell r="EU38">
            <v>37</v>
          </cell>
          <cell r="EV38">
            <v>83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</row>
        <row r="47">
          <cell r="EV47">
            <v>219059</v>
          </cell>
        </row>
        <row r="48">
          <cell r="EV48">
            <v>332233</v>
          </cell>
        </row>
        <row r="52">
          <cell r="EV52">
            <v>181983</v>
          </cell>
        </row>
        <row r="53">
          <cell r="EV53">
            <v>572288</v>
          </cell>
        </row>
        <row r="57">
          <cell r="EV57"/>
        </row>
        <row r="58">
          <cell r="EV58"/>
        </row>
        <row r="70">
          <cell r="EV70">
            <v>70331</v>
          </cell>
        </row>
        <row r="71">
          <cell r="EV71">
            <v>11450</v>
          </cell>
        </row>
        <row r="73">
          <cell r="EV73">
            <v>4656</v>
          </cell>
        </row>
        <row r="74">
          <cell r="EV74">
            <v>4</v>
          </cell>
        </row>
      </sheetData>
      <sheetData sheetId="11">
        <row r="4">
          <cell r="EV4">
            <v>78</v>
          </cell>
        </row>
        <row r="5">
          <cell r="EV5">
            <v>78</v>
          </cell>
        </row>
        <row r="8">
          <cell r="EV8"/>
        </row>
        <row r="9">
          <cell r="EV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</row>
        <row r="22">
          <cell r="EV22">
            <v>543</v>
          </cell>
        </row>
        <row r="23">
          <cell r="EV23">
            <v>529</v>
          </cell>
        </row>
        <row r="27">
          <cell r="EV27"/>
        </row>
        <row r="28">
          <cell r="EV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12">
        <row r="8">
          <cell r="EV8"/>
        </row>
        <row r="9">
          <cell r="EV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  <cell r="ET15">
            <v>3</v>
          </cell>
          <cell r="EU15"/>
          <cell r="EV15"/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  <cell r="ET16">
            <v>3</v>
          </cell>
          <cell r="EU16"/>
          <cell r="EV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</row>
        <row r="22">
          <cell r="EV22"/>
        </row>
        <row r="23">
          <cell r="EV23"/>
        </row>
        <row r="27">
          <cell r="EV27"/>
        </row>
        <row r="28">
          <cell r="EV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  <cell r="ET32">
            <v>678</v>
          </cell>
          <cell r="EU32"/>
          <cell r="EV32"/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  <cell r="EU33"/>
          <cell r="EV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13">
        <row r="4">
          <cell r="EV4">
            <v>4988</v>
          </cell>
        </row>
        <row r="5">
          <cell r="EV5">
            <v>4988</v>
          </cell>
        </row>
        <row r="8">
          <cell r="EV8">
            <v>2</v>
          </cell>
        </row>
        <row r="9">
          <cell r="EV9">
            <v>2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  <cell r="ET15">
            <v>359</v>
          </cell>
          <cell r="EU15">
            <v>233</v>
          </cell>
          <cell r="EV15">
            <v>188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  <cell r="ET16">
            <v>356</v>
          </cell>
          <cell r="EU16">
            <v>232</v>
          </cell>
          <cell r="EV16">
            <v>187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</row>
        <row r="22">
          <cell r="EV22">
            <v>667192</v>
          </cell>
        </row>
        <row r="23">
          <cell r="EV23">
            <v>673339</v>
          </cell>
        </row>
        <row r="27">
          <cell r="EV27">
            <v>23787</v>
          </cell>
        </row>
        <row r="28">
          <cell r="EV28">
            <v>23352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  <cell r="ET32">
            <v>63426</v>
          </cell>
          <cell r="EU32">
            <v>48738</v>
          </cell>
          <cell r="EV32">
            <v>34819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  <cell r="ET33">
            <v>63024</v>
          </cell>
          <cell r="EU33">
            <v>43303</v>
          </cell>
          <cell r="EV33">
            <v>33761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  <cell r="ET37">
            <v>1832</v>
          </cell>
          <cell r="EU37">
            <v>1681</v>
          </cell>
          <cell r="EV37">
            <v>1500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  <cell r="ET38">
            <v>1773</v>
          </cell>
          <cell r="EU38">
            <v>1482</v>
          </cell>
          <cell r="EV38">
            <v>1437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</row>
        <row r="47">
          <cell r="EV47">
            <v>3967910</v>
          </cell>
        </row>
        <row r="48">
          <cell r="EV48">
            <v>1110356</v>
          </cell>
        </row>
        <row r="52">
          <cell r="EV52">
            <v>2061380</v>
          </cell>
        </row>
        <row r="53">
          <cell r="EV53">
            <v>1632792</v>
          </cell>
        </row>
        <row r="57">
          <cell r="EV57"/>
        </row>
        <row r="58">
          <cell r="EV58"/>
        </row>
        <row r="70">
          <cell r="EV70">
            <v>318489</v>
          </cell>
        </row>
        <row r="71">
          <cell r="EV71">
            <v>354850</v>
          </cell>
        </row>
        <row r="73">
          <cell r="EV73">
            <v>15969</v>
          </cell>
        </row>
        <row r="74">
          <cell r="EV74">
            <v>17792</v>
          </cell>
        </row>
      </sheetData>
      <sheetData sheetId="14">
        <row r="4">
          <cell r="EV4">
            <v>84</v>
          </cell>
        </row>
        <row r="5">
          <cell r="EV5">
            <v>84</v>
          </cell>
        </row>
        <row r="8">
          <cell r="EV8"/>
        </row>
        <row r="9">
          <cell r="EV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</row>
        <row r="22">
          <cell r="EV22">
            <v>13385</v>
          </cell>
        </row>
        <row r="23">
          <cell r="EV23">
            <v>13128</v>
          </cell>
        </row>
        <row r="27">
          <cell r="EV27">
            <v>82</v>
          </cell>
        </row>
        <row r="28">
          <cell r="EV28">
            <v>103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15">
        <row r="4">
          <cell r="EV4"/>
        </row>
        <row r="5">
          <cell r="EV5"/>
        </row>
        <row r="8">
          <cell r="EV8"/>
        </row>
        <row r="9">
          <cell r="EV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</row>
        <row r="22">
          <cell r="EV22"/>
        </row>
        <row r="23">
          <cell r="EV23"/>
        </row>
        <row r="27">
          <cell r="EV27"/>
        </row>
        <row r="28">
          <cell r="EV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16">
        <row r="8">
          <cell r="EV8"/>
        </row>
        <row r="9">
          <cell r="EV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  <cell r="ET15">
            <v>26</v>
          </cell>
          <cell r="EU15">
            <v>23</v>
          </cell>
          <cell r="EV15">
            <v>17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  <cell r="ET16">
            <v>26</v>
          </cell>
          <cell r="EU16">
            <v>23</v>
          </cell>
          <cell r="EV16">
            <v>17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  <cell r="ET32">
            <v>4315</v>
          </cell>
          <cell r="EU32">
            <v>3719</v>
          </cell>
          <cell r="EV32">
            <v>2497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  <cell r="EU33">
            <v>3546</v>
          </cell>
          <cell r="EV33">
            <v>2432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  <cell r="ET37">
            <v>45</v>
          </cell>
          <cell r="EU37">
            <v>86</v>
          </cell>
          <cell r="EV37">
            <v>96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  <cell r="EU38">
            <v>94</v>
          </cell>
          <cell r="EV38">
            <v>93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</row>
        <row r="47">
          <cell r="EV47">
            <v>71517</v>
          </cell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17"/>
      <sheetData sheetId="18"/>
      <sheetData sheetId="19"/>
      <sheetData sheetId="20">
        <row r="19">
          <cell r="EH19">
            <v>168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</row>
      </sheetData>
      <sheetData sheetId="21">
        <row r="4">
          <cell r="EV4">
            <v>683</v>
          </cell>
        </row>
        <row r="5">
          <cell r="EV5">
            <v>683</v>
          </cell>
        </row>
        <row r="8">
          <cell r="EV8">
            <v>1</v>
          </cell>
        </row>
        <row r="9">
          <cell r="EV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</row>
        <row r="22">
          <cell r="EV22">
            <v>83007</v>
          </cell>
        </row>
        <row r="23">
          <cell r="EV23">
            <v>83167</v>
          </cell>
        </row>
        <row r="27">
          <cell r="EV27">
            <v>1168</v>
          </cell>
        </row>
        <row r="28">
          <cell r="EV28">
            <v>1292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</row>
        <row r="47">
          <cell r="EV47">
            <v>196789</v>
          </cell>
        </row>
        <row r="48">
          <cell r="EV48"/>
        </row>
        <row r="52">
          <cell r="EV52">
            <v>107866</v>
          </cell>
        </row>
        <row r="53">
          <cell r="EV53"/>
        </row>
        <row r="57">
          <cell r="EV57"/>
        </row>
        <row r="58">
          <cell r="EV58"/>
        </row>
        <row r="70">
          <cell r="EV70">
            <v>82480</v>
          </cell>
        </row>
        <row r="71">
          <cell r="EV71">
            <v>687</v>
          </cell>
        </row>
      </sheetData>
      <sheetData sheetId="22">
        <row r="4">
          <cell r="EV4">
            <v>365</v>
          </cell>
        </row>
        <row r="5">
          <cell r="EV5">
            <v>365</v>
          </cell>
        </row>
        <row r="8">
          <cell r="EV8"/>
        </row>
        <row r="9">
          <cell r="EV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</row>
        <row r="22">
          <cell r="EV22">
            <v>43304</v>
          </cell>
        </row>
        <row r="23">
          <cell r="EV23">
            <v>44042</v>
          </cell>
        </row>
        <row r="27">
          <cell r="EV27">
            <v>342</v>
          </cell>
        </row>
        <row r="28">
          <cell r="EV28">
            <v>308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23">
        <row r="4">
          <cell r="EV4">
            <v>378</v>
          </cell>
        </row>
        <row r="5">
          <cell r="EV5">
            <v>378</v>
          </cell>
        </row>
        <row r="8">
          <cell r="EV8"/>
        </row>
        <row r="9">
          <cell r="EV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</row>
        <row r="22">
          <cell r="EV22">
            <v>43993</v>
          </cell>
        </row>
        <row r="23">
          <cell r="EV23">
            <v>42642</v>
          </cell>
        </row>
        <row r="27">
          <cell r="EV27">
            <v>1500</v>
          </cell>
        </row>
        <row r="28">
          <cell r="EV28">
            <v>1691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</row>
        <row r="47">
          <cell r="EV47">
            <v>46096</v>
          </cell>
        </row>
        <row r="48">
          <cell r="EV48">
            <v>140519</v>
          </cell>
        </row>
        <row r="52">
          <cell r="EV52">
            <v>24113</v>
          </cell>
        </row>
        <row r="53">
          <cell r="EV53">
            <v>258209</v>
          </cell>
        </row>
        <row r="57">
          <cell r="EV57"/>
        </row>
        <row r="58">
          <cell r="EV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</row>
      </sheetData>
      <sheetData sheetId="25"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  <cell r="ET15"/>
          <cell r="EU15"/>
          <cell r="EV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  <cell r="ET16"/>
          <cell r="EU16"/>
          <cell r="EV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  <cell r="ET32"/>
          <cell r="EU32"/>
          <cell r="EV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  <cell r="EU33"/>
          <cell r="EV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  <cell r="EU38"/>
          <cell r="EV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</row>
      </sheetData>
      <sheetData sheetId="26">
        <row r="8">
          <cell r="EV8">
            <v>0</v>
          </cell>
        </row>
        <row r="9">
          <cell r="EV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  <cell r="ET15">
            <v>115</v>
          </cell>
          <cell r="EU15">
            <v>122</v>
          </cell>
          <cell r="EV15">
            <v>85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  <cell r="ET16">
            <v>115</v>
          </cell>
          <cell r="EU16">
            <v>122</v>
          </cell>
          <cell r="EV16">
            <v>85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  <cell r="ET32">
            <v>4816</v>
          </cell>
          <cell r="EU32">
            <v>5155</v>
          </cell>
          <cell r="EV32">
            <v>3349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  <cell r="ET33">
            <v>4558</v>
          </cell>
          <cell r="EU33">
            <v>4563</v>
          </cell>
          <cell r="EV33">
            <v>2920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</sheetData>
      <sheetData sheetId="27">
        <row r="4">
          <cell r="EV4"/>
        </row>
        <row r="5">
          <cell r="EV5"/>
        </row>
        <row r="8">
          <cell r="EV8"/>
        </row>
        <row r="9">
          <cell r="EV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</row>
        <row r="22">
          <cell r="EV22"/>
        </row>
        <row r="23">
          <cell r="EV23"/>
        </row>
        <row r="27">
          <cell r="EV27"/>
        </row>
        <row r="28">
          <cell r="EV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</row>
        <row r="47">
          <cell r="EV47"/>
        </row>
        <row r="48">
          <cell r="EV48"/>
        </row>
        <row r="52">
          <cell r="BH52"/>
        </row>
        <row r="53">
          <cell r="EV53"/>
        </row>
        <row r="57">
          <cell r="BG57"/>
        </row>
        <row r="58">
          <cell r="BG58"/>
        </row>
      </sheetData>
      <sheetData sheetId="28">
        <row r="4">
          <cell r="EV4">
            <v>9</v>
          </cell>
        </row>
        <row r="5">
          <cell r="EV5">
            <v>9</v>
          </cell>
        </row>
        <row r="8">
          <cell r="EV8"/>
        </row>
        <row r="9">
          <cell r="EV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</row>
        <row r="22">
          <cell r="EV22">
            <v>451</v>
          </cell>
        </row>
        <row r="23">
          <cell r="EV23">
            <v>463</v>
          </cell>
        </row>
        <row r="27">
          <cell r="EV27">
            <v>49</v>
          </cell>
        </row>
        <row r="28">
          <cell r="EV28">
            <v>52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29">
        <row r="4">
          <cell r="EV4">
            <v>447</v>
          </cell>
        </row>
        <row r="5">
          <cell r="EV5">
            <v>469</v>
          </cell>
        </row>
        <row r="8">
          <cell r="EV8"/>
        </row>
        <row r="9">
          <cell r="EV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  <cell r="ET15">
            <v>56</v>
          </cell>
          <cell r="EU15">
            <v>64</v>
          </cell>
          <cell r="EV15">
            <v>43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  <cell r="ET16">
            <v>52</v>
          </cell>
          <cell r="EU16">
            <v>32</v>
          </cell>
          <cell r="EV16">
            <v>21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</row>
        <row r="22">
          <cell r="EV22">
            <v>25446</v>
          </cell>
        </row>
        <row r="23">
          <cell r="EV23">
            <v>26646</v>
          </cell>
        </row>
        <row r="27">
          <cell r="EV27">
            <v>831</v>
          </cell>
        </row>
        <row r="28">
          <cell r="EV28">
            <v>800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  <cell r="ET32">
            <v>5962</v>
          </cell>
          <cell r="EU32">
            <v>10760</v>
          </cell>
          <cell r="EV32">
            <v>2381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  <cell r="ET33">
            <v>2991</v>
          </cell>
          <cell r="EU33">
            <v>1743</v>
          </cell>
          <cell r="EV33">
            <v>1283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  <cell r="ET37">
            <v>63</v>
          </cell>
          <cell r="EU37">
            <v>101</v>
          </cell>
          <cell r="EV37">
            <v>31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  <cell r="ET38">
            <v>34</v>
          </cell>
          <cell r="EU38">
            <v>15</v>
          </cell>
          <cell r="EV38">
            <v>9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G58"/>
        </row>
        <row r="70">
          <cell r="EV70">
            <v>10285</v>
          </cell>
        </row>
        <row r="71">
          <cell r="EV71">
            <v>16361</v>
          </cell>
        </row>
        <row r="73">
          <cell r="EV73">
            <v>495</v>
          </cell>
        </row>
        <row r="74">
          <cell r="EV74">
            <v>788</v>
          </cell>
        </row>
      </sheetData>
      <sheetData sheetId="30"/>
      <sheetData sheetId="31"/>
      <sheetData sheetId="32"/>
      <sheetData sheetId="33">
        <row r="4">
          <cell r="EV4">
            <v>518</v>
          </cell>
        </row>
        <row r="5">
          <cell r="EV5">
            <v>516</v>
          </cell>
        </row>
        <row r="8">
          <cell r="EV8"/>
        </row>
        <row r="9">
          <cell r="EV9">
            <v>2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  <cell r="ET15">
            <v>52</v>
          </cell>
          <cell r="EU15">
            <v>198</v>
          </cell>
          <cell r="EV15">
            <v>184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  <cell r="ET16">
            <v>52</v>
          </cell>
          <cell r="EU16">
            <v>199</v>
          </cell>
          <cell r="EV16">
            <v>184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</row>
        <row r="22">
          <cell r="EV22">
            <v>29842</v>
          </cell>
        </row>
        <row r="23">
          <cell r="EV23">
            <v>31406</v>
          </cell>
        </row>
        <row r="27">
          <cell r="EV27">
            <v>1254</v>
          </cell>
        </row>
        <row r="28">
          <cell r="EV28">
            <v>1171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  <cell r="ET32">
            <v>3425</v>
          </cell>
          <cell r="EU32">
            <v>12598</v>
          </cell>
          <cell r="EV32">
            <v>11654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  <cell r="ET33">
            <v>3404</v>
          </cell>
          <cell r="EU33">
            <v>12689</v>
          </cell>
          <cell r="EV33">
            <v>11415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  <cell r="ET37">
            <v>18</v>
          </cell>
          <cell r="EU37">
            <v>173</v>
          </cell>
          <cell r="EV37">
            <v>174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  <cell r="ET38">
            <v>25</v>
          </cell>
          <cell r="EU38">
            <v>132</v>
          </cell>
          <cell r="EV38">
            <v>139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G58"/>
        </row>
        <row r="70">
          <cell r="BG70">
            <v>26242</v>
          </cell>
          <cell r="EV70">
            <v>13065</v>
          </cell>
        </row>
        <row r="71">
          <cell r="BG71">
            <v>44562</v>
          </cell>
          <cell r="EV71">
            <v>18341</v>
          </cell>
        </row>
        <row r="73">
          <cell r="BG73">
            <v>1540</v>
          </cell>
          <cell r="EV73">
            <v>4749</v>
          </cell>
        </row>
        <row r="74">
          <cell r="BG74">
            <v>2614</v>
          </cell>
          <cell r="EV74">
            <v>6666</v>
          </cell>
        </row>
      </sheetData>
      <sheetData sheetId="34"/>
      <sheetData sheetId="35">
        <row r="4">
          <cell r="EV4">
            <v>14</v>
          </cell>
        </row>
        <row r="5">
          <cell r="EV5">
            <v>14</v>
          </cell>
        </row>
        <row r="8">
          <cell r="EV8"/>
        </row>
        <row r="9">
          <cell r="EV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</row>
        <row r="22">
          <cell r="EV22">
            <v>619</v>
          </cell>
        </row>
        <row r="23">
          <cell r="EV23">
            <v>598</v>
          </cell>
        </row>
        <row r="27">
          <cell r="EV27">
            <v>44</v>
          </cell>
        </row>
        <row r="28">
          <cell r="EV28">
            <v>19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G58"/>
        </row>
      </sheetData>
      <sheetData sheetId="36"/>
      <sheetData sheetId="37">
        <row r="4">
          <cell r="EV4">
            <v>102</v>
          </cell>
        </row>
        <row r="5">
          <cell r="EV5">
            <v>103</v>
          </cell>
        </row>
        <row r="8">
          <cell r="EV8"/>
        </row>
        <row r="9">
          <cell r="EV9"/>
        </row>
        <row r="15">
          <cell r="EV15">
            <v>23</v>
          </cell>
        </row>
        <row r="16">
          <cell r="EV16">
            <v>22</v>
          </cell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</row>
        <row r="22">
          <cell r="EV22">
            <v>6217</v>
          </cell>
        </row>
        <row r="23">
          <cell r="EV23">
            <v>6364</v>
          </cell>
        </row>
        <row r="27">
          <cell r="EV27">
            <v>187</v>
          </cell>
        </row>
        <row r="28">
          <cell r="EV28">
            <v>243</v>
          </cell>
        </row>
        <row r="32">
          <cell r="EV32">
            <v>1355</v>
          </cell>
        </row>
        <row r="33">
          <cell r="EV33">
            <v>1364</v>
          </cell>
        </row>
        <row r="37">
          <cell r="EV37">
            <v>16</v>
          </cell>
        </row>
        <row r="38">
          <cell r="EV38">
            <v>11</v>
          </cell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</row>
        <row r="47">
          <cell r="EV47">
            <v>223</v>
          </cell>
        </row>
        <row r="48">
          <cell r="EV48"/>
        </row>
        <row r="52">
          <cell r="EV52"/>
        </row>
        <row r="53">
          <cell r="EV53"/>
        </row>
        <row r="57">
          <cell r="AJ57"/>
        </row>
        <row r="58">
          <cell r="AJ58"/>
        </row>
        <row r="70">
          <cell r="EV70">
            <v>2826</v>
          </cell>
        </row>
        <row r="71">
          <cell r="EV71">
            <v>3538</v>
          </cell>
        </row>
        <row r="73">
          <cell r="EV73">
            <v>606</v>
          </cell>
        </row>
        <row r="74">
          <cell r="EV74">
            <v>758</v>
          </cell>
        </row>
      </sheetData>
      <sheetData sheetId="38">
        <row r="4">
          <cell r="EV4">
            <v>1</v>
          </cell>
        </row>
        <row r="5">
          <cell r="EV5">
            <v>1</v>
          </cell>
        </row>
        <row r="8">
          <cell r="EV8"/>
        </row>
        <row r="9">
          <cell r="EV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</row>
        <row r="22">
          <cell r="EV22">
            <v>48</v>
          </cell>
        </row>
        <row r="23">
          <cell r="EV23">
            <v>69</v>
          </cell>
        </row>
        <row r="27">
          <cell r="EV27">
            <v>2</v>
          </cell>
        </row>
        <row r="28">
          <cell r="EV28">
            <v>1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AJ57"/>
        </row>
        <row r="58">
          <cell r="AJ58"/>
        </row>
      </sheetData>
      <sheetData sheetId="39"/>
      <sheetData sheetId="40">
        <row r="4">
          <cell r="EV4">
            <v>196</v>
          </cell>
        </row>
        <row r="5">
          <cell r="EV5">
            <v>196</v>
          </cell>
        </row>
        <row r="8">
          <cell r="EV8"/>
        </row>
        <row r="9">
          <cell r="EV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</row>
        <row r="22">
          <cell r="EV22">
            <v>11269</v>
          </cell>
        </row>
        <row r="23">
          <cell r="EV23">
            <v>11380</v>
          </cell>
        </row>
        <row r="27">
          <cell r="EV27">
            <v>445</v>
          </cell>
        </row>
        <row r="28">
          <cell r="EV28">
            <v>450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41">
        <row r="4">
          <cell r="EV4"/>
        </row>
        <row r="5">
          <cell r="EV5"/>
        </row>
        <row r="8">
          <cell r="EV8"/>
        </row>
        <row r="9">
          <cell r="EV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</row>
        <row r="22">
          <cell r="EV22"/>
        </row>
        <row r="23">
          <cell r="EV23"/>
        </row>
        <row r="27">
          <cell r="EV27"/>
        </row>
        <row r="28">
          <cell r="EV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AJ57"/>
        </row>
        <row r="58">
          <cell r="AJ58"/>
        </row>
      </sheetData>
      <sheetData sheetId="42"/>
      <sheetData sheetId="43">
        <row r="4">
          <cell r="EV4">
            <v>1578</v>
          </cell>
        </row>
        <row r="5">
          <cell r="EV5">
            <v>1554</v>
          </cell>
        </row>
        <row r="8">
          <cell r="EV8"/>
        </row>
        <row r="9">
          <cell r="EV9">
            <v>1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  <cell r="ET15">
            <v>161</v>
          </cell>
          <cell r="EU15">
            <v>56</v>
          </cell>
          <cell r="EV15">
            <v>105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  <cell r="ET16">
            <v>168</v>
          </cell>
          <cell r="EU16">
            <v>86</v>
          </cell>
          <cell r="EV16">
            <v>130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</row>
        <row r="22">
          <cell r="EV22">
            <v>80460</v>
          </cell>
        </row>
        <row r="23">
          <cell r="EV23">
            <v>78337</v>
          </cell>
        </row>
        <row r="27">
          <cell r="EV27">
            <v>2680</v>
          </cell>
        </row>
        <row r="28">
          <cell r="EV28">
            <v>2727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  <cell r="ET32">
            <v>9427</v>
          </cell>
          <cell r="EU32">
            <v>3505</v>
          </cell>
          <cell r="EV32">
            <v>6256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  <cell r="ET33">
            <v>9736</v>
          </cell>
          <cell r="EU33">
            <v>5359</v>
          </cell>
          <cell r="EV33">
            <v>7717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  <cell r="ET37">
            <v>149</v>
          </cell>
          <cell r="EU37">
            <v>62</v>
          </cell>
          <cell r="EV37">
            <v>64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  <cell r="ET38">
            <v>171</v>
          </cell>
          <cell r="EU38">
            <v>117</v>
          </cell>
          <cell r="EV38">
            <v>105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  <row r="70">
          <cell r="EV70">
            <v>24284</v>
          </cell>
        </row>
        <row r="71">
          <cell r="EV71">
            <v>54053</v>
          </cell>
        </row>
        <row r="73">
          <cell r="EV73">
            <v>2392</v>
          </cell>
        </row>
        <row r="74">
          <cell r="EV74">
            <v>5325</v>
          </cell>
        </row>
      </sheetData>
      <sheetData sheetId="44">
        <row r="4">
          <cell r="EV4">
            <v>3</v>
          </cell>
        </row>
        <row r="5">
          <cell r="EV5">
            <v>3</v>
          </cell>
        </row>
        <row r="8">
          <cell r="EV8"/>
        </row>
        <row r="9">
          <cell r="EV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</row>
        <row r="22">
          <cell r="EV22">
            <v>116</v>
          </cell>
        </row>
        <row r="23">
          <cell r="EV23">
            <v>76</v>
          </cell>
        </row>
        <row r="27">
          <cell r="EV27">
            <v>8</v>
          </cell>
        </row>
        <row r="28">
          <cell r="EV28">
            <v>11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G58"/>
        </row>
      </sheetData>
      <sheetData sheetId="45">
        <row r="4">
          <cell r="EV4">
            <v>173</v>
          </cell>
        </row>
        <row r="5">
          <cell r="EV5">
            <v>172</v>
          </cell>
        </row>
        <row r="8">
          <cell r="EV8"/>
        </row>
        <row r="9">
          <cell r="EV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</row>
        <row r="22">
          <cell r="EV22">
            <v>7623</v>
          </cell>
        </row>
        <row r="23">
          <cell r="EV23">
            <v>7341</v>
          </cell>
        </row>
        <row r="27">
          <cell r="EV27">
            <v>342</v>
          </cell>
        </row>
        <row r="28">
          <cell r="EV28">
            <v>390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</row>
        <row r="47">
          <cell r="EV47">
            <v>324</v>
          </cell>
        </row>
        <row r="48">
          <cell r="EV48"/>
        </row>
        <row r="52">
          <cell r="EV52">
            <v>287</v>
          </cell>
        </row>
        <row r="53">
          <cell r="EV53"/>
        </row>
        <row r="57">
          <cell r="EV57"/>
        </row>
        <row r="58">
          <cell r="EV58"/>
        </row>
      </sheetData>
      <sheetData sheetId="46">
        <row r="4">
          <cell r="EV4">
            <v>95</v>
          </cell>
        </row>
        <row r="5">
          <cell r="EV5">
            <v>95</v>
          </cell>
        </row>
        <row r="8">
          <cell r="EV8"/>
        </row>
        <row r="9">
          <cell r="EV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</row>
        <row r="22">
          <cell r="EV22">
            <v>5711</v>
          </cell>
        </row>
        <row r="23">
          <cell r="EV23">
            <v>5103</v>
          </cell>
        </row>
        <row r="27">
          <cell r="EV27">
            <v>235</v>
          </cell>
        </row>
        <row r="28">
          <cell r="EV28">
            <v>251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</sheetData>
      <sheetData sheetId="47"/>
      <sheetData sheetId="48">
        <row r="4">
          <cell r="EV4">
            <v>2369</v>
          </cell>
        </row>
        <row r="5">
          <cell r="EV5">
            <v>2366</v>
          </cell>
        </row>
        <row r="8">
          <cell r="EV8"/>
        </row>
        <row r="9">
          <cell r="EV9">
            <v>5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  <cell r="ET15">
            <v>87</v>
          </cell>
          <cell r="EU15">
            <v>169</v>
          </cell>
          <cell r="EV15">
            <v>102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  <cell r="ET16">
            <v>87</v>
          </cell>
          <cell r="EU16">
            <v>170</v>
          </cell>
          <cell r="EV16">
            <v>102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</row>
        <row r="22">
          <cell r="EV22">
            <v>109490</v>
          </cell>
        </row>
        <row r="23">
          <cell r="EV23">
            <v>109433</v>
          </cell>
        </row>
        <row r="27">
          <cell r="EV27">
            <v>3963</v>
          </cell>
        </row>
        <row r="28">
          <cell r="EV28">
            <v>4131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  <cell r="ET32">
            <v>5962</v>
          </cell>
          <cell r="EU32">
            <v>10760</v>
          </cell>
          <cell r="EV32">
            <v>6468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  <cell r="ET33">
            <v>5783</v>
          </cell>
          <cell r="EU33">
            <v>10567</v>
          </cell>
          <cell r="EV33">
            <v>6512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  <cell r="ET37">
            <v>63</v>
          </cell>
          <cell r="EU37">
            <v>101</v>
          </cell>
          <cell r="EV37">
            <v>73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  <cell r="ET38">
            <v>72</v>
          </cell>
          <cell r="EU38">
            <v>101</v>
          </cell>
          <cell r="EV38">
            <v>72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  <row r="70">
          <cell r="EV70">
            <v>36060</v>
          </cell>
        </row>
        <row r="71">
          <cell r="EV71">
            <v>73373</v>
          </cell>
        </row>
        <row r="73">
          <cell r="EV73">
            <v>1758</v>
          </cell>
        </row>
        <row r="74">
          <cell r="EV74">
            <v>4754</v>
          </cell>
        </row>
      </sheetData>
      <sheetData sheetId="49">
        <row r="4">
          <cell r="EV4">
            <v>140</v>
          </cell>
        </row>
        <row r="5">
          <cell r="EV5">
            <v>140</v>
          </cell>
        </row>
        <row r="8">
          <cell r="EV8"/>
        </row>
        <row r="9">
          <cell r="EV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</row>
        <row r="22">
          <cell r="EV22">
            <v>9467</v>
          </cell>
        </row>
        <row r="23">
          <cell r="EV23">
            <v>9690</v>
          </cell>
        </row>
        <row r="27">
          <cell r="EV27">
            <v>162</v>
          </cell>
        </row>
        <row r="28">
          <cell r="EV28">
            <v>165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</sheetData>
      <sheetData sheetId="51"/>
      <sheetData sheetId="52">
        <row r="4">
          <cell r="EV4">
            <v>30</v>
          </cell>
        </row>
        <row r="5">
          <cell r="EV5">
            <v>30</v>
          </cell>
        </row>
        <row r="8">
          <cell r="EV8">
            <v>0</v>
          </cell>
        </row>
        <row r="9">
          <cell r="EV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</row>
        <row r="22">
          <cell r="EV22">
            <v>2061</v>
          </cell>
        </row>
        <row r="23">
          <cell r="EV23">
            <v>2063</v>
          </cell>
        </row>
        <row r="27">
          <cell r="EV27">
            <v>68</v>
          </cell>
        </row>
        <row r="28">
          <cell r="EV28">
            <v>73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</row>
        <row r="47">
          <cell r="EV47">
            <v>722</v>
          </cell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EV58"/>
        </row>
      </sheetData>
      <sheetData sheetId="53">
        <row r="4">
          <cell r="EV4">
            <v>22</v>
          </cell>
        </row>
        <row r="5">
          <cell r="EV5">
            <v>22</v>
          </cell>
        </row>
        <row r="8">
          <cell r="EV8"/>
        </row>
        <row r="9">
          <cell r="EV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</row>
        <row r="22">
          <cell r="EV22">
            <v>977</v>
          </cell>
        </row>
        <row r="23">
          <cell r="EV23">
            <v>1362</v>
          </cell>
        </row>
        <row r="27">
          <cell r="EV27">
            <v>42</v>
          </cell>
        </row>
        <row r="28">
          <cell r="EV28">
            <v>25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</row>
        <row r="47">
          <cell r="EV47"/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G58"/>
        </row>
      </sheetData>
      <sheetData sheetId="54">
        <row r="4">
          <cell r="EV4">
            <v>85</v>
          </cell>
        </row>
        <row r="5">
          <cell r="EV5">
            <v>85</v>
          </cell>
        </row>
        <row r="8">
          <cell r="EV8"/>
        </row>
        <row r="9">
          <cell r="EV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</row>
        <row r="22">
          <cell r="EV22">
            <v>5390</v>
          </cell>
        </row>
        <row r="23">
          <cell r="EV23">
            <v>5456</v>
          </cell>
        </row>
        <row r="27">
          <cell r="EV27">
            <v>199</v>
          </cell>
        </row>
        <row r="28">
          <cell r="EV28">
            <v>183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</row>
        <row r="47">
          <cell r="EV47">
            <v>42</v>
          </cell>
        </row>
        <row r="48">
          <cell r="EV48"/>
        </row>
        <row r="52">
          <cell r="EV52"/>
        </row>
        <row r="53">
          <cell r="EV53"/>
        </row>
        <row r="57">
          <cell r="EV57"/>
        </row>
        <row r="58">
          <cell r="BH58"/>
        </row>
        <row r="70">
          <cell r="EV70">
            <v>3012</v>
          </cell>
        </row>
        <row r="71">
          <cell r="EV71">
            <v>2444</v>
          </cell>
        </row>
      </sheetData>
      <sheetData sheetId="55"/>
      <sheetData sheetId="56"/>
      <sheetData sheetId="57"/>
      <sheetData sheetId="58">
        <row r="4">
          <cell r="EV4"/>
        </row>
        <row r="5">
          <cell r="EV5"/>
        </row>
        <row r="15">
          <cell r="EL15"/>
          <cell r="EM15"/>
          <cell r="EN15"/>
          <cell r="EO15"/>
          <cell r="EP15"/>
          <cell r="ER15"/>
          <cell r="ES15"/>
          <cell r="ET15"/>
          <cell r="EU15"/>
          <cell r="EV15"/>
        </row>
        <row r="16">
          <cell r="EL16"/>
          <cell r="EM16"/>
          <cell r="EN16"/>
          <cell r="EO16"/>
          <cell r="EP16"/>
          <cell r="ER16"/>
          <cell r="ES16"/>
          <cell r="ET16"/>
          <cell r="EU16"/>
          <cell r="EV16"/>
        </row>
        <row r="22">
          <cell r="EV22"/>
        </row>
        <row r="23">
          <cell r="EV23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</row>
      </sheetData>
      <sheetData sheetId="59">
        <row r="4">
          <cell r="EV4"/>
        </row>
        <row r="5">
          <cell r="EV5"/>
        </row>
        <row r="15">
          <cell r="EV15"/>
        </row>
        <row r="16">
          <cell r="EV16"/>
        </row>
        <row r="22">
          <cell r="EV22"/>
        </row>
        <row r="23">
          <cell r="EV23"/>
        </row>
        <row r="32">
          <cell r="EV32"/>
        </row>
        <row r="33">
          <cell r="EV33"/>
        </row>
      </sheetData>
      <sheetData sheetId="60"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  <cell r="ET15"/>
          <cell r="EU15"/>
          <cell r="EV15"/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  <cell r="ET16"/>
          <cell r="EU16"/>
          <cell r="EV16"/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  <cell r="ET32"/>
          <cell r="EU32"/>
          <cell r="EV32"/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  <cell r="EU33"/>
          <cell r="EV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</row>
      </sheetData>
      <sheetData sheetId="61">
        <row r="4">
          <cell r="EV4"/>
        </row>
        <row r="5">
          <cell r="EV5"/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  <cell r="ET15">
            <v>1</v>
          </cell>
          <cell r="EU15"/>
          <cell r="EV15">
            <v>1</v>
          </cell>
        </row>
        <row r="16">
          <cell r="EL16"/>
          <cell r="EM16"/>
          <cell r="EN16"/>
          <cell r="EO16"/>
          <cell r="EP16"/>
          <cell r="ER16"/>
          <cell r="ES16"/>
          <cell r="ET16"/>
          <cell r="EU16">
            <v>1</v>
          </cell>
          <cell r="EV16"/>
        </row>
        <row r="22">
          <cell r="EV22"/>
        </row>
        <row r="23">
          <cell r="EV23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>
            <v>34</v>
          </cell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>
            <v>209</v>
          </cell>
          <cell r="EV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</row>
      </sheetData>
      <sheetData sheetId="62"/>
      <sheetData sheetId="63"/>
      <sheetData sheetId="64">
        <row r="4">
          <cell r="EV4">
            <v>20</v>
          </cell>
        </row>
        <row r="5">
          <cell r="EV5">
            <v>20</v>
          </cell>
        </row>
        <row r="47">
          <cell r="EV47">
            <v>709681</v>
          </cell>
        </row>
        <row r="48">
          <cell r="EV48"/>
        </row>
        <row r="52">
          <cell r="EV52">
            <v>431116</v>
          </cell>
        </row>
        <row r="53">
          <cell r="EV53"/>
        </row>
        <row r="57">
          <cell r="EV57"/>
        </row>
        <row r="58">
          <cell r="EV58"/>
        </row>
      </sheetData>
      <sheetData sheetId="65">
        <row r="4">
          <cell r="EV4">
            <v>32</v>
          </cell>
        </row>
        <row r="5">
          <cell r="EV5">
            <v>32</v>
          </cell>
        </row>
        <row r="47">
          <cell r="EV47">
            <v>43636</v>
          </cell>
        </row>
        <row r="48">
          <cell r="EV48"/>
        </row>
        <row r="52">
          <cell r="EV52">
            <v>41935</v>
          </cell>
        </row>
        <row r="53">
          <cell r="EV53"/>
        </row>
        <row r="57">
          <cell r="EV57"/>
        </row>
        <row r="58">
          <cell r="EV58"/>
        </row>
      </sheetData>
      <sheetData sheetId="66"/>
      <sheetData sheetId="67">
        <row r="15">
          <cell r="EV15">
            <v>23</v>
          </cell>
        </row>
        <row r="16">
          <cell r="EV16">
            <v>23</v>
          </cell>
        </row>
        <row r="47">
          <cell r="EV47">
            <v>19936</v>
          </cell>
        </row>
        <row r="48">
          <cell r="EV48"/>
        </row>
        <row r="52">
          <cell r="EV52">
            <v>80007</v>
          </cell>
        </row>
        <row r="53">
          <cell r="EV53"/>
        </row>
        <row r="57">
          <cell r="EV57"/>
        </row>
        <row r="58">
          <cell r="EV58"/>
        </row>
      </sheetData>
      <sheetData sheetId="68">
        <row r="4">
          <cell r="EV4">
            <v>110</v>
          </cell>
        </row>
        <row r="5">
          <cell r="EV5">
            <v>110</v>
          </cell>
        </row>
        <row r="15">
          <cell r="EV15"/>
        </row>
        <row r="47">
          <cell r="EV47">
            <v>8422387</v>
          </cell>
        </row>
        <row r="48">
          <cell r="EV48"/>
        </row>
        <row r="52">
          <cell r="EV52">
            <v>8910580</v>
          </cell>
        </row>
        <row r="53">
          <cell r="EV53"/>
        </row>
        <row r="57">
          <cell r="EV57"/>
        </row>
        <row r="58">
          <cell r="EV58"/>
        </row>
      </sheetData>
      <sheetData sheetId="69">
        <row r="4">
          <cell r="EV4">
            <v>105</v>
          </cell>
        </row>
        <row r="5">
          <cell r="EV5">
            <v>105</v>
          </cell>
        </row>
        <row r="15">
          <cell r="EV15">
            <v>17</v>
          </cell>
        </row>
        <row r="16">
          <cell r="EV16">
            <v>17</v>
          </cell>
        </row>
        <row r="47">
          <cell r="EV47">
            <v>6052245</v>
          </cell>
        </row>
        <row r="48">
          <cell r="EV48">
            <v>1423</v>
          </cell>
        </row>
        <row r="52">
          <cell r="EV52">
            <v>4949797</v>
          </cell>
        </row>
        <row r="53">
          <cell r="EV53">
            <v>354062</v>
          </cell>
        </row>
        <row r="57">
          <cell r="EV57"/>
        </row>
        <row r="58">
          <cell r="EV58"/>
        </row>
      </sheetData>
      <sheetData sheetId="70"/>
      <sheetData sheetId="71"/>
      <sheetData sheetId="72"/>
      <sheetData sheetId="73">
        <row r="4">
          <cell r="EV4">
            <v>257</v>
          </cell>
        </row>
        <row r="5">
          <cell r="EV5">
            <v>257</v>
          </cell>
        </row>
      </sheetData>
      <sheetData sheetId="74">
        <row r="4">
          <cell r="EV4">
            <v>24</v>
          </cell>
        </row>
        <row r="5">
          <cell r="EV5">
            <v>24</v>
          </cell>
        </row>
        <row r="47">
          <cell r="EV47">
            <v>32332</v>
          </cell>
        </row>
        <row r="48">
          <cell r="EV48"/>
        </row>
        <row r="52">
          <cell r="EV52">
            <v>34625</v>
          </cell>
        </row>
        <row r="53">
          <cell r="EV53"/>
        </row>
        <row r="57">
          <cell r="EV57"/>
        </row>
        <row r="58">
          <cell r="EV58"/>
        </row>
      </sheetData>
      <sheetData sheetId="75">
        <row r="4">
          <cell r="EV4">
            <v>20</v>
          </cell>
        </row>
        <row r="5">
          <cell r="EV5">
            <v>20</v>
          </cell>
        </row>
        <row r="47">
          <cell r="EV47">
            <v>52909</v>
          </cell>
        </row>
        <row r="48">
          <cell r="EV48"/>
        </row>
        <row r="52">
          <cell r="EV52">
            <v>126193</v>
          </cell>
        </row>
        <row r="53">
          <cell r="EV53"/>
        </row>
        <row r="57">
          <cell r="EV57"/>
        </row>
        <row r="58">
          <cell r="EV58"/>
        </row>
      </sheetData>
      <sheetData sheetId="76">
        <row r="4">
          <cell r="EV4">
            <v>22</v>
          </cell>
        </row>
        <row r="5">
          <cell r="EV5">
            <v>21</v>
          </cell>
        </row>
        <row r="8">
          <cell r="EV8"/>
        </row>
        <row r="9">
          <cell r="EV9"/>
        </row>
        <row r="47">
          <cell r="EV47">
            <v>46709</v>
          </cell>
        </row>
        <row r="48">
          <cell r="EV48"/>
        </row>
        <row r="52">
          <cell r="EV52">
            <v>35805</v>
          </cell>
        </row>
        <row r="53">
          <cell r="EV53"/>
        </row>
        <row r="57">
          <cell r="EV57"/>
        </row>
        <row r="58">
          <cell r="EV58"/>
        </row>
      </sheetData>
      <sheetData sheetId="77">
        <row r="4">
          <cell r="EV4">
            <v>39</v>
          </cell>
        </row>
        <row r="5">
          <cell r="EV5">
            <v>39</v>
          </cell>
        </row>
      </sheetData>
      <sheetData sheetId="78">
        <row r="4">
          <cell r="EV4">
            <v>875</v>
          </cell>
        </row>
        <row r="5">
          <cell r="EV5">
            <v>876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8554687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42675</v>
      </c>
      <c r="B2" s="17"/>
      <c r="C2" s="17"/>
      <c r="D2" s="484" t="s">
        <v>186</v>
      </c>
      <c r="E2" s="484" t="s">
        <v>181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5"/>
      <c r="E3" s="486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1061131</v>
      </c>
      <c r="C5" s="300">
        <f>'Major Airline Stats'!I5</f>
        <v>1065769</v>
      </c>
      <c r="D5" s="5">
        <f>'Major Airline Stats'!I6</f>
        <v>2126900</v>
      </c>
      <c r="E5" s="9">
        <f>'[1]Monthly Summary'!D5</f>
        <v>2065247</v>
      </c>
      <c r="F5" s="39">
        <f>(D5-E5)/E5</f>
        <v>2.9852603586883311E-2</v>
      </c>
      <c r="G5" s="9">
        <f>+D5+'[2]Monthly Summary'!G5</f>
        <v>25896075</v>
      </c>
      <c r="H5" s="9">
        <f>'[1]Monthly Summary'!G5</f>
        <v>24931742</v>
      </c>
      <c r="I5" s="85">
        <f>(G5-H5)/H5</f>
        <v>3.8678925844812612E-2</v>
      </c>
      <c r="J5" s="9"/>
    </row>
    <row r="6" spans="1:14" x14ac:dyDescent="0.2">
      <c r="A6" s="67" t="s">
        <v>5</v>
      </c>
      <c r="B6" s="298">
        <f>'Regional Major'!L5</f>
        <v>326650</v>
      </c>
      <c r="C6" s="298">
        <f>'Regional Major'!L6</f>
        <v>326998</v>
      </c>
      <c r="D6" s="5">
        <f>B6+C6</f>
        <v>653648</v>
      </c>
      <c r="E6" s="9">
        <f>'[1]Monthly Summary'!D6</f>
        <v>686427</v>
      </c>
      <c r="F6" s="39">
        <f>(D6-E6)/E6</f>
        <v>-4.7753074981024927E-2</v>
      </c>
      <c r="G6" s="9">
        <f>+D6+'[2]Monthly Summary'!G6</f>
        <v>7649115</v>
      </c>
      <c r="H6" s="9">
        <f>'[1]Monthly Summary'!G6</f>
        <v>7820775</v>
      </c>
      <c r="I6" s="85">
        <f>(G6-H6)/H6</f>
        <v>-2.1949231374128523E-2</v>
      </c>
      <c r="J6" s="20"/>
      <c r="K6" s="2"/>
    </row>
    <row r="7" spans="1:14" x14ac:dyDescent="0.2">
      <c r="A7" s="67" t="s">
        <v>6</v>
      </c>
      <c r="B7" s="9">
        <f>Charter!G5</f>
        <v>34</v>
      </c>
      <c r="C7" s="299">
        <f>Charter!G6</f>
        <v>0</v>
      </c>
      <c r="D7" s="5">
        <f>B7+C7</f>
        <v>34</v>
      </c>
      <c r="E7" s="9">
        <f>'[1]Monthly Summary'!D7</f>
        <v>800</v>
      </c>
      <c r="F7" s="480">
        <f>(D7-E7)/E7</f>
        <v>-0.95750000000000002</v>
      </c>
      <c r="G7" s="9">
        <f>+D7+'[2]Monthly Summary'!G7</f>
        <v>4893</v>
      </c>
      <c r="H7" s="9">
        <f>'[1]Monthly Summary'!G7</f>
        <v>5089</v>
      </c>
      <c r="I7" s="85">
        <f>(G7-H7)/H7</f>
        <v>-3.8514442916093537E-2</v>
      </c>
      <c r="J7" s="20"/>
      <c r="K7" s="2"/>
    </row>
    <row r="8" spans="1:14" x14ac:dyDescent="0.2">
      <c r="A8" s="70" t="s">
        <v>7</v>
      </c>
      <c r="B8" s="148">
        <f>SUM(B5:B7)</f>
        <v>1387815</v>
      </c>
      <c r="C8" s="148">
        <f>SUM(C5:C7)</f>
        <v>1392767</v>
      </c>
      <c r="D8" s="148">
        <f>SUM(D5:D7)</f>
        <v>2780582</v>
      </c>
      <c r="E8" s="148">
        <f>SUM(E5:E7)</f>
        <v>2752474</v>
      </c>
      <c r="F8" s="92">
        <f>(D8-E8)/E8</f>
        <v>1.0211903908992419E-2</v>
      </c>
      <c r="G8" s="148">
        <f>SUM(G5:G7)</f>
        <v>33550083</v>
      </c>
      <c r="H8" s="148">
        <f>SUM(H5:H7)</f>
        <v>32757606</v>
      </c>
      <c r="I8" s="91">
        <f>(G8-H8)/H8</f>
        <v>2.4192152503452174E-2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44800</v>
      </c>
      <c r="C10" s="301">
        <f>'Major Airline Stats'!I10+'Regional Major'!L11</f>
        <v>44966</v>
      </c>
      <c r="D10" s="120">
        <f>SUM(B10:C10)</f>
        <v>89766</v>
      </c>
      <c r="E10" s="120">
        <f>'[1]Monthly Summary'!D10</f>
        <v>84876</v>
      </c>
      <c r="F10" s="93">
        <f>(D10-E10)/E10</f>
        <v>5.7613459635232574E-2</v>
      </c>
      <c r="G10" s="9">
        <f>+D10+'[2]Monthly Summary'!G10</f>
        <v>1069018</v>
      </c>
      <c r="H10" s="120">
        <f>'[1]Monthly Summary'!G10</f>
        <v>1004480</v>
      </c>
      <c r="I10" s="96">
        <f>(G10-H10)/H10</f>
        <v>6.4250159286396935E-2</v>
      </c>
      <c r="J10" s="264"/>
    </row>
    <row r="11" spans="1:14" ht="15.75" thickBot="1" x14ac:dyDescent="0.3">
      <c r="A11" s="69" t="s">
        <v>15</v>
      </c>
      <c r="B11" s="278">
        <f>B10+B8</f>
        <v>1432615</v>
      </c>
      <c r="C11" s="278">
        <f>C10+C8</f>
        <v>1437733</v>
      </c>
      <c r="D11" s="278">
        <f>D10+D8</f>
        <v>2870348</v>
      </c>
      <c r="E11" s="278">
        <f>E10+E8</f>
        <v>2837350</v>
      </c>
      <c r="F11" s="94">
        <f>(D11-E11)/E11</f>
        <v>1.1629865895994502E-2</v>
      </c>
      <c r="G11" s="278">
        <f>G8+G10</f>
        <v>34619101</v>
      </c>
      <c r="H11" s="278">
        <f>H8+H10</f>
        <v>33762086</v>
      </c>
      <c r="I11" s="97">
        <f>(G11-H11)/H11</f>
        <v>2.5383946951619045E-2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4" t="s">
        <v>186</v>
      </c>
      <c r="E13" s="484" t="s">
        <v>181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5"/>
      <c r="E14" s="486"/>
      <c r="F14" s="441" t="s">
        <v>2</v>
      </c>
      <c r="G14" s="441" t="s">
        <v>187</v>
      </c>
      <c r="H14" s="441" t="s">
        <v>178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8437</v>
      </c>
      <c r="C16" s="309">
        <f>'Major Airline Stats'!I16+'Major Airline Stats'!I20</f>
        <v>8435</v>
      </c>
      <c r="D16" s="47">
        <f t="shared" ref="D16:D21" si="0">SUM(B16:C16)</f>
        <v>16872</v>
      </c>
      <c r="E16" s="9">
        <f>'[1]Monthly Summary'!D16</f>
        <v>16590</v>
      </c>
      <c r="F16" s="95">
        <f t="shared" ref="F16:F22" si="1">(D16-E16)/E16</f>
        <v>1.6998191681735986E-2</v>
      </c>
      <c r="G16" s="9">
        <f>+D16+'[2]Monthly Summary'!G16</f>
        <v>196769</v>
      </c>
      <c r="H16" s="9">
        <f>'[1]Monthly Summary'!G16</f>
        <v>189611</v>
      </c>
      <c r="I16" s="262">
        <f t="shared" ref="I16:I22" si="2">(G16-H16)/H16</f>
        <v>3.7750974363301708E-2</v>
      </c>
      <c r="N16" s="130"/>
    </row>
    <row r="17" spans="1:12" x14ac:dyDescent="0.2">
      <c r="A17" s="68" t="s">
        <v>5</v>
      </c>
      <c r="B17" s="47">
        <f>'Regional Major'!L15+'Regional Major'!L18</f>
        <v>6324</v>
      </c>
      <c r="C17" s="47">
        <f>'Regional Major'!L16+'Regional Major'!L19</f>
        <v>6327</v>
      </c>
      <c r="D17" s="47">
        <f>SUM(B17:C17)</f>
        <v>12651</v>
      </c>
      <c r="E17" s="9">
        <f>'[1]Monthly Summary'!D17</f>
        <v>13199</v>
      </c>
      <c r="F17" s="95">
        <f t="shared" si="1"/>
        <v>-4.1518296840669745E-2</v>
      </c>
      <c r="G17" s="9">
        <f>+D17+'[2]Monthly Summary'!G17</f>
        <v>148310</v>
      </c>
      <c r="H17" s="9">
        <f>'[1]Monthly Summary'!G17</f>
        <v>149905</v>
      </c>
      <c r="I17" s="262">
        <f t="shared" si="2"/>
        <v>-1.0640072045628899E-2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0</v>
      </c>
      <c r="D18" s="47">
        <f t="shared" si="0"/>
        <v>1</v>
      </c>
      <c r="E18" s="9">
        <f>'[1]Monthly Summary'!D18</f>
        <v>10</v>
      </c>
      <c r="F18" s="95">
        <f t="shared" si="1"/>
        <v>-0.9</v>
      </c>
      <c r="G18" s="9">
        <f>+D18+'[2]Monthly Summary'!G18</f>
        <v>67</v>
      </c>
      <c r="H18" s="9">
        <f>'[1]Monthly Summary'!G18</f>
        <v>76</v>
      </c>
      <c r="I18" s="262">
        <f t="shared" si="2"/>
        <v>-0.11842105263157894</v>
      </c>
    </row>
    <row r="19" spans="1:12" x14ac:dyDescent="0.2">
      <c r="A19" s="68" t="s">
        <v>11</v>
      </c>
      <c r="B19" s="47">
        <f>Cargo!M4</f>
        <v>630</v>
      </c>
      <c r="C19" s="47">
        <f>Cargo!M5</f>
        <v>629</v>
      </c>
      <c r="D19" s="47">
        <f t="shared" si="0"/>
        <v>1259</v>
      </c>
      <c r="E19" s="9">
        <f>'[1]Monthly Summary'!D19</f>
        <v>973</v>
      </c>
      <c r="F19" s="95">
        <f t="shared" si="1"/>
        <v>0.29393627954779034</v>
      </c>
      <c r="G19" s="9">
        <f>+D19+'[2]Monthly Summary'!G19</f>
        <v>12787</v>
      </c>
      <c r="H19" s="9">
        <f>'[1]Monthly Summary'!G19</f>
        <v>11386</v>
      </c>
      <c r="I19" s="262">
        <f t="shared" si="2"/>
        <v>0.12304584577551379</v>
      </c>
    </row>
    <row r="20" spans="1:12" x14ac:dyDescent="0.2">
      <c r="A20" s="68" t="s">
        <v>159</v>
      </c>
      <c r="B20" s="47">
        <f>'[3]General Avation'!$EV$4</f>
        <v>875</v>
      </c>
      <c r="C20" s="47">
        <f>'[3]General Avation'!$EV$5</f>
        <v>876</v>
      </c>
      <c r="D20" s="47">
        <f t="shared" si="0"/>
        <v>1751</v>
      </c>
      <c r="E20" s="9">
        <f>'[1]Monthly Summary'!D20</f>
        <v>1374</v>
      </c>
      <c r="F20" s="95">
        <f t="shared" si="1"/>
        <v>0.27438136826783116</v>
      </c>
      <c r="G20" s="9">
        <f>+D20+'[2]Monthly Summary'!G20</f>
        <v>20915.5</v>
      </c>
      <c r="H20" s="9">
        <f>'[1]Monthly Summary'!G20</f>
        <v>20203</v>
      </c>
      <c r="I20" s="262">
        <f t="shared" si="2"/>
        <v>3.5267039548581895E-2</v>
      </c>
    </row>
    <row r="21" spans="1:12" ht="12.75" customHeight="1" x14ac:dyDescent="0.2">
      <c r="A21" s="68" t="s">
        <v>12</v>
      </c>
      <c r="B21" s="18">
        <f>'[3]Military '!$EV$4</f>
        <v>39</v>
      </c>
      <c r="C21" s="18">
        <f>'[3]Military '!$EV$5</f>
        <v>39</v>
      </c>
      <c r="D21" s="18">
        <f t="shared" si="0"/>
        <v>78</v>
      </c>
      <c r="E21" s="120">
        <f>'[1]Monthly Summary'!D21</f>
        <v>78</v>
      </c>
      <c r="F21" s="260">
        <f t="shared" si="1"/>
        <v>0</v>
      </c>
      <c r="G21" s="476">
        <f>+D21+'[2]Monthly Summary'!G21</f>
        <v>1213</v>
      </c>
      <c r="H21" s="120">
        <f>'[1]Monthly Summary'!G21</f>
        <v>1168</v>
      </c>
      <c r="I21" s="263">
        <f t="shared" si="2"/>
        <v>3.8527397260273974E-2</v>
      </c>
    </row>
    <row r="22" spans="1:12" ht="15.75" thickBot="1" x14ac:dyDescent="0.3">
      <c r="A22" s="69" t="s">
        <v>31</v>
      </c>
      <c r="B22" s="279">
        <f>SUM(B16:B21)</f>
        <v>16306</v>
      </c>
      <c r="C22" s="279">
        <f>SUM(C16:C21)</f>
        <v>16306</v>
      </c>
      <c r="D22" s="279">
        <f>SUM(D16:D21)</f>
        <v>32612</v>
      </c>
      <c r="E22" s="279">
        <f>SUM(E16:E21)</f>
        <v>32224</v>
      </c>
      <c r="F22" s="275">
        <f t="shared" si="1"/>
        <v>1.2040714995034757E-2</v>
      </c>
      <c r="G22" s="279">
        <f>SUM(G16:G21)</f>
        <v>380061.5</v>
      </c>
      <c r="H22" s="279">
        <f>SUM(H16:H21)</f>
        <v>372349</v>
      </c>
      <c r="I22" s="276">
        <f t="shared" si="2"/>
        <v>2.0713094435596713E-2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4" t="s">
        <v>186</v>
      </c>
      <c r="E24" s="484" t="s">
        <v>181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441" t="s">
        <v>2</v>
      </c>
      <c r="G25" s="441" t="s">
        <v>187</v>
      </c>
      <c r="H25" s="441" t="s">
        <v>178</v>
      </c>
      <c r="I25" s="441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9037.2033755565099</v>
      </c>
      <c r="C27" s="22">
        <f>(Cargo!M21+'Major Airline Stats'!I33+'Regional Major'!L30)*0.00045359237</f>
        <v>7712.2405583146001</v>
      </c>
      <c r="D27" s="22">
        <f>(SUM(B27:C27)+('Cargo Summary'!E17*0.00045359237))</f>
        <v>16749.443933871109</v>
      </c>
      <c r="E27" s="9">
        <f>'[1]Monthly Summary'!D27</f>
        <v>15175.51061502938</v>
      </c>
      <c r="F27" s="98">
        <f>(D27-E27)/E27</f>
        <v>0.10371534499029984</v>
      </c>
      <c r="G27" s="9">
        <f>+D27+'[2]Monthly Summary'!G27</f>
        <v>171249.2239072638</v>
      </c>
      <c r="H27" s="9">
        <f>'[1]Monthly Summary'!G27</f>
        <v>166060.2106554599</v>
      </c>
      <c r="I27" s="100">
        <f>(G27-H27)/H27</f>
        <v>3.1247781941997031E-2</v>
      </c>
    </row>
    <row r="28" spans="1:12" x14ac:dyDescent="0.2">
      <c r="A28" s="62" t="s">
        <v>18</v>
      </c>
      <c r="B28" s="22">
        <f>(Cargo!M17+'Major Airline Stats'!I29+'Regional Major'!L26)*0.00045359237</f>
        <v>739.36508853977</v>
      </c>
      <c r="C28" s="22">
        <f>(Cargo!M22+'Major Airline Stats'!I34+'Regional Major'!L31)*0.00045359237</f>
        <v>1315.2822488813699</v>
      </c>
      <c r="D28" s="22">
        <f>SUM(B28:C28)</f>
        <v>2054.64733742114</v>
      </c>
      <c r="E28" s="9">
        <f>'[1]Monthly Summary'!D28</f>
        <v>1113.9262455451899</v>
      </c>
      <c r="F28" s="98">
        <f>(D28-E28)/E28</f>
        <v>0.84450931615811975</v>
      </c>
      <c r="G28" s="9">
        <f>+D28+'[2]Monthly Summary'!G28</f>
        <v>14352.778218099264</v>
      </c>
      <c r="H28" s="9">
        <f>'[1]Monthly Summary'!G28</f>
        <v>14352.785227915749</v>
      </c>
      <c r="I28" s="100">
        <f>(G28-H28)/H28</f>
        <v>-4.8839416000719104E-7</v>
      </c>
    </row>
    <row r="29" spans="1:12" ht="15.75" thickBot="1" x14ac:dyDescent="0.3">
      <c r="A29" s="63" t="s">
        <v>66</v>
      </c>
      <c r="B29" s="54">
        <f>SUM(B27:B28)</f>
        <v>9776.5684640962791</v>
      </c>
      <c r="C29" s="54">
        <f>SUM(C27:C28)</f>
        <v>9027.52280719597</v>
      </c>
      <c r="D29" s="54">
        <f>SUM(D27:D28)</f>
        <v>18804.091271292251</v>
      </c>
      <c r="E29" s="54">
        <f>SUM(E27:E28)</f>
        <v>16289.436860574569</v>
      </c>
      <c r="F29" s="99">
        <f>(D29-E29)/E29</f>
        <v>0.15437331764389695</v>
      </c>
      <c r="G29" s="54">
        <f>SUM(G27:G28)</f>
        <v>185602.00212536307</v>
      </c>
      <c r="H29" s="54">
        <f>SUM(H27:H28)</f>
        <v>180412.99588337564</v>
      </c>
      <c r="I29" s="101">
        <f>(G29-H29)/H29</f>
        <v>2.8761820713524202E-2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3" t="s">
        <v>155</v>
      </c>
      <c r="C31" s="482"/>
      <c r="D31" s="483" t="s">
        <v>162</v>
      </c>
      <c r="E31" s="482"/>
      <c r="F31" s="420"/>
      <c r="G31" s="421"/>
      <c r="H31" s="419"/>
      <c r="I31" s="419"/>
    </row>
    <row r="32" spans="1:12" x14ac:dyDescent="0.2">
      <c r="A32" s="401" t="s">
        <v>156</v>
      </c>
      <c r="B32" s="402">
        <f>C8-B33</f>
        <v>821583</v>
      </c>
      <c r="C32" s="403">
        <f>B32/C8</f>
        <v>0.5898926381799684</v>
      </c>
      <c r="D32" s="404">
        <f>+B32+'[2]Monthly Summary'!$D$32</f>
        <v>9626363</v>
      </c>
      <c r="E32" s="405">
        <f>+D32/D34</f>
        <v>0.57474049289930296</v>
      </c>
      <c r="G32" s="428"/>
      <c r="H32" s="419"/>
      <c r="I32" s="418"/>
    </row>
    <row r="33" spans="1:14" ht="13.5" thickBot="1" x14ac:dyDescent="0.25">
      <c r="A33" s="406" t="s">
        <v>157</v>
      </c>
      <c r="B33" s="407">
        <f>'Major Airline Stats'!I51+'Regional Major'!L45</f>
        <v>571184</v>
      </c>
      <c r="C33" s="408">
        <f>+B33/C8</f>
        <v>0.41010736182003166</v>
      </c>
      <c r="D33" s="409">
        <f>+B33+'[2]Monthly Summary'!$D$33</f>
        <v>7122697</v>
      </c>
      <c r="E33" s="410">
        <f>+D33/D34</f>
        <v>0.42525950710069699</v>
      </c>
      <c r="G33" s="419"/>
      <c r="H33" s="419"/>
      <c r="I33" s="418"/>
    </row>
    <row r="34" spans="1:14" ht="13.5" thickBot="1" x14ac:dyDescent="0.25">
      <c r="B34" s="313"/>
      <c r="D34" s="411">
        <f>SUM(D32:D33)</f>
        <v>16749060</v>
      </c>
    </row>
    <row r="35" spans="1:14" ht="13.5" thickBot="1" x14ac:dyDescent="0.25">
      <c r="B35" s="481" t="s">
        <v>221</v>
      </c>
      <c r="C35" s="482"/>
      <c r="D35" s="483" t="s">
        <v>188</v>
      </c>
      <c r="E35" s="482"/>
    </row>
    <row r="36" spans="1:14" x14ac:dyDescent="0.2">
      <c r="A36" s="401" t="s">
        <v>156</v>
      </c>
      <c r="B36" s="402">
        <f>'[1]Monthly Summary'!$B$32</f>
        <v>768522</v>
      </c>
      <c r="C36" s="403">
        <f>+B36/B38</f>
        <v>0.55793338966956185</v>
      </c>
      <c r="D36" s="404">
        <f>'[1]Monthly Summary'!$D$32</f>
        <v>8937787</v>
      </c>
      <c r="E36" s="405">
        <f>+D36/D38</f>
        <v>0.54685147562558567</v>
      </c>
    </row>
    <row r="37" spans="1:14" ht="13.5" thickBot="1" x14ac:dyDescent="0.25">
      <c r="A37" s="406" t="s">
        <v>157</v>
      </c>
      <c r="B37" s="407">
        <f>'[1]Monthly Summary'!$B$33</f>
        <v>608922</v>
      </c>
      <c r="C37" s="410">
        <f>+B37/B38</f>
        <v>0.44206661033043809</v>
      </c>
      <c r="D37" s="409">
        <f>'[1]Monthly Summary'!$D$33</f>
        <v>7406298</v>
      </c>
      <c r="E37" s="410">
        <f>+D37/D38</f>
        <v>0.45314852437441433</v>
      </c>
    </row>
    <row r="38" spans="1:14" x14ac:dyDescent="0.2">
      <c r="B38" s="427">
        <f>+SUM(B36:B37)</f>
        <v>1377444</v>
      </c>
      <c r="D38" s="411">
        <f>SUM(D36:D37)</f>
        <v>16344085</v>
      </c>
    </row>
    <row r="39" spans="1:14" x14ac:dyDescent="0.2">
      <c r="A39" s="415" t="s">
        <v>158</v>
      </c>
    </row>
    <row r="40" spans="1:14" x14ac:dyDescent="0.2">
      <c r="A40" s="229" t="s">
        <v>160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708"/>
  <sheetViews>
    <sheetView topLeftCell="A43" zoomScaleNormal="100" zoomScaleSheetLayoutView="85" workbookViewId="0">
      <selection activeCell="E54" sqref="E54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9" t="s">
        <v>140</v>
      </c>
      <c r="B1" s="520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6" t="s">
        <v>144</v>
      </c>
      <c r="K1" s="527"/>
      <c r="L1" s="270" t="s">
        <v>193</v>
      </c>
      <c r="M1" s="388" t="s">
        <v>147</v>
      </c>
      <c r="N1" s="271" t="s">
        <v>176</v>
      </c>
      <c r="O1" s="347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1">
        <v>42675</v>
      </c>
      <c r="B2" s="522"/>
      <c r="C2" s="523" t="s">
        <v>9</v>
      </c>
      <c r="D2" s="524"/>
      <c r="E2" s="524"/>
      <c r="F2" s="524"/>
      <c r="G2" s="524"/>
      <c r="H2" s="524"/>
      <c r="I2" s="525"/>
      <c r="J2" s="521">
        <v>42675</v>
      </c>
      <c r="K2" s="522"/>
      <c r="L2" s="516" t="s">
        <v>146</v>
      </c>
      <c r="M2" s="517"/>
      <c r="N2" s="517"/>
      <c r="O2" s="517"/>
      <c r="P2" s="517"/>
      <c r="Q2" s="517"/>
      <c r="R2" s="518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105</v>
      </c>
      <c r="B4" s="55"/>
      <c r="C4" s="357">
        <f>SUM(C5:C7)</f>
        <v>170</v>
      </c>
      <c r="D4" s="358">
        <f>C4/$C$64</f>
        <v>5.7582224028723365E-3</v>
      </c>
      <c r="E4" s="359">
        <f>SUM(E5:E7)</f>
        <v>168</v>
      </c>
      <c r="F4" s="360">
        <f>(C4-E4)/E4</f>
        <v>1.1904761904761904E-2</v>
      </c>
      <c r="G4" s="357">
        <f>SUM(G5:G7)</f>
        <v>2046</v>
      </c>
      <c r="H4" s="359">
        <f>SUM(H5:H7)</f>
        <v>1945</v>
      </c>
      <c r="I4" s="360">
        <f>(G4-H4)/H4</f>
        <v>5.19280205655527E-2</v>
      </c>
      <c r="J4" s="356" t="s">
        <v>105</v>
      </c>
      <c r="K4" s="55"/>
      <c r="L4" s="357">
        <f>SUM(L5:L7)</f>
        <v>6269</v>
      </c>
      <c r="M4" s="358">
        <f>L4/$L$64</f>
        <v>2.2545915409480435E-3</v>
      </c>
      <c r="N4" s="359">
        <f>SUM(N5:N7)</f>
        <v>5910</v>
      </c>
      <c r="O4" s="360">
        <f>(L4-N4)/N4</f>
        <v>6.0744500846023688E-2</v>
      </c>
      <c r="P4" s="357">
        <f>SUM(P5:P7)</f>
        <v>82726</v>
      </c>
      <c r="Q4" s="359">
        <f>SUM(Q5:Q7)</f>
        <v>82726</v>
      </c>
      <c r="R4" s="360">
        <f>(P4-Q4)/Q4</f>
        <v>0</v>
      </c>
      <c r="T4" s="20"/>
    </row>
    <row r="5" spans="1:20" ht="14.1" customHeight="1" x14ac:dyDescent="0.2">
      <c r="A5" s="356"/>
      <c r="B5" s="442" t="s">
        <v>105</v>
      </c>
      <c r="C5" s="361">
        <v>0</v>
      </c>
      <c r="D5" s="39">
        <f>C5/$C$64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105</v>
      </c>
      <c r="L5" s="449">
        <v>0</v>
      </c>
      <c r="M5" s="450">
        <f>L5/$L$64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195</v>
      </c>
      <c r="C6" s="449">
        <f>'[3]Jazz Air'!$EV$19</f>
        <v>0</v>
      </c>
      <c r="D6" s="450">
        <f>C6/$C$64</f>
        <v>0</v>
      </c>
      <c r="E6" s="299">
        <f>[3]AirCanada!$EH$19</f>
        <v>168</v>
      </c>
      <c r="F6" s="451">
        <f>(C6-E6)/E6</f>
        <v>-1</v>
      </c>
      <c r="G6" s="299">
        <f>SUM('[3]Jazz Air'!$EL$19:$EV$19)</f>
        <v>185</v>
      </c>
      <c r="H6" s="299">
        <f>SUM('[3]Jazz Air'!$DX$19:$EH$19)</f>
        <v>1945</v>
      </c>
      <c r="I6" s="451">
        <f>(G6-H6)/H6</f>
        <v>-0.90488431876606679</v>
      </c>
      <c r="J6" s="452"/>
      <c r="K6" s="442" t="s">
        <v>195</v>
      </c>
      <c r="L6" s="449">
        <f>'[3]Jazz Air'!$EV$41</f>
        <v>0</v>
      </c>
      <c r="M6" s="450">
        <f>L6/$L$64</f>
        <v>0</v>
      </c>
      <c r="N6" s="299">
        <f>[3]AirCanada!$EH$41</f>
        <v>5910</v>
      </c>
      <c r="O6" s="451">
        <f>(L6-N6)/N6</f>
        <v>-1</v>
      </c>
      <c r="P6" s="299">
        <f>SUM('[3]Jazz Air'!$EL$41:$EV$41)</f>
        <v>6759</v>
      </c>
      <c r="Q6" s="299">
        <f>SUM([3]AirCanada!$DX$41:$EH$41)</f>
        <v>82726</v>
      </c>
      <c r="R6" s="451">
        <f>(P6-Q6)/Q6</f>
        <v>-0.91829654522157489</v>
      </c>
      <c r="T6" s="20"/>
    </row>
    <row r="7" spans="1:20" ht="14.1" customHeight="1" x14ac:dyDescent="0.2">
      <c r="A7" s="356"/>
      <c r="B7" s="442" t="s">
        <v>196</v>
      </c>
      <c r="C7" s="361">
        <f>'[3]Air Georgian'!$EV$19</f>
        <v>170</v>
      </c>
      <c r="D7" s="39">
        <f>C7/$C$64</f>
        <v>5.7582224028723365E-3</v>
      </c>
      <c r="E7" s="9">
        <f>'[3]Air Georgian'!$EH$19</f>
        <v>0</v>
      </c>
      <c r="F7" s="86" t="e">
        <f>(C7-E7)/E7</f>
        <v>#DIV/0!</v>
      </c>
      <c r="G7" s="299">
        <f>SUM('[3]Air Georgian'!$EL$19:$EV$19)</f>
        <v>1861</v>
      </c>
      <c r="H7" s="299">
        <f>SUM('[3]Air Georgian'!$DX$19:$EH$19)</f>
        <v>0</v>
      </c>
      <c r="I7" s="451" t="e">
        <f>(G7-H7)/H7</f>
        <v>#DIV/0!</v>
      </c>
      <c r="J7" s="356"/>
      <c r="K7" s="442" t="s">
        <v>196</v>
      </c>
      <c r="L7" s="361">
        <f>'[3]Air Georgian'!$EV$41</f>
        <v>6269</v>
      </c>
      <c r="M7" s="39">
        <f>L7/$L$64</f>
        <v>2.2545915409480435E-3</v>
      </c>
      <c r="N7" s="9">
        <f>'[3]Air Georgian'!$EH$41</f>
        <v>0</v>
      </c>
      <c r="O7" s="86" t="e">
        <f>(L7-N7)/N7</f>
        <v>#DIV/0!</v>
      </c>
      <c r="P7" s="9">
        <f>SUM('[3]Air Georgian'!$EL$41:$EV$41)</f>
        <v>75967</v>
      </c>
      <c r="Q7" s="9">
        <f>SUM('[3]Air Georgian'!$DX$41:$EH$41)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217</v>
      </c>
      <c r="B9" s="55"/>
      <c r="C9" s="357">
        <f>'[3]Air Choice One'!$EV$19</f>
        <v>210</v>
      </c>
      <c r="D9" s="358">
        <f t="shared" ref="D9" si="0">C9/$C$64</f>
        <v>7.1130982623717103E-3</v>
      </c>
      <c r="E9" s="359">
        <f>'[3]Air Choice One'!$EH$19</f>
        <v>0</v>
      </c>
      <c r="F9" s="360" t="e">
        <f t="shared" ref="F9" si="1">(C9-E9)/E9</f>
        <v>#DIV/0!</v>
      </c>
      <c r="G9" s="359">
        <f>SUM('[3]Air Choice One'!$EL$19:$EV$19)</f>
        <v>428</v>
      </c>
      <c r="H9" s="359">
        <f>SUM('[3]Air Choice One'!$DX$19:$EH$19)</f>
        <v>0</v>
      </c>
      <c r="I9" s="360" t="e">
        <f t="shared" ref="I9" si="2">(G9-H9)/H9</f>
        <v>#DIV/0!</v>
      </c>
      <c r="J9" s="356" t="s">
        <v>217</v>
      </c>
      <c r="K9" s="55"/>
      <c r="L9" s="357">
        <f>'[3]Air Choice One'!$EV$41</f>
        <v>813</v>
      </c>
      <c r="M9" s="358">
        <f t="shared" ref="M9" si="3">L9/$L$64</f>
        <v>2.9238840688957719E-4</v>
      </c>
      <c r="N9" s="359">
        <f>'[3]Air Choice One'!$EH$41</f>
        <v>0</v>
      </c>
      <c r="O9" s="360" t="e">
        <f t="shared" ref="O9" si="4">(L9-N9)/N9</f>
        <v>#DIV/0!</v>
      </c>
      <c r="P9" s="359">
        <f>SUM('[3]Air Choice One'!$EL$41:$EV$41)</f>
        <v>2088</v>
      </c>
      <c r="Q9" s="359">
        <f>SUM('[3]Air Choice One'!$DX$41:$EH$41)</f>
        <v>0</v>
      </c>
      <c r="R9" s="360" t="e">
        <f t="shared" ref="R9" si="5">(P9-Q9)/Q9</f>
        <v>#DIV/0!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168</v>
      </c>
      <c r="B11" s="55"/>
      <c r="C11" s="357">
        <f>'[3]Air France'!$EV$19</f>
        <v>0</v>
      </c>
      <c r="D11" s="358">
        <f>C11/$C$64</f>
        <v>0</v>
      </c>
      <c r="E11" s="359">
        <f>'[3]Air France'!$EH$19</f>
        <v>0</v>
      </c>
      <c r="F11" s="360" t="e">
        <f>(C11-E11)/E11</f>
        <v>#DIV/0!</v>
      </c>
      <c r="G11" s="359">
        <f>SUM('[3]Air France'!$EL$19:$EV$19)</f>
        <v>250</v>
      </c>
      <c r="H11" s="359">
        <f>SUM('[3]Air France'!$DX$19:$EH$19)</f>
        <v>244</v>
      </c>
      <c r="I11" s="360">
        <f>(G11-H11)/H11</f>
        <v>2.4590163934426229E-2</v>
      </c>
      <c r="J11" s="356" t="s">
        <v>168</v>
      </c>
      <c r="K11" s="55"/>
      <c r="L11" s="357">
        <f>'[3]Air France'!$EV$41</f>
        <v>0</v>
      </c>
      <c r="M11" s="358">
        <f>L11/$L$64</f>
        <v>0</v>
      </c>
      <c r="N11" s="359">
        <f>'[3]Air France'!$EH$41</f>
        <v>0</v>
      </c>
      <c r="O11" s="360" t="e">
        <f>(L11-N11)/N11</f>
        <v>#DIV/0!</v>
      </c>
      <c r="P11" s="359">
        <f>SUM('[3]Air France'!$EL$41:$EV$41)</f>
        <v>52845</v>
      </c>
      <c r="Q11" s="359">
        <f>SUM('[3]Air France'!$DX$41:$EH$41)</f>
        <v>60100</v>
      </c>
      <c r="R11" s="360">
        <f>(P11-Q11)/Q11</f>
        <v>-0.12071547420965058</v>
      </c>
      <c r="T11" s="20"/>
    </row>
    <row r="12" spans="1:20" ht="14.1" customHeight="1" x14ac:dyDescent="0.2">
      <c r="A12" s="356"/>
      <c r="B12" s="55"/>
      <c r="C12" s="357"/>
      <c r="D12" s="358"/>
      <c r="E12" s="359"/>
      <c r="F12" s="360"/>
      <c r="G12" s="359"/>
      <c r="H12" s="359"/>
      <c r="I12" s="360"/>
      <c r="J12" s="356"/>
      <c r="K12" s="55"/>
      <c r="L12" s="361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6" t="s">
        <v>135</v>
      </c>
      <c r="B13" s="55"/>
      <c r="C13" s="357">
        <f>SUM(C14:C15)</f>
        <v>156</v>
      </c>
      <c r="D13" s="358">
        <f>C13/$C$64</f>
        <v>5.2840158520475562E-3</v>
      </c>
      <c r="E13" s="359">
        <f>SUM(E14:E15)</f>
        <v>116</v>
      </c>
      <c r="F13" s="360">
        <f>(C13-E13)/E13</f>
        <v>0.34482758620689657</v>
      </c>
      <c r="G13" s="359">
        <f>SUM(G14:G15)</f>
        <v>2024</v>
      </c>
      <c r="H13" s="359">
        <f>SUM(H14:H15)</f>
        <v>1216</v>
      </c>
      <c r="I13" s="360">
        <f>(G13-H13)/H13</f>
        <v>0.66447368421052633</v>
      </c>
      <c r="J13" s="356" t="s">
        <v>135</v>
      </c>
      <c r="K13" s="55"/>
      <c r="L13" s="357">
        <f>SUM(L14:L15)</f>
        <v>19069</v>
      </c>
      <c r="M13" s="358">
        <f>L13/$L$64</f>
        <v>6.8580006531086674E-3</v>
      </c>
      <c r="N13" s="359">
        <f>SUM(N14:N15)</f>
        <v>17442</v>
      </c>
      <c r="O13" s="360">
        <f>(L13-N13)/N13</f>
        <v>9.3280587088636624E-2</v>
      </c>
      <c r="P13" s="359">
        <f>SUM(P14:P15)</f>
        <v>256347</v>
      </c>
      <c r="Q13" s="359">
        <f>SUM(Q14:Q15)</f>
        <v>179141</v>
      </c>
      <c r="R13" s="360">
        <f>(P13-Q13)/Q13</f>
        <v>0.43097894954253912</v>
      </c>
      <c r="T13" s="20"/>
    </row>
    <row r="14" spans="1:20" ht="14.1" customHeight="1" x14ac:dyDescent="0.2">
      <c r="A14" s="356"/>
      <c r="B14" s="442" t="s">
        <v>135</v>
      </c>
      <c r="C14" s="449">
        <f>[3]Alaska!$EV$19</f>
        <v>96</v>
      </c>
      <c r="D14" s="450">
        <f>C14/$C$64</f>
        <v>3.251702062798496E-3</v>
      </c>
      <c r="E14" s="299">
        <f>[3]Alaska!$EH$19</f>
        <v>116</v>
      </c>
      <c r="F14" s="451">
        <f>(C14-E14)/E14</f>
        <v>-0.17241379310344829</v>
      </c>
      <c r="G14" s="299">
        <f>SUM([3]Alaska!$EL$19:$EV$19)</f>
        <v>1474</v>
      </c>
      <c r="H14" s="299">
        <f>SUM([3]Alaska!$DX$19:$EH$19)</f>
        <v>1216</v>
      </c>
      <c r="I14" s="451">
        <f>(G14-H14)/H14</f>
        <v>0.21217105263157895</v>
      </c>
      <c r="J14" s="356"/>
      <c r="K14" s="442" t="s">
        <v>135</v>
      </c>
      <c r="L14" s="449">
        <f>[3]Alaska!$EV$41</f>
        <v>14945</v>
      </c>
      <c r="M14" s="450">
        <f>L14/$L$64</f>
        <v>5.3748397797844169E-3</v>
      </c>
      <c r="N14" s="299">
        <f>[3]Alaska!$EH$41</f>
        <v>17442</v>
      </c>
      <c r="O14" s="451">
        <f>(L14-N14)/N14</f>
        <v>-0.14316018805182892</v>
      </c>
      <c r="P14" s="299">
        <f>SUM([3]Alaska!$EL$41:$EV$41)</f>
        <v>219348</v>
      </c>
      <c r="Q14" s="299">
        <f>SUM([3]Alaska!$DX$41:$EH$41)</f>
        <v>179141</v>
      </c>
      <c r="R14" s="451">
        <f>(P14-Q14)/Q14</f>
        <v>0.22444331560056044</v>
      </c>
      <c r="T14" s="20"/>
    </row>
    <row r="15" spans="1:20" ht="14.1" customHeight="1" x14ac:dyDescent="0.2">
      <c r="A15" s="356"/>
      <c r="B15" s="442" t="s">
        <v>104</v>
      </c>
      <c r="C15" s="361">
        <f>'[3]Sky West_AS'!$EV$19</f>
        <v>60</v>
      </c>
      <c r="D15" s="39">
        <f>C15/$C$64</f>
        <v>2.0323137892490602E-3</v>
      </c>
      <c r="E15" s="9">
        <f>'[3]Sky West_AS'!$EH$19</f>
        <v>0</v>
      </c>
      <c r="F15" s="86" t="e">
        <f>(C15-E15)/E15</f>
        <v>#DIV/0!</v>
      </c>
      <c r="G15" s="9">
        <f>SUM('[3]Sky West_AS'!$EL$19:$EV$19)</f>
        <v>550</v>
      </c>
      <c r="H15" s="9">
        <f>SUM('[3]Sky West_AS'!$DX$19:$EH$19)</f>
        <v>0</v>
      </c>
      <c r="I15" s="86" t="e">
        <f>(G15-H15)/H15</f>
        <v>#DIV/0!</v>
      </c>
      <c r="J15" s="356"/>
      <c r="K15" s="442" t="s">
        <v>104</v>
      </c>
      <c r="L15" s="361">
        <f>'[3]Sky West_AS'!$EV$41</f>
        <v>4124</v>
      </c>
      <c r="M15" s="39">
        <f>L15/$L$64</f>
        <v>1.4831608733242511E-3</v>
      </c>
      <c r="N15" s="9">
        <f>'[3]Sky West_AS'!$EH$41</f>
        <v>0</v>
      </c>
      <c r="O15" s="86" t="e">
        <f>(L15-N15)/N15</f>
        <v>#DIV/0!</v>
      </c>
      <c r="P15" s="9">
        <f>SUM('[3]Sky West_AS'!$EL$41:$EV$41)</f>
        <v>36999</v>
      </c>
      <c r="Q15" s="9">
        <f>SUM('[3]Sky West_AS'!$DX$41:$EH$41)</f>
        <v>0</v>
      </c>
      <c r="R15" s="86" t="e">
        <f>(P15-Q15)/Q15</f>
        <v>#DIV/0!</v>
      </c>
      <c r="T15" s="20"/>
    </row>
    <row r="16" spans="1:20" ht="14.1" customHeight="1" x14ac:dyDescent="0.2">
      <c r="A16" s="356"/>
      <c r="B16" s="55"/>
      <c r="C16" s="357"/>
      <c r="D16" s="358"/>
      <c r="E16" s="362"/>
      <c r="F16" s="360"/>
      <c r="G16" s="362"/>
      <c r="H16" s="362"/>
      <c r="I16" s="360"/>
      <c r="J16" s="356"/>
      <c r="K16" s="55"/>
      <c r="L16" s="363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6" t="s">
        <v>19</v>
      </c>
      <c r="B17" s="364"/>
      <c r="C17" s="357">
        <f>SUM(C18:C24)</f>
        <v>1784</v>
      </c>
      <c r="D17" s="358">
        <f t="shared" ref="D17:D24" si="6">C17/$C$64</f>
        <v>6.0427463333672049E-2</v>
      </c>
      <c r="E17" s="359">
        <f>SUM(E18:E24)</f>
        <v>2108</v>
      </c>
      <c r="F17" s="360">
        <f t="shared" ref="F17:F24" si="7">(C17-E17)/E17</f>
        <v>-0.15370018975332067</v>
      </c>
      <c r="G17" s="357">
        <f>SUM(G18:G24)</f>
        <v>20064</v>
      </c>
      <c r="H17" s="359">
        <f>SUM(H18:H24)</f>
        <v>17812</v>
      </c>
      <c r="I17" s="360">
        <f t="shared" ref="I17:I24" si="8">(G17-H17)/H17</f>
        <v>0.12643161913316864</v>
      </c>
      <c r="J17" s="356" t="s">
        <v>19</v>
      </c>
      <c r="K17" s="364"/>
      <c r="L17" s="357">
        <f>SUM(L18:L24)</f>
        <v>175140</v>
      </c>
      <c r="M17" s="358">
        <f t="shared" ref="M17:M24" si="9">L17/$L$64</f>
        <v>6.2987583742485295E-2</v>
      </c>
      <c r="N17" s="359">
        <f>SUM(N18:N24)</f>
        <v>181635</v>
      </c>
      <c r="O17" s="360">
        <f t="shared" ref="O17:O24" si="10">(L17-N17)/N17</f>
        <v>-3.5758526715666032E-2</v>
      </c>
      <c r="P17" s="357">
        <f>SUM(P18:P24)</f>
        <v>2222018</v>
      </c>
      <c r="Q17" s="359">
        <f>SUM(Q18:Q24)</f>
        <v>2077884</v>
      </c>
      <c r="R17" s="360">
        <f t="shared" ref="R17:R24" si="11">(P17-Q17)/Q17</f>
        <v>6.936575862752685E-2</v>
      </c>
      <c r="T17" s="20"/>
    </row>
    <row r="18" spans="1:20" ht="14.1" customHeight="1" x14ac:dyDescent="0.2">
      <c r="A18" s="53"/>
      <c r="B18" s="365" t="s">
        <v>19</v>
      </c>
      <c r="C18" s="361">
        <f>[3]American!$EV$19</f>
        <v>1415</v>
      </c>
      <c r="D18" s="39">
        <f t="shared" si="6"/>
        <v>4.7928733529790331E-2</v>
      </c>
      <c r="E18" s="9">
        <f>[3]American!$EH$19</f>
        <v>1384</v>
      </c>
      <c r="F18" s="86">
        <f t="shared" si="7"/>
        <v>2.2398843930635837E-2</v>
      </c>
      <c r="G18" s="9">
        <f>SUM([3]American!$EL$19:$EV$19)</f>
        <v>15866</v>
      </c>
      <c r="H18" s="9">
        <f>SUM([3]American!$DX$19:$EH$19)</f>
        <v>8063</v>
      </c>
      <c r="I18" s="86">
        <f t="shared" si="8"/>
        <v>0.96775393774029517</v>
      </c>
      <c r="J18" s="53"/>
      <c r="K18" s="365" t="s">
        <v>19</v>
      </c>
      <c r="L18" s="361">
        <f>[3]American!$EV$41</f>
        <v>159070</v>
      </c>
      <c r="M18" s="39">
        <f t="shared" si="9"/>
        <v>5.7208147458702382E-2</v>
      </c>
      <c r="N18" s="9">
        <f>[3]American!$EH$41</f>
        <v>173992</v>
      </c>
      <c r="O18" s="86">
        <f t="shared" si="10"/>
        <v>-8.5762563796036598E-2</v>
      </c>
      <c r="P18" s="9">
        <f>SUM([3]American!$EL$41:$EV$41)</f>
        <v>1982078</v>
      </c>
      <c r="Q18" s="9">
        <f>SUM([3]American!$DX$41:$EH$41)</f>
        <v>1021541</v>
      </c>
      <c r="R18" s="86">
        <f t="shared" si="11"/>
        <v>0.94028237731035758</v>
      </c>
      <c r="T18" s="20"/>
    </row>
    <row r="19" spans="1:20" ht="14.1" customHeight="1" x14ac:dyDescent="0.2">
      <c r="A19" s="53"/>
      <c r="B19" s="440" t="s">
        <v>22</v>
      </c>
      <c r="C19" s="361">
        <f>'[3]US Airways'!$EV$19</f>
        <v>0</v>
      </c>
      <c r="D19" s="39">
        <f t="shared" si="6"/>
        <v>0</v>
      </c>
      <c r="E19" s="9">
        <f>'[3]US Airways'!$EH$19</f>
        <v>575</v>
      </c>
      <c r="F19" s="86">
        <f t="shared" si="7"/>
        <v>-1</v>
      </c>
      <c r="G19" s="9">
        <f>SUM('[3]US Airways'!$EL$19:$EV$19)</f>
        <v>0</v>
      </c>
      <c r="H19" s="9">
        <f>SUM('[3]US Airways'!$DX$19:$EH$19)</f>
        <v>7681</v>
      </c>
      <c r="I19" s="86">
        <f t="shared" si="8"/>
        <v>-1</v>
      </c>
      <c r="J19" s="372"/>
      <c r="K19" s="365" t="s">
        <v>22</v>
      </c>
      <c r="L19" s="361">
        <f>'[3]US Airways'!$EV$41</f>
        <v>0</v>
      </c>
      <c r="M19" s="39">
        <f t="shared" si="9"/>
        <v>0</v>
      </c>
      <c r="N19" s="9">
        <f>'[3]US Airways'!$EH$41</f>
        <v>0</v>
      </c>
      <c r="O19" s="86" t="e">
        <f t="shared" si="10"/>
        <v>#DIV/0!</v>
      </c>
      <c r="P19" s="9">
        <f>SUM('[3]US Airways'!$EL$41:$EV$41)</f>
        <v>0</v>
      </c>
      <c r="Q19" s="9">
        <f>SUM('[3]US Airways'!$DX$41:$EH$41)</f>
        <v>924497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197</v>
      </c>
      <c r="C20" s="361">
        <f>'[3]American Eagle'!$EV$19</f>
        <v>18</v>
      </c>
      <c r="D20" s="39">
        <f t="shared" si="6"/>
        <v>6.09694136774718E-4</v>
      </c>
      <c r="E20" s="9">
        <f>'[3]American Eagle'!$EH$19</f>
        <v>103</v>
      </c>
      <c r="F20" s="86">
        <f t="shared" si="7"/>
        <v>-0.82524271844660191</v>
      </c>
      <c r="G20" s="9">
        <f>SUM('[3]American Eagle'!$EL$19:$EV$19)</f>
        <v>176</v>
      </c>
      <c r="H20" s="9">
        <f>SUM('[3]American Eagle'!$DX$19:$EH$19)</f>
        <v>1814</v>
      </c>
      <c r="I20" s="86">
        <f t="shared" si="8"/>
        <v>-0.90297684674751932</v>
      </c>
      <c r="J20" s="53"/>
      <c r="K20" s="440" t="s">
        <v>197</v>
      </c>
      <c r="L20" s="361">
        <f>'[3]American Eagle'!$EV$41</f>
        <v>914</v>
      </c>
      <c r="M20" s="39">
        <f t="shared" si="9"/>
        <v>3.2871218191521959E-4</v>
      </c>
      <c r="N20" s="9">
        <f>'[3]American Eagle'!$EH$41</f>
        <v>5594</v>
      </c>
      <c r="O20" s="86">
        <f t="shared" si="10"/>
        <v>-0.83661065427243475</v>
      </c>
      <c r="P20" s="9">
        <f>SUM('[3]American Eagle'!$EL$41:$EV$41)</f>
        <v>8827</v>
      </c>
      <c r="Q20" s="9">
        <f>SUM('[3]American Eagle'!$DX$41:$EH$41)</f>
        <v>116498</v>
      </c>
      <c r="R20" s="86">
        <f t="shared" si="11"/>
        <v>-0.92423045889199817</v>
      </c>
      <c r="T20" s="20"/>
    </row>
    <row r="21" spans="1:20" ht="14.1" customHeight="1" x14ac:dyDescent="0.2">
      <c r="A21" s="53"/>
      <c r="B21" s="440" t="s">
        <v>56</v>
      </c>
      <c r="C21" s="361">
        <f>[3]Republic!$EV$19</f>
        <v>345</v>
      </c>
      <c r="D21" s="39">
        <f t="shared" si="6"/>
        <v>1.1685804288182096E-2</v>
      </c>
      <c r="E21" s="9">
        <f>[3]Republic!$EH$19</f>
        <v>0</v>
      </c>
      <c r="F21" s="86" t="e">
        <f t="shared" si="7"/>
        <v>#DIV/0!</v>
      </c>
      <c r="G21" s="9">
        <f>SUM([3]Republic!$EL$19:$EV$19)</f>
        <v>3764</v>
      </c>
      <c r="H21" s="9">
        <f>SUM([3]Republic!$DX$19:$EH$19)</f>
        <v>196</v>
      </c>
      <c r="I21" s="86">
        <f t="shared" si="8"/>
        <v>18.204081632653061</v>
      </c>
      <c r="J21" s="372"/>
      <c r="K21" s="367" t="s">
        <v>56</v>
      </c>
      <c r="L21" s="361">
        <f>[3]Republic!$EV$41</f>
        <v>14964</v>
      </c>
      <c r="M21" s="39">
        <f t="shared" si="9"/>
        <v>5.3816729651852803E-3</v>
      </c>
      <c r="N21" s="9">
        <f>[3]Republic!$EH$41</f>
        <v>0</v>
      </c>
      <c r="O21" s="86" t="e">
        <f t="shared" si="10"/>
        <v>#DIV/0!</v>
      </c>
      <c r="P21" s="9">
        <f>SUM([3]Republic!$EL$41:$EV$41)</f>
        <v>217911</v>
      </c>
      <c r="Q21" s="9">
        <f>SUM([3]Republic!$DX$41:$EH$41)</f>
        <v>12602</v>
      </c>
      <c r="R21" s="86">
        <f t="shared" si="11"/>
        <v>16.291779082685288</v>
      </c>
      <c r="T21" s="20"/>
    </row>
    <row r="22" spans="1:20" ht="14.1" customHeight="1" x14ac:dyDescent="0.2">
      <c r="A22" s="53"/>
      <c r="B22" s="440" t="s">
        <v>220</v>
      </c>
      <c r="C22" s="361">
        <f>[3]PSA!$EV$19</f>
        <v>6</v>
      </c>
      <c r="D22" s="39">
        <f t="shared" ref="D22" si="12">C22/$C$64</f>
        <v>2.03231378924906E-4</v>
      </c>
      <c r="E22" s="9">
        <f>[3]PSA!$EH$19</f>
        <v>0</v>
      </c>
      <c r="F22" s="86" t="e">
        <f t="shared" ref="F22" si="13">(C22-E22)/E22</f>
        <v>#DIV/0!</v>
      </c>
      <c r="G22" s="9">
        <f>SUM([3]PSA!$EL$19:$EV$19)</f>
        <v>136</v>
      </c>
      <c r="H22" s="9">
        <f>SUM([3]PSA!$DX$19:$EH$19)</f>
        <v>0</v>
      </c>
      <c r="I22" s="86" t="e">
        <f t="shared" ref="I22" si="14">(G22-H22)/H22</f>
        <v>#DIV/0!</v>
      </c>
      <c r="J22" s="372"/>
      <c r="K22" s="479" t="s">
        <v>220</v>
      </c>
      <c r="L22" s="361">
        <f>[3]PSA!$EV$41</f>
        <v>192</v>
      </c>
      <c r="M22" s="39">
        <f t="shared" ref="M22" si="15">L22/$L$64</f>
        <v>6.9051136682409369E-5</v>
      </c>
      <c r="N22" s="9">
        <f>[3]PSA!$EH$41</f>
        <v>0</v>
      </c>
      <c r="O22" s="86" t="e">
        <f t="shared" ref="O22" si="16">(L22-N22)/N22</f>
        <v>#DIV/0!</v>
      </c>
      <c r="P22" s="9">
        <f>SUM([3]PSA!$EL$41:$EV$41)</f>
        <v>8249</v>
      </c>
      <c r="Q22" s="9">
        <f>SUM([3]PSA!$DX$41:$EH$41)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55</v>
      </c>
      <c r="C23" s="361">
        <f>[3]MESA!$EV$19</f>
        <v>0</v>
      </c>
      <c r="D23" s="39">
        <f t="shared" si="6"/>
        <v>0</v>
      </c>
      <c r="E23" s="9">
        <f>[3]MESA!$EH$19</f>
        <v>0</v>
      </c>
      <c r="F23" s="86" t="e">
        <f t="shared" si="7"/>
        <v>#DIV/0!</v>
      </c>
      <c r="G23" s="9">
        <f>SUM([3]MESA!$EL$19:$EV$19)</f>
        <v>14</v>
      </c>
      <c r="H23" s="9">
        <f>SUM([3]MESA!$DX$19:$EH$19)</f>
        <v>12</v>
      </c>
      <c r="I23" s="86">
        <f t="shared" si="8"/>
        <v>0.16666666666666666</v>
      </c>
      <c r="J23" s="372"/>
      <c r="K23" s="440" t="s">
        <v>55</v>
      </c>
      <c r="L23" s="361">
        <f>[3]MESA!$EV$41</f>
        <v>0</v>
      </c>
      <c r="M23" s="39">
        <f t="shared" si="9"/>
        <v>0</v>
      </c>
      <c r="N23" s="9">
        <f>[3]MESA!$EH$41</f>
        <v>0</v>
      </c>
      <c r="O23" s="86" t="e">
        <f t="shared" si="10"/>
        <v>#DIV/0!</v>
      </c>
      <c r="P23" s="9">
        <f>SUM([3]MESA!$EL$41:$EV$41)</f>
        <v>1079</v>
      </c>
      <c r="Q23" s="9">
        <f>SUM([3]MESA!$DX$41:$EH$41)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61">
        <f>'[3]Air Wisconsin'!$EV$19</f>
        <v>0</v>
      </c>
      <c r="D24" s="39">
        <f t="shared" si="6"/>
        <v>0</v>
      </c>
      <c r="E24" s="9">
        <f>'[3]Air Wisconsin'!$EH$19</f>
        <v>46</v>
      </c>
      <c r="F24" s="86">
        <f t="shared" si="7"/>
        <v>-1</v>
      </c>
      <c r="G24" s="9">
        <f>SUM('[3]Air Wisconsin'!$EL$19:$EV$19)</f>
        <v>108</v>
      </c>
      <c r="H24" s="9">
        <f>SUM('[3]Air Wisconsin'!$DX$19:$EH$19)</f>
        <v>46</v>
      </c>
      <c r="I24" s="444">
        <f t="shared" si="8"/>
        <v>1.3478260869565217</v>
      </c>
      <c r="J24" s="53"/>
      <c r="K24" s="445" t="s">
        <v>53</v>
      </c>
      <c r="L24" s="361">
        <f>'[3]Air Wisconsin'!$EV$41</f>
        <v>0</v>
      </c>
      <c r="M24" s="39">
        <f t="shared" si="9"/>
        <v>0</v>
      </c>
      <c r="N24" s="9">
        <f>'[3]Air Wisconsin'!$EH$41</f>
        <v>2049</v>
      </c>
      <c r="O24" s="86">
        <f t="shared" si="10"/>
        <v>-1</v>
      </c>
      <c r="P24" s="9">
        <f>SUM('[3]Air Wisconsin'!$EL$41:$EV$41)</f>
        <v>3874</v>
      </c>
      <c r="Q24" s="9">
        <f>SUM('[3]Air Wisconsin'!$DX$41:$EH$41)</f>
        <v>2049</v>
      </c>
      <c r="R24" s="86">
        <f t="shared" si="11"/>
        <v>0.89067837969741337</v>
      </c>
      <c r="T24" s="20"/>
    </row>
    <row r="25" spans="1:20" ht="14.1" customHeight="1" x14ac:dyDescent="0.2">
      <c r="A25" s="53"/>
      <c r="B25" s="366"/>
      <c r="C25" s="361"/>
      <c r="D25" s="39"/>
      <c r="E25" s="9"/>
      <c r="F25" s="86"/>
      <c r="G25" s="9"/>
      <c r="H25" s="9"/>
      <c r="I25" s="86"/>
      <c r="J25" s="53"/>
      <c r="K25" s="366"/>
      <c r="L25" s="361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6" t="s">
        <v>218</v>
      </c>
      <c r="B26" s="366"/>
      <c r="C26" s="357">
        <f>'[3]Boutique Air'!$EV$19</f>
        <v>156</v>
      </c>
      <c r="D26" s="358">
        <f t="shared" ref="D26" si="18">C26/$C$64</f>
        <v>5.2840158520475562E-3</v>
      </c>
      <c r="E26" s="359">
        <f>'[3]Boutique Air'!$EH$19</f>
        <v>0</v>
      </c>
      <c r="F26" s="360" t="e">
        <f t="shared" ref="F26" si="19">(C26-E26)/E26</f>
        <v>#DIV/0!</v>
      </c>
      <c r="G26" s="359">
        <f>SUM('[3]Boutique Air'!$EL$19:$EV$19)</f>
        <v>833</v>
      </c>
      <c r="H26" s="359">
        <f>SUM('[3]Boutique Air'!$DX$19:$EH$19)</f>
        <v>0</v>
      </c>
      <c r="I26" s="360" t="e">
        <f t="shared" ref="I26" si="20">(G26-H26)/H26</f>
        <v>#DIV/0!</v>
      </c>
      <c r="J26" s="356" t="s">
        <v>218</v>
      </c>
      <c r="K26" s="366"/>
      <c r="L26" s="357">
        <f>'[3]Boutique Air'!$EV$41</f>
        <v>1072</v>
      </c>
      <c r="M26" s="358">
        <f t="shared" ref="M26" si="21">L26/$L$64</f>
        <v>3.8553551314345232E-4</v>
      </c>
      <c r="N26" s="359">
        <f>'[3]Boutique Air'!$EH$41</f>
        <v>0</v>
      </c>
      <c r="O26" s="360" t="e">
        <f t="shared" ref="O26" si="22">(L26-N26)/N26</f>
        <v>#DIV/0!</v>
      </c>
      <c r="P26" s="359">
        <f>SUM('[3]Boutique Air'!$EL$41:$EV$41)</f>
        <v>5417</v>
      </c>
      <c r="Q26" s="359">
        <f>SUM('[3]Boutique Air'!$DX$41:$EH$41)</f>
        <v>0</v>
      </c>
      <c r="R26" s="360" t="e">
        <f t="shared" ref="R26" si="23">(P26-Q26)/Q26</f>
        <v>#DIV/0!</v>
      </c>
      <c r="T26" s="20"/>
    </row>
    <row r="27" spans="1:20" ht="14.1" customHeight="1" x14ac:dyDescent="0.2">
      <c r="A27" s="53"/>
      <c r="B27" s="366"/>
      <c r="C27" s="361"/>
      <c r="D27" s="39"/>
      <c r="E27" s="9"/>
      <c r="F27" s="86"/>
      <c r="G27" s="9"/>
      <c r="H27" s="9"/>
      <c r="I27" s="86"/>
      <c r="J27" s="53"/>
      <c r="K27" s="366"/>
      <c r="L27" s="361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6" t="s">
        <v>182</v>
      </c>
      <c r="B28" s="366"/>
      <c r="C28" s="357">
        <f>[3]Condor!$EV$19</f>
        <v>0</v>
      </c>
      <c r="D28" s="358">
        <f t="shared" ref="D28" si="24">C28/$C$64</f>
        <v>0</v>
      </c>
      <c r="E28" s="359">
        <f>[3]Condor!$EH$19</f>
        <v>0</v>
      </c>
      <c r="F28" s="360" t="e">
        <f t="shared" ref="F28" si="25">(C28-E28)/E28</f>
        <v>#DIV/0!</v>
      </c>
      <c r="G28" s="359">
        <f>SUM([3]Condor!$EL$19:$EV$19)</f>
        <v>84</v>
      </c>
      <c r="H28" s="359">
        <f>SUM([3]Condor!$DX$19:$EH$19)</f>
        <v>44</v>
      </c>
      <c r="I28" s="360">
        <f t="shared" ref="I28" si="26">(G28-H28)/H28</f>
        <v>0.90909090909090906</v>
      </c>
      <c r="J28" s="356" t="s">
        <v>182</v>
      </c>
      <c r="K28" s="366"/>
      <c r="L28" s="357">
        <f>[3]Condor!$EV$41</f>
        <v>0</v>
      </c>
      <c r="M28" s="358">
        <f t="shared" ref="M28" si="27">L28/$L$64</f>
        <v>0</v>
      </c>
      <c r="N28" s="359">
        <f>[3]Condor!$EH$41</f>
        <v>0</v>
      </c>
      <c r="O28" s="360" t="e">
        <f t="shared" ref="O28" si="28">(L28-N28)/N28</f>
        <v>#DIV/0!</v>
      </c>
      <c r="P28" s="359">
        <f>SUM([3]Condor!$EL$41:$EV$41)</f>
        <v>18861</v>
      </c>
      <c r="Q28" s="359">
        <f>SUM([3]Condor!$DX$41:$EH$41)</f>
        <v>10581</v>
      </c>
      <c r="R28" s="360">
        <f t="shared" ref="R28" si="29">(P28-Q28)/Q28</f>
        <v>0.78253473206691238</v>
      </c>
      <c r="T28" s="20"/>
    </row>
    <row r="29" spans="1:20" ht="14.1" customHeight="1" x14ac:dyDescent="0.2">
      <c r="A29" s="53"/>
      <c r="B29" s="366"/>
      <c r="C29" s="361"/>
      <c r="D29" s="39"/>
      <c r="E29" s="9"/>
      <c r="F29" s="86"/>
      <c r="G29" s="9"/>
      <c r="H29" s="9"/>
      <c r="I29" s="86"/>
      <c r="J29" s="53"/>
      <c r="K29" s="366"/>
      <c r="L29" s="361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6" t="s">
        <v>20</v>
      </c>
      <c r="B30" s="369"/>
      <c r="C30" s="357">
        <f>SUM(C31:C37)</f>
        <v>21471</v>
      </c>
      <c r="D30" s="358">
        <f t="shared" ref="D30:D37" si="30">C30/$C$64</f>
        <v>0.72726348948277619</v>
      </c>
      <c r="E30" s="359">
        <f>SUM(E31:E37)</f>
        <v>22046</v>
      </c>
      <c r="F30" s="360">
        <f t="shared" ref="F30:F37" si="31">(C30-E30)/E30</f>
        <v>-2.6081828903202396E-2</v>
      </c>
      <c r="G30" s="362">
        <f>SUM(G31:G37)</f>
        <v>256187</v>
      </c>
      <c r="H30" s="362">
        <f>SUM(H31:H37)</f>
        <v>256046</v>
      </c>
      <c r="I30" s="360">
        <f>(G30-H30)/H30</f>
        <v>5.5068229927434916E-4</v>
      </c>
      <c r="J30" s="356" t="s">
        <v>20</v>
      </c>
      <c r="K30" s="369"/>
      <c r="L30" s="357">
        <f>SUM(L31:L37)</f>
        <v>1980003</v>
      </c>
      <c r="M30" s="358">
        <f t="shared" ref="M30:M37" si="32">L30/$L$64</f>
        <v>0.71209092596135726</v>
      </c>
      <c r="N30" s="359">
        <f>SUM(N31:N37)</f>
        <v>1994707</v>
      </c>
      <c r="O30" s="360">
        <f t="shared" ref="O30:O37" si="33">(L30-N30)/N30</f>
        <v>-7.3715086977686447E-3</v>
      </c>
      <c r="P30" s="359">
        <f>SUM(P31:P37)</f>
        <v>23870723</v>
      </c>
      <c r="Q30" s="359">
        <f>SUM(Q31:Q37)</f>
        <v>23882345</v>
      </c>
      <c r="R30" s="360">
        <f t="shared" ref="R30:R37" si="34">(P30-Q30)/Q30</f>
        <v>-4.8663562979263554E-4</v>
      </c>
      <c r="T30" s="426"/>
    </row>
    <row r="31" spans="1:20" ht="14.1" customHeight="1" x14ac:dyDescent="0.2">
      <c r="A31" s="53"/>
      <c r="B31" s="365" t="s">
        <v>20</v>
      </c>
      <c r="C31" s="361">
        <f>[3]Delta!$EV$19</f>
        <v>10355</v>
      </c>
      <c r="D31" s="39">
        <f t="shared" si="30"/>
        <v>0.35074348812790029</v>
      </c>
      <c r="E31" s="9">
        <f>[3]Delta!$EH$19</f>
        <v>10230</v>
      </c>
      <c r="F31" s="86">
        <f t="shared" si="31"/>
        <v>1.2218963831867057E-2</v>
      </c>
      <c r="G31" s="9">
        <f>SUM([3]Delta!$EL$19:$EV$19)</f>
        <v>125983</v>
      </c>
      <c r="H31" s="9">
        <f>SUM([3]Delta!$DX$19:$EH$19)</f>
        <v>121406</v>
      </c>
      <c r="I31" s="86">
        <f t="shared" ref="I31:I37" si="35">(G31-H31)/H31</f>
        <v>3.7699948931683769E-2</v>
      </c>
      <c r="J31" s="53"/>
      <c r="K31" s="365" t="s">
        <v>20</v>
      </c>
      <c r="L31" s="361">
        <f>[3]Delta!$EV$41</f>
        <v>1409111</v>
      </c>
      <c r="M31" s="39">
        <f t="shared" si="32"/>
        <v>0.50677456386295072</v>
      </c>
      <c r="N31" s="9">
        <f>[3]Delta!$EH$41</f>
        <v>1386686</v>
      </c>
      <c r="O31" s="86">
        <f t="shared" si="33"/>
        <v>1.6171649529886364E-2</v>
      </c>
      <c r="P31" s="9">
        <f>SUM([3]Delta!$EL$41:$EV$41)</f>
        <v>17285999</v>
      </c>
      <c r="Q31" s="9">
        <f>SUM([3]Delta!$DX$41:$EH$41)</f>
        <v>16928012</v>
      </c>
      <c r="R31" s="86">
        <f t="shared" si="34"/>
        <v>2.1147610245077803E-2</v>
      </c>
      <c r="T31" s="20"/>
    </row>
    <row r="32" spans="1:20" ht="14.1" customHeight="1" x14ac:dyDescent="0.2">
      <c r="A32" s="53"/>
      <c r="B32" s="367" t="s">
        <v>124</v>
      </c>
      <c r="C32" s="361">
        <f>[3]Compass!$EV$19</f>
        <v>1404</v>
      </c>
      <c r="D32" s="39">
        <f t="shared" si="30"/>
        <v>4.7556142668428003E-2</v>
      </c>
      <c r="E32" s="9">
        <f>[3]Compass!$EH$19</f>
        <v>1359</v>
      </c>
      <c r="F32" s="86">
        <f t="shared" si="31"/>
        <v>3.3112582781456956E-2</v>
      </c>
      <c r="G32" s="9">
        <f>SUM([3]Compass!$EL$19:$EV$19)</f>
        <v>16147</v>
      </c>
      <c r="H32" s="9">
        <f>SUM([3]Compass!$DX$19:$EH$19)</f>
        <v>15616</v>
      </c>
      <c r="I32" s="86">
        <f t="shared" si="35"/>
        <v>3.4003586065573771E-2</v>
      </c>
      <c r="J32" s="53"/>
      <c r="K32" s="367" t="s">
        <v>124</v>
      </c>
      <c r="L32" s="361">
        <f>[3]Compass!$EV$41</f>
        <v>84317</v>
      </c>
      <c r="M32" s="39">
        <f t="shared" si="32"/>
        <v>3.0323878602347452E-2</v>
      </c>
      <c r="N32" s="9">
        <f>[3]Compass!$EH$41</f>
        <v>84871</v>
      </c>
      <c r="O32" s="86">
        <f t="shared" si="33"/>
        <v>-6.527553581317529E-3</v>
      </c>
      <c r="P32" s="9">
        <f>SUM([3]Compass!$EL$41:$EV$41)</f>
        <v>954404</v>
      </c>
      <c r="Q32" s="9">
        <f>SUM([3]Compass!$DX$41:$EH$41)</f>
        <v>942460</v>
      </c>
      <c r="R32" s="86">
        <f t="shared" si="34"/>
        <v>1.2673216900452009E-2</v>
      </c>
      <c r="T32" s="9"/>
    </row>
    <row r="33" spans="1:20" ht="14.1" customHeight="1" x14ac:dyDescent="0.2">
      <c r="A33" s="53"/>
      <c r="B33" s="366" t="s">
        <v>170</v>
      </c>
      <c r="C33" s="361">
        <f>[3]Pinnacle!$EV$19</f>
        <v>3368</v>
      </c>
      <c r="D33" s="39">
        <f t="shared" si="30"/>
        <v>0.11408054736984724</v>
      </c>
      <c r="E33" s="9">
        <f>[3]Pinnacle!$EH$19</f>
        <v>4054</v>
      </c>
      <c r="F33" s="86">
        <f t="shared" si="31"/>
        <v>-0.16921558954119389</v>
      </c>
      <c r="G33" s="9">
        <f>SUM([3]Pinnacle!$EL$19:$EV$19)</f>
        <v>42705</v>
      </c>
      <c r="H33" s="9">
        <f>SUM([3]Pinnacle!$DX$19:$EH$19)</f>
        <v>53277</v>
      </c>
      <c r="I33" s="86">
        <f t="shared" si="35"/>
        <v>-0.19843459654259812</v>
      </c>
      <c r="J33" s="53"/>
      <c r="K33" s="366" t="s">
        <v>170</v>
      </c>
      <c r="L33" s="361">
        <f>[3]Pinnacle!$EV$41</f>
        <v>172770</v>
      </c>
      <c r="M33" s="39">
        <f t="shared" si="32"/>
        <v>6.2135233774061806E-2</v>
      </c>
      <c r="N33" s="9">
        <f>[3]Pinnacle!$EH$41</f>
        <v>228325</v>
      </c>
      <c r="O33" s="86">
        <f t="shared" si="33"/>
        <v>-0.24331544946895872</v>
      </c>
      <c r="P33" s="9">
        <f>SUM([3]Pinnacle!$EL$41:$EV$41)</f>
        <v>2297217</v>
      </c>
      <c r="Q33" s="9">
        <f>SUM([3]Pinnacle!$DX$41:$EH$41)</f>
        <v>2983080</v>
      </c>
      <c r="R33" s="86">
        <f t="shared" si="34"/>
        <v>-0.22991773603121607</v>
      </c>
      <c r="T33" s="20"/>
    </row>
    <row r="34" spans="1:20" ht="14.1" customHeight="1" x14ac:dyDescent="0.2">
      <c r="A34" s="53"/>
      <c r="B34" s="365" t="s">
        <v>166</v>
      </c>
      <c r="C34" s="361">
        <f>'[3]Go Jet'!$EV$19</f>
        <v>250</v>
      </c>
      <c r="D34" s="39">
        <f t="shared" si="30"/>
        <v>8.467974121871084E-3</v>
      </c>
      <c r="E34" s="9">
        <f>'[3]Go Jet'!$EH$19</f>
        <v>0</v>
      </c>
      <c r="F34" s="86" t="e">
        <f>(C34-E34)/E34</f>
        <v>#DIV/0!</v>
      </c>
      <c r="G34" s="9">
        <f>SUM('[3]Go Jet'!$EL$19:$EV$19)</f>
        <v>847</v>
      </c>
      <c r="H34" s="9">
        <f>SUM('[3]Go Jet'!$DX$19:$EH$19)</f>
        <v>74</v>
      </c>
      <c r="I34" s="86">
        <f>(G34-H34)/H34</f>
        <v>10.445945945945946</v>
      </c>
      <c r="J34" s="53"/>
      <c r="K34" s="365" t="s">
        <v>166</v>
      </c>
      <c r="L34" s="361">
        <f>'[3]Go Jet'!$EV$41</f>
        <v>15300</v>
      </c>
      <c r="M34" s="39">
        <f t="shared" si="32"/>
        <v>5.502512454379496E-3</v>
      </c>
      <c r="N34" s="9">
        <f>'[3]Go Jet'!$EH$41</f>
        <v>0</v>
      </c>
      <c r="O34" s="86" t="e">
        <f>(L34-N34)/N34</f>
        <v>#DIV/0!</v>
      </c>
      <c r="P34" s="9">
        <f>SUM('[3]Go Jet'!$EL$41:$EV$41)</f>
        <v>52915</v>
      </c>
      <c r="Q34" s="9">
        <f>SUM('[3]Go Jet'!$DX$41:$EH$41)</f>
        <v>4356</v>
      </c>
      <c r="R34" s="86">
        <f>(P34-Q34)/Q34</f>
        <v>11.147612488521579</v>
      </c>
      <c r="T34" s="335"/>
    </row>
    <row r="35" spans="1:20" ht="14.1" customHeight="1" x14ac:dyDescent="0.2">
      <c r="A35" s="53"/>
      <c r="B35" s="366" t="s">
        <v>104</v>
      </c>
      <c r="C35" s="361">
        <f>'[3]Sky West'!$EV$19</f>
        <v>4944</v>
      </c>
      <c r="D35" s="39">
        <f t="shared" si="30"/>
        <v>0.16746265623412254</v>
      </c>
      <c r="E35" s="9">
        <f>'[3]Sky West'!$EH$19</f>
        <v>5396</v>
      </c>
      <c r="F35" s="86">
        <f t="shared" si="31"/>
        <v>-8.3765752409191999E-2</v>
      </c>
      <c r="G35" s="9">
        <f>SUM('[3]Sky West'!$EL$19:$EV$19)</f>
        <v>61231</v>
      </c>
      <c r="H35" s="9">
        <f>SUM('[3]Sky West'!$DX$19:$EH$19)</f>
        <v>50133</v>
      </c>
      <c r="I35" s="86">
        <f t="shared" si="35"/>
        <v>0.22137115273372829</v>
      </c>
      <c r="J35" s="53"/>
      <c r="K35" s="366" t="s">
        <v>104</v>
      </c>
      <c r="L35" s="361">
        <f>'[3]Sky West'!$EV$41</f>
        <v>231903</v>
      </c>
      <c r="M35" s="39">
        <f t="shared" si="32"/>
        <v>8.3401904948233227E-2</v>
      </c>
      <c r="N35" s="9">
        <f>'[3]Sky West'!$EH$41</f>
        <v>242879</v>
      </c>
      <c r="O35" s="86">
        <f t="shared" si="33"/>
        <v>-4.5191226907225407E-2</v>
      </c>
      <c r="P35" s="9">
        <f>SUM('[3]Sky West'!$EL$41:$EV$41)</f>
        <v>2756619</v>
      </c>
      <c r="Q35" s="9">
        <f>SUM('[3]Sky West'!$DX$41:$EH$41)</f>
        <v>2164742</v>
      </c>
      <c r="R35" s="86">
        <f t="shared" si="34"/>
        <v>0.27341687831621503</v>
      </c>
      <c r="T35" s="20"/>
    </row>
    <row r="36" spans="1:20" ht="14.1" customHeight="1" x14ac:dyDescent="0.2">
      <c r="A36" s="53"/>
      <c r="B36" s="366" t="s">
        <v>139</v>
      </c>
      <c r="C36" s="361">
        <f>'[3]Shuttle America_Delta'!$EV$19</f>
        <v>170</v>
      </c>
      <c r="D36" s="39">
        <f t="shared" si="30"/>
        <v>5.7582224028723365E-3</v>
      </c>
      <c r="E36" s="9">
        <f>'[3]Shuttle America_Delta'!$EH$19</f>
        <v>525</v>
      </c>
      <c r="F36" s="86">
        <f t="shared" si="31"/>
        <v>-0.67619047619047623</v>
      </c>
      <c r="G36" s="9">
        <f>SUM('[3]Shuttle America_Delta'!$EL$19:$EV$19)</f>
        <v>1548</v>
      </c>
      <c r="H36" s="9">
        <f>SUM('[3]Shuttle America_Delta'!$DX$19:$EH$19)</f>
        <v>3851</v>
      </c>
      <c r="I36" s="86">
        <f t="shared" si="35"/>
        <v>-0.59802648662685021</v>
      </c>
      <c r="J36" s="53"/>
      <c r="K36" s="366" t="s">
        <v>139</v>
      </c>
      <c r="L36" s="361">
        <f>'[3]Shuttle America_Delta'!$EV$41</f>
        <v>10846</v>
      </c>
      <c r="M36" s="39">
        <f t="shared" si="32"/>
        <v>3.9006699398823541E-3</v>
      </c>
      <c r="N36" s="9">
        <f>'[3]Shuttle America_Delta'!$EH$41</f>
        <v>25772</v>
      </c>
      <c r="O36" s="86">
        <f t="shared" si="33"/>
        <v>-0.579155672823219</v>
      </c>
      <c r="P36" s="9">
        <f>SUM('[3]Shuttle America_Delta'!$EL$41:$EV$41)</f>
        <v>88634</v>
      </c>
      <c r="Q36" s="9">
        <f>SUM('[3]Shuttle America_Delta'!$DX$41:$EH$41)</f>
        <v>197156</v>
      </c>
      <c r="R36" s="86">
        <f t="shared" si="34"/>
        <v>-0.5504372172289963</v>
      </c>
      <c r="T36" s="20"/>
    </row>
    <row r="37" spans="1:20" ht="14.1" customHeight="1" x14ac:dyDescent="0.2">
      <c r="A37" s="53"/>
      <c r="B37" s="443" t="s">
        <v>198</v>
      </c>
      <c r="C37" s="361">
        <f>'[3]Atlantic Southeast'!$EV$19</f>
        <v>980</v>
      </c>
      <c r="D37" s="39">
        <f t="shared" si="30"/>
        <v>3.3194458557734646E-2</v>
      </c>
      <c r="E37" s="9">
        <f>'[3]Atlantic Southeast'!$EH$19</f>
        <v>482</v>
      </c>
      <c r="F37" s="86">
        <f t="shared" si="31"/>
        <v>1.0331950207468881</v>
      </c>
      <c r="G37" s="9">
        <f>SUM('[3]Atlantic Southeast'!$EL$19:$EV$19)</f>
        <v>7726</v>
      </c>
      <c r="H37" s="9">
        <f>SUM('[3]Atlantic Southeast'!$DX$19:$EH$19)</f>
        <v>11689</v>
      </c>
      <c r="I37" s="86">
        <f t="shared" si="35"/>
        <v>-0.3390367011720421</v>
      </c>
      <c r="J37" s="53"/>
      <c r="K37" s="443" t="s">
        <v>198</v>
      </c>
      <c r="L37" s="361">
        <f>'[3]Atlantic Southeast'!$EV$41</f>
        <v>55756</v>
      </c>
      <c r="M37" s="39">
        <f t="shared" si="32"/>
        <v>2.0052162379502171E-2</v>
      </c>
      <c r="N37" s="9">
        <f>'[3]Atlantic Southeast'!$EH$41</f>
        <v>26174</v>
      </c>
      <c r="O37" s="86">
        <f t="shared" si="33"/>
        <v>1.1302055474898753</v>
      </c>
      <c r="P37" s="9">
        <f>SUM('[3]Atlantic Southeast'!$EL$41:$EV$41)</f>
        <v>434935</v>
      </c>
      <c r="Q37" s="9">
        <f>SUM('[3]Atlantic Southeast'!$DX$41:$EH$41)</f>
        <v>662539</v>
      </c>
      <c r="R37" s="86">
        <f t="shared" si="34"/>
        <v>-0.34353298447336683</v>
      </c>
      <c r="T37" s="332"/>
    </row>
    <row r="38" spans="1:20" ht="14.1" customHeight="1" x14ac:dyDescent="0.2">
      <c r="A38" s="53"/>
      <c r="B38" s="370"/>
      <c r="C38" s="361"/>
      <c r="D38" s="39"/>
      <c r="E38" s="9"/>
      <c r="F38" s="86"/>
      <c r="G38" s="9"/>
      <c r="H38" s="9"/>
      <c r="I38" s="86"/>
      <c r="J38" s="53"/>
      <c r="K38" s="370"/>
      <c r="L38" s="361"/>
      <c r="M38" s="39"/>
      <c r="N38" s="9"/>
      <c r="O38" s="86"/>
      <c r="P38" s="9"/>
      <c r="Q38" s="9"/>
      <c r="R38" s="86"/>
      <c r="T38" s="332"/>
    </row>
    <row r="39" spans="1:20" s="7" customFormat="1" ht="14.1" customHeight="1" x14ac:dyDescent="0.2">
      <c r="A39" s="356" t="s">
        <v>50</v>
      </c>
      <c r="B39" s="371"/>
      <c r="C39" s="357">
        <f>[3]Frontier!$EV$19</f>
        <v>168</v>
      </c>
      <c r="D39" s="358">
        <f>C39/$C$64</f>
        <v>5.6904786098973684E-3</v>
      </c>
      <c r="E39" s="359">
        <f>[3]Frontier!$EH$19</f>
        <v>218</v>
      </c>
      <c r="F39" s="360">
        <f>(C39-E39)/E39</f>
        <v>-0.22935779816513763</v>
      </c>
      <c r="G39" s="359">
        <f>SUM([3]Frontier!$EL$19:$EV$19)</f>
        <v>1990</v>
      </c>
      <c r="H39" s="359">
        <f>SUM([3]Frontier!$DX$19:$EH$19)</f>
        <v>3179</v>
      </c>
      <c r="I39" s="360">
        <f>(G39-H39)/H39</f>
        <v>-0.37401698647373388</v>
      </c>
      <c r="J39" s="356" t="s">
        <v>50</v>
      </c>
      <c r="K39" s="371"/>
      <c r="L39" s="357">
        <f>[3]Frontier!$EV$41</f>
        <v>26513</v>
      </c>
      <c r="M39" s="358">
        <f>L39/$L$64</f>
        <v>9.5351707648995802E-3</v>
      </c>
      <c r="N39" s="359">
        <f>[3]Frontier!$EH$41</f>
        <v>33804</v>
      </c>
      <c r="O39" s="360">
        <f>(L39-N39)/N39</f>
        <v>-0.21568453437463023</v>
      </c>
      <c r="P39" s="359">
        <f>SUM([3]Frontier!$EL$41:$EV$41)</f>
        <v>300466</v>
      </c>
      <c r="Q39" s="359">
        <f>SUM([3]Frontier!$DX$41:$EH$41)</f>
        <v>421838</v>
      </c>
      <c r="R39" s="360">
        <f>(P39-Q39)/Q39</f>
        <v>-0.28772182686244485</v>
      </c>
      <c r="T39" s="334"/>
    </row>
    <row r="40" spans="1:20" s="7" customFormat="1" ht="14.1" customHeight="1" x14ac:dyDescent="0.2">
      <c r="A40" s="356"/>
      <c r="B40" s="371"/>
      <c r="C40" s="357"/>
      <c r="D40" s="358"/>
      <c r="E40" s="359"/>
      <c r="F40" s="360"/>
      <c r="G40" s="359"/>
      <c r="H40" s="359"/>
      <c r="I40" s="360"/>
      <c r="J40" s="356"/>
      <c r="K40" s="371"/>
      <c r="L40" s="361"/>
      <c r="M40" s="39"/>
      <c r="N40" s="9"/>
      <c r="O40" s="86"/>
      <c r="P40" s="9"/>
      <c r="Q40" s="9"/>
      <c r="R40" s="86"/>
      <c r="T40" s="334"/>
    </row>
    <row r="41" spans="1:20" s="7" customFormat="1" ht="14.1" customHeight="1" x14ac:dyDescent="0.2">
      <c r="A41" s="356" t="s">
        <v>165</v>
      </c>
      <c r="B41" s="371"/>
      <c r="C41" s="357">
        <f>'[3]Great Lakes'!$EV$19</f>
        <v>0</v>
      </c>
      <c r="D41" s="358">
        <f>C41/$C$64</f>
        <v>0</v>
      </c>
      <c r="E41" s="359">
        <f>'[3]Great Lakes'!$EH$19</f>
        <v>157</v>
      </c>
      <c r="F41" s="360">
        <f>(C41-E41)/E41</f>
        <v>-1</v>
      </c>
      <c r="G41" s="359">
        <f>SUM('[3]Great Lakes'!$EL$19:$EV$19)</f>
        <v>571</v>
      </c>
      <c r="H41" s="359">
        <f>SUM('[3]Great Lakes'!$DX$19:$EH$19)</f>
        <v>2509</v>
      </c>
      <c r="I41" s="360">
        <f>(G41-H41)/H41</f>
        <v>-0.7724192905540056</v>
      </c>
      <c r="J41" s="356" t="s">
        <v>165</v>
      </c>
      <c r="K41" s="371"/>
      <c r="L41" s="357">
        <f>'[3]Great Lakes'!$EV$41</f>
        <v>0</v>
      </c>
      <c r="M41" s="358">
        <f>L41/$L$64</f>
        <v>0</v>
      </c>
      <c r="N41" s="359">
        <f>'[3]Great Lakes'!$EH$41</f>
        <v>636</v>
      </c>
      <c r="O41" s="360">
        <f>(L41-N41)/N41</f>
        <v>-1</v>
      </c>
      <c r="P41" s="359">
        <f>SUM('[3]Great Lakes'!$EL$41:$EV$41)</f>
        <v>1557</v>
      </c>
      <c r="Q41" s="359">
        <f>SUM('[3]Great Lakes'!$DX$41:$EH$41)</f>
        <v>8319</v>
      </c>
      <c r="R41" s="360">
        <f>(P41-Q41)/Q41</f>
        <v>-0.81283808150018033</v>
      </c>
      <c r="T41" s="334"/>
    </row>
    <row r="42" spans="1:20" s="7" customFormat="1" ht="14.1" customHeight="1" x14ac:dyDescent="0.2">
      <c r="A42" s="356"/>
      <c r="B42" s="371"/>
      <c r="C42" s="357"/>
      <c r="D42" s="358"/>
      <c r="E42" s="359"/>
      <c r="F42" s="360"/>
      <c r="G42" s="359"/>
      <c r="H42" s="359"/>
      <c r="I42" s="360"/>
      <c r="J42" s="356"/>
      <c r="K42" s="371"/>
      <c r="L42" s="361"/>
      <c r="M42" s="39"/>
      <c r="N42" s="9"/>
      <c r="O42" s="86"/>
      <c r="P42" s="9"/>
      <c r="Q42" s="9"/>
      <c r="R42" s="86"/>
      <c r="T42" s="334"/>
    </row>
    <row r="43" spans="1:20" s="7" customFormat="1" ht="14.1" customHeight="1" x14ac:dyDescent="0.2">
      <c r="A43" s="356" t="s">
        <v>51</v>
      </c>
      <c r="B43" s="371"/>
      <c r="C43" s="357">
        <f>[3]Icelandair!$EV$19</f>
        <v>34</v>
      </c>
      <c r="D43" s="358">
        <f>C43/$C$64</f>
        <v>1.1516444805744674E-3</v>
      </c>
      <c r="E43" s="359">
        <f>[3]Icelandair!$EH$19</f>
        <v>34</v>
      </c>
      <c r="F43" s="360">
        <f>(C43-E43)/E43</f>
        <v>0</v>
      </c>
      <c r="G43" s="359">
        <f>SUM([3]Icelandair!$EL$19:$EV$19)</f>
        <v>386</v>
      </c>
      <c r="H43" s="359">
        <f>SUM([3]Icelandair!$DX$19:$EH$19)</f>
        <v>338</v>
      </c>
      <c r="I43" s="360">
        <f>(G43-H43)/H43</f>
        <v>0.14201183431952663</v>
      </c>
      <c r="J43" s="356" t="s">
        <v>51</v>
      </c>
      <c r="K43" s="371"/>
      <c r="L43" s="357">
        <f>[3]Icelandair!$EV$41</f>
        <v>4929</v>
      </c>
      <c r="M43" s="358">
        <f>L43/$L$64</f>
        <v>1.772672149518728E-3</v>
      </c>
      <c r="N43" s="359">
        <f>[3]Icelandair!$EH$41</f>
        <v>4225</v>
      </c>
      <c r="O43" s="360">
        <f>(L43-N43)/N43</f>
        <v>0.16662721893491125</v>
      </c>
      <c r="P43" s="359">
        <f>SUM([3]Icelandair!$EL$41:$EV$41)</f>
        <v>70091</v>
      </c>
      <c r="Q43" s="359">
        <f>SUM([3]Icelandair!$DX$41:$EH$41)</f>
        <v>52754</v>
      </c>
      <c r="R43" s="360">
        <f>(P43-Q43)/Q43</f>
        <v>0.32863858664745799</v>
      </c>
      <c r="T43" s="20"/>
    </row>
    <row r="44" spans="1:20" s="7" customFormat="1" ht="14.1" customHeight="1" x14ac:dyDescent="0.2">
      <c r="A44" s="356"/>
      <c r="B44" s="371"/>
      <c r="C44" s="357"/>
      <c r="D44" s="358"/>
      <c r="E44" s="359"/>
      <c r="F44" s="360"/>
      <c r="G44" s="359"/>
      <c r="H44" s="359"/>
      <c r="I44" s="360"/>
      <c r="J44" s="356"/>
      <c r="K44" s="371"/>
      <c r="L44" s="361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8" t="s">
        <v>136</v>
      </c>
      <c r="B45" s="55"/>
      <c r="C45" s="357">
        <f>SUM(C46:C46)</f>
        <v>1367</v>
      </c>
      <c r="D45" s="358">
        <f>C45/$C$64</f>
        <v>4.6302882498391082E-2</v>
      </c>
      <c r="E45" s="359">
        <f>SUM(E46:E46)</f>
        <v>1228</v>
      </c>
      <c r="F45" s="360">
        <f>(C45-E45)/E45</f>
        <v>0.11319218241042345</v>
      </c>
      <c r="G45" s="357">
        <f>SUM(G46:G46)</f>
        <v>15893</v>
      </c>
      <c r="H45" s="359">
        <f>SUM(H46:H46)</f>
        <v>14589</v>
      </c>
      <c r="I45" s="360">
        <f>(G45-H45)/H45</f>
        <v>8.9382411405853721E-2</v>
      </c>
      <c r="J45" s="356" t="s">
        <v>136</v>
      </c>
      <c r="K45" s="55"/>
      <c r="L45" s="357">
        <f>SUM(L46:L46)</f>
        <v>166174</v>
      </c>
      <c r="M45" s="358">
        <f>L45/$L$64</f>
        <v>5.9763039515951528E-2</v>
      </c>
      <c r="N45" s="359">
        <f>SUM(N46:N46)</f>
        <v>140545</v>
      </c>
      <c r="O45" s="360">
        <f>(L45-N45)/N45</f>
        <v>0.18235440606211534</v>
      </c>
      <c r="P45" s="357">
        <f>SUM(P46:P46)</f>
        <v>1951658</v>
      </c>
      <c r="Q45" s="359">
        <f>SUM(Q46:Q46)</f>
        <v>1737667</v>
      </c>
      <c r="R45" s="360">
        <f>(P45-Q45)/Q45</f>
        <v>0.12314845134309393</v>
      </c>
      <c r="T45" s="20"/>
    </row>
    <row r="46" spans="1:20" ht="14.1" customHeight="1" x14ac:dyDescent="0.2">
      <c r="A46" s="368"/>
      <c r="B46" s="55" t="s">
        <v>136</v>
      </c>
      <c r="C46" s="436">
        <f>[3]Southwest!$EV$19</f>
        <v>1367</v>
      </c>
      <c r="D46" s="437">
        <f>C46/$C$64</f>
        <v>4.6302882498391082E-2</v>
      </c>
      <c r="E46" s="300">
        <f>[3]Southwest!$EH$19</f>
        <v>1228</v>
      </c>
      <c r="F46" s="438">
        <f>(C46-E46)/E46</f>
        <v>0.11319218241042345</v>
      </c>
      <c r="G46" s="300">
        <f>SUM([3]Southwest!$EL$19:$EV$19)</f>
        <v>15893</v>
      </c>
      <c r="H46" s="300">
        <f>SUM([3]Southwest!$DX$19:$EH$19)</f>
        <v>14589</v>
      </c>
      <c r="I46" s="438">
        <f>(G46-H46)/H46</f>
        <v>8.9382411405853721E-2</v>
      </c>
      <c r="J46" s="356"/>
      <c r="K46" s="55" t="s">
        <v>136</v>
      </c>
      <c r="L46" s="436">
        <f>[3]Southwest!$EV$41</f>
        <v>166174</v>
      </c>
      <c r="M46" s="437">
        <f>L46/$L$64</f>
        <v>5.9763039515951528E-2</v>
      </c>
      <c r="N46" s="300">
        <f>[3]Southwest!$EH$41</f>
        <v>140545</v>
      </c>
      <c r="O46" s="438">
        <f>(L46-N46)/N46</f>
        <v>0.18235440606211534</v>
      </c>
      <c r="P46" s="300">
        <f>SUM([3]Southwest!$EL$41:$EV$41)</f>
        <v>1951658</v>
      </c>
      <c r="Q46" s="300">
        <f>SUM([3]Southwest!$DX$41:$EH$41)</f>
        <v>1737667</v>
      </c>
      <c r="R46" s="438">
        <f>(P46-Q46)/Q46</f>
        <v>0.12314845134309393</v>
      </c>
      <c r="T46" s="20"/>
    </row>
    <row r="47" spans="1:20" ht="14.1" customHeight="1" x14ac:dyDescent="0.2">
      <c r="A47" s="356"/>
      <c r="B47" s="55"/>
      <c r="C47" s="357"/>
      <c r="D47" s="358"/>
      <c r="E47" s="359"/>
      <c r="F47" s="360"/>
      <c r="G47" s="359"/>
      <c r="H47" s="359"/>
      <c r="I47" s="360"/>
      <c r="J47" s="356"/>
      <c r="K47" s="55"/>
      <c r="L47" s="361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6" t="s">
        <v>167</v>
      </c>
      <c r="B48" s="55"/>
      <c r="C48" s="357">
        <f>[3]Spirit!$EV$19</f>
        <v>730</v>
      </c>
      <c r="D48" s="358">
        <f>C48/$C$64</f>
        <v>2.4726484435863564E-2</v>
      </c>
      <c r="E48" s="359">
        <f>[3]Spirit!$EH$19</f>
        <v>634</v>
      </c>
      <c r="F48" s="360">
        <f>(C48-E48)/E48</f>
        <v>0.15141955835962145</v>
      </c>
      <c r="G48" s="359">
        <f>SUM([3]Spirit!$EL$19:$EV$19)</f>
        <v>8085</v>
      </c>
      <c r="H48" s="359">
        <f>SUM([3]Spirit!$DX$19:$EH$19)</f>
        <v>6827</v>
      </c>
      <c r="I48" s="360">
        <f>(G48-H48)/H48</f>
        <v>0.18426834627215469</v>
      </c>
      <c r="J48" s="356" t="s">
        <v>167</v>
      </c>
      <c r="K48" s="55"/>
      <c r="L48" s="357">
        <f>[3]Spirit!$EV$41</f>
        <v>87346</v>
      </c>
      <c r="M48" s="358">
        <f>L48/$L$64</f>
        <v>3.1413232211779836E-2</v>
      </c>
      <c r="N48" s="359">
        <f>[3]Spirit!$EH$41</f>
        <v>87008</v>
      </c>
      <c r="O48" s="360">
        <f>(L48-N48)/N48</f>
        <v>3.8847002574475911E-3</v>
      </c>
      <c r="P48" s="359">
        <f>SUM([3]Spirit!$EL$41:$EV$41)</f>
        <v>1107550</v>
      </c>
      <c r="Q48" s="359">
        <f>SUM([3]Spirit!$DX$41:$EH$41)</f>
        <v>924036</v>
      </c>
      <c r="R48" s="360">
        <f>(P48-Q48)/Q48</f>
        <v>0.19860048742689679</v>
      </c>
      <c r="T48" s="20"/>
    </row>
    <row r="49" spans="1:20" ht="14.1" customHeight="1" x14ac:dyDescent="0.2">
      <c r="A49" s="356"/>
      <c r="B49" s="55"/>
      <c r="C49" s="357"/>
      <c r="D49" s="358"/>
      <c r="E49" s="359"/>
      <c r="F49" s="360"/>
      <c r="G49" s="359"/>
      <c r="H49" s="359"/>
      <c r="I49" s="360"/>
      <c r="J49" s="356"/>
      <c r="K49" s="55"/>
      <c r="L49" s="361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6" t="s">
        <v>52</v>
      </c>
      <c r="B50" s="371"/>
      <c r="C50" s="357">
        <f>'[3]Sun Country'!$EV$19</f>
        <v>1585</v>
      </c>
      <c r="D50" s="358">
        <f>C50/$C$64</f>
        <v>5.3686955932662671E-2</v>
      </c>
      <c r="E50" s="359">
        <f>'[3]Sun Country'!$EH$19</f>
        <v>1430</v>
      </c>
      <c r="F50" s="360">
        <f>(C50-E50)/E50</f>
        <v>0.10839160839160839</v>
      </c>
      <c r="G50" s="359">
        <f>SUM('[3]Sun Country'!$EL$19:$EV$19)</f>
        <v>17632</v>
      </c>
      <c r="H50" s="359">
        <f>SUM('[3]Sun Country'!$DX$19:$EH$19)</f>
        <v>16775</v>
      </c>
      <c r="I50" s="360">
        <f>(G50-H50)/H50</f>
        <v>5.1087928464977644E-2</v>
      </c>
      <c r="J50" s="356" t="s">
        <v>52</v>
      </c>
      <c r="K50" s="371"/>
      <c r="L50" s="357">
        <f>'[3]Sun Country'!$EV$41</f>
        <v>170292</v>
      </c>
      <c r="M50" s="358">
        <f>L50/$L$64</f>
        <v>6.1244042541254456E-2</v>
      </c>
      <c r="N50" s="359">
        <f>'[3]Sun Country'!$EH$41</f>
        <v>152043</v>
      </c>
      <c r="O50" s="360">
        <f>(L50-N50)/N50</f>
        <v>0.12002525601310156</v>
      </c>
      <c r="P50" s="359">
        <f>SUM('[3]Sun Country'!$EL$41:$EV$41)</f>
        <v>1994651</v>
      </c>
      <c r="Q50" s="359">
        <f>SUM('[3]Sun Country'!$DX$41:$EH$41)</f>
        <v>1869899</v>
      </c>
      <c r="R50" s="360">
        <f>(P50-Q50)/Q50</f>
        <v>6.6715902837532939E-2</v>
      </c>
      <c r="T50" s="20"/>
    </row>
    <row r="51" spans="1:20" s="7" customFormat="1" ht="14.1" customHeight="1" x14ac:dyDescent="0.2">
      <c r="A51" s="356"/>
      <c r="B51" s="371"/>
      <c r="C51" s="357"/>
      <c r="D51" s="358"/>
      <c r="E51" s="359"/>
      <c r="F51" s="360"/>
      <c r="G51" s="359"/>
      <c r="H51" s="359"/>
      <c r="I51" s="360"/>
      <c r="J51" s="356"/>
      <c r="K51" s="371"/>
      <c r="L51" s="361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6" t="s">
        <v>21</v>
      </c>
      <c r="B52" s="364"/>
      <c r="C52" s="357">
        <f>SUM(C53:C59)</f>
        <v>1692</v>
      </c>
      <c r="D52" s="358">
        <f>C52/$C$64</f>
        <v>5.7311248856823496E-2</v>
      </c>
      <c r="E52" s="359">
        <f>SUM(E53:E59)</f>
        <v>1650</v>
      </c>
      <c r="F52" s="360">
        <f t="shared" ref="F52:F59" si="36">(C52-E52)/E52</f>
        <v>2.5454545454545455E-2</v>
      </c>
      <c r="G52" s="359">
        <f>SUM(G53:G59)</f>
        <v>18606</v>
      </c>
      <c r="H52" s="359">
        <f>SUM(H53:H59)</f>
        <v>17992</v>
      </c>
      <c r="I52" s="360">
        <f t="shared" ref="I52:I59" si="37">(G52-H52)/H52</f>
        <v>3.4126278345931522E-2</v>
      </c>
      <c r="J52" s="356" t="s">
        <v>21</v>
      </c>
      <c r="K52" s="364"/>
      <c r="L52" s="357">
        <f>SUM(L53:L59)</f>
        <v>142928</v>
      </c>
      <c r="M52" s="358">
        <f>L52/$L$64</f>
        <v>5.1402816998663572E-2</v>
      </c>
      <c r="N52" s="359">
        <f>SUM(N53:N59)</f>
        <v>133719</v>
      </c>
      <c r="O52" s="360">
        <f t="shared" ref="O52:O59" si="38">(L52-N52)/N52</f>
        <v>6.886829844674279E-2</v>
      </c>
      <c r="P52" s="359">
        <f>SUM(P53:P59)</f>
        <v>1608192</v>
      </c>
      <c r="Q52" s="359">
        <f>SUM(Q53:Q59)</f>
        <v>1445227</v>
      </c>
      <c r="R52" s="360">
        <f t="shared" ref="R52:R59" si="39">(P52-Q52)/Q52</f>
        <v>0.1127608327273155</v>
      </c>
      <c r="T52" s="20"/>
    </row>
    <row r="53" spans="1:20" s="7" customFormat="1" ht="14.1" customHeight="1" x14ac:dyDescent="0.2">
      <c r="A53" s="372"/>
      <c r="B53" s="440" t="s">
        <v>21</v>
      </c>
      <c r="C53" s="361">
        <f>[3]United!$EV$19</f>
        <v>756</v>
      </c>
      <c r="D53" s="39">
        <f>C53/$C$64</f>
        <v>2.5607153744538157E-2</v>
      </c>
      <c r="E53" s="9">
        <f>[3]United!$EH$19+[3]Continental!$EH$19</f>
        <v>584</v>
      </c>
      <c r="F53" s="86">
        <f t="shared" si="36"/>
        <v>0.29452054794520549</v>
      </c>
      <c r="G53" s="9">
        <f>SUM([3]United!$EL$19:$EV$19)</f>
        <v>7294</v>
      </c>
      <c r="H53" s="9">
        <f>SUM([3]United!$DX$19:$EH$19)+SUM([3]Continental!$DX$19:$EH$19)</f>
        <v>6740</v>
      </c>
      <c r="I53" s="86">
        <f t="shared" si="37"/>
        <v>8.2195845697329378E-2</v>
      </c>
      <c r="J53" s="372"/>
      <c r="K53" s="440" t="s">
        <v>21</v>
      </c>
      <c r="L53" s="361">
        <f>[3]United!$EV$41</f>
        <v>86635</v>
      </c>
      <c r="M53" s="39">
        <f>L53/$L$64</f>
        <v>3.1157527221252788E-2</v>
      </c>
      <c r="N53" s="9">
        <f>[3]United!$EH$41+[3]Continental!$EH$41</f>
        <v>68866</v>
      </c>
      <c r="O53" s="86">
        <f t="shared" si="38"/>
        <v>0.25802282693927336</v>
      </c>
      <c r="P53" s="9">
        <f>SUM([3]United!$EL$41:$EV$41)</f>
        <v>903466</v>
      </c>
      <c r="Q53" s="9">
        <f>SUM([3]United!$DX$41:$EH$41)+SUM([3]Continental!$DX$41:$EH$41)</f>
        <v>793357</v>
      </c>
      <c r="R53" s="86">
        <f t="shared" si="39"/>
        <v>0.13878871680718768</v>
      </c>
      <c r="T53" s="20"/>
    </row>
    <row r="54" spans="1:20" s="7" customFormat="1" ht="14.1" customHeight="1" x14ac:dyDescent="0.2">
      <c r="A54" s="372"/>
      <c r="B54" s="440" t="s">
        <v>198</v>
      </c>
      <c r="C54" s="361">
        <f>'[3]Continental Express'!$EV$19</f>
        <v>28</v>
      </c>
      <c r="D54" s="39">
        <f>C54/$C$63</f>
        <v>2.2132637736147339E-3</v>
      </c>
      <c r="E54" s="9">
        <f>'[3]Continental Express'!$EH$19</f>
        <v>1066</v>
      </c>
      <c r="F54" s="86">
        <f t="shared" si="36"/>
        <v>-0.97373358348968109</v>
      </c>
      <c r="G54" s="9">
        <f>SUM('[3]Continental Express'!$EL$19:$EV$19)</f>
        <v>1178</v>
      </c>
      <c r="H54" s="9">
        <f>SUM('[3]Continental Express'!$DX$19:$EH$19)</f>
        <v>5380</v>
      </c>
      <c r="I54" s="86">
        <f t="shared" si="37"/>
        <v>-0.78104089219330852</v>
      </c>
      <c r="J54" s="53"/>
      <c r="K54" s="440" t="s">
        <v>198</v>
      </c>
      <c r="L54" s="361">
        <f>'[3]Continental Express'!$EV$41</f>
        <v>1217</v>
      </c>
      <c r="M54" s="39">
        <f>L54/$L$63</f>
        <v>1.8618583702543264E-3</v>
      </c>
      <c r="N54" s="9">
        <f>'[3]Continental Express'!$EH$41</f>
        <v>64853</v>
      </c>
      <c r="O54" s="86">
        <f t="shared" si="38"/>
        <v>-0.98123448414105752</v>
      </c>
      <c r="P54" s="9">
        <f>SUM('[3]Continental Express'!$EL$41:$EV$41)</f>
        <v>76042</v>
      </c>
      <c r="Q54" s="9">
        <f>SUM('[3]Continental Express'!$DX$41:$EH$41)</f>
        <v>292180</v>
      </c>
      <c r="R54" s="86">
        <f t="shared" si="39"/>
        <v>-0.73974262440961047</v>
      </c>
      <c r="T54" s="20"/>
    </row>
    <row r="55" spans="1:20" s="7" customFormat="1" ht="14.1" customHeight="1" x14ac:dyDescent="0.2">
      <c r="A55" s="372"/>
      <c r="B55" s="365" t="s">
        <v>166</v>
      </c>
      <c r="C55" s="361">
        <f>'[3]Go Jet_UA'!$EV$19</f>
        <v>2</v>
      </c>
      <c r="D55" s="39">
        <f>C55/$C$64</f>
        <v>6.7743792974968666E-5</v>
      </c>
      <c r="E55" s="9">
        <f>'[3]Go Jet_UA'!$EH$19</f>
        <v>0</v>
      </c>
      <c r="F55" s="86" t="e">
        <f t="shared" si="36"/>
        <v>#DIV/0!</v>
      </c>
      <c r="G55" s="9">
        <f>SUM('[3]Go Jet_UA'!$EL$19:$EV$19)</f>
        <v>280</v>
      </c>
      <c r="H55" s="9">
        <f>SUM('[3]Go Jet_UA'!$DX$19:$EH$19)</f>
        <v>292</v>
      </c>
      <c r="I55" s="86">
        <f t="shared" si="37"/>
        <v>-4.1095890410958902E-2</v>
      </c>
      <c r="J55" s="372"/>
      <c r="K55" s="365" t="s">
        <v>166</v>
      </c>
      <c r="L55" s="361">
        <f>'[3]Go Jet_UA'!$EV$41</f>
        <v>117</v>
      </c>
      <c r="M55" s="39">
        <f>L55/$L$64</f>
        <v>4.2078036415843207E-5</v>
      </c>
      <c r="N55" s="9">
        <f>'[3]Go Jet_UA'!$EH$41</f>
        <v>0</v>
      </c>
      <c r="O55" s="86" t="e">
        <f t="shared" si="38"/>
        <v>#DIV/0!</v>
      </c>
      <c r="P55" s="9">
        <f>SUM('[3]Go Jet_UA'!$EL$41:$EV$41)</f>
        <v>17786</v>
      </c>
      <c r="Q55" s="9">
        <f>SUM('[3]Go Jet_UA'!$DX$41:$EH$41)</f>
        <v>17949</v>
      </c>
      <c r="R55" s="86">
        <f t="shared" si="39"/>
        <v>-9.0812858655078283E-3</v>
      </c>
      <c r="T55" s="20"/>
    </row>
    <row r="56" spans="1:20" s="7" customFormat="1" ht="14.1" customHeight="1" x14ac:dyDescent="0.2">
      <c r="A56" s="372"/>
      <c r="B56" s="365" t="s">
        <v>55</v>
      </c>
      <c r="C56" s="361">
        <f>[3]MESA_UA!$EV$19</f>
        <v>392</v>
      </c>
      <c r="D56" s="39">
        <f>C56/$C$64</f>
        <v>1.3277783423093858E-2</v>
      </c>
      <c r="E56" s="9">
        <f>[3]MESA_UA!$EH$19</f>
        <v>0</v>
      </c>
      <c r="F56" s="86" t="e">
        <f>(C56-E56)/E56</f>
        <v>#DIV/0!</v>
      </c>
      <c r="G56" s="9">
        <f>SUM([3]MESA_UA!$EL$19:$EV$19)</f>
        <v>3280</v>
      </c>
      <c r="H56" s="9">
        <f>SUM([3]MESA_UA!$DX$19:$EH$19)</f>
        <v>2256</v>
      </c>
      <c r="I56" s="86">
        <f>(G56-H56)/H56</f>
        <v>0.45390070921985815</v>
      </c>
      <c r="J56" s="372"/>
      <c r="K56" s="365" t="s">
        <v>55</v>
      </c>
      <c r="L56" s="361">
        <f>[3]MESA_UA!$EV$41</f>
        <v>22649</v>
      </c>
      <c r="M56" s="39">
        <f>L56/$L$64</f>
        <v>8.1455166391660918E-3</v>
      </c>
      <c r="N56" s="9">
        <f>[3]MESA_UA!$EH$41</f>
        <v>0</v>
      </c>
      <c r="O56" s="86" t="e">
        <f>(L56-N56)/N56</f>
        <v>#DIV/0!</v>
      </c>
      <c r="P56" s="9">
        <f>SUM([3]MESA_UA!$EL$41:$EV$41)</f>
        <v>192200</v>
      </c>
      <c r="Q56" s="9">
        <f>SUM([3]MESA_UA!$DX$41:$EH$41)</f>
        <v>136219</v>
      </c>
      <c r="R56" s="86">
        <f t="shared" si="39"/>
        <v>0.41096322833084958</v>
      </c>
      <c r="T56" s="20"/>
    </row>
    <row r="57" spans="1:20" ht="14.1" customHeight="1" x14ac:dyDescent="0.2">
      <c r="A57" s="53"/>
      <c r="B57" s="440" t="s">
        <v>56</v>
      </c>
      <c r="C57" s="361">
        <f>[3]Republic_UA!$EV$19</f>
        <v>190</v>
      </c>
      <c r="D57" s="39">
        <f t="shared" ref="D57" si="40">C57/$C$64</f>
        <v>6.4356603326220238E-3</v>
      </c>
      <c r="E57" s="9">
        <f>[3]Republic_UA!$EH$19</f>
        <v>0</v>
      </c>
      <c r="F57" s="86" t="e">
        <f t="shared" ref="F57" si="41">(C57-E57)/E57</f>
        <v>#DIV/0!</v>
      </c>
      <c r="G57" s="9">
        <f>SUM([3]Republic_UA!$EL$19:$EV$19)</f>
        <v>2118</v>
      </c>
      <c r="H57" s="9">
        <f>SUM([3]Republic_UA!$DX$19:$EH$19)</f>
        <v>0</v>
      </c>
      <c r="I57" s="86" t="e">
        <f t="shared" ref="I57" si="42">(G57-H57)/H57</f>
        <v>#DIV/0!</v>
      </c>
      <c r="J57" s="372"/>
      <c r="K57" s="367" t="s">
        <v>213</v>
      </c>
      <c r="L57" s="361">
        <f>[3]Republic_UA!$EV$41</f>
        <v>10814</v>
      </c>
      <c r="M57" s="39">
        <f t="shared" ref="M57" si="43">L57/$L$64</f>
        <v>3.8891614171019527E-3</v>
      </c>
      <c r="N57" s="9">
        <f>[3]Republic_UA!$EH$41</f>
        <v>0</v>
      </c>
      <c r="O57" s="86" t="e">
        <f t="shared" ref="O57" si="44">(L57-N57)/N57</f>
        <v>#DIV/0!</v>
      </c>
      <c r="P57" s="9">
        <f>SUM([3]Republic_UA!$EL$41:$EV$41)</f>
        <v>127617</v>
      </c>
      <c r="Q57" s="9">
        <f>SUM([3]Republic_UA!$DX$41:$EH$41)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2"/>
      <c r="B58" s="365" t="s">
        <v>104</v>
      </c>
      <c r="C58" s="361">
        <f>'[3]Sky West_UA'!$EV$19</f>
        <v>280</v>
      </c>
      <c r="D58" s="39">
        <f>C58/$C$64</f>
        <v>9.4841310164956137E-3</v>
      </c>
      <c r="E58" s="9">
        <f>'[3]Sky West_UA'!$EH$19+'[3]Sky West_CO'!$EH$19</f>
        <v>0</v>
      </c>
      <c r="F58" s="86" t="e">
        <f t="shared" si="36"/>
        <v>#DIV/0!</v>
      </c>
      <c r="G58" s="9">
        <f>SUM('[3]Sky West_UA'!$EL$19:$EV$19)</f>
        <v>3806</v>
      </c>
      <c r="H58" s="9">
        <f>SUM('[3]Sky West_UA'!$DX$19:$EH$19)+SUM('[3]Sky West_CO'!$DX$19:$EH$19)</f>
        <v>2074</v>
      </c>
      <c r="I58" s="86">
        <f t="shared" si="37"/>
        <v>0.83510125361620058</v>
      </c>
      <c r="J58" s="372"/>
      <c r="K58" s="365" t="s">
        <v>104</v>
      </c>
      <c r="L58" s="361">
        <f>'[3]Sky West_UA'!$EV$41</f>
        <v>19157</v>
      </c>
      <c r="M58" s="39">
        <f>L58/$L$64</f>
        <v>6.889649090754772E-3</v>
      </c>
      <c r="N58" s="9">
        <f>'[3]Sky West_UA'!$EH$41+'[3]Sky West_CO'!$EH$41</f>
        <v>0</v>
      </c>
      <c r="O58" s="86" t="e">
        <f t="shared" si="38"/>
        <v>#DIV/0!</v>
      </c>
      <c r="P58" s="9">
        <f>SUM('[3]Sky West_UA'!$EL$41:$EV$41)</f>
        <v>253629</v>
      </c>
      <c r="Q58" s="9">
        <f>SUM('[3]Sky West_UA'!$DX$41:$EH$41)+SUM('[3]Sky West_CO'!$DX$41:$EH$41)</f>
        <v>131384</v>
      </c>
      <c r="R58" s="86">
        <f t="shared" si="39"/>
        <v>0.93044054070510873</v>
      </c>
      <c r="T58" s="20"/>
    </row>
    <row r="59" spans="1:20" s="7" customFormat="1" ht="14.1" customHeight="1" x14ac:dyDescent="0.2">
      <c r="A59" s="372"/>
      <c r="B59" s="367" t="s">
        <v>139</v>
      </c>
      <c r="C59" s="361">
        <f>'[3]Shuttle America'!$EV$19</f>
        <v>44</v>
      </c>
      <c r="D59" s="39">
        <f>C59/$C$64</f>
        <v>1.4903634454493107E-3</v>
      </c>
      <c r="E59" s="9">
        <f>'[3]Shuttle America'!$EH$19</f>
        <v>0</v>
      </c>
      <c r="F59" s="86" t="e">
        <f t="shared" si="36"/>
        <v>#DIV/0!</v>
      </c>
      <c r="G59" s="9">
        <f>SUM('[3]Shuttle America'!$EL$19:$EV$19)</f>
        <v>650</v>
      </c>
      <c r="H59" s="9">
        <f>SUM('[3]Shuttle America'!$DX$19:$EH$19)</f>
        <v>1250</v>
      </c>
      <c r="I59" s="86">
        <f t="shared" si="37"/>
        <v>-0.48</v>
      </c>
      <c r="J59" s="372"/>
      <c r="K59" s="367" t="s">
        <v>139</v>
      </c>
      <c r="L59" s="361">
        <f>'[3]Shuttle America'!$EV$41</f>
        <v>2339</v>
      </c>
      <c r="M59" s="39">
        <f>L59/$L$64</f>
        <v>8.4120108697997658E-4</v>
      </c>
      <c r="N59" s="9">
        <f>'[3]Shuttle America'!$EH$41</f>
        <v>0</v>
      </c>
      <c r="O59" s="86" t="e">
        <f t="shared" si="38"/>
        <v>#DIV/0!</v>
      </c>
      <c r="P59" s="9">
        <f>SUM('[3]Shuttle America'!$EL$41:$EV$41)</f>
        <v>37452</v>
      </c>
      <c r="Q59" s="9">
        <f>SUM('[3]Shuttle America'!$DX$41:$EH$41)</f>
        <v>74138</v>
      </c>
      <c r="R59" s="86">
        <f t="shared" si="39"/>
        <v>-0.49483395829399229</v>
      </c>
      <c r="T59" s="20"/>
    </row>
    <row r="60" spans="1:20" s="7" customFormat="1" ht="14.1" customHeight="1" thickBot="1" x14ac:dyDescent="0.25">
      <c r="A60" s="372"/>
      <c r="B60" s="367"/>
      <c r="C60" s="373"/>
      <c r="D60" s="374"/>
      <c r="E60" s="375"/>
      <c r="F60" s="376"/>
      <c r="G60" s="377"/>
      <c r="H60" s="377"/>
      <c r="I60" s="376"/>
      <c r="J60" s="447"/>
      <c r="K60" s="448"/>
      <c r="L60" s="373"/>
      <c r="M60" s="374"/>
      <c r="N60" s="377"/>
      <c r="O60" s="376"/>
      <c r="P60" s="377"/>
      <c r="Q60" s="377"/>
      <c r="R60" s="376"/>
      <c r="T60" s="20"/>
    </row>
    <row r="61" spans="1:20" s="229" customFormat="1" ht="14.1" customHeight="1" thickBot="1" x14ac:dyDescent="0.25">
      <c r="B61" s="264"/>
      <c r="C61" s="359"/>
      <c r="D61" s="358"/>
      <c r="E61" s="359"/>
      <c r="F61" s="358"/>
      <c r="G61" s="446"/>
      <c r="H61" s="359"/>
      <c r="I61" s="358"/>
      <c r="J61" s="378"/>
      <c r="K61" s="264"/>
      <c r="L61" s="379"/>
      <c r="M61" s="378"/>
      <c r="N61" s="380"/>
      <c r="O61" s="378"/>
      <c r="P61" s="230"/>
      <c r="Q61" s="230"/>
      <c r="R61" s="230"/>
      <c r="T61" s="228"/>
    </row>
    <row r="62" spans="1:20" ht="14.1" customHeight="1" x14ac:dyDescent="0.2">
      <c r="B62" s="381" t="s">
        <v>141</v>
      </c>
      <c r="C62" s="459">
        <f>+C64-C63</f>
        <v>16872</v>
      </c>
      <c r="D62" s="471">
        <f>C62/$C$64</f>
        <v>0.57148663753683571</v>
      </c>
      <c r="E62" s="461">
        <f>+E64-E63</f>
        <v>16590</v>
      </c>
      <c r="F62" s="462">
        <f>(C62-E62)/E62</f>
        <v>1.6998191681735986E-2</v>
      </c>
      <c r="G62" s="459">
        <f>+G64-G63</f>
        <v>196769</v>
      </c>
      <c r="H62" s="461">
        <f>+H64-H63</f>
        <v>189611</v>
      </c>
      <c r="I62" s="468">
        <f>(G62-H62)/H62</f>
        <v>3.7750974363301708E-2</v>
      </c>
      <c r="K62" s="381" t="s">
        <v>141</v>
      </c>
      <c r="L62" s="459">
        <f>+L64-L63</f>
        <v>2126900</v>
      </c>
      <c r="M62" s="460">
        <f>+L62/L64</f>
        <v>0.76492115942612748</v>
      </c>
      <c r="N62" s="461">
        <f>+N64-N63</f>
        <v>2065247</v>
      </c>
      <c r="O62" s="462">
        <f>(L62-N62)/N62</f>
        <v>2.9852603586883311E-2</v>
      </c>
      <c r="P62" s="459">
        <f>+P64-P63</f>
        <v>25896075</v>
      </c>
      <c r="Q62" s="461">
        <f>+Q64-Q63</f>
        <v>24931742</v>
      </c>
      <c r="R62" s="468">
        <f>(P62-Q62)/Q62</f>
        <v>3.8678925844812612E-2</v>
      </c>
    </row>
    <row r="63" spans="1:20" ht="14.1" customHeight="1" x14ac:dyDescent="0.2">
      <c r="B63" s="333" t="s">
        <v>142</v>
      </c>
      <c r="C63" s="463">
        <f>C59+C37+C35+C33+C32+C36+C20+C58+C55+C34+C54+C56+C24+C23+C21+C15+C7+C6+C57+C22</f>
        <v>12651</v>
      </c>
      <c r="D63" s="435">
        <f>C63/$C$64</f>
        <v>0.42851336246316429</v>
      </c>
      <c r="E63" s="382">
        <f>E59+E37+E35+E33+E32+E36+E20+E58+E55+E34+E54+E56+E24+E23+E21+E15+E7+E6+E57+E22</f>
        <v>13199</v>
      </c>
      <c r="F63" s="384">
        <f>(C63-E63)/E63</f>
        <v>-4.1518296840669745E-2</v>
      </c>
      <c r="G63" s="463">
        <f>G59+G37+G35+G33+G32+G36+G20+G58+G55+G34+G54+G56+G24+G23+G21+G15+G7+G6+G57+G22</f>
        <v>148310</v>
      </c>
      <c r="H63" s="382">
        <f>H59+H37+H35+H33+H32+H36+H20+H58+H55+H34+H54+H56+H24+H23+H21+H15+H7+H6+H57+H22</f>
        <v>149905</v>
      </c>
      <c r="I63" s="469">
        <f>(G63-H63)/H63</f>
        <v>-1.0640072045628899E-2</v>
      </c>
      <c r="K63" s="333" t="s">
        <v>142</v>
      </c>
      <c r="L63" s="463">
        <f>L59+L37+L35+L33+L32+L36+L20+L58+L55+L34+L54+L56+L24+L23+L21+L15+L7+L6+L57+L22</f>
        <v>653648</v>
      </c>
      <c r="M63" s="383">
        <f>+L63/L64</f>
        <v>0.23507884057387249</v>
      </c>
      <c r="N63" s="382">
        <f>N59+N37+N35+N33+N32+N36+N20+N58+N55+N34+N54+N56+N24+N23+N21+N15+N7+N6+N57+N22</f>
        <v>686427</v>
      </c>
      <c r="O63" s="384">
        <f>(L63-N63)/N63</f>
        <v>-4.7753074981024927E-2</v>
      </c>
      <c r="P63" s="463">
        <f>P59+P37+P35+P33+P32+P36+P20+P58+P55+P34+P54+P56+P24+P23+P21+P15+P7+P6+P57+P22</f>
        <v>7649115</v>
      </c>
      <c r="Q63" s="382">
        <f>Q59+Q37+Q35+Q33+Q32+Q36+Q20+Q58+Q55+Q34+Q54+Q56+Q24+Q23+Q21+Q15+Q7+Q6+Q57+Q22</f>
        <v>7820775</v>
      </c>
      <c r="R63" s="469">
        <f>(P63-Q63)/Q63</f>
        <v>-2.1949231374128523E-2</v>
      </c>
    </row>
    <row r="64" spans="1:20" ht="14.1" customHeight="1" thickBot="1" x14ac:dyDescent="0.25">
      <c r="B64" s="333" t="s">
        <v>143</v>
      </c>
      <c r="C64" s="464">
        <f>C52+C50+C45+C43+C39+C30+C17+C13+C4+C41+C48+C28+C26+C9+C11</f>
        <v>29523</v>
      </c>
      <c r="D64" s="472">
        <f>+C64/C64</f>
        <v>1</v>
      </c>
      <c r="E64" s="466">
        <f>E52+E50+E45+E43+E39+E30+E17+E13+E4+E41+E48+E28+E26+E11+E9</f>
        <v>29789</v>
      </c>
      <c r="F64" s="467">
        <f>(C64-E64)/E64</f>
        <v>-8.9294706099566946E-3</v>
      </c>
      <c r="G64" s="464">
        <f>G52+G50+G45+G43+G39+G30+G17+G13+G4+G41+G48+G28+G26+G11+G9</f>
        <v>345079</v>
      </c>
      <c r="H64" s="466">
        <f>H52+H50+H45+H43+H39+H30+H17+H13+H4+H41+H48+H11+H9+H26+H28</f>
        <v>339516</v>
      </c>
      <c r="I64" s="470">
        <f>(G64-H64)/H64</f>
        <v>1.6385089362504272E-2</v>
      </c>
      <c r="K64" s="333" t="s">
        <v>143</v>
      </c>
      <c r="L64" s="464">
        <f>L52+L50+L45+L43+L39+L30+L17+L13+L4+L41+L48+L9+L11+L26+L28</f>
        <v>2780548</v>
      </c>
      <c r="M64" s="465">
        <f>+L64/L64</f>
        <v>1</v>
      </c>
      <c r="N64" s="466">
        <f>N52+N50+N45+N43+N39+N30+N17+N13+N4+N41+N48+N9+N11+N26+N28</f>
        <v>2751674</v>
      </c>
      <c r="O64" s="467">
        <f>(L64-N64)/N64</f>
        <v>1.0493248836889835E-2</v>
      </c>
      <c r="P64" s="464">
        <f>P52+P50+P45+P43+P39+P30+P17+P13+P4+P41+P48+P11+P9+P26+P28</f>
        <v>33545190</v>
      </c>
      <c r="Q64" s="464">
        <f>Q52+Q50+Q45+Q43+Q39+Q30+Q17+Q13+Q4+Q41+Q48+Q11+Q9+Q26+Q28</f>
        <v>32752517</v>
      </c>
      <c r="R64" s="470">
        <f>(P64-Q64)/Q64</f>
        <v>2.4201895689421365E-2</v>
      </c>
    </row>
    <row r="65" spans="2:18" x14ac:dyDescent="0.2">
      <c r="B65" s="33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264"/>
      <c r="D66" s="4"/>
      <c r="E66" s="425"/>
      <c r="F66" s="227"/>
      <c r="G66" s="4"/>
      <c r="H66" s="4"/>
      <c r="I66"/>
      <c r="J66"/>
      <c r="K66"/>
      <c r="M66"/>
      <c r="O66"/>
      <c r="P66" s="2"/>
      <c r="Q66" s="2"/>
    </row>
    <row r="67" spans="2:18" x14ac:dyDescent="0.2">
      <c r="B67" s="333"/>
      <c r="D67" s="4"/>
      <c r="F67" s="227"/>
      <c r="G67" s="4"/>
      <c r="H67" s="4"/>
      <c r="I67"/>
      <c r="J67"/>
      <c r="K67"/>
      <c r="M67"/>
      <c r="O67"/>
      <c r="P67" s="2"/>
      <c r="Q67" s="2"/>
    </row>
    <row r="68" spans="2:18" x14ac:dyDescent="0.2">
      <c r="B68" s="264"/>
      <c r="D68" s="4"/>
      <c r="F68" s="227"/>
      <c r="G68" s="4"/>
      <c r="H68" s="4"/>
      <c r="I68"/>
      <c r="J68"/>
      <c r="K68"/>
      <c r="M68"/>
      <c r="O68"/>
      <c r="P68" s="2"/>
      <c r="Q68" s="2"/>
    </row>
    <row r="69" spans="2:18" x14ac:dyDescent="0.2">
      <c r="D69" s="4"/>
      <c r="E69" s="227"/>
      <c r="F69" s="227"/>
      <c r="G69" s="4"/>
      <c r="H69" s="7"/>
      <c r="I69"/>
      <c r="J69"/>
      <c r="K69"/>
      <c r="L69"/>
      <c r="M69"/>
      <c r="N69"/>
      <c r="O69"/>
      <c r="P69" s="130"/>
    </row>
    <row r="70" spans="2:18" x14ac:dyDescent="0.2">
      <c r="D70" s="4"/>
      <c r="E70" s="227"/>
      <c r="F70" s="227"/>
      <c r="G70" s="4"/>
      <c r="H70" s="7"/>
      <c r="I70"/>
      <c r="J70"/>
      <c r="K70"/>
      <c r="M70"/>
      <c r="N70"/>
      <c r="O70"/>
    </row>
    <row r="71" spans="2:18" x14ac:dyDescent="0.2">
      <c r="D71" s="4"/>
      <c r="E71" s="3"/>
      <c r="G71" s="4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D138" s="2"/>
      <c r="E138" s="3"/>
      <c r="G138"/>
      <c r="H138"/>
      <c r="I138"/>
      <c r="J138"/>
      <c r="K138"/>
      <c r="L138"/>
      <c r="M138"/>
      <c r="N138"/>
      <c r="O138"/>
    </row>
    <row r="139" spans="4:15" x14ac:dyDescent="0.2">
      <c r="D139" s="2"/>
      <c r="E139" s="3"/>
      <c r="G139"/>
      <c r="H139"/>
      <c r="I139"/>
      <c r="J139"/>
      <c r="K139"/>
      <c r="L139"/>
      <c r="M139"/>
      <c r="N139"/>
      <c r="O139"/>
    </row>
    <row r="140" spans="4:15" x14ac:dyDescent="0.2">
      <c r="D140" s="2"/>
      <c r="E140" s="3"/>
      <c r="G140"/>
      <c r="H140"/>
      <c r="I140"/>
      <c r="J140"/>
      <c r="K140"/>
      <c r="L140"/>
      <c r="M140"/>
      <c r="N140"/>
      <c r="O140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F1190" s="37"/>
      <c r="G1190" s="231"/>
      <c r="H1190" s="5"/>
      <c r="I1190" s="37"/>
      <c r="K1190" s="11"/>
    </row>
    <row r="1191" spans="6:11" x14ac:dyDescent="0.2">
      <c r="F1191" s="37"/>
      <c r="G1191" s="231"/>
      <c r="H1191" s="5"/>
      <c r="I1191" s="37"/>
      <c r="K1191" s="11"/>
    </row>
    <row r="1192" spans="6:11" x14ac:dyDescent="0.2">
      <c r="F1192" s="37"/>
      <c r="G1192" s="231"/>
      <c r="H1192" s="5"/>
      <c r="I1192" s="37"/>
      <c r="K1192" s="11"/>
    </row>
    <row r="1193" spans="6:11" x14ac:dyDescent="0.2">
      <c r="F1193" s="37"/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  <row r="4705" spans="7:11" x14ac:dyDescent="0.2">
      <c r="G4705" s="231"/>
      <c r="H4705" s="5"/>
      <c r="I4705" s="37"/>
      <c r="K4705" s="11"/>
    </row>
    <row r="4706" spans="7:11" x14ac:dyDescent="0.2">
      <c r="G4706" s="231"/>
      <c r="H4706" s="5"/>
      <c r="I4706" s="37"/>
      <c r="K4706" s="11"/>
    </row>
    <row r="4707" spans="7:11" x14ac:dyDescent="0.2">
      <c r="G4707" s="231"/>
      <c r="H4707" s="5"/>
      <c r="I4707" s="37"/>
      <c r="K4707" s="11"/>
    </row>
    <row r="4708" spans="7:11" x14ac:dyDescent="0.2">
      <c r="G4708" s="231"/>
      <c r="H4708" s="5"/>
      <c r="I4708" s="37"/>
      <c r="K470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53" orientation="landscape" r:id="rId1"/>
  <headerFooter alignWithMargins="0">
    <oddHeader>&amp;L
Schedule 10
&amp;CMinneapolis-St. Paul International Airport
&amp;"Arial,Bold"&amp;A
November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F18" sqref="F1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42675</v>
      </c>
      <c r="B1" s="456" t="s">
        <v>19</v>
      </c>
      <c r="C1" s="456" t="s">
        <v>20</v>
      </c>
      <c r="D1" s="456" t="s">
        <v>21</v>
      </c>
      <c r="E1" s="456" t="s">
        <v>167</v>
      </c>
      <c r="F1" s="456" t="s">
        <v>182</v>
      </c>
      <c r="G1" s="456" t="s">
        <v>168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[3]American!$EV$22</f>
        <v>80394</v>
      </c>
      <c r="C4" s="21">
        <f>[3]Delta!$EV$22+[3]Delta!$EV$32</f>
        <v>702011</v>
      </c>
      <c r="D4" s="21">
        <f>[3]United!$EV$22</f>
        <v>43993</v>
      </c>
      <c r="E4" s="21">
        <f>[3]Spirit!$EV$22</f>
        <v>43304</v>
      </c>
      <c r="F4" s="21">
        <f>[3]Condor!$EV$22+[3]Condor!$EV$32</f>
        <v>0</v>
      </c>
      <c r="G4" s="21">
        <f>'[3]Air France'!$EV$22+'[3]Air France'!$EV$32</f>
        <v>0</v>
      </c>
      <c r="H4" s="21">
        <f>'Other Major Airline Stats'!J5</f>
        <v>191429</v>
      </c>
      <c r="I4" s="286">
        <f>SUM(B4:H4)</f>
        <v>1061131</v>
      </c>
    </row>
    <row r="5" spans="1:18" x14ac:dyDescent="0.2">
      <c r="A5" s="62" t="s">
        <v>34</v>
      </c>
      <c r="B5" s="14">
        <f>[3]American!$EV$23</f>
        <v>78676</v>
      </c>
      <c r="C5" s="14">
        <f>[3]Delta!$EV$23+[3]Delta!$EV$33</f>
        <v>707100</v>
      </c>
      <c r="D5" s="14">
        <f>[3]United!$EV$23</f>
        <v>42642</v>
      </c>
      <c r="E5" s="14">
        <f>[3]Spirit!$EV$23</f>
        <v>44042</v>
      </c>
      <c r="F5" s="14">
        <f>[3]Condor!$EV$23+[3]Condor!$EV$33</f>
        <v>0</v>
      </c>
      <c r="G5" s="14">
        <f>'[3]Air France'!$EV$23+'[3]Air France'!$EV$33</f>
        <v>0</v>
      </c>
      <c r="H5" s="14">
        <f>'Other Major Airline Stats'!J6</f>
        <v>193309</v>
      </c>
      <c r="I5" s="287">
        <f>SUM(B5:H5)</f>
        <v>1065769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159070</v>
      </c>
      <c r="C6" s="34">
        <f t="shared" si="0"/>
        <v>1409111</v>
      </c>
      <c r="D6" s="34">
        <f t="shared" si="0"/>
        <v>86635</v>
      </c>
      <c r="E6" s="34">
        <f t="shared" si="0"/>
        <v>87346</v>
      </c>
      <c r="F6" s="34">
        <f t="shared" ref="F6:G6" si="1">SUM(F4:F5)</f>
        <v>0</v>
      </c>
      <c r="G6" s="34">
        <f t="shared" si="1"/>
        <v>0</v>
      </c>
      <c r="H6" s="34">
        <f t="shared" si="0"/>
        <v>384738</v>
      </c>
      <c r="I6" s="288">
        <f>SUM(B6:H6)</f>
        <v>2126900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[3]American!$EV$27</f>
        <v>3375</v>
      </c>
      <c r="C9" s="21">
        <f>[3]Delta!$EV$27+[3]Delta!$EV$37</f>
        <v>25287</v>
      </c>
      <c r="D9" s="21">
        <f>[3]United!$EV$27</f>
        <v>1500</v>
      </c>
      <c r="E9" s="21">
        <f>[3]Spirit!$EV$27</f>
        <v>342</v>
      </c>
      <c r="F9" s="21">
        <f>[3]Condor!$EV$27+[3]Condor!$EV$37</f>
        <v>0</v>
      </c>
      <c r="G9" s="21">
        <f>'[3]Air France'!$EV$27+'[3]Air France'!$EV$37</f>
        <v>0</v>
      </c>
      <c r="H9" s="21">
        <f>'Other Major Airline Stats'!J10</f>
        <v>3427</v>
      </c>
      <c r="I9" s="286">
        <f>SUM(B9:H9)</f>
        <v>33931</v>
      </c>
    </row>
    <row r="10" spans="1:18" x14ac:dyDescent="0.2">
      <c r="A10" s="62" t="s">
        <v>36</v>
      </c>
      <c r="B10" s="14">
        <f>[3]American!$EV$28</f>
        <v>3575</v>
      </c>
      <c r="C10" s="14">
        <f>[3]Delta!$EV$28+[3]Delta!$EV$38</f>
        <v>24789</v>
      </c>
      <c r="D10" s="14">
        <f>[3]United!$EV$28</f>
        <v>1691</v>
      </c>
      <c r="E10" s="14">
        <f>[3]Spirit!$EV$28</f>
        <v>308</v>
      </c>
      <c r="F10" s="14">
        <f>[3]Condor!$EV$28+[3]Condor!$EV$38</f>
        <v>0</v>
      </c>
      <c r="G10" s="14">
        <f>'[3]Air France'!$EV$28+'[3]Air France'!$EV$38</f>
        <v>0</v>
      </c>
      <c r="H10" s="14">
        <f>'Other Major Airline Stats'!J11</f>
        <v>3575</v>
      </c>
      <c r="I10" s="287">
        <f>SUM(B10:H10)</f>
        <v>33938</v>
      </c>
    </row>
    <row r="11" spans="1:18" ht="15.75" thickBot="1" x14ac:dyDescent="0.3">
      <c r="A11" s="63" t="s">
        <v>37</v>
      </c>
      <c r="B11" s="289">
        <f t="shared" ref="B11:H11" si="2">SUM(B9:B10)</f>
        <v>6950</v>
      </c>
      <c r="C11" s="289">
        <f t="shared" si="2"/>
        <v>50076</v>
      </c>
      <c r="D11" s="289">
        <f t="shared" si="2"/>
        <v>3191</v>
      </c>
      <c r="E11" s="289">
        <f t="shared" si="2"/>
        <v>650</v>
      </c>
      <c r="F11" s="289">
        <f t="shared" ref="F11:G11" si="3">SUM(F9:F10)</f>
        <v>0</v>
      </c>
      <c r="G11" s="289">
        <f t="shared" si="3"/>
        <v>0</v>
      </c>
      <c r="H11" s="289">
        <f t="shared" si="2"/>
        <v>7002</v>
      </c>
      <c r="I11" s="290">
        <f>SUM(B11:H11)</f>
        <v>67869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[3]American!$EV$4</f>
        <v>707</v>
      </c>
      <c r="C15" s="21">
        <f>[3]Delta!$EV$4+[3]Delta!$EV$15</f>
        <v>5176</v>
      </c>
      <c r="D15" s="21">
        <f>[3]United!$EV$4</f>
        <v>378</v>
      </c>
      <c r="E15" s="21">
        <f>[3]Spirit!$EV$4</f>
        <v>365</v>
      </c>
      <c r="F15" s="21">
        <f>[3]Condor!$EV$15</f>
        <v>0</v>
      </c>
      <c r="G15" s="21">
        <f>'[3]Air France'!$EV$4+'[3]Air France'!$EV$15</f>
        <v>0</v>
      </c>
      <c r="H15" s="21">
        <f>'Other Major Airline Stats'!J16</f>
        <v>1752</v>
      </c>
      <c r="I15" s="27">
        <f>SUM(B15:H15)</f>
        <v>8378</v>
      </c>
    </row>
    <row r="16" spans="1:18" x14ac:dyDescent="0.2">
      <c r="A16" s="62" t="s">
        <v>26</v>
      </c>
      <c r="B16" s="14">
        <f>[3]American!$EV$5</f>
        <v>708</v>
      </c>
      <c r="C16" s="14">
        <f>[3]Delta!$EV$5+[3]Delta!$EV$16</f>
        <v>5175</v>
      </c>
      <c r="D16" s="14">
        <f>[3]United!$EV$5</f>
        <v>378</v>
      </c>
      <c r="E16" s="14">
        <f>[3]Spirit!$EV$5</f>
        <v>365</v>
      </c>
      <c r="F16" s="14">
        <f>[3]Condor!$EV$16</f>
        <v>0</v>
      </c>
      <c r="G16" s="14">
        <f>'[3]Air France'!$EV$5+'[3]Air France'!$EV$16</f>
        <v>0</v>
      </c>
      <c r="H16" s="14">
        <f>'Other Major Airline Stats'!J17</f>
        <v>1758</v>
      </c>
      <c r="I16" s="33">
        <f>SUM(B16:H16)</f>
        <v>8384</v>
      </c>
    </row>
    <row r="17" spans="1:9" x14ac:dyDescent="0.2">
      <c r="A17" s="62" t="s">
        <v>27</v>
      </c>
      <c r="B17" s="293">
        <f t="shared" ref="B17:H17" si="4">SUM(B15:B16)</f>
        <v>1415</v>
      </c>
      <c r="C17" s="291">
        <f t="shared" si="4"/>
        <v>10351</v>
      </c>
      <c r="D17" s="291">
        <f t="shared" si="4"/>
        <v>756</v>
      </c>
      <c r="E17" s="291">
        <f t="shared" si="4"/>
        <v>730</v>
      </c>
      <c r="F17" s="291">
        <f t="shared" ref="F17:G17" si="5">SUM(F15:F16)</f>
        <v>0</v>
      </c>
      <c r="G17" s="291">
        <f t="shared" si="5"/>
        <v>0</v>
      </c>
      <c r="H17" s="291">
        <f t="shared" si="4"/>
        <v>3510</v>
      </c>
      <c r="I17" s="292">
        <f>SUM(B17:H17)</f>
        <v>16762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[3]American!$EV$8</f>
        <v>0</v>
      </c>
      <c r="C19" s="21">
        <f>[3]Delta!$EV$8</f>
        <v>2</v>
      </c>
      <c r="D19" s="21">
        <f>[3]United!$EV$8</f>
        <v>0</v>
      </c>
      <c r="E19" s="21">
        <f>[3]Spirit!$EV$8</f>
        <v>0</v>
      </c>
      <c r="F19" s="21">
        <f>[3]Condor!$EV$8</f>
        <v>0</v>
      </c>
      <c r="G19" s="21">
        <f>'[3]Air France'!$EV$8</f>
        <v>0</v>
      </c>
      <c r="H19" s="21">
        <f>'Other Major Airline Stats'!J20</f>
        <v>57</v>
      </c>
      <c r="I19" s="27">
        <f>SUM(B19:H19)</f>
        <v>59</v>
      </c>
    </row>
    <row r="20" spans="1:9" x14ac:dyDescent="0.2">
      <c r="A20" s="62" t="s">
        <v>29</v>
      </c>
      <c r="B20" s="14">
        <f>[3]American!$EV$9</f>
        <v>0</v>
      </c>
      <c r="C20" s="14">
        <f>[3]Delta!$EV$9</f>
        <v>2</v>
      </c>
      <c r="D20" s="14">
        <f>[3]United!$EV$9</f>
        <v>0</v>
      </c>
      <c r="E20" s="14">
        <f>[3]Spirit!$EV$9</f>
        <v>0</v>
      </c>
      <c r="F20" s="14">
        <f>[3]Condor!$EV$9</f>
        <v>0</v>
      </c>
      <c r="G20" s="14">
        <f>'[3]Air France'!$EV$9</f>
        <v>0</v>
      </c>
      <c r="H20" s="14">
        <f>'Other Major Airline Stats'!J21</f>
        <v>49</v>
      </c>
      <c r="I20" s="33">
        <f>SUM(B20:H20)</f>
        <v>51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4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106</v>
      </c>
      <c r="I21" s="176">
        <f>SUM(B21:H21)</f>
        <v>110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1415</v>
      </c>
      <c r="C23" s="28">
        <f t="shared" si="8"/>
        <v>10355</v>
      </c>
      <c r="D23" s="28">
        <f t="shared" si="8"/>
        <v>756</v>
      </c>
      <c r="E23" s="28">
        <f>E17+E21</f>
        <v>730</v>
      </c>
      <c r="F23" s="28">
        <f t="shared" ref="F23:G23" si="9">F17+F21</f>
        <v>0</v>
      </c>
      <c r="G23" s="28">
        <f t="shared" si="9"/>
        <v>0</v>
      </c>
      <c r="H23" s="28">
        <f t="shared" si="8"/>
        <v>3616</v>
      </c>
      <c r="I23" s="29">
        <f>SUM(B23:H23)</f>
        <v>16872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[3]American!$EV$47</f>
        <v>27957</v>
      </c>
      <c r="C28" s="21">
        <f>[3]Delta!$EV$47</f>
        <v>3967910</v>
      </c>
      <c r="D28" s="21">
        <f>[3]United!$EV$47</f>
        <v>46096</v>
      </c>
      <c r="E28" s="21">
        <f>[3]Spirit!$EV$47</f>
        <v>0</v>
      </c>
      <c r="F28" s="21">
        <f>[3]Condor!$EV$47</f>
        <v>0</v>
      </c>
      <c r="G28" s="21">
        <f>'[3]Air France'!$EV$47</f>
        <v>0</v>
      </c>
      <c r="H28" s="21">
        <f>'Other Major Airline Stats'!J28</f>
        <v>500514</v>
      </c>
      <c r="I28" s="27">
        <f>SUM(B28:H28)</f>
        <v>4542477</v>
      </c>
    </row>
    <row r="29" spans="1:9" x14ac:dyDescent="0.2">
      <c r="A29" s="62" t="s">
        <v>41</v>
      </c>
      <c r="B29" s="14">
        <f>[3]American!$EV$48</f>
        <v>45490</v>
      </c>
      <c r="C29" s="14">
        <f>[3]Delta!$EV$48</f>
        <v>1110356</v>
      </c>
      <c r="D29" s="14">
        <f>[3]United!$EV$48</f>
        <v>140519</v>
      </c>
      <c r="E29" s="14">
        <f>[3]Spirit!$EV$48</f>
        <v>0</v>
      </c>
      <c r="F29" s="14">
        <f>[3]Condor!$EV$48</f>
        <v>0</v>
      </c>
      <c r="G29" s="14">
        <f>'[3]Air France'!$EV$48</f>
        <v>0</v>
      </c>
      <c r="H29" s="14">
        <f>'Other Major Airline Stats'!J29</f>
        <v>332233</v>
      </c>
      <c r="I29" s="33">
        <f>SUM(B29:H29)</f>
        <v>1628598</v>
      </c>
    </row>
    <row r="30" spans="1:9" x14ac:dyDescent="0.2">
      <c r="A30" s="66" t="s">
        <v>42</v>
      </c>
      <c r="B30" s="293">
        <f t="shared" ref="B30:H30" si="10">SUM(B28:B29)</f>
        <v>73447</v>
      </c>
      <c r="C30" s="293">
        <f t="shared" si="10"/>
        <v>5078266</v>
      </c>
      <c r="D30" s="293">
        <f t="shared" si="10"/>
        <v>186615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0</v>
      </c>
      <c r="H30" s="293">
        <f t="shared" si="10"/>
        <v>832747</v>
      </c>
      <c r="I30" s="27">
        <f>SUM(B30:H30)</f>
        <v>6171075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[3]American!$EV$52</f>
        <v>8955</v>
      </c>
      <c r="C33" s="21">
        <f>[3]Delta!$EV$52</f>
        <v>2061380</v>
      </c>
      <c r="D33" s="21">
        <f>[3]United!$EV$52</f>
        <v>24113</v>
      </c>
      <c r="E33" s="21">
        <f>[3]Spirit!$EV$52</f>
        <v>0</v>
      </c>
      <c r="F33" s="21">
        <f>[3]Condor!$EV$52</f>
        <v>0</v>
      </c>
      <c r="G33" s="21">
        <f>'[3]Air France'!$EV$52</f>
        <v>0</v>
      </c>
      <c r="H33" s="21">
        <f>'Other Major Airline Stats'!J33</f>
        <v>297787</v>
      </c>
      <c r="I33" s="27">
        <f t="shared" si="12"/>
        <v>2392235</v>
      </c>
    </row>
    <row r="34" spans="1:9" x14ac:dyDescent="0.2">
      <c r="A34" s="62" t="s">
        <v>41</v>
      </c>
      <c r="B34" s="14">
        <f>[3]American!$EV$53</f>
        <v>82350</v>
      </c>
      <c r="C34" s="14">
        <f>[3]Delta!$EV$53</f>
        <v>1632792</v>
      </c>
      <c r="D34" s="14">
        <f>[3]United!$EV$53</f>
        <v>258209</v>
      </c>
      <c r="E34" s="14">
        <f>[3]Spirit!$EV$53</f>
        <v>0</v>
      </c>
      <c r="F34" s="14">
        <f>[3]Condor!$EV$53</f>
        <v>0</v>
      </c>
      <c r="G34" s="14">
        <f>'[3]Air France'!$EV$53</f>
        <v>0</v>
      </c>
      <c r="H34" s="14">
        <f>'Other Major Airline Stats'!J34</f>
        <v>572288</v>
      </c>
      <c r="I34" s="33">
        <f t="shared" si="12"/>
        <v>2545639</v>
      </c>
    </row>
    <row r="35" spans="1:9" x14ac:dyDescent="0.2">
      <c r="A35" s="66" t="s">
        <v>44</v>
      </c>
      <c r="B35" s="293">
        <f t="shared" ref="B35:H35" si="13">SUM(B33:B34)</f>
        <v>91305</v>
      </c>
      <c r="C35" s="293">
        <f t="shared" si="13"/>
        <v>3694172</v>
      </c>
      <c r="D35" s="293">
        <f t="shared" si="13"/>
        <v>282322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0</v>
      </c>
      <c r="H35" s="293">
        <f t="shared" si="13"/>
        <v>870075</v>
      </c>
      <c r="I35" s="27">
        <f t="shared" si="12"/>
        <v>4937874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[3]American!$EV$57</f>
        <v>0</v>
      </c>
      <c r="C38" s="21">
        <f>[3]Delta!$EV$57</f>
        <v>0</v>
      </c>
      <c r="D38" s="21">
        <f>[3]United!$EV$57</f>
        <v>0</v>
      </c>
      <c r="E38" s="21">
        <f>[3]Spirit!$EV$57</f>
        <v>0</v>
      </c>
      <c r="F38" s="21">
        <f>[3]Condor!$EV$57</f>
        <v>0</v>
      </c>
      <c r="G38" s="21">
        <f>'[3]Air France'!$EV$57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[3]American!$EV$58</f>
        <v>0</v>
      </c>
      <c r="C39" s="14">
        <f>[3]Delta!$EV$58</f>
        <v>0</v>
      </c>
      <c r="D39" s="14">
        <f>[3]United!$EV$58</f>
        <v>0</v>
      </c>
      <c r="E39" s="14">
        <f>[3]Spirit!$EV$58</f>
        <v>0</v>
      </c>
      <c r="F39" s="14">
        <f>[3]Condor!$EV$58</f>
        <v>0</v>
      </c>
      <c r="G39" s="14">
        <f>'[3]Air France'!$EV$58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36912</v>
      </c>
      <c r="C43" s="21">
        <f t="shared" si="17"/>
        <v>6029290</v>
      </c>
      <c r="D43" s="21">
        <f t="shared" si="17"/>
        <v>70209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798301</v>
      </c>
      <c r="I43" s="27">
        <f>SUM(B43:H43)</f>
        <v>6934712</v>
      </c>
    </row>
    <row r="44" spans="1:9" x14ac:dyDescent="0.2">
      <c r="A44" s="62" t="s">
        <v>41</v>
      </c>
      <c r="B44" s="14">
        <f t="shared" si="17"/>
        <v>127840</v>
      </c>
      <c r="C44" s="14">
        <f t="shared" si="17"/>
        <v>2743148</v>
      </c>
      <c r="D44" s="14">
        <f t="shared" si="17"/>
        <v>398728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904521</v>
      </c>
      <c r="I44" s="27">
        <f>SUM(B44:H44)</f>
        <v>4174237</v>
      </c>
    </row>
    <row r="45" spans="1:9" ht="15.75" thickBot="1" x14ac:dyDescent="0.3">
      <c r="A45" s="63" t="s">
        <v>49</v>
      </c>
      <c r="B45" s="294">
        <f t="shared" ref="B45:H45" si="20">SUM(B43:B44)</f>
        <v>164752</v>
      </c>
      <c r="C45" s="294">
        <f t="shared" si="20"/>
        <v>8772438</v>
      </c>
      <c r="D45" s="294">
        <f t="shared" si="20"/>
        <v>468937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0</v>
      </c>
      <c r="H45" s="294">
        <f t="shared" si="20"/>
        <v>1702822</v>
      </c>
      <c r="I45" s="295">
        <f>SUM(B45:H45)</f>
        <v>11108949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128</v>
      </c>
      <c r="C47" s="323">
        <f>[3]Delta!$EV$70+[3]Delta!$EV$73</f>
        <v>334458</v>
      </c>
      <c r="D47" s="310"/>
      <c r="E47" s="310"/>
      <c r="F47" s="310"/>
      <c r="G47" s="310"/>
      <c r="H47" s="310"/>
      <c r="I47" s="311">
        <f>SUM(B47:H47)</f>
        <v>334458</v>
      </c>
    </row>
    <row r="48" spans="1:9" hidden="1" x14ac:dyDescent="0.2">
      <c r="A48" s="386" t="s">
        <v>129</v>
      </c>
      <c r="C48" s="323">
        <f>[3]Delta!$EV$71+[3]Delta!$EV$74</f>
        <v>372642</v>
      </c>
      <c r="D48" s="310"/>
      <c r="E48" s="310"/>
      <c r="F48" s="310"/>
      <c r="G48" s="310"/>
      <c r="H48" s="310"/>
      <c r="I48" s="311">
        <f>SUM(B48:H48)</f>
        <v>372642</v>
      </c>
    </row>
    <row r="49" spans="1:9" hidden="1" x14ac:dyDescent="0.2">
      <c r="A49" s="387" t="s">
        <v>130</v>
      </c>
      <c r="C49" s="324">
        <f>SUM(C47:C48)</f>
        <v>707100</v>
      </c>
      <c r="I49" s="311">
        <f>SUM(B49:H49)</f>
        <v>707100</v>
      </c>
    </row>
    <row r="50" spans="1:9" x14ac:dyDescent="0.2">
      <c r="A50" s="385" t="s">
        <v>128</v>
      </c>
      <c r="B50" s="398"/>
      <c r="C50" s="326">
        <f>[3]Delta!$EV$70+[3]Delta!$EV$73</f>
        <v>334458</v>
      </c>
      <c r="D50" s="398"/>
      <c r="E50" s="398"/>
      <c r="F50" s="398"/>
      <c r="G50" s="398"/>
      <c r="H50" s="325">
        <f>'Other Major Airline Stats'!J48</f>
        <v>157467</v>
      </c>
      <c r="I50" s="314">
        <f>SUM(B50:H50)</f>
        <v>491925</v>
      </c>
    </row>
    <row r="51" spans="1:9" x14ac:dyDescent="0.2">
      <c r="A51" s="400" t="s">
        <v>129</v>
      </c>
      <c r="B51" s="398"/>
      <c r="C51" s="326">
        <f>[3]Delta!$EV$71+[3]Delta!$EV$74</f>
        <v>372642</v>
      </c>
      <c r="D51" s="398"/>
      <c r="E51" s="398"/>
      <c r="F51" s="398"/>
      <c r="G51" s="398"/>
      <c r="H51" s="325">
        <f>+'Other Major Airline Stats'!J49</f>
        <v>12141</v>
      </c>
      <c r="I51" s="314">
        <f>SUM(B51:H51)</f>
        <v>384783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H20" activeCellId="1" sqref="H16 H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9">
        <v>42675</v>
      </c>
      <c r="B2" s="455" t="s">
        <v>50</v>
      </c>
      <c r="C2" s="455" t="s">
        <v>165</v>
      </c>
      <c r="D2" s="454" t="s">
        <v>217</v>
      </c>
      <c r="E2" s="454" t="s">
        <v>218</v>
      </c>
      <c r="F2" s="455" t="s">
        <v>51</v>
      </c>
      <c r="G2" s="454" t="s">
        <v>136</v>
      </c>
      <c r="H2" s="454" t="s">
        <v>52</v>
      </c>
      <c r="I2" s="454" t="s">
        <v>135</v>
      </c>
      <c r="J2" s="277" t="s">
        <v>65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[3]Frontier!$EV$22</f>
        <v>13385</v>
      </c>
      <c r="C5" s="146">
        <f>'[3]Great Lakes'!$EV$22</f>
        <v>0</v>
      </c>
      <c r="D5" s="146">
        <f>'[3]Air Choice One'!$EV$22</f>
        <v>432</v>
      </c>
      <c r="E5" s="146">
        <f>'[3]Boutique Air'!$EV$22</f>
        <v>543</v>
      </c>
      <c r="F5" s="146">
        <f>[3]Icelandair!$EV$32</f>
        <v>2497</v>
      </c>
      <c r="G5" s="118">
        <f>[3]Southwest!$EV$22</f>
        <v>83007</v>
      </c>
      <c r="H5" s="118">
        <f>'[3]Sun Country'!$EV$22+'[3]Sun Country'!$EV$32</f>
        <v>83851</v>
      </c>
      <c r="I5" s="118">
        <f>[3]Alaska!$EV$22</f>
        <v>7714</v>
      </c>
      <c r="J5" s="147">
        <f>SUM(B5:I5)</f>
        <v>191429</v>
      </c>
      <c r="M5" s="130"/>
    </row>
    <row r="6" spans="1:13" x14ac:dyDescent="0.2">
      <c r="A6" s="62" t="s">
        <v>34</v>
      </c>
      <c r="B6" s="146">
        <f>[3]Frontier!$EV$23</f>
        <v>13128</v>
      </c>
      <c r="C6" s="146">
        <f>'[3]Great Lakes'!$EV$23</f>
        <v>0</v>
      </c>
      <c r="D6" s="146">
        <f>'[3]Air Choice One'!$EV$23</f>
        <v>381</v>
      </c>
      <c r="E6" s="146">
        <f>'[3]Boutique Air'!$EV$23</f>
        <v>529</v>
      </c>
      <c r="F6" s="146">
        <f>[3]Icelandair!$EV$33</f>
        <v>2432</v>
      </c>
      <c r="G6" s="118">
        <f>[3]Southwest!$EV$23</f>
        <v>83167</v>
      </c>
      <c r="H6" s="118">
        <f>'[3]Sun Country'!$EV$23+'[3]Sun Country'!$EV$33</f>
        <v>86441</v>
      </c>
      <c r="I6" s="118">
        <f>[3]Alaska!$EV$23</f>
        <v>7231</v>
      </c>
      <c r="J6" s="147">
        <f>SUM(B6:I6)</f>
        <v>193309</v>
      </c>
    </row>
    <row r="7" spans="1:13" ht="15" x14ac:dyDescent="0.25">
      <c r="A7" s="60" t="s">
        <v>7</v>
      </c>
      <c r="B7" s="155">
        <f t="shared" ref="B7:I7" si="0">SUM(B5:B6)</f>
        <v>26513</v>
      </c>
      <c r="C7" s="155">
        <f t="shared" si="0"/>
        <v>0</v>
      </c>
      <c r="D7" s="155">
        <f t="shared" ref="D7:E7" si="1">SUM(D5:D6)</f>
        <v>813</v>
      </c>
      <c r="E7" s="155">
        <f t="shared" si="1"/>
        <v>1072</v>
      </c>
      <c r="F7" s="155">
        <f t="shared" si="0"/>
        <v>4929</v>
      </c>
      <c r="G7" s="155">
        <f t="shared" si="0"/>
        <v>166174</v>
      </c>
      <c r="H7" s="155">
        <f>SUM(H5:H6)</f>
        <v>170292</v>
      </c>
      <c r="I7" s="155">
        <f t="shared" si="0"/>
        <v>14945</v>
      </c>
      <c r="J7" s="156">
        <f>SUM(B7:I7)</f>
        <v>384738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[3]Frontier!$EV$27</f>
        <v>82</v>
      </c>
      <c r="C10" s="154">
        <f>'[3]Great Lakes'!$EV$27</f>
        <v>0</v>
      </c>
      <c r="D10" s="154">
        <f>'[3]Air Choice One'!$EV$27</f>
        <v>0</v>
      </c>
      <c r="E10" s="154">
        <f>'[3]Boutique Air'!$EV$27</f>
        <v>0</v>
      </c>
      <c r="F10" s="154">
        <f>[3]Icelandair!$EV$37</f>
        <v>96</v>
      </c>
      <c r="G10" s="154">
        <f>[3]Southwest!$EV$27</f>
        <v>1168</v>
      </c>
      <c r="H10" s="154">
        <f>'[3]Sun Country'!$EV$27+'[3]Sun Country'!$EV$37</f>
        <v>1863</v>
      </c>
      <c r="I10" s="154">
        <f>[3]Alaska!$EV$27</f>
        <v>218</v>
      </c>
      <c r="J10" s="147">
        <f>SUM(B10:I10)</f>
        <v>3427</v>
      </c>
    </row>
    <row r="11" spans="1:13" x14ac:dyDescent="0.2">
      <c r="A11" s="62" t="s">
        <v>36</v>
      </c>
      <c r="B11" s="157">
        <f>[3]Frontier!$EV$28</f>
        <v>103</v>
      </c>
      <c r="C11" s="157">
        <f>'[3]Great Lakes'!$EV$28</f>
        <v>0</v>
      </c>
      <c r="D11" s="157">
        <f>'[3]Air Choice One'!$EV$28</f>
        <v>0</v>
      </c>
      <c r="E11" s="157">
        <f>'[3]Boutique Air'!$EV$28</f>
        <v>0</v>
      </c>
      <c r="F11" s="157">
        <f>[3]Icelandair!$EV$38</f>
        <v>93</v>
      </c>
      <c r="G11" s="157">
        <f>[3]Southwest!$EV$28</f>
        <v>1292</v>
      </c>
      <c r="H11" s="157">
        <f>'[3]Sun Country'!$EV$28+'[3]Sun Country'!$EV$38</f>
        <v>1785</v>
      </c>
      <c r="I11" s="157">
        <f>[3]Alaska!$EV$28</f>
        <v>302</v>
      </c>
      <c r="J11" s="147">
        <f>SUM(B11:I11)</f>
        <v>3575</v>
      </c>
    </row>
    <row r="12" spans="1:13" ht="15.75" thickBot="1" x14ac:dyDescent="0.3">
      <c r="A12" s="63" t="s">
        <v>37</v>
      </c>
      <c r="B12" s="150">
        <f t="shared" ref="B12:I12" si="2">SUM(B10:B11)</f>
        <v>185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189</v>
      </c>
      <c r="G12" s="150">
        <f t="shared" si="2"/>
        <v>2460</v>
      </c>
      <c r="H12" s="150">
        <f>SUM(H10:H11)</f>
        <v>3648</v>
      </c>
      <c r="I12" s="150">
        <f t="shared" si="2"/>
        <v>520</v>
      </c>
      <c r="J12" s="158">
        <f>SUM(B12:I12)</f>
        <v>7002</v>
      </c>
      <c r="M12" s="130"/>
    </row>
    <row r="13" spans="1:13" ht="15" x14ac:dyDescent="0.25">
      <c r="A13" s="59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[3]Frontier!$EV$4</f>
        <v>84</v>
      </c>
      <c r="C16" s="146">
        <f>'[3]Great Lakes'!$EV$4</f>
        <v>0</v>
      </c>
      <c r="D16" s="146">
        <f>'[3]Air Choice One'!$EV$4</f>
        <v>105</v>
      </c>
      <c r="E16" s="146">
        <f>'[3]Boutique Air'!$EV$4</f>
        <v>78</v>
      </c>
      <c r="F16" s="146">
        <f>[3]Icelandair!$EV$15</f>
        <v>17</v>
      </c>
      <c r="G16" s="106">
        <f>[3]Southwest!$EV$4</f>
        <v>683</v>
      </c>
      <c r="H16" s="118">
        <f>'[3]Sun Country'!$EV$4+'[3]Sun Country'!$EV$15</f>
        <v>737</v>
      </c>
      <c r="I16" s="118">
        <f>[3]Alaska!$EV$4</f>
        <v>48</v>
      </c>
      <c r="J16" s="147">
        <f>SUM(B16:I16)</f>
        <v>1752</v>
      </c>
    </row>
    <row r="17" spans="1:257" x14ac:dyDescent="0.2">
      <c r="A17" s="62" t="s">
        <v>26</v>
      </c>
      <c r="B17" s="146">
        <f>[3]Frontier!$EV$5</f>
        <v>84</v>
      </c>
      <c r="C17" s="146">
        <f>'[3]Great Lakes'!$EV$5</f>
        <v>0</v>
      </c>
      <c r="D17" s="146">
        <f>'[3]Air Choice One'!$EV$5</f>
        <v>105</v>
      </c>
      <c r="E17" s="146">
        <f>'[3]Boutique Air'!$EV$5</f>
        <v>78</v>
      </c>
      <c r="F17" s="146">
        <f>[3]Icelandair!$EV$16</f>
        <v>17</v>
      </c>
      <c r="G17" s="106">
        <f>[3]Southwest!$EV$5</f>
        <v>683</v>
      </c>
      <c r="H17" s="118">
        <f>'[3]Sun Country'!$EV$5+'[3]Sun Country'!$EV$16</f>
        <v>743</v>
      </c>
      <c r="I17" s="118">
        <f>[3]Alaska!$EV$5</f>
        <v>48</v>
      </c>
      <c r="J17" s="147">
        <f>SUM(B17:I17)</f>
        <v>1758</v>
      </c>
    </row>
    <row r="18" spans="1:257" x14ac:dyDescent="0.2">
      <c r="A18" s="66" t="s">
        <v>27</v>
      </c>
      <c r="B18" s="148">
        <f t="shared" ref="B18:I18" si="4">SUM(B16:B17)</f>
        <v>168</v>
      </c>
      <c r="C18" s="148">
        <f t="shared" si="4"/>
        <v>0</v>
      </c>
      <c r="D18" s="148">
        <f t="shared" ref="D18:E18" si="5">SUM(D16:D17)</f>
        <v>210</v>
      </c>
      <c r="E18" s="148">
        <f t="shared" si="5"/>
        <v>156</v>
      </c>
      <c r="F18" s="148">
        <f t="shared" si="4"/>
        <v>34</v>
      </c>
      <c r="G18" s="148">
        <f t="shared" si="4"/>
        <v>1366</v>
      </c>
      <c r="H18" s="148">
        <f t="shared" si="4"/>
        <v>1480</v>
      </c>
      <c r="I18" s="148">
        <f t="shared" si="4"/>
        <v>96</v>
      </c>
      <c r="J18" s="149">
        <f>SUM(B18:I18)</f>
        <v>3510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[3]Frontier!$EV$8</f>
        <v>0</v>
      </c>
      <c r="C20" s="146">
        <f>'[3]Great Lakes'!$EV$8</f>
        <v>0</v>
      </c>
      <c r="D20" s="146">
        <f>'[3]Air Choice One'!$EV$8</f>
        <v>0</v>
      </c>
      <c r="E20" s="146">
        <f>'[3]Boutique Air'!$EV$8</f>
        <v>0</v>
      </c>
      <c r="F20" s="146">
        <f>[3]Icelandair!$EV$8</f>
        <v>0</v>
      </c>
      <c r="G20" s="118">
        <f>[3]Southwest!$EV$8</f>
        <v>1</v>
      </c>
      <c r="H20" s="118">
        <f>'[3]Sun Country'!$EV$8</f>
        <v>56</v>
      </c>
      <c r="I20" s="118">
        <f>[3]Alaska!$EV$8</f>
        <v>0</v>
      </c>
      <c r="J20" s="147">
        <f>SUM(B20:I20)</f>
        <v>57</v>
      </c>
    </row>
    <row r="21" spans="1:257" x14ac:dyDescent="0.2">
      <c r="A21" s="62" t="s">
        <v>29</v>
      </c>
      <c r="B21" s="146">
        <f>[3]Frontier!$EV$9</f>
        <v>0</v>
      </c>
      <c r="C21" s="146">
        <f>'[3]Great Lakes'!$EV$9</f>
        <v>0</v>
      </c>
      <c r="D21" s="146">
        <f>'[3]Air Choice One'!$EV$9</f>
        <v>0</v>
      </c>
      <c r="E21" s="146">
        <f>'[3]Boutique Air'!$EV$9</f>
        <v>0</v>
      </c>
      <c r="F21" s="146">
        <f>[3]Icelandair!$EV$9</f>
        <v>0</v>
      </c>
      <c r="G21" s="118">
        <f>[3]Southwest!$EV$9</f>
        <v>0</v>
      </c>
      <c r="H21" s="118">
        <f>'[3]Sun Country'!$EV$9</f>
        <v>49</v>
      </c>
      <c r="I21" s="118">
        <f>[3]Alaska!$EV$9</f>
        <v>0</v>
      </c>
      <c r="J21" s="147">
        <f>SUM(B21:I21)</f>
        <v>49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1</v>
      </c>
      <c r="H22" s="148">
        <f t="shared" si="6"/>
        <v>105</v>
      </c>
      <c r="I22" s="148">
        <f t="shared" si="6"/>
        <v>0</v>
      </c>
      <c r="J22" s="149">
        <f>SUM(B22:I22)</f>
        <v>106</v>
      </c>
    </row>
    <row r="23" spans="1:257" ht="15.75" thickBot="1" x14ac:dyDescent="0.3">
      <c r="A23" s="63" t="s">
        <v>31</v>
      </c>
      <c r="B23" s="150">
        <f t="shared" ref="B23:I23" si="8">B22+B18</f>
        <v>168</v>
      </c>
      <c r="C23" s="150">
        <f t="shared" si="8"/>
        <v>0</v>
      </c>
      <c r="D23" s="150">
        <f t="shared" ref="D23:E23" si="9">D22+D18</f>
        <v>210</v>
      </c>
      <c r="E23" s="150">
        <f t="shared" si="9"/>
        <v>156</v>
      </c>
      <c r="F23" s="150">
        <f t="shared" si="8"/>
        <v>34</v>
      </c>
      <c r="G23" s="150">
        <f t="shared" si="8"/>
        <v>1367</v>
      </c>
      <c r="H23" s="150">
        <f t="shared" si="8"/>
        <v>1585</v>
      </c>
      <c r="I23" s="150">
        <f t="shared" si="8"/>
        <v>96</v>
      </c>
      <c r="J23" s="151">
        <f>SUM(B23:I23)</f>
        <v>3616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4"/>
      <c r="C25" s="424"/>
      <c r="D25" s="424"/>
      <c r="E25" s="424"/>
      <c r="F25" s="424"/>
      <c r="G25" s="424"/>
      <c r="H25" s="424"/>
      <c r="I25" s="424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[3]Frontier!$EV$47</f>
        <v>0</v>
      </c>
      <c r="C28" s="146">
        <f>'[3]Great Lakes'!$EV$47</f>
        <v>0</v>
      </c>
      <c r="D28" s="146">
        <f>'[3]Air Choice One'!$EV$47</f>
        <v>0</v>
      </c>
      <c r="E28" s="146">
        <f>'[3]Boutique Air'!$EV$47</f>
        <v>0</v>
      </c>
      <c r="F28" s="146">
        <f>[3]Icelandair!$EV$47</f>
        <v>71517</v>
      </c>
      <c r="G28" s="118">
        <f>[3]Southwest!$EV$47</f>
        <v>196789</v>
      </c>
      <c r="H28" s="118">
        <f>'[3]Sun Country'!$EV$47</f>
        <v>219059</v>
      </c>
      <c r="I28" s="118">
        <f>[3]Alaska!$EV$47</f>
        <v>13149</v>
      </c>
      <c r="J28" s="147">
        <f>SUM(B28:I28)</f>
        <v>500514</v>
      </c>
    </row>
    <row r="29" spans="1:257" x14ac:dyDescent="0.2">
      <c r="A29" s="62" t="s">
        <v>41</v>
      </c>
      <c r="B29" s="146">
        <f>[3]Frontier!$EV$48</f>
        <v>0</v>
      </c>
      <c r="C29" s="146">
        <f>'[3]Great Lakes'!$EV$48</f>
        <v>0</v>
      </c>
      <c r="D29" s="146">
        <f>'[3]Air Choice One'!$EV$48</f>
        <v>0</v>
      </c>
      <c r="E29" s="146">
        <f>'[3]Boutique Air'!$EV$48</f>
        <v>0</v>
      </c>
      <c r="F29" s="146">
        <f>[3]Icelandair!$EV$48</f>
        <v>0</v>
      </c>
      <c r="G29" s="118">
        <f>[3]Southwest!$EV$48</f>
        <v>0</v>
      </c>
      <c r="H29" s="118">
        <f>'[3]Sun Country'!$EV$48</f>
        <v>332233</v>
      </c>
      <c r="I29" s="118">
        <f>[3]Alaska!$EV$48</f>
        <v>0</v>
      </c>
      <c r="J29" s="147">
        <f>SUM(B29:I29)</f>
        <v>332233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71517</v>
      </c>
      <c r="G30" s="162">
        <f t="shared" si="10"/>
        <v>196789</v>
      </c>
      <c r="H30" s="162">
        <f t="shared" si="10"/>
        <v>551292</v>
      </c>
      <c r="I30" s="162">
        <f t="shared" si="10"/>
        <v>13149</v>
      </c>
      <c r="J30" s="165">
        <f>SUM(B30:I30)</f>
        <v>832747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[3]Frontier!$EV$52</f>
        <v>0</v>
      </c>
      <c r="C33" s="146">
        <f>'[3]Great Lakes'!$EV$52</f>
        <v>0</v>
      </c>
      <c r="D33" s="146">
        <f>'[3]Air Choice One'!$EV$52</f>
        <v>0</v>
      </c>
      <c r="E33" s="146">
        <f>'[3]Boutique Air'!$EV$52</f>
        <v>0</v>
      </c>
      <c r="F33" s="146">
        <f>[3]Icelandair!$EV$52</f>
        <v>0</v>
      </c>
      <c r="G33" s="118">
        <f>[3]Southwest!$EV$52</f>
        <v>107866</v>
      </c>
      <c r="H33" s="118">
        <f>'[3]Sun Country'!$EV$52</f>
        <v>181983</v>
      </c>
      <c r="I33" s="118">
        <f>[3]Alaska!$EV$52</f>
        <v>7938</v>
      </c>
      <c r="J33" s="147">
        <f>SUM(B33:I33)</f>
        <v>297787</v>
      </c>
    </row>
    <row r="34" spans="1:10" x14ac:dyDescent="0.2">
      <c r="A34" s="62" t="s">
        <v>41</v>
      </c>
      <c r="B34" s="146">
        <f>[3]Frontier!$EV$53</f>
        <v>0</v>
      </c>
      <c r="C34" s="146">
        <f>'[3]Great Lakes'!$EV$53</f>
        <v>0</v>
      </c>
      <c r="D34" s="146">
        <f>'[3]Air Choice One'!$EV$53</f>
        <v>0</v>
      </c>
      <c r="E34" s="146">
        <f>'[3]Boutique Air'!$EV$53</f>
        <v>0</v>
      </c>
      <c r="F34" s="146">
        <f>[3]Icelandair!$EV$53</f>
        <v>0</v>
      </c>
      <c r="G34" s="118">
        <f>[3]Southwest!$EV$53</f>
        <v>0</v>
      </c>
      <c r="H34" s="118">
        <f>'[3]Sun Country'!$EV$53</f>
        <v>572288</v>
      </c>
      <c r="I34" s="118">
        <f>[3]Alaska!$EV$53</f>
        <v>0</v>
      </c>
      <c r="J34" s="163">
        <f>SUM(B34:I34)</f>
        <v>572288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107866</v>
      </c>
      <c r="H35" s="164">
        <f t="shared" si="12"/>
        <v>754271</v>
      </c>
      <c r="I35" s="164">
        <f t="shared" si="12"/>
        <v>7938</v>
      </c>
      <c r="J35" s="165">
        <f>SUM(B35:I35)</f>
        <v>870075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[3]Frontier!$EV$57</f>
        <v>0</v>
      </c>
      <c r="C38" s="154">
        <f>'[3]Great Lakes'!$EV$57</f>
        <v>0</v>
      </c>
      <c r="D38" s="154">
        <f>'[3]Air Choice One'!$EV$57</f>
        <v>0</v>
      </c>
      <c r="E38" s="154">
        <f>'[3]Boutique Air'!$EV$57</f>
        <v>0</v>
      </c>
      <c r="F38" s="154">
        <f>[3]Icelandair!$EV$57</f>
        <v>0</v>
      </c>
      <c r="G38" s="154">
        <f>[3]Southwest!$EV$57</f>
        <v>0</v>
      </c>
      <c r="H38" s="154">
        <f>'[3]Sun Country'!$EV$57</f>
        <v>0</v>
      </c>
      <c r="I38" s="154">
        <f>[3]Alaska!$EV$57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[3]Frontier!$EV$58</f>
        <v>0</v>
      </c>
      <c r="C39" s="157">
        <f>'[3]Great Lakes'!$EV$58</f>
        <v>0</v>
      </c>
      <c r="D39" s="157">
        <f>'[3]Air Choice One'!$EV$58</f>
        <v>0</v>
      </c>
      <c r="E39" s="157">
        <f>'[3]Boutique Air'!$EV$58</f>
        <v>0</v>
      </c>
      <c r="F39" s="157">
        <f>[3]Icelandair!$EV$58</f>
        <v>0</v>
      </c>
      <c r="G39" s="157">
        <f>[3]Southwest!$EV$58</f>
        <v>0</v>
      </c>
      <c r="H39" s="157">
        <f>'[3]Sun Country'!$EV$58</f>
        <v>0</v>
      </c>
      <c r="I39" s="157">
        <f>[3]Alaska!$EV$58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71517</v>
      </c>
      <c r="G43" s="154">
        <f t="shared" si="16"/>
        <v>304655</v>
      </c>
      <c r="H43" s="154">
        <f t="shared" si="16"/>
        <v>401042</v>
      </c>
      <c r="I43" s="154">
        <f t="shared" si="16"/>
        <v>21087</v>
      </c>
      <c r="J43" s="147">
        <f>SUM(B43:I43)</f>
        <v>798301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904521</v>
      </c>
      <c r="I44" s="157">
        <f t="shared" si="17"/>
        <v>0</v>
      </c>
      <c r="J44" s="147">
        <f>SUM(B44:I44)</f>
        <v>904521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71517</v>
      </c>
      <c r="G45" s="167">
        <f t="shared" si="18"/>
        <v>304655</v>
      </c>
      <c r="H45" s="167">
        <f t="shared" si="18"/>
        <v>1305563</v>
      </c>
      <c r="I45" s="167">
        <f t="shared" si="18"/>
        <v>21087</v>
      </c>
      <c r="J45" s="168">
        <f>SUM(B45:I45)</f>
        <v>1702822</v>
      </c>
    </row>
    <row r="48" spans="1:10" x14ac:dyDescent="0.2">
      <c r="A48" s="385" t="s">
        <v>128</v>
      </c>
      <c r="B48" s="398"/>
      <c r="C48" s="398"/>
      <c r="D48" s="398"/>
      <c r="E48" s="398"/>
      <c r="G48" s="326">
        <f>[3]Southwest!$EV$70+[3]Southwest!$EV$73</f>
        <v>82480</v>
      </c>
      <c r="H48" s="326">
        <f>'[3]Sun Country'!$EV$70+'[3]Sun Country'!$EV$73</f>
        <v>74987</v>
      </c>
      <c r="I48" s="398"/>
      <c r="J48" s="314">
        <f>SUM(B48:I48)</f>
        <v>157467</v>
      </c>
    </row>
    <row r="49" spans="1:10" x14ac:dyDescent="0.2">
      <c r="A49" s="400" t="s">
        <v>129</v>
      </c>
      <c r="B49" s="398"/>
      <c r="C49" s="398"/>
      <c r="D49" s="398"/>
      <c r="E49" s="398"/>
      <c r="G49" s="326">
        <f>[3]Southwest!$EV$71+[3]Southwest!$EV$74</f>
        <v>687</v>
      </c>
      <c r="H49" s="326">
        <f>'[3]Sun Country'!$EV$71+'[3]Sun Country'!$EV$74</f>
        <v>11454</v>
      </c>
      <c r="I49" s="398"/>
      <c r="J49" s="314">
        <f>SUM(B49:I49)</f>
        <v>12141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November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showWhiteSpace="0" zoomScaleNormal="100" workbookViewId="0">
      <selection activeCell="G6" sqref="G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42675</v>
      </c>
      <c r="B2" s="453" t="s">
        <v>169</v>
      </c>
      <c r="C2" s="453" t="s">
        <v>172</v>
      </c>
      <c r="D2" s="453" t="s">
        <v>200</v>
      </c>
      <c r="E2" s="453" t="s">
        <v>199</v>
      </c>
      <c r="F2" s="453" t="s">
        <v>201</v>
      </c>
      <c r="G2" s="453" t="s">
        <v>205</v>
      </c>
      <c r="H2" s="453" t="s">
        <v>212</v>
      </c>
      <c r="I2" s="453" t="s">
        <v>214</v>
      </c>
      <c r="J2" s="453" t="s">
        <v>204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[3]Pinnacle!$EV$22+[3]Pinnacle!$EV$32</f>
        <v>86716</v>
      </c>
      <c r="C5" s="132">
        <f>[3]MESA_UA!$EV$22</f>
        <v>11269</v>
      </c>
      <c r="D5" s="130">
        <f>'[3]Sky West'!$EV$22+'[3]Sky West'!$EV$32</f>
        <v>115958</v>
      </c>
      <c r="E5" s="130">
        <f>'[3]Sky West_UA'!$EV$22</f>
        <v>9467</v>
      </c>
      <c r="F5" s="130">
        <f>'[3]Sky West_AS'!$EV$22</f>
        <v>2061</v>
      </c>
      <c r="G5" s="130">
        <f>[3]Republic!$EV$22</f>
        <v>7623</v>
      </c>
      <c r="H5" s="130">
        <f>[3]Republic_UA!$EV$22</f>
        <v>5711</v>
      </c>
      <c r="I5" s="130">
        <f>'[3]Air Georgian'!$EV$32</f>
        <v>3349</v>
      </c>
      <c r="J5" s="130">
        <f>'[3]American Eagle'!$EV$22</f>
        <v>451</v>
      </c>
      <c r="K5" s="130">
        <f>'Other Regional'!L5</f>
        <v>84045</v>
      </c>
      <c r="L5" s="110">
        <f>SUM(B5:K5)</f>
        <v>326650</v>
      </c>
    </row>
    <row r="6" spans="1:12" s="10" customFormat="1" x14ac:dyDescent="0.2">
      <c r="A6" s="62" t="s">
        <v>34</v>
      </c>
      <c r="B6" s="131">
        <f>[3]Pinnacle!$EV$23+[3]Pinnacle!$EV$33</f>
        <v>86054</v>
      </c>
      <c r="C6" s="132">
        <f>[3]MESA_UA!$EV$23</f>
        <v>11380</v>
      </c>
      <c r="D6" s="130">
        <f>'[3]Sky West'!$EV$23+'[3]Sky West'!$EV$33</f>
        <v>115945</v>
      </c>
      <c r="E6" s="130">
        <f>'[3]Sky West_UA'!$EV$23</f>
        <v>9690</v>
      </c>
      <c r="F6" s="130">
        <f>'[3]Sky West_AS'!$EV$23</f>
        <v>2063</v>
      </c>
      <c r="G6" s="130">
        <f>[3]Republic!$EV$23</f>
        <v>7341</v>
      </c>
      <c r="H6" s="130">
        <f>[3]Republic_UA!$EV$23</f>
        <v>5103</v>
      </c>
      <c r="I6" s="130">
        <f>'[3]Air Georgian'!$EV$33</f>
        <v>2920</v>
      </c>
      <c r="J6" s="130">
        <f>'[3]American Eagle'!$EV$23</f>
        <v>463</v>
      </c>
      <c r="K6" s="130">
        <f>'Other Regional'!L6</f>
        <v>86039</v>
      </c>
      <c r="L6" s="115">
        <f>SUM(B6:K6)</f>
        <v>326998</v>
      </c>
    </row>
    <row r="7" spans="1:12" ht="15" thickBot="1" x14ac:dyDescent="0.25">
      <c r="A7" s="73" t="s">
        <v>7</v>
      </c>
      <c r="B7" s="133">
        <f>SUM(B5:B6)</f>
        <v>172770</v>
      </c>
      <c r="C7" s="133">
        <f t="shared" ref="C7:K7" si="0">SUM(C5:C6)</f>
        <v>22649</v>
      </c>
      <c r="D7" s="133">
        <f t="shared" si="0"/>
        <v>231903</v>
      </c>
      <c r="E7" s="133">
        <f t="shared" si="0"/>
        <v>19157</v>
      </c>
      <c r="F7" s="133">
        <f t="shared" ref="F7" si="1">SUM(F5:F6)</f>
        <v>4124</v>
      </c>
      <c r="G7" s="133">
        <f t="shared" si="0"/>
        <v>14964</v>
      </c>
      <c r="H7" s="133">
        <f t="shared" ref="H7:I7" si="2">SUM(H5:H6)</f>
        <v>10814</v>
      </c>
      <c r="I7" s="133">
        <f t="shared" si="2"/>
        <v>6269</v>
      </c>
      <c r="J7" s="133">
        <f t="shared" si="0"/>
        <v>914</v>
      </c>
      <c r="K7" s="133">
        <f t="shared" si="0"/>
        <v>170084</v>
      </c>
      <c r="L7" s="134">
        <f>SUM(B7:K7)</f>
        <v>653648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[3]Pinnacle!$EV$27+[3]Pinnacle!$EV$37</f>
        <v>2744</v>
      </c>
      <c r="C10" s="132">
        <f>[3]MESA_UA!$EV$27</f>
        <v>445</v>
      </c>
      <c r="D10" s="130">
        <f>'[3]Sky West'!$EV$27+'[3]Sky West'!$EV$37</f>
        <v>4036</v>
      </c>
      <c r="E10" s="130">
        <f>'[3]Sky West_UA'!$EV$27</f>
        <v>162</v>
      </c>
      <c r="F10" s="130">
        <f>'[3]Sky West_AS'!$EV$27</f>
        <v>68</v>
      </c>
      <c r="G10" s="130">
        <f>[3]Republic!$EV$27</f>
        <v>342</v>
      </c>
      <c r="H10" s="130">
        <f>[3]Republic_UA!$EV$27</f>
        <v>235</v>
      </c>
      <c r="I10" s="130">
        <f>'[3]Air Georgian'!$EV$37</f>
        <v>0</v>
      </c>
      <c r="J10" s="130">
        <f>'[3]American Eagle'!$EV$27</f>
        <v>49</v>
      </c>
      <c r="K10" s="130">
        <f>'Other Regional'!L10</f>
        <v>2788</v>
      </c>
      <c r="L10" s="110">
        <f>SUM(B10:K10)</f>
        <v>10869</v>
      </c>
    </row>
    <row r="11" spans="1:12" x14ac:dyDescent="0.2">
      <c r="A11" s="62" t="s">
        <v>36</v>
      </c>
      <c r="B11" s="131">
        <f>[3]Pinnacle!$EV$28+[3]Pinnacle!$EV$38</f>
        <v>2832</v>
      </c>
      <c r="C11" s="132">
        <f>[3]MESA_UA!$EV$28</f>
        <v>450</v>
      </c>
      <c r="D11" s="130">
        <f>'[3]Sky West'!$EV$28+'[3]Sky West'!$EV$38</f>
        <v>4203</v>
      </c>
      <c r="E11" s="130">
        <f>'[3]Sky West_UA'!$EV$28</f>
        <v>165</v>
      </c>
      <c r="F11" s="130">
        <f>'[3]Sky West_AS'!$EV$28</f>
        <v>73</v>
      </c>
      <c r="G11" s="130">
        <f>[3]Republic!$EV$28</f>
        <v>390</v>
      </c>
      <c r="H11" s="130">
        <f>[3]Republic_UA!$EV$28</f>
        <v>251</v>
      </c>
      <c r="I11" s="130">
        <f>'[3]Air Georgian'!$EV$38</f>
        <v>0</v>
      </c>
      <c r="J11" s="130">
        <f>'[3]American Eagle'!$EV$28</f>
        <v>52</v>
      </c>
      <c r="K11" s="130">
        <f>'Other Regional'!L11</f>
        <v>2612</v>
      </c>
      <c r="L11" s="115">
        <f>SUM(B11:K11)</f>
        <v>11028</v>
      </c>
    </row>
    <row r="12" spans="1:12" ht="15" thickBot="1" x14ac:dyDescent="0.25">
      <c r="A12" s="74" t="s">
        <v>37</v>
      </c>
      <c r="B12" s="136">
        <f t="shared" ref="B12:K12" si="3">SUM(B10:B11)</f>
        <v>5576</v>
      </c>
      <c r="C12" s="136">
        <f t="shared" si="3"/>
        <v>895</v>
      </c>
      <c r="D12" s="136">
        <f t="shared" si="3"/>
        <v>8239</v>
      </c>
      <c r="E12" s="136">
        <f t="shared" si="3"/>
        <v>327</v>
      </c>
      <c r="F12" s="136">
        <f t="shared" ref="F12" si="4">SUM(F10:F11)</f>
        <v>141</v>
      </c>
      <c r="G12" s="136">
        <f t="shared" si="3"/>
        <v>732</v>
      </c>
      <c r="H12" s="136">
        <f t="shared" ref="H12:I12" si="5">SUM(H10:H11)</f>
        <v>486</v>
      </c>
      <c r="I12" s="136">
        <f t="shared" si="5"/>
        <v>0</v>
      </c>
      <c r="J12" s="136">
        <f t="shared" si="3"/>
        <v>101</v>
      </c>
      <c r="K12" s="136">
        <f t="shared" si="3"/>
        <v>5400</v>
      </c>
      <c r="L12" s="137">
        <f>SUM(B12:K12)</f>
        <v>21897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[3]Pinnacle!$EV$4+[3]Pinnacle!$EV$15</f>
        <v>1683</v>
      </c>
      <c r="C15" s="108">
        <f>[3]MESA_UA!$EV$4</f>
        <v>196</v>
      </c>
      <c r="D15" s="106">
        <f>'[3]Sky West'!$EV$4+'[3]Sky West'!$EV$15</f>
        <v>2471</v>
      </c>
      <c r="E15" s="106">
        <f>'[3]Sky West_UA'!$EV$4</f>
        <v>140</v>
      </c>
      <c r="F15" s="106">
        <f>'[3]Sky West_AS'!$EV$4</f>
        <v>30</v>
      </c>
      <c r="G15" s="109">
        <f>[3]Republic!$EV$4</f>
        <v>173</v>
      </c>
      <c r="H15" s="109">
        <f>[3]Republic_UA!$EV$4</f>
        <v>95</v>
      </c>
      <c r="I15" s="109">
        <f>'[3]Air Georgian'!$EV$15</f>
        <v>85</v>
      </c>
      <c r="J15" s="109">
        <f>'[3]American Eagle'!$EV$4</f>
        <v>9</v>
      </c>
      <c r="K15" s="107">
        <f>'Other Regional'!L15</f>
        <v>1442</v>
      </c>
      <c r="L15" s="110">
        <f t="shared" si="6"/>
        <v>6324</v>
      </c>
    </row>
    <row r="16" spans="1:12" x14ac:dyDescent="0.2">
      <c r="A16" s="62" t="s">
        <v>58</v>
      </c>
      <c r="B16" s="14">
        <f>[3]Pinnacle!$EV$5+[3]Pinnacle!$EV$16</f>
        <v>1684</v>
      </c>
      <c r="C16" s="113">
        <f>[3]MESA_UA!$EV$5</f>
        <v>196</v>
      </c>
      <c r="D16" s="111">
        <f>'[3]Sky West'!$EV$5+'[3]Sky West'!$EV$16</f>
        <v>2468</v>
      </c>
      <c r="E16" s="111">
        <f>'[3]Sky West_UA'!$EV$5</f>
        <v>140</v>
      </c>
      <c r="F16" s="111">
        <f>'[3]Sky West_AS'!$EV$5</f>
        <v>30</v>
      </c>
      <c r="G16" s="114">
        <f>[3]Republic!$EV$5</f>
        <v>172</v>
      </c>
      <c r="H16" s="114">
        <f>[3]Republic_UA!$EV$5</f>
        <v>95</v>
      </c>
      <c r="I16" s="114">
        <f>'[3]Air Georgian'!$EV$16</f>
        <v>85</v>
      </c>
      <c r="J16" s="114">
        <f>'[3]American Eagle'!$EV$5</f>
        <v>9</v>
      </c>
      <c r="K16" s="112">
        <f>'Other Regional'!L16</f>
        <v>1440</v>
      </c>
      <c r="L16" s="115">
        <f t="shared" si="6"/>
        <v>6319</v>
      </c>
    </row>
    <row r="17" spans="1:12" x14ac:dyDescent="0.2">
      <c r="A17" s="71" t="s">
        <v>59</v>
      </c>
      <c r="B17" s="116">
        <f t="shared" ref="B17:J17" si="7">SUM(B15:B16)</f>
        <v>3367</v>
      </c>
      <c r="C17" s="116">
        <f t="shared" si="7"/>
        <v>392</v>
      </c>
      <c r="D17" s="116">
        <f t="shared" si="7"/>
        <v>4939</v>
      </c>
      <c r="E17" s="116">
        <f t="shared" si="7"/>
        <v>280</v>
      </c>
      <c r="F17" s="116">
        <f t="shared" ref="F17" si="8">SUM(F15:F16)</f>
        <v>60</v>
      </c>
      <c r="G17" s="116">
        <f t="shared" si="7"/>
        <v>345</v>
      </c>
      <c r="H17" s="116">
        <f t="shared" ref="H17:I17" si="9">SUM(H15:H16)</f>
        <v>190</v>
      </c>
      <c r="I17" s="116">
        <f t="shared" si="9"/>
        <v>170</v>
      </c>
      <c r="J17" s="116">
        <f t="shared" si="7"/>
        <v>18</v>
      </c>
      <c r="K17" s="116">
        <f>SUM(K15:K16)</f>
        <v>2882</v>
      </c>
      <c r="L17" s="117">
        <f t="shared" si="6"/>
        <v>12643</v>
      </c>
    </row>
    <row r="18" spans="1:12" x14ac:dyDescent="0.2">
      <c r="A18" s="62" t="s">
        <v>60</v>
      </c>
      <c r="B18" s="118">
        <f>[3]Pinnacle!$EV$8</f>
        <v>0</v>
      </c>
      <c r="C18" s="119">
        <f>[3]MESA_UA!$EV$8</f>
        <v>0</v>
      </c>
      <c r="D18" s="118">
        <f>'[3]Sky West'!$EV$8</f>
        <v>0</v>
      </c>
      <c r="E18" s="118">
        <f>'[3]Sky West_UA'!$EV$8</f>
        <v>0</v>
      </c>
      <c r="F18" s="118">
        <f>'[3]Sky West_AS'!$EV$8</f>
        <v>0</v>
      </c>
      <c r="G18" s="118">
        <f>[3]Republic!$EV$8</f>
        <v>0</v>
      </c>
      <c r="H18" s="118">
        <f>[3]Republic_UA!$EV$8</f>
        <v>0</v>
      </c>
      <c r="I18" s="118">
        <f>'[3]Air Georgian'!$EV$8</f>
        <v>0</v>
      </c>
      <c r="J18" s="118">
        <f>'[3]American Eagle'!$EV$8</f>
        <v>0</v>
      </c>
      <c r="K18" s="118">
        <f>'Other Regional'!L18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[3]Pinnacle!$EV$9</f>
        <v>1</v>
      </c>
      <c r="C19" s="121">
        <f>[3]MESA_UA!$EV$9</f>
        <v>0</v>
      </c>
      <c r="D19" s="120">
        <f>'[3]Sky West'!$EV$9</f>
        <v>5</v>
      </c>
      <c r="E19" s="120">
        <f>'[3]Sky West_UA'!$EV$9</f>
        <v>0</v>
      </c>
      <c r="F19" s="120">
        <f>'[3]Sky West_AS'!$EV$9</f>
        <v>0</v>
      </c>
      <c r="G19" s="120">
        <f>[3]Republic!$EV$9</f>
        <v>0</v>
      </c>
      <c r="H19" s="120">
        <f>[3]Republic_UA!$EV$9</f>
        <v>0</v>
      </c>
      <c r="I19" s="120">
        <f>'[3]Air Georgian'!$EV$9</f>
        <v>0</v>
      </c>
      <c r="J19" s="120">
        <f>'[3]American Eagle'!$EV$9</f>
        <v>0</v>
      </c>
      <c r="K19" s="120">
        <f>'Other Regional'!L19</f>
        <v>2</v>
      </c>
      <c r="L19" s="115">
        <f t="shared" si="6"/>
        <v>8</v>
      </c>
    </row>
    <row r="20" spans="1:12" x14ac:dyDescent="0.2">
      <c r="A20" s="71" t="s">
        <v>62</v>
      </c>
      <c r="B20" s="116">
        <f t="shared" ref="B20:K20" si="10">SUM(B18:B19)</f>
        <v>1</v>
      </c>
      <c r="C20" s="116">
        <f t="shared" si="10"/>
        <v>0</v>
      </c>
      <c r="D20" s="116">
        <f t="shared" si="10"/>
        <v>5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2</v>
      </c>
      <c r="L20" s="117">
        <f t="shared" si="6"/>
        <v>8</v>
      </c>
    </row>
    <row r="21" spans="1:12" ht="15.75" thickBot="1" x14ac:dyDescent="0.3">
      <c r="A21" s="72" t="s">
        <v>31</v>
      </c>
      <c r="B21" s="122">
        <f t="shared" ref="B21:J21" si="13">SUM(B20,B17)</f>
        <v>3368</v>
      </c>
      <c r="C21" s="122">
        <f t="shared" si="13"/>
        <v>392</v>
      </c>
      <c r="D21" s="122">
        <f t="shared" si="13"/>
        <v>4944</v>
      </c>
      <c r="E21" s="122">
        <f t="shared" si="13"/>
        <v>280</v>
      </c>
      <c r="F21" s="122">
        <f t="shared" ref="F21" si="14">SUM(F20,F17)</f>
        <v>60</v>
      </c>
      <c r="G21" s="122">
        <f t="shared" si="13"/>
        <v>345</v>
      </c>
      <c r="H21" s="122">
        <f t="shared" ref="H21:I21" si="15">SUM(H20,H17)</f>
        <v>190</v>
      </c>
      <c r="I21" s="122">
        <f t="shared" si="15"/>
        <v>170</v>
      </c>
      <c r="J21" s="122">
        <f t="shared" si="13"/>
        <v>18</v>
      </c>
      <c r="K21" s="122">
        <f>SUM(K20,K17)</f>
        <v>2884</v>
      </c>
      <c r="L21" s="123">
        <f t="shared" si="6"/>
        <v>12651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[3]Pinnacle!$EV$47</f>
        <v>0</v>
      </c>
      <c r="C25" s="132">
        <f>[3]MESA_UA!$EV$47</f>
        <v>0</v>
      </c>
      <c r="D25" s="130">
        <f>'[3]Sky West'!$EV$47</f>
        <v>0</v>
      </c>
      <c r="E25" s="130">
        <f>'[3]Sky West_UA'!$EV$47</f>
        <v>0</v>
      </c>
      <c r="F25" s="130">
        <f>'[3]Sky West_AS'!$EV$47</f>
        <v>722</v>
      </c>
      <c r="G25" s="130">
        <f>[3]Republic!$EV$47</f>
        <v>324</v>
      </c>
      <c r="H25" s="130">
        <f>[3]Republic_UA!$EV$47</f>
        <v>0</v>
      </c>
      <c r="I25" s="130">
        <f>'[3]Air Georgian'!$EV$47</f>
        <v>0</v>
      </c>
      <c r="J25" s="130">
        <f>'[3]American Eagle'!$EV$47</f>
        <v>0</v>
      </c>
      <c r="K25" s="130">
        <f>'Other Regional'!L25</f>
        <v>265</v>
      </c>
      <c r="L25" s="110">
        <f>SUM(B25:K25)</f>
        <v>1311</v>
      </c>
    </row>
    <row r="26" spans="1:12" x14ac:dyDescent="0.2">
      <c r="A26" s="75" t="s">
        <v>41</v>
      </c>
      <c r="B26" s="130">
        <f>[3]Pinnacle!$EV$48</f>
        <v>0</v>
      </c>
      <c r="C26" s="132">
        <f>[3]MESA_UA!$EV$48</f>
        <v>0</v>
      </c>
      <c r="D26" s="130">
        <f>'[3]Sky West'!$EV$48</f>
        <v>0</v>
      </c>
      <c r="E26" s="130">
        <f>'[3]Sky West_UA'!$EV$48</f>
        <v>0</v>
      </c>
      <c r="F26" s="130">
        <f>'[3]Sky West_AS'!$EV$48</f>
        <v>0</v>
      </c>
      <c r="G26" s="130">
        <f>[3]Republic!$EV$48</f>
        <v>0</v>
      </c>
      <c r="H26" s="130">
        <f>[3]Republic_UA!$EV$48</f>
        <v>0</v>
      </c>
      <c r="I26" s="130">
        <f>'[3]Air Georgian'!$EV$48</f>
        <v>0</v>
      </c>
      <c r="J26" s="130">
        <f>'[3]American Eagle'!$EV$48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722</v>
      </c>
      <c r="G27" s="133">
        <f t="shared" si="16"/>
        <v>324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265</v>
      </c>
      <c r="L27" s="134">
        <f>SUM(B27:K27)</f>
        <v>1311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[3]Pinnacle!$EV$52</f>
        <v>0</v>
      </c>
      <c r="C30" s="132">
        <f>[3]MESA_UA!$EV$52</f>
        <v>0</v>
      </c>
      <c r="D30" s="130">
        <f>'[3]Sky West'!$EV$52</f>
        <v>0</v>
      </c>
      <c r="E30" s="130">
        <f>'[3]Sky West_UA'!$EV$52</f>
        <v>0</v>
      </c>
      <c r="F30" s="130">
        <f>'[3]Sky West_AS'!$EV$52</f>
        <v>0</v>
      </c>
      <c r="G30" s="130">
        <f>[3]Republic!$EV$52</f>
        <v>287</v>
      </c>
      <c r="H30" s="130">
        <f>[3]Republic_UA!$EV$52</f>
        <v>0</v>
      </c>
      <c r="I30" s="130">
        <f>'[3]Air Georgian'!$EV$52</f>
        <v>0</v>
      </c>
      <c r="J30" s="130">
        <f>'[3]American Eagle'!$EV$52</f>
        <v>0</v>
      </c>
      <c r="K30" s="130">
        <f>'Other Regional'!L30</f>
        <v>0</v>
      </c>
      <c r="L30" s="110">
        <f t="shared" ref="L30:L37" si="19">SUM(B30:K30)</f>
        <v>287</v>
      </c>
    </row>
    <row r="31" spans="1:12" x14ac:dyDescent="0.2">
      <c r="A31" s="75" t="s">
        <v>64</v>
      </c>
      <c r="B31" s="130">
        <f>[3]Pinnacle!$EV$53</f>
        <v>0</v>
      </c>
      <c r="C31" s="132">
        <f>[3]MESA_UA!$EV$53</f>
        <v>0</v>
      </c>
      <c r="D31" s="130">
        <f>'[3]Sky West'!$EV$53</f>
        <v>0</v>
      </c>
      <c r="E31" s="130">
        <f>'[3]Sky West_UA'!$EV$53</f>
        <v>0</v>
      </c>
      <c r="F31" s="130">
        <f>'[3]Sky West_AS'!$EV$53</f>
        <v>0</v>
      </c>
      <c r="G31" s="130">
        <f>[3]Republic!$EV$53</f>
        <v>0</v>
      </c>
      <c r="H31" s="130">
        <f>[3]Republic_UA!$EV$53</f>
        <v>0</v>
      </c>
      <c r="I31" s="130">
        <f>'[3]Air Georgian'!$EV$53</f>
        <v>0</v>
      </c>
      <c r="J31" s="130">
        <f>'[3]American Eagle'!$EV$53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287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287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[3]Pinnacle!$EV$57</f>
        <v>0</v>
      </c>
      <c r="C35" s="132">
        <f>[3]MESA_UA!$EV$57</f>
        <v>0</v>
      </c>
      <c r="D35" s="130">
        <f>'[3]Sky West'!$EV$57</f>
        <v>0</v>
      </c>
      <c r="E35" s="130">
        <f>'[3]Sky West_UA'!$EV$57</f>
        <v>0</v>
      </c>
      <c r="F35" s="130">
        <f>'[3]Sky West_AS'!$EV$57</f>
        <v>0</v>
      </c>
      <c r="G35" s="130">
        <f>[3]Republic!$EV$57</f>
        <v>0</v>
      </c>
      <c r="H35" s="130">
        <f>[3]Republic!$EV$57</f>
        <v>0</v>
      </c>
      <c r="I35" s="130">
        <f>[3]Republic!$EV$57</f>
        <v>0</v>
      </c>
      <c r="J35" s="130">
        <f>'[3]American Eagle'!$EV$57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[3]Pinnacle!$EV$58</f>
        <v>0</v>
      </c>
      <c r="C36" s="132">
        <f>[3]MESA_UA!$EV$58</f>
        <v>0</v>
      </c>
      <c r="D36" s="130">
        <f>'[3]Sky West'!$EV$58</f>
        <v>0</v>
      </c>
      <c r="E36" s="130">
        <f>'[3]Sky West_UA'!$EV$58</f>
        <v>0</v>
      </c>
      <c r="F36" s="130">
        <f>'[3]Sky West_AS'!$EV$58</f>
        <v>0</v>
      </c>
      <c r="G36" s="130">
        <f>[3]Republic!$EV$58</f>
        <v>0</v>
      </c>
      <c r="H36" s="130">
        <f>[3]Republic!$EV$58</f>
        <v>0</v>
      </c>
      <c r="I36" s="130">
        <f>[3]Republic!$EV$58</f>
        <v>0</v>
      </c>
      <c r="J36" s="130">
        <f>'[3]American Eagle'!$EV$58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722</v>
      </c>
      <c r="G40" s="130">
        <f t="shared" si="26"/>
        <v>611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265</v>
      </c>
      <c r="L40" s="110">
        <f>SUM(B40:K40)</f>
        <v>1598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722</v>
      </c>
      <c r="G42" s="136">
        <f t="shared" si="26"/>
        <v>611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265</v>
      </c>
      <c r="L42" s="137">
        <f>SUM(B42:K42)</f>
        <v>1598</v>
      </c>
    </row>
    <row r="44" spans="1:12" x14ac:dyDescent="0.2">
      <c r="A44" s="385" t="s">
        <v>128</v>
      </c>
      <c r="B44" s="325">
        <f>[3]Pinnacle!$EV$70+[3]Pinnacle!$EV$73</f>
        <v>26676</v>
      </c>
      <c r="D44" s="326">
        <f>'[3]Sky West'!$EV$70+'[3]Sky West'!$EV$73</f>
        <v>37818</v>
      </c>
      <c r="E44" s="326">
        <f>'[3]Sky West_UA'!$EV$70+'[3]Sky West_UA'!$EV$73</f>
        <v>0</v>
      </c>
      <c r="F44" s="5"/>
      <c r="K44" s="326">
        <f>+'Other Regional'!L46</f>
        <v>35038</v>
      </c>
      <c r="L44" s="314">
        <f>SUM(B44:K44)</f>
        <v>99532</v>
      </c>
    </row>
    <row r="45" spans="1:12" x14ac:dyDescent="0.2">
      <c r="A45" s="400" t="s">
        <v>129</v>
      </c>
      <c r="B45" s="325">
        <f>[3]Pinnacle!$EV$71+[3]Pinnacle!$EV$74</f>
        <v>59378</v>
      </c>
      <c r="D45" s="326">
        <f>'[3]Sky West'!$EV$71+'[3]Sky West'!$EV$74</f>
        <v>78127</v>
      </c>
      <c r="E45" s="326">
        <f>'[3]Sky West_UA'!$EV$71+'[3]Sky West_UA'!$EV$74</f>
        <v>0</v>
      </c>
      <c r="F45" s="5"/>
      <c r="K45" s="326">
        <f>+'Other Regional'!L47</f>
        <v>48896</v>
      </c>
      <c r="L45" s="314">
        <f>SUM(B45:K45)</f>
        <v>186401</v>
      </c>
    </row>
    <row r="46" spans="1:12" x14ac:dyDescent="0.2">
      <c r="A46" s="316" t="s">
        <v>130</v>
      </c>
      <c r="B46" s="317">
        <f>SUM(B44:B45)</f>
        <v>86054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November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9.5" customHeight="1" x14ac:dyDescent="0.2">
      <c r="A1" s="396"/>
    </row>
    <row r="2" spans="1:12" s="7" customFormat="1" ht="55.5" customHeight="1" x14ac:dyDescent="0.2">
      <c r="A2" s="389">
        <v>42675</v>
      </c>
      <c r="B2" s="453" t="s">
        <v>203</v>
      </c>
      <c r="C2" s="453" t="s">
        <v>202</v>
      </c>
      <c r="D2" s="453" t="s">
        <v>219</v>
      </c>
      <c r="E2" s="453" t="s">
        <v>138</v>
      </c>
      <c r="F2" s="453" t="s">
        <v>208</v>
      </c>
      <c r="G2" s="453" t="s">
        <v>207</v>
      </c>
      <c r="H2" s="453" t="s">
        <v>171</v>
      </c>
      <c r="I2" s="453" t="s">
        <v>183</v>
      </c>
      <c r="J2" s="453" t="s">
        <v>209</v>
      </c>
      <c r="K2" s="453" t="s">
        <v>206</v>
      </c>
      <c r="L2" s="19" t="s">
        <v>24</v>
      </c>
    </row>
    <row r="3" spans="1:12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2"/>
      <c r="L3" s="478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America'!$EV$22</f>
        <v>977</v>
      </c>
      <c r="C5" s="131">
        <f>'[3]Shuttle America_Delta'!$EV$22</f>
        <v>5390</v>
      </c>
      <c r="D5" s="131">
        <f>[3]PSA!$EV$22</f>
        <v>116</v>
      </c>
      <c r="E5" s="21">
        <f>[3]Compass!$EV$22+[3]Compass!$EV$32</f>
        <v>41496</v>
      </c>
      <c r="F5" s="131">
        <f>'[3]Atlantic Southeast'!$EV$22+'[3]Atlantic Southeast'!$EV$32</f>
        <v>27827</v>
      </c>
      <c r="G5" s="131">
        <f>'[3]Continental Express'!$EV$22</f>
        <v>619</v>
      </c>
      <c r="H5" s="130">
        <f>'[3]Go Jet_UA'!$EV$22</f>
        <v>48</v>
      </c>
      <c r="I5" s="21">
        <f>'[3]Go Jet'!$EV$22+'[3]Go Jet'!$EV$32</f>
        <v>7572</v>
      </c>
      <c r="J5" s="132">
        <f>'[3]Air Wisconsin'!$EV$22</f>
        <v>0</v>
      </c>
      <c r="K5" s="130">
        <f>[3]MESA!$EV$22</f>
        <v>0</v>
      </c>
      <c r="L5" s="110">
        <f>SUM(B5:K5)</f>
        <v>84045</v>
      </c>
    </row>
    <row r="6" spans="1:12" s="10" customFormat="1" x14ac:dyDescent="0.2">
      <c r="A6" s="62" t="s">
        <v>34</v>
      </c>
      <c r="B6" s="131">
        <f>'[3]Shuttle America'!$EV$23</f>
        <v>1362</v>
      </c>
      <c r="C6" s="131">
        <f>'[3]Shuttle America_Delta'!$EV$23</f>
        <v>5456</v>
      </c>
      <c r="D6" s="131">
        <f>[3]PSA!$EV$23</f>
        <v>76</v>
      </c>
      <c r="E6" s="14">
        <f>[3]Compass!$EV$23+[3]Compass!$EV$33</f>
        <v>42821</v>
      </c>
      <c r="F6" s="131">
        <f>'[3]Atlantic Southeast'!$EV$23+'[3]Atlantic Southeast'!$EV$33</f>
        <v>27929</v>
      </c>
      <c r="G6" s="131">
        <f>'[3]Continental Express'!$EV$23</f>
        <v>598</v>
      </c>
      <c r="H6" s="130">
        <f>'[3]Go Jet_UA'!$EV$23</f>
        <v>69</v>
      </c>
      <c r="I6" s="14">
        <f>'[3]Go Jet'!$EV$23+'[3]Go Jet'!$EV$33</f>
        <v>7728</v>
      </c>
      <c r="J6" s="132">
        <f>'[3]Air Wisconsin'!$EV$23</f>
        <v>0</v>
      </c>
      <c r="K6" s="130">
        <f>[3]MESA!$EV$23</f>
        <v>0</v>
      </c>
      <c r="L6" s="115">
        <f>SUM(B6:K6)</f>
        <v>86039</v>
      </c>
    </row>
    <row r="7" spans="1:12" ht="15" thickBot="1" x14ac:dyDescent="0.25">
      <c r="A7" s="73" t="s">
        <v>7</v>
      </c>
      <c r="B7" s="133">
        <f t="shared" ref="B7:K7" si="0">SUM(B5:B6)</f>
        <v>2339</v>
      </c>
      <c r="C7" s="133">
        <f t="shared" si="0"/>
        <v>10846</v>
      </c>
      <c r="D7" s="133">
        <f t="shared" si="0"/>
        <v>192</v>
      </c>
      <c r="E7" s="133">
        <f>SUM(E5:E6)</f>
        <v>84317</v>
      </c>
      <c r="F7" s="133">
        <f t="shared" si="0"/>
        <v>55756</v>
      </c>
      <c r="G7" s="133">
        <f t="shared" si="0"/>
        <v>1217</v>
      </c>
      <c r="H7" s="133">
        <f t="shared" si="0"/>
        <v>117</v>
      </c>
      <c r="I7" s="133">
        <f>SUM(I5:I6)</f>
        <v>15300</v>
      </c>
      <c r="J7" s="133">
        <f t="shared" si="0"/>
        <v>0</v>
      </c>
      <c r="K7" s="133">
        <f t="shared" si="0"/>
        <v>0</v>
      </c>
      <c r="L7" s="134">
        <f>SUM(L5:L6)</f>
        <v>170084</v>
      </c>
    </row>
    <row r="8" spans="1:12" ht="13.5" thickTop="1" x14ac:dyDescent="0.2">
      <c r="A8" s="62"/>
      <c r="B8" s="131"/>
      <c r="C8" s="131"/>
      <c r="D8" s="131"/>
      <c r="E8" s="346"/>
      <c r="F8" s="131"/>
      <c r="G8" s="131"/>
      <c r="H8" s="130"/>
      <c r="I8" s="346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33</v>
      </c>
      <c r="B10" s="131">
        <f>'[3]Shuttle America'!$EV$27</f>
        <v>42</v>
      </c>
      <c r="C10" s="131">
        <f>'[3]Shuttle America_Delta'!$EV$27</f>
        <v>199</v>
      </c>
      <c r="D10" s="131">
        <f>[3]PSA!$EV$27</f>
        <v>8</v>
      </c>
      <c r="E10" s="21">
        <f>[3]Compass!$EV$27+[3]Compass!$EV$37</f>
        <v>1428</v>
      </c>
      <c r="F10" s="21">
        <f>'[3]Atlantic Southeast'!$EV$27+'[3]Atlantic Southeast'!$EV$37</f>
        <v>862</v>
      </c>
      <c r="G10" s="131">
        <f>'[3]Continental Express'!$EV$27</f>
        <v>44</v>
      </c>
      <c r="H10" s="130">
        <f>'[3]Go Jet_UA'!$EV$27</f>
        <v>2</v>
      </c>
      <c r="I10" s="21">
        <f>'[3]Go Jet'!$EV$27+'[3]Go Jet'!$EV$37</f>
        <v>203</v>
      </c>
      <c r="J10" s="132">
        <f>'[3]Air Wisconsin'!$EV$27</f>
        <v>0</v>
      </c>
      <c r="K10" s="130">
        <f>[3]MESA!$EV$27</f>
        <v>0</v>
      </c>
      <c r="L10" s="110">
        <f>SUM(B10:K10)</f>
        <v>2788</v>
      </c>
    </row>
    <row r="11" spans="1:12" x14ac:dyDescent="0.2">
      <c r="A11" s="62" t="s">
        <v>36</v>
      </c>
      <c r="B11" s="131">
        <f>'[3]Shuttle America'!$EV$28</f>
        <v>25</v>
      </c>
      <c r="C11" s="131">
        <f>'[3]Shuttle America_Delta'!$EV$28</f>
        <v>183</v>
      </c>
      <c r="D11" s="131">
        <f>[3]PSA!$EV$28</f>
        <v>11</v>
      </c>
      <c r="E11" s="14">
        <f>[3]Compass!$EV$28+[3]Compass!$EV$38</f>
        <v>1310</v>
      </c>
      <c r="F11" s="14">
        <f>'[3]Atlantic Southeast'!$EV$28+'[3]Atlantic Southeast'!$EV$38</f>
        <v>809</v>
      </c>
      <c r="G11" s="131">
        <f>'[3]Continental Express'!$EV$28</f>
        <v>19</v>
      </c>
      <c r="H11" s="130">
        <f>'[3]Go Jet_UA'!$EV$28</f>
        <v>1</v>
      </c>
      <c r="I11" s="14">
        <f>'[3]Go Jet'!$EV$28+'[3]Go Jet'!$EV$38</f>
        <v>254</v>
      </c>
      <c r="J11" s="132">
        <f>'[3]Air Wisconsin'!$EV$28</f>
        <v>0</v>
      </c>
      <c r="K11" s="130">
        <f>[3]MESA!$EV$28</f>
        <v>0</v>
      </c>
      <c r="L11" s="115">
        <f>SUM(B11:K11)</f>
        <v>2612</v>
      </c>
    </row>
    <row r="12" spans="1:12" ht="15" thickBot="1" x14ac:dyDescent="0.25">
      <c r="A12" s="74" t="s">
        <v>37</v>
      </c>
      <c r="B12" s="136">
        <f>SUM(B10:B11)</f>
        <v>67</v>
      </c>
      <c r="C12" s="136">
        <f>SUM(C10:C11)</f>
        <v>382</v>
      </c>
      <c r="D12" s="136">
        <f t="shared" ref="D12:K12" si="1">SUM(D10:D11)</f>
        <v>19</v>
      </c>
      <c r="E12" s="136">
        <f t="shared" si="1"/>
        <v>2738</v>
      </c>
      <c r="F12" s="136">
        <f t="shared" si="1"/>
        <v>1671</v>
      </c>
      <c r="G12" s="136">
        <f t="shared" si="1"/>
        <v>63</v>
      </c>
      <c r="H12" s="136">
        <f t="shared" si="1"/>
        <v>3</v>
      </c>
      <c r="I12" s="136">
        <f t="shared" ref="I12" si="2">SUM(I10:I11)</f>
        <v>457</v>
      </c>
      <c r="J12" s="136">
        <f t="shared" si="1"/>
        <v>0</v>
      </c>
      <c r="K12" s="136">
        <f t="shared" si="1"/>
        <v>0</v>
      </c>
      <c r="L12" s="137">
        <f>SUM(B12:K12)</f>
        <v>5400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America'!$EV$4</f>
        <v>22</v>
      </c>
      <c r="C15" s="106">
        <f>'[3]Shuttle America_Delta'!$EV$4</f>
        <v>85</v>
      </c>
      <c r="D15" s="107">
        <f>[3]PSA!$EV$4</f>
        <v>3</v>
      </c>
      <c r="E15" s="21">
        <f>[3]Compass!$EV$4+[3]Compass!$EV$15</f>
        <v>702</v>
      </c>
      <c r="F15" s="107">
        <f>'[3]Atlantic Southeast'!$EV$4+'[3]Atlantic Southeast'!$EV$15</f>
        <v>490</v>
      </c>
      <c r="G15" s="107">
        <f>'[3]Continental Express'!$EV$4</f>
        <v>14</v>
      </c>
      <c r="H15" s="106">
        <f>'[3]Go Jet_UA'!$EV$4</f>
        <v>1</v>
      </c>
      <c r="I15" s="106">
        <f>'[3]Go Jet'!$EV$4+'[3]Go Jet'!$EV$15</f>
        <v>125</v>
      </c>
      <c r="J15" s="108">
        <f>'[3]Air Wisconsin'!$EV$4</f>
        <v>0</v>
      </c>
      <c r="K15" s="106">
        <f>[3]MESA!$EV$4</f>
        <v>0</v>
      </c>
      <c r="L15" s="110">
        <f t="shared" ref="L15:L21" si="3">SUM(B15:K15)</f>
        <v>1442</v>
      </c>
    </row>
    <row r="16" spans="1:12" x14ac:dyDescent="0.2">
      <c r="A16" s="62" t="s">
        <v>58</v>
      </c>
      <c r="B16" s="111">
        <f>'[3]Shuttle America'!$EV$5</f>
        <v>22</v>
      </c>
      <c r="C16" s="111">
        <f>'[3]Shuttle America_Delta'!$EV$5</f>
        <v>85</v>
      </c>
      <c r="D16" s="112">
        <f>[3]PSA!$EV$5</f>
        <v>3</v>
      </c>
      <c r="E16" s="14">
        <f>[3]Compass!$EV$5+[3]Compass!$EV$16</f>
        <v>700</v>
      </c>
      <c r="F16" s="112">
        <f>'[3]Atlantic Southeast'!$EV$5+'[3]Atlantic Southeast'!$EV$16</f>
        <v>490</v>
      </c>
      <c r="G16" s="112">
        <f>'[3]Continental Express'!$EV$5</f>
        <v>14</v>
      </c>
      <c r="H16" s="111">
        <f>'[3]Go Jet_UA'!$EV$5</f>
        <v>1</v>
      </c>
      <c r="I16" s="111">
        <f>'[3]Go Jet'!$EV$5+'[3]Go Jet'!$EV$16</f>
        <v>125</v>
      </c>
      <c r="J16" s="113">
        <f>'[3]Air Wisconsin'!$EV$5</f>
        <v>0</v>
      </c>
      <c r="K16" s="111">
        <f>[3]MESA!$EV$5</f>
        <v>0</v>
      </c>
      <c r="L16" s="115">
        <f t="shared" si="3"/>
        <v>1440</v>
      </c>
    </row>
    <row r="17" spans="1:12" x14ac:dyDescent="0.2">
      <c r="A17" s="71" t="s">
        <v>59</v>
      </c>
      <c r="B17" s="116">
        <f>SUM(B15:B16)</f>
        <v>44</v>
      </c>
      <c r="C17" s="116">
        <f>SUM(C15:C16)</f>
        <v>170</v>
      </c>
      <c r="D17" s="116">
        <f t="shared" ref="D17:K17" si="4">SUM(D15:D16)</f>
        <v>6</v>
      </c>
      <c r="E17" s="291">
        <f>SUM(E15:E16)</f>
        <v>1402</v>
      </c>
      <c r="F17" s="116">
        <f t="shared" si="4"/>
        <v>980</v>
      </c>
      <c r="G17" s="116">
        <f t="shared" si="4"/>
        <v>28</v>
      </c>
      <c r="H17" s="116">
        <f t="shared" si="4"/>
        <v>2</v>
      </c>
      <c r="I17" s="116">
        <f t="shared" ref="I17" si="5">SUM(I15:I16)</f>
        <v>250</v>
      </c>
      <c r="J17" s="116">
        <f t="shared" si="4"/>
        <v>0</v>
      </c>
      <c r="K17" s="116">
        <f t="shared" si="4"/>
        <v>0</v>
      </c>
      <c r="L17" s="117">
        <f t="shared" si="3"/>
        <v>2882</v>
      </c>
    </row>
    <row r="18" spans="1:12" x14ac:dyDescent="0.2">
      <c r="A18" s="62" t="s">
        <v>60</v>
      </c>
      <c r="B18" s="118">
        <f>'[3]Shuttle America'!$EV$8</f>
        <v>0</v>
      </c>
      <c r="C18" s="118">
        <f>'[3]Shuttle America_Delta'!$EV$8</f>
        <v>0</v>
      </c>
      <c r="D18" s="118">
        <f>[3]PSA!$EV$8</f>
        <v>0</v>
      </c>
      <c r="E18" s="21">
        <f>[3]Compass!$EV$8</f>
        <v>0</v>
      </c>
      <c r="F18" s="109">
        <f>'[3]Atlantic Southeast'!$EV$8</f>
        <v>0</v>
      </c>
      <c r="G18" s="109">
        <f>'[3]Continental Express'!$EV$8</f>
        <v>0</v>
      </c>
      <c r="H18" s="118">
        <f>'[3]Go Jet_UA'!$EV$8</f>
        <v>0</v>
      </c>
      <c r="I18" s="118">
        <f>'[3]Go Jet'!$EV$8</f>
        <v>0</v>
      </c>
      <c r="J18" s="119">
        <f>'[3]Air Wisconsin'!$EV$8</f>
        <v>0</v>
      </c>
      <c r="K18" s="118">
        <f>[3]MESA!$EV$8</f>
        <v>0</v>
      </c>
      <c r="L18" s="110">
        <f t="shared" si="3"/>
        <v>0</v>
      </c>
    </row>
    <row r="19" spans="1:12" x14ac:dyDescent="0.2">
      <c r="A19" s="62" t="s">
        <v>61</v>
      </c>
      <c r="B19" s="120">
        <f>'[3]Shuttle America'!$EV$9</f>
        <v>0</v>
      </c>
      <c r="C19" s="120">
        <f>'[3]Shuttle America_Delta'!$EV$9</f>
        <v>0</v>
      </c>
      <c r="D19" s="120">
        <f>[3]PSA!$EV$9</f>
        <v>0</v>
      </c>
      <c r="E19" s="14">
        <f>[3]Compass!$EV$9</f>
        <v>2</v>
      </c>
      <c r="F19" s="114">
        <f>'[3]Atlantic Southeast'!$EV$9</f>
        <v>0</v>
      </c>
      <c r="G19" s="114">
        <f>'[3]Continental Express'!$EV$9</f>
        <v>0</v>
      </c>
      <c r="H19" s="120">
        <f>'[3]Go Jet_UA'!$EV$9</f>
        <v>0</v>
      </c>
      <c r="I19" s="120">
        <f>'[3]Go Jet'!$EV$9</f>
        <v>0</v>
      </c>
      <c r="J19" s="121">
        <f>'[3]Air Wisconsin'!$EV$9</f>
        <v>0</v>
      </c>
      <c r="K19" s="120">
        <f>[3]MESA!$EV$9</f>
        <v>0</v>
      </c>
      <c r="L19" s="115">
        <f t="shared" si="3"/>
        <v>2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6">SUM(D18:D19)</f>
        <v>0</v>
      </c>
      <c r="E20" s="291">
        <f>SUM(E18:E19)</f>
        <v>2</v>
      </c>
      <c r="F20" s="116">
        <f t="shared" si="6"/>
        <v>0</v>
      </c>
      <c r="G20" s="116">
        <f t="shared" si="6"/>
        <v>0</v>
      </c>
      <c r="H20" s="116">
        <f t="shared" si="6"/>
        <v>0</v>
      </c>
      <c r="I20" s="116">
        <f t="shared" ref="I20" si="7">SUM(I18:I19)</f>
        <v>0</v>
      </c>
      <c r="J20" s="116">
        <f t="shared" si="6"/>
        <v>0</v>
      </c>
      <c r="K20" s="116">
        <f t="shared" si="6"/>
        <v>0</v>
      </c>
      <c r="L20" s="117">
        <f t="shared" si="3"/>
        <v>2</v>
      </c>
    </row>
    <row r="21" spans="1:12" ht="15.75" thickBot="1" x14ac:dyDescent="0.3">
      <c r="A21" s="72" t="s">
        <v>31</v>
      </c>
      <c r="B21" s="122">
        <f>SUM(B20,B17)</f>
        <v>44</v>
      </c>
      <c r="C21" s="122">
        <f>SUM(C20,C17)</f>
        <v>170</v>
      </c>
      <c r="D21" s="122">
        <f t="shared" ref="D21:K21" si="8">SUM(D20,D17)</f>
        <v>6</v>
      </c>
      <c r="E21" s="122">
        <f t="shared" si="8"/>
        <v>1404</v>
      </c>
      <c r="F21" s="122">
        <f t="shared" si="8"/>
        <v>980</v>
      </c>
      <c r="G21" s="122">
        <f t="shared" si="8"/>
        <v>28</v>
      </c>
      <c r="H21" s="122">
        <f t="shared" si="8"/>
        <v>2</v>
      </c>
      <c r="I21" s="122">
        <f t="shared" ref="I21" si="9">SUM(I20,I17)</f>
        <v>250</v>
      </c>
      <c r="J21" s="122">
        <f t="shared" si="8"/>
        <v>0</v>
      </c>
      <c r="K21" s="122">
        <f t="shared" si="8"/>
        <v>0</v>
      </c>
      <c r="L21" s="123">
        <f t="shared" si="3"/>
        <v>2884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America'!$EV$47</f>
        <v>0</v>
      </c>
      <c r="C25" s="130">
        <f>'[3]Shuttle America_Delta'!$EV$47</f>
        <v>42</v>
      </c>
      <c r="D25" s="130">
        <f>[3]PSA!$EV$47</f>
        <v>0</v>
      </c>
      <c r="E25" s="130">
        <f>[3]Compass!$EV$47</f>
        <v>0</v>
      </c>
      <c r="F25" s="131">
        <f>'[3]Atlantic Southeast'!$EV$47</f>
        <v>0</v>
      </c>
      <c r="G25" s="131">
        <f>'[3]Continental Express'!$EV$47</f>
        <v>0</v>
      </c>
      <c r="H25" s="130">
        <f>'[3]Go Jet_UA'!$EV$47</f>
        <v>0</v>
      </c>
      <c r="I25" s="130">
        <f>'[3]Go Jet'!$EV$47</f>
        <v>223</v>
      </c>
      <c r="J25" s="132">
        <f>'[3]Air Wisconsin'!$EV$47</f>
        <v>0</v>
      </c>
      <c r="K25" s="130">
        <f>[3]MESA!$EV$47</f>
        <v>0</v>
      </c>
      <c r="L25" s="110">
        <f>SUM(B25:K25)</f>
        <v>265</v>
      </c>
    </row>
    <row r="26" spans="1:12" x14ac:dyDescent="0.2">
      <c r="A26" s="75" t="s">
        <v>41</v>
      </c>
      <c r="B26" s="130">
        <f>'[3]Shuttle America'!$EV$48</f>
        <v>0</v>
      </c>
      <c r="C26" s="130">
        <f>'[3]Shuttle America_Delta'!$EV$48</f>
        <v>0</v>
      </c>
      <c r="D26" s="130">
        <f>[3]PSA!$EV$48</f>
        <v>0</v>
      </c>
      <c r="E26" s="130">
        <f>[3]Compass!$EV$48</f>
        <v>0</v>
      </c>
      <c r="F26" s="131">
        <f>'[3]Atlantic Southeast'!$EV$48</f>
        <v>0</v>
      </c>
      <c r="G26" s="131">
        <f>'[3]Continental Express'!$EV$48</f>
        <v>0</v>
      </c>
      <c r="H26" s="130">
        <f>'[3]Go Jet_UA'!$EV$48</f>
        <v>0</v>
      </c>
      <c r="I26" s="130">
        <f>'[3]Go Jet'!$EV$48</f>
        <v>0</v>
      </c>
      <c r="J26" s="132">
        <f>'[3]Air Wisconsin'!$EV$48</f>
        <v>0</v>
      </c>
      <c r="K26" s="130">
        <f>[3]MESA!$EV$48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42</v>
      </c>
      <c r="D27" s="133">
        <f t="shared" ref="D27:K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" si="11">SUM(I25:I26)</f>
        <v>223</v>
      </c>
      <c r="J27" s="133">
        <f t="shared" si="10"/>
        <v>0</v>
      </c>
      <c r="K27" s="133">
        <f t="shared" si="10"/>
        <v>0</v>
      </c>
      <c r="L27" s="134">
        <f>SUM(B27:K27)</f>
        <v>265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America'!$EV$52</f>
        <v>0</v>
      </c>
      <c r="C30" s="130">
        <f>'[3]Shuttle America_Delta'!$EV$52</f>
        <v>0</v>
      </c>
      <c r="D30" s="130">
        <f>[3]PSA!$EV$52</f>
        <v>0</v>
      </c>
      <c r="E30" s="130">
        <f>[3]Compass!$EV$52</f>
        <v>0</v>
      </c>
      <c r="F30" s="131">
        <f>'[3]Atlantic Southeast'!$EV$52</f>
        <v>0</v>
      </c>
      <c r="G30" s="131">
        <f>'[3]Continental Express'!$EV$52</f>
        <v>0</v>
      </c>
      <c r="H30" s="130">
        <f>'[3]Go Jet_UA'!$EV$52</f>
        <v>0</v>
      </c>
      <c r="I30" s="130">
        <f>'[3]Go Jet'!$EV$52</f>
        <v>0</v>
      </c>
      <c r="J30" s="132">
        <f>'[3]Air Wisconsin'!BH$52</f>
        <v>0</v>
      </c>
      <c r="K30" s="130">
        <f>[3]MESA!$EV$52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America'!$EV$53</f>
        <v>0</v>
      </c>
      <c r="C31" s="130">
        <f>'[3]Shuttle America_Delta'!$EV$53</f>
        <v>0</v>
      </c>
      <c r="D31" s="130">
        <f>[3]PSA!$EV$53</f>
        <v>0</v>
      </c>
      <c r="E31" s="130">
        <f>[3]Compass!$EV$53</f>
        <v>0</v>
      </c>
      <c r="F31" s="131">
        <f>'[3]Atlantic Southeast'!$EV$53</f>
        <v>0</v>
      </c>
      <c r="G31" s="131">
        <f>'[3]Continental Express'!$EV$53</f>
        <v>0</v>
      </c>
      <c r="H31" s="130">
        <f>'[3]Go Jet_UA'!$EV$53</f>
        <v>0</v>
      </c>
      <c r="I31" s="130">
        <f>'[3]Go Jet'!$EV$53</f>
        <v>0</v>
      </c>
      <c r="J31" s="132">
        <f>'[3]Air Wisconsin'!$EV$53</f>
        <v>0</v>
      </c>
      <c r="K31" s="130">
        <f>[3]MESA!$EV$53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" si="13">SUM(I30:I31)</f>
        <v>0</v>
      </c>
      <c r="J32" s="133">
        <f t="shared" si="12"/>
        <v>0</v>
      </c>
      <c r="K32" s="133">
        <f t="shared" si="12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America'!$EV$57</f>
        <v>0</v>
      </c>
      <c r="C35" s="130">
        <f>'[3]Shuttle America_Delta'!$EV$57</f>
        <v>0</v>
      </c>
      <c r="D35" s="130">
        <f>[3]PSA!$EV$57</f>
        <v>0</v>
      </c>
      <c r="E35" s="130">
        <f>[3]Compass!$EV$57</f>
        <v>0</v>
      </c>
      <c r="F35" s="131">
        <f>'[3]Atlantic Southeast'!$EV$57</f>
        <v>0</v>
      </c>
      <c r="G35" s="131">
        <f>'[3]Continental Express'!$EV$57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" si="15">SUM(I35:I36)</f>
        <v>0</v>
      </c>
      <c r="J37" s="141">
        <f t="shared" si="14"/>
        <v>0</v>
      </c>
      <c r="K37" s="141">
        <f t="shared" si="14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6">SUM(B35,B30,B25)</f>
        <v>0</v>
      </c>
      <c r="C40" s="130">
        <f>SUM(C35,C30,C25)</f>
        <v>42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>SUM(H35,H30,H25)</f>
        <v>0</v>
      </c>
      <c r="I40" s="130">
        <f>SUM(I35,I30,I25)</f>
        <v>223</v>
      </c>
      <c r="J40" s="130">
        <f t="shared" si="16"/>
        <v>0</v>
      </c>
      <c r="K40" s="130">
        <f t="shared" si="16"/>
        <v>0</v>
      </c>
      <c r="L40" s="110">
        <f>SUM(B40:K40)</f>
        <v>265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7">SUM(D36,D31,D26)</f>
        <v>0</v>
      </c>
      <c r="E41" s="130">
        <f t="shared" si="17"/>
        <v>0</v>
      </c>
      <c r="F41" s="130">
        <f t="shared" si="17"/>
        <v>0</v>
      </c>
      <c r="G41" s="130">
        <f t="shared" si="17"/>
        <v>0</v>
      </c>
      <c r="H41" s="130">
        <f>SUM(H36,H31,H26)</f>
        <v>0</v>
      </c>
      <c r="I41" s="130">
        <f>SUM(I36,I31,I26)</f>
        <v>0</v>
      </c>
      <c r="J41" s="130">
        <f t="shared" si="17"/>
        <v>0</v>
      </c>
      <c r="K41" s="130">
        <f t="shared" si="17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42</v>
      </c>
      <c r="D42" s="136">
        <f t="shared" ref="D42:K42" si="18">SUM(D40:D41)</f>
        <v>0</v>
      </c>
      <c r="E42" s="136">
        <f t="shared" si="18"/>
        <v>0</v>
      </c>
      <c r="F42" s="136">
        <f t="shared" si="18"/>
        <v>0</v>
      </c>
      <c r="G42" s="136">
        <f t="shared" si="18"/>
        <v>0</v>
      </c>
      <c r="H42" s="136">
        <f t="shared" si="18"/>
        <v>0</v>
      </c>
      <c r="I42" s="136">
        <f t="shared" ref="I42" si="19">SUM(I40:I41)</f>
        <v>223</v>
      </c>
      <c r="J42" s="136">
        <f t="shared" si="18"/>
        <v>0</v>
      </c>
      <c r="K42" s="136">
        <f t="shared" si="18"/>
        <v>0</v>
      </c>
      <c r="L42" s="137">
        <f>SUM(B42:K42)</f>
        <v>265</v>
      </c>
    </row>
    <row r="43" spans="1:12" ht="4.5" customHeight="1" x14ac:dyDescent="0.2"/>
    <row r="44" spans="1:12" hidden="1" x14ac:dyDescent="0.2">
      <c r="A44" s="327" t="s">
        <v>131</v>
      </c>
      <c r="E44" s="326">
        <f>[3]Compass!BG$70+[3]Compass!BG$73</f>
        <v>27782</v>
      </c>
      <c r="F44" s="312"/>
      <c r="L44" s="314">
        <f>SUM(E44:E44)</f>
        <v>27782</v>
      </c>
    </row>
    <row r="45" spans="1:12" hidden="1" x14ac:dyDescent="0.2">
      <c r="A45" s="327" t="s">
        <v>132</v>
      </c>
      <c r="E45" s="326">
        <f>[3]Compass!BG$71+[3]Compass!BG$74</f>
        <v>47176</v>
      </c>
      <c r="F45" s="330"/>
      <c r="L45" s="314">
        <f>SUM(E45:E45)</f>
        <v>47176</v>
      </c>
    </row>
    <row r="46" spans="1:12" x14ac:dyDescent="0.2">
      <c r="A46" s="385" t="s">
        <v>128</v>
      </c>
      <c r="C46" s="326">
        <f>'[3]Shuttle America_Delta'!$EV$70+'[3]Shuttle America_Delta'!$EV$73</f>
        <v>3012</v>
      </c>
      <c r="E46" s="326">
        <f>[3]Compass!$EV$70+[3]Compass!$EV$73</f>
        <v>17814</v>
      </c>
      <c r="F46" s="326">
        <f>'[3]Atlantic Southeast'!$EV$70+'[3]Atlantic Southeast'!$EV$73</f>
        <v>10780</v>
      </c>
      <c r="H46" s="326">
        <f>'[3]Go Jet'!$EV$70+'[3]Go Jet'!$EV$73</f>
        <v>3432</v>
      </c>
      <c r="I46" s="5"/>
      <c r="L46" s="399">
        <f>SUM(B46:K46)</f>
        <v>35038</v>
      </c>
    </row>
    <row r="47" spans="1:12" x14ac:dyDescent="0.2">
      <c r="A47" s="400" t="s">
        <v>129</v>
      </c>
      <c r="C47" s="326">
        <f>'[3]Shuttle America_Delta'!$EV$71+'[3]Shuttle America_Delta'!$EV$74</f>
        <v>2444</v>
      </c>
      <c r="E47" s="326">
        <f>[3]Compass!$EV$71+[3]Compass!$EV$74</f>
        <v>25007</v>
      </c>
      <c r="F47" s="326">
        <f>'[3]Atlantic Southeast'!$EV$71+'[3]Atlantic Southeast'!$EV$74</f>
        <v>17149</v>
      </c>
      <c r="H47" s="326">
        <f>'[3]Go Jet'!$EV$71+'[3]Go Jet'!$EV$74</f>
        <v>4296</v>
      </c>
      <c r="I47" s="5"/>
      <c r="L47" s="399">
        <f>SUM(B47:K47)</f>
        <v>48896</v>
      </c>
    </row>
  </sheetData>
  <phoneticPr fontId="6" type="noConversion"/>
  <printOptions horizontalCentered="1"/>
  <pageMargins left="0.75" right="0.75" top="0.92" bottom="1" header="0.28416666666666668" footer="0.5"/>
  <pageSetup scale="88" orientation="landscape" r:id="rId1"/>
  <headerFooter alignWithMargins="0">
    <oddHeader>&amp;L
Schedule 5
&amp;CMinneapolis-St. Paul International Airport
&amp;"Arial,Bold"Other Regional
November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4" zoomScale="115" zoomScaleNormal="115" workbookViewId="0">
      <selection activeCell="H24" sqref="H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42675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Misc'!$EV$22</f>
        <v>0</v>
      </c>
      <c r="C5" s="184">
        <f>[3]Ryan!$EV$22</f>
        <v>0</v>
      </c>
      <c r="D5" s="184">
        <f>'[3]Charter Misc'!$EV$32</f>
        <v>34</v>
      </c>
      <c r="E5" s="184">
        <f>[3]Omni!$EV$32</f>
        <v>0</v>
      </c>
      <c r="F5" s="184">
        <f>[3]Xtra!$EV$32+[3]Xtra!$EV$22</f>
        <v>0</v>
      </c>
      <c r="G5" s="345">
        <f>SUM(B5:F5)</f>
        <v>34</v>
      </c>
    </row>
    <row r="6" spans="1:17" x14ac:dyDescent="0.2">
      <c r="A6" s="62" t="s">
        <v>34</v>
      </c>
      <c r="B6" s="430">
        <f>'[3]Charter Misc'!$EV$23</f>
        <v>0</v>
      </c>
      <c r="C6" s="187">
        <f>[3]Ryan!$EV$23</f>
        <v>0</v>
      </c>
      <c r="D6" s="187">
        <f>'[3]Charter Misc'!$EV$33</f>
        <v>0</v>
      </c>
      <c r="E6" s="187">
        <f>[3]Omni!$EV$33</f>
        <v>0</v>
      </c>
      <c r="F6" s="187">
        <f>[3]Xtra!$EV$33+[3]Xtra!$EV$23</f>
        <v>0</v>
      </c>
      <c r="G6" s="344">
        <f>SUM(B6:F6)</f>
        <v>0</v>
      </c>
    </row>
    <row r="7" spans="1:17" ht="15.75" thickBot="1" x14ac:dyDescent="0.3">
      <c r="A7" s="183" t="s">
        <v>7</v>
      </c>
      <c r="B7" s="431">
        <f>SUM(B5:B6)</f>
        <v>0</v>
      </c>
      <c r="C7" s="302">
        <f>SUM(C5:C6)</f>
        <v>0</v>
      </c>
      <c r="D7" s="302">
        <f>SUM(D5:D6)</f>
        <v>34</v>
      </c>
      <c r="E7" s="302">
        <f>SUM(E5:E6)</f>
        <v>0</v>
      </c>
      <c r="F7" s="302">
        <f>SUM(F5:F6)</f>
        <v>0</v>
      </c>
      <c r="G7" s="303">
        <f>SUM(B7:F7)</f>
        <v>34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84</v>
      </c>
      <c r="B10" s="429">
        <f>'[3]Charter Misc'!$EV$4</f>
        <v>0</v>
      </c>
      <c r="C10" s="184">
        <f>[3]Ryan!$EV$4</f>
        <v>0</v>
      </c>
      <c r="D10" s="184">
        <f>'[3]Charter Misc'!$EV$15</f>
        <v>1</v>
      </c>
      <c r="E10" s="184">
        <f>[3]Omni!$EV$15</f>
        <v>0</v>
      </c>
      <c r="F10" s="184">
        <f>[3]Xtra!$EV$15+[3]Xtra!$EV$4</f>
        <v>0</v>
      </c>
      <c r="G10" s="344">
        <f>SUM(B10:F10)</f>
        <v>1</v>
      </c>
    </row>
    <row r="11" spans="1:17" x14ac:dyDescent="0.2">
      <c r="A11" s="182" t="s">
        <v>85</v>
      </c>
      <c r="B11" s="429">
        <f>'[3]Charter Misc'!$EV$5</f>
        <v>0</v>
      </c>
      <c r="C11" s="184">
        <f>[3]Ryan!$EV$5</f>
        <v>0</v>
      </c>
      <c r="D11" s="184">
        <f>'[3]Charter Misc'!$EV$16</f>
        <v>0</v>
      </c>
      <c r="E11" s="184">
        <f>[3]Omni!$EV$16</f>
        <v>0</v>
      </c>
      <c r="F11" s="184">
        <f>[3]Xtra!$EV$16+[3]Xtra!$EV$5</f>
        <v>0</v>
      </c>
      <c r="G11" s="344">
        <f>SUM(B11:F11)</f>
        <v>0</v>
      </c>
    </row>
    <row r="12" spans="1:17" ht="15.75" thickBot="1" x14ac:dyDescent="0.3">
      <c r="A12" s="282" t="s">
        <v>31</v>
      </c>
      <c r="B12" s="433">
        <f>SUM(B10:B11)</f>
        <v>0</v>
      </c>
      <c r="C12" s="304">
        <f>SUM(C10:C11)</f>
        <v>0</v>
      </c>
      <c r="D12" s="304">
        <f>SUM(D10:D11)</f>
        <v>1</v>
      </c>
      <c r="E12" s="304">
        <f>SUM(E10:E11)</f>
        <v>0</v>
      </c>
      <c r="F12" s="304">
        <f>SUM(F10:F11)</f>
        <v>0</v>
      </c>
      <c r="G12" s="305">
        <f>SUM(B12:F12)</f>
        <v>1</v>
      </c>
      <c r="Q12" s="130"/>
    </row>
    <row r="17" spans="1:16" x14ac:dyDescent="0.2">
      <c r="B17" s="487" t="s">
        <v>161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90" t="s">
        <v>125</v>
      </c>
      <c r="C19" s="491"/>
      <c r="D19" s="491"/>
      <c r="E19" s="492"/>
      <c r="G19" s="490" t="s">
        <v>126</v>
      </c>
      <c r="H19" s="493"/>
      <c r="I19" s="493"/>
      <c r="J19" s="494"/>
      <c r="L19" s="495" t="s">
        <v>127</v>
      </c>
      <c r="M19" s="496"/>
      <c r="N19" s="496"/>
      <c r="O19" s="497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1" t="s">
        <v>189</v>
      </c>
      <c r="J20" s="441" t="s">
        <v>180</v>
      </c>
      <c r="K20" s="243" t="s">
        <v>103</v>
      </c>
      <c r="L20" s="242" t="s">
        <v>107</v>
      </c>
      <c r="M20" s="236" t="s">
        <v>108</v>
      </c>
      <c r="N20" s="441" t="s">
        <v>189</v>
      </c>
      <c r="O20" s="441" t="s">
        <v>180</v>
      </c>
      <c r="P20" s="243" t="s">
        <v>103</v>
      </c>
    </row>
    <row r="21" spans="1:16" ht="14.1" customHeight="1" x14ac:dyDescent="0.2">
      <c r="A21" s="246" t="s">
        <v>109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 t="shared" ref="I21:I25" si="3">SUM(G21:H21)</f>
        <v>2429109</v>
      </c>
      <c r="J21" s="475">
        <f>[5]Charter!$I$21</f>
        <v>2357435</v>
      </c>
      <c r="K21" s="247">
        <f t="shared" ref="K21:K32" si="4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5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6">
        <f>+[6]Charter!$B$22</f>
        <v>140758</v>
      </c>
      <c r="C22" s="338">
        <f>+[6]Charter!$C$22</f>
        <v>141113</v>
      </c>
      <c r="D22" s="337">
        <f t="shared" ref="D22" si="6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 t="shared" si="3"/>
        <v>2359956</v>
      </c>
      <c r="J22" s="342">
        <f>[7]Charter!$I$22</f>
        <v>2278585</v>
      </c>
      <c r="K22" s="250">
        <f t="shared" si="4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7">SUM(L22:M22)</f>
        <v>2641827</v>
      </c>
      <c r="O22" s="342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111</v>
      </c>
      <c r="B23" s="336">
        <f>+[8]Charter!$B$23</f>
        <v>170911</v>
      </c>
      <c r="C23" s="338">
        <f>+[8]Charter!$C$23</f>
        <v>169553</v>
      </c>
      <c r="D23" s="337">
        <f t="shared" ref="D23" si="9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10">L23-B23</f>
        <v>1482455</v>
      </c>
      <c r="H23" s="338">
        <f t="shared" ref="H23" si="11">M23-C23</f>
        <v>1493304</v>
      </c>
      <c r="I23" s="337">
        <f t="shared" si="3"/>
        <v>2975759</v>
      </c>
      <c r="J23" s="342">
        <f>[9]Charter!$I$23</f>
        <v>2912274</v>
      </c>
      <c r="K23" s="250">
        <f t="shared" si="4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2">SUM(L23:M23)</f>
        <v>3316223</v>
      </c>
      <c r="O23" s="342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112</v>
      </c>
      <c r="B24" s="336">
        <f>+[10]Charter!$B$24</f>
        <v>120288</v>
      </c>
      <c r="C24" s="338">
        <f>+[10]Charter!$C$24</f>
        <v>106367</v>
      </c>
      <c r="D24" s="337">
        <f t="shared" ref="D24" si="13">SUM(B24:C24)</f>
        <v>226655</v>
      </c>
      <c r="E24" s="342">
        <f>[11]Charter!$D$24</f>
        <v>205270</v>
      </c>
      <c r="F24" s="249">
        <f t="shared" si="1"/>
        <v>0.10417986067131095</v>
      </c>
      <c r="G24" s="336">
        <f t="shared" ref="G24" si="14">L24-B24</f>
        <v>1421061</v>
      </c>
      <c r="H24" s="338">
        <f t="shared" ref="H24" si="15">M24-C24</f>
        <v>1355226</v>
      </c>
      <c r="I24" s="337">
        <f t="shared" si="3"/>
        <v>2776287</v>
      </c>
      <c r="J24" s="342">
        <f>[11]Charter!$I$24</f>
        <v>2699423</v>
      </c>
      <c r="K24" s="250">
        <f t="shared" si="4"/>
        <v>2.8474233197242522E-2</v>
      </c>
      <c r="L24" s="336">
        <f>+[10]Charter!$L$24</f>
        <v>1541349</v>
      </c>
      <c r="M24" s="338">
        <f>+[10]Charter!$M$24</f>
        <v>1461593</v>
      </c>
      <c r="N24" s="337">
        <f t="shared" ref="N24" si="16">SUM(L24:M24)</f>
        <v>3002942</v>
      </c>
      <c r="O24" s="342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80</v>
      </c>
      <c r="B25" s="336">
        <f>+[12]Charter!$B$25</f>
        <v>97442</v>
      </c>
      <c r="C25" s="338">
        <f>+[12]Charter!$C$25</f>
        <v>100703</v>
      </c>
      <c r="D25" s="337">
        <f t="shared" ref="D25" si="17">SUM(B25:C25)</f>
        <v>198145</v>
      </c>
      <c r="E25" s="342">
        <f>[13]Charter!$D$25</f>
        <v>198399</v>
      </c>
      <c r="F25" s="238">
        <f t="shared" si="1"/>
        <v>-1.2802483883487315E-3</v>
      </c>
      <c r="G25" s="336">
        <f t="shared" ref="G25" si="18">L25-B25</f>
        <v>1494297</v>
      </c>
      <c r="H25" s="338">
        <f t="shared" ref="H25" si="19">M25-C25</f>
        <v>1471824</v>
      </c>
      <c r="I25" s="337">
        <f t="shared" si="3"/>
        <v>2966121</v>
      </c>
      <c r="J25" s="342">
        <f>[13]Charter!$I$25</f>
        <v>2835494</v>
      </c>
      <c r="K25" s="244">
        <f t="shared" si="4"/>
        <v>4.6068515750694587E-2</v>
      </c>
      <c r="L25" s="336">
        <f>+[12]Charter!$L$25</f>
        <v>1591739</v>
      </c>
      <c r="M25" s="338">
        <f>+[12]Charter!$M$25</f>
        <v>1572527</v>
      </c>
      <c r="N25" s="337">
        <f t="shared" ref="N25" si="20">SUM(L25:M25)</f>
        <v>3164266</v>
      </c>
      <c r="O25" s="342">
        <f>[13]Charter!$N$25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113</v>
      </c>
      <c r="B26" s="336">
        <f>+[14]Charter!$B$26</f>
        <v>120133</v>
      </c>
      <c r="C26" s="338">
        <f>+[14]Charter!$C$26</f>
        <v>124700</v>
      </c>
      <c r="D26" s="337">
        <f t="shared" ref="D26" si="21">SUM(B26:C26)</f>
        <v>244833</v>
      </c>
      <c r="E26" s="342">
        <f>[15]Charter!$D$26</f>
        <v>221901</v>
      </c>
      <c r="F26" s="249">
        <f t="shared" si="1"/>
        <v>0.10334338285992402</v>
      </c>
      <c r="G26" s="336">
        <f t="shared" ref="G26" si="22">L26-B26</f>
        <v>1610217</v>
      </c>
      <c r="H26" s="338">
        <f t="shared" ref="H26" si="23">M26-C26</f>
        <v>1601820</v>
      </c>
      <c r="I26" s="337">
        <f t="shared" ref="I26" si="24">SUM(G26:H26)</f>
        <v>3212037</v>
      </c>
      <c r="J26" s="342">
        <f>[15]Charter!$I$26</f>
        <v>3152360</v>
      </c>
      <c r="K26" s="250">
        <f t="shared" si="4"/>
        <v>1.8930896217437095E-2</v>
      </c>
      <c r="L26" s="336">
        <f>+[14]Charter!$L$26</f>
        <v>1730350</v>
      </c>
      <c r="M26" s="338">
        <f>+[14]Charter!$M$26</f>
        <v>1726520</v>
      </c>
      <c r="N26" s="337">
        <f t="shared" ref="N26" si="25">SUM(L26:M26)</f>
        <v>3456870</v>
      </c>
      <c r="O26" s="342">
        <f>[15]Charter!$N$26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114</v>
      </c>
      <c r="B27" s="336">
        <f>+[16]Charter!$B$27</f>
        <v>142826</v>
      </c>
      <c r="C27" s="338">
        <f>+[16]Charter!$C$27</f>
        <v>132539</v>
      </c>
      <c r="D27" s="337">
        <f t="shared" ref="D27" si="26">SUM(B27:C27)</f>
        <v>275365</v>
      </c>
      <c r="E27" s="342">
        <f>[17]Charter!$D$27</f>
        <v>235974</v>
      </c>
      <c r="F27" s="238">
        <f t="shared" si="1"/>
        <v>0.16692940747709492</v>
      </c>
      <c r="G27" s="336">
        <f t="shared" ref="G27" si="27">L27-B27</f>
        <v>1680484</v>
      </c>
      <c r="H27" s="338">
        <f t="shared" ref="H27" si="28">M27-C27</f>
        <v>1691065</v>
      </c>
      <c r="I27" s="337">
        <f t="shared" ref="I27" si="29">SUM(G27:H27)</f>
        <v>3371549</v>
      </c>
      <c r="J27" s="342">
        <f>[17]Charter!$I$27</f>
        <v>3333064</v>
      </c>
      <c r="K27" s="244">
        <f>(I27-J27)/J27</f>
        <v>1.1546432951782504E-2</v>
      </c>
      <c r="L27" s="336">
        <f>+[16]Charter!$L$27</f>
        <v>1823310</v>
      </c>
      <c r="M27" s="338">
        <f>+[16]Charter!$M$27</f>
        <v>1823604</v>
      </c>
      <c r="N27" s="337">
        <f t="shared" ref="N27" si="30">SUM(L27:M27)</f>
        <v>3646914</v>
      </c>
      <c r="O27" s="342">
        <f>[17]Charter!$N$27</f>
        <v>3569038</v>
      </c>
      <c r="P27" s="238">
        <f t="shared" si="8"/>
        <v>2.1819885358463541E-2</v>
      </c>
    </row>
    <row r="28" spans="1:16" ht="14.1" customHeight="1" x14ac:dyDescent="0.2">
      <c r="A28" s="248" t="s">
        <v>115</v>
      </c>
      <c r="B28" s="336">
        <f>+[18]Charter!$B$28</f>
        <v>131232</v>
      </c>
      <c r="C28" s="338">
        <f>+[18]Charter!$C$28</f>
        <v>123377</v>
      </c>
      <c r="D28" s="337">
        <f t="shared" ref="D28" si="31">SUM(B28:C28)</f>
        <v>254609</v>
      </c>
      <c r="E28" s="342">
        <f>[19]Charter!$D$28</f>
        <v>237011</v>
      </c>
      <c r="F28" s="249">
        <f t="shared" si="1"/>
        <v>7.4249718367501924E-2</v>
      </c>
      <c r="G28" s="336">
        <f t="shared" ref="G28" si="32">L28-B28</f>
        <v>1645548</v>
      </c>
      <c r="H28" s="338">
        <f t="shared" ref="H28" si="33">M28-C28</f>
        <v>1645399</v>
      </c>
      <c r="I28" s="337">
        <f t="shared" ref="I28" si="34">SUM(G28:H28)</f>
        <v>3290947</v>
      </c>
      <c r="J28" s="342">
        <f>[19]Charter!$I$28</f>
        <v>3290700</v>
      </c>
      <c r="K28" s="250">
        <f t="shared" si="4"/>
        <v>7.5060017625429236E-5</v>
      </c>
      <c r="L28" s="336">
        <f>+[18]Charter!$L$28</f>
        <v>1776780</v>
      </c>
      <c r="M28" s="338">
        <f>+[18]Charter!$M$28</f>
        <v>1768776</v>
      </c>
      <c r="N28" s="337">
        <f t="shared" ref="N28" si="35">SUM(L28:M28)</f>
        <v>3545556</v>
      </c>
      <c r="O28" s="342">
        <f>[19]Charter!$N$28</f>
        <v>3527711</v>
      </c>
      <c r="P28" s="249">
        <f t="shared" si="8"/>
        <v>5.0585209502705866E-3</v>
      </c>
    </row>
    <row r="29" spans="1:16" ht="14.1" customHeight="1" x14ac:dyDescent="0.2">
      <c r="A29" s="235" t="s">
        <v>116</v>
      </c>
      <c r="B29" s="336">
        <f>+[20]Charter!$B$29</f>
        <v>105404</v>
      </c>
      <c r="C29" s="338">
        <f>+[20]Charter!$C$29</f>
        <v>101785</v>
      </c>
      <c r="D29" s="337">
        <f t="shared" ref="D29" si="36">SUM(B29:C29)</f>
        <v>207189</v>
      </c>
      <c r="E29" s="342">
        <f>[21]Charter!$D$29</f>
        <v>200482</v>
      </c>
      <c r="F29" s="238">
        <f t="shared" si="1"/>
        <v>3.3454374956355185E-2</v>
      </c>
      <c r="G29" s="336">
        <f t="shared" ref="G29" si="37">L29-B29</f>
        <v>1437447</v>
      </c>
      <c r="H29" s="338">
        <f t="shared" ref="H29" si="38">M29-C29</f>
        <v>1434314</v>
      </c>
      <c r="I29" s="337">
        <f t="shared" ref="I29" si="39">SUM(G29:H29)</f>
        <v>2871761</v>
      </c>
      <c r="J29" s="342">
        <f>[21]Charter!$I$29</f>
        <v>2806358</v>
      </c>
      <c r="K29" s="244">
        <f t="shared" si="4"/>
        <v>2.3305294620287218E-2</v>
      </c>
      <c r="L29" s="336">
        <f>+[20]Charter!$L$29</f>
        <v>1542851</v>
      </c>
      <c r="M29" s="338">
        <f>+[20]Charter!$M$29</f>
        <v>1536099</v>
      </c>
      <c r="N29" s="337">
        <f t="shared" ref="N29" si="40">SUM(L29:M29)</f>
        <v>3078950</v>
      </c>
      <c r="O29" s="342">
        <f>[21]Charter!$N$29</f>
        <v>3006840</v>
      </c>
      <c r="P29" s="238">
        <f t="shared" si="8"/>
        <v>2.3981987734631706E-2</v>
      </c>
    </row>
    <row r="30" spans="1:16" ht="14.1" customHeight="1" x14ac:dyDescent="0.2">
      <c r="A30" s="248" t="s">
        <v>117</v>
      </c>
      <c r="B30" s="336">
        <f>+[2]Charter!$B$30</f>
        <v>99841</v>
      </c>
      <c r="C30" s="338">
        <f>+[2]Charter!$C$30</f>
        <v>86529</v>
      </c>
      <c r="D30" s="337">
        <f t="shared" ref="D30" si="41">SUM(B30:C30)</f>
        <v>186370</v>
      </c>
      <c r="E30" s="342">
        <f>[22]Charter!$D$30</f>
        <v>193439</v>
      </c>
      <c r="F30" s="249">
        <f t="shared" si="1"/>
        <v>-3.6543820015612155E-2</v>
      </c>
      <c r="G30" s="336">
        <f t="shared" ref="G30" si="42">L30-B30</f>
        <v>1489621</v>
      </c>
      <c r="H30" s="338">
        <f t="shared" ref="H30" si="43">M30-C30</f>
        <v>1521830</v>
      </c>
      <c r="I30" s="337">
        <f t="shared" ref="I30" si="44">SUM(G30:H30)</f>
        <v>3011451</v>
      </c>
      <c r="J30" s="342">
        <f>[22]Charter!$I$30</f>
        <v>2966040</v>
      </c>
      <c r="K30" s="250">
        <f t="shared" si="4"/>
        <v>1.5310312740219283E-2</v>
      </c>
      <c r="L30" s="336">
        <f>+[2]Charter!$L$30</f>
        <v>1589462</v>
      </c>
      <c r="M30" s="338">
        <f>+[2]Charter!$M$30</f>
        <v>1608359</v>
      </c>
      <c r="N30" s="337">
        <f t="shared" ref="N30" si="45">SUM(L30:M30)</f>
        <v>3197821</v>
      </c>
      <c r="O30" s="342">
        <f>[22]Charter!$N$30</f>
        <v>3159479</v>
      </c>
      <c r="P30" s="249">
        <f t="shared" si="8"/>
        <v>1.2135545132599394E-2</v>
      </c>
    </row>
    <row r="31" spans="1:16" ht="14.1" customHeight="1" x14ac:dyDescent="0.2">
      <c r="A31" s="235" t="s">
        <v>118</v>
      </c>
      <c r="B31" s="336">
        <f>'Intl Detail'!$N$4+'Intl Detail'!$N$9</f>
        <v>73317</v>
      </c>
      <c r="C31" s="338">
        <f>'Intl Detail'!$N$5+'Intl Detail'!$N$10</f>
        <v>72638</v>
      </c>
      <c r="D31" s="337">
        <f t="shared" ref="D31" si="46">SUM(B31:C31)</f>
        <v>145955</v>
      </c>
      <c r="E31" s="342">
        <f>[1]Charter!$D$31</f>
        <v>192752</v>
      </c>
      <c r="F31" s="238">
        <f t="shared" si="1"/>
        <v>-0.24278347306383333</v>
      </c>
      <c r="G31" s="336">
        <f t="shared" ref="G31" si="47">L31-B31</f>
        <v>1359298</v>
      </c>
      <c r="H31" s="338">
        <f t="shared" ref="H31" si="48">M31-C31</f>
        <v>1365095</v>
      </c>
      <c r="I31" s="337">
        <f t="shared" ref="I31" si="49">SUM(G31:H31)</f>
        <v>2724393</v>
      </c>
      <c r="J31" s="342">
        <f>[1]Charter!$I$31</f>
        <v>2644598</v>
      </c>
      <c r="K31" s="244">
        <f t="shared" si="4"/>
        <v>3.0172827779496165E-2</v>
      </c>
      <c r="L31" s="336">
        <f>'Monthly Summary'!$B$11</f>
        <v>1432615</v>
      </c>
      <c r="M31" s="338">
        <f>'Monthly Summary'!$C$11</f>
        <v>1437733</v>
      </c>
      <c r="N31" s="337">
        <f t="shared" ref="N31" si="50">SUM(L31:M31)</f>
        <v>2870348</v>
      </c>
      <c r="O31" s="342">
        <f>[1]Charter!$N$31</f>
        <v>2837350</v>
      </c>
      <c r="P31" s="238">
        <f t="shared" si="8"/>
        <v>1.1629865895994502E-2</v>
      </c>
    </row>
    <row r="32" spans="1:16" ht="14.1" customHeight="1" x14ac:dyDescent="0.2">
      <c r="A32" s="251" t="s">
        <v>119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ref="I32" si="51">SUM(G32:H32)</f>
        <v>0</v>
      </c>
      <c r="J32" s="341"/>
      <c r="K32" s="252" t="e">
        <f t="shared" si="4"/>
        <v>#DIV/0!</v>
      </c>
      <c r="L32" s="336"/>
      <c r="M32" s="338"/>
      <c r="N32" s="161">
        <f t="shared" si="5"/>
        <v>0</v>
      </c>
      <c r="O32" s="341"/>
      <c r="P32" s="252" t="e">
        <f t="shared" si="8"/>
        <v>#DIV/0!</v>
      </c>
    </row>
    <row r="33" spans="1:16" ht="13.5" thickBot="1" x14ac:dyDescent="0.25">
      <c r="A33" s="245" t="s">
        <v>81</v>
      </c>
      <c r="B33" s="255">
        <f>SUM(B21:B32)</f>
        <v>1337166</v>
      </c>
      <c r="C33" s="256">
        <f>SUM(C21:C32)</f>
        <v>1292565</v>
      </c>
      <c r="D33" s="256">
        <f>SUM(D21:D32)</f>
        <v>2629731</v>
      </c>
      <c r="E33" s="257">
        <f>SUM(E21:E32)</f>
        <v>2485755</v>
      </c>
      <c r="F33" s="240">
        <f>(D33-E33)/E33</f>
        <v>5.7920430613636498E-2</v>
      </c>
      <c r="G33" s="258">
        <f>SUM(G21:G32)</f>
        <v>15998582</v>
      </c>
      <c r="H33" s="256">
        <f>SUM(H21:H32)</f>
        <v>15990788</v>
      </c>
      <c r="I33" s="256">
        <f>SUM(I21:I32)</f>
        <v>31989370</v>
      </c>
      <c r="J33" s="259">
        <f>SUM(J21:J32)</f>
        <v>31276331</v>
      </c>
      <c r="K33" s="241">
        <f>(I33-J33)/J33</f>
        <v>2.2798038555097783E-2</v>
      </c>
      <c r="L33" s="258">
        <f>SUM(L21:L32)</f>
        <v>17335748</v>
      </c>
      <c r="M33" s="256">
        <f>SUM(M21:M32)</f>
        <v>17283353</v>
      </c>
      <c r="N33" s="256">
        <f>SUM(N21:N32)</f>
        <v>34619101</v>
      </c>
      <c r="O33" s="257">
        <f>SUM(O21:O32)</f>
        <v>33762086</v>
      </c>
      <c r="P33" s="239">
        <f>(N33-O33)/O33</f>
        <v>2.5383946951619045E-2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F6" sqref="F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1" t="s">
        <v>216</v>
      </c>
      <c r="C1" s="502"/>
      <c r="D1" s="503"/>
      <c r="E1" s="59"/>
      <c r="F1" s="501" t="s">
        <v>98</v>
      </c>
      <c r="G1" s="502"/>
      <c r="H1" s="502"/>
      <c r="I1" s="502"/>
      <c r="J1" s="502"/>
      <c r="K1" s="502"/>
      <c r="L1" s="503"/>
    </row>
    <row r="2" spans="1:20" s="191" customFormat="1" ht="30.75" customHeight="1" thickBot="1" x14ac:dyDescent="0.25">
      <c r="A2" s="389">
        <v>42675</v>
      </c>
      <c r="B2" s="458" t="s">
        <v>211</v>
      </c>
      <c r="C2" s="8" t="s">
        <v>86</v>
      </c>
      <c r="D2" s="8" t="s">
        <v>87</v>
      </c>
      <c r="E2" s="199"/>
      <c r="F2" s="180" t="s">
        <v>88</v>
      </c>
      <c r="G2" s="477" t="s">
        <v>215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[3]DHL!$EV$4</f>
        <v>20</v>
      </c>
      <c r="C4" s="161">
        <f>[3]FedEx!$EV$4+[3]FedEx!$EV$15</f>
        <v>110</v>
      </c>
      <c r="D4" s="161">
        <f>[3]UPS!$EV$4+[3]UPS!$EV$15</f>
        <v>122</v>
      </c>
      <c r="E4" s="192"/>
      <c r="F4" s="118">
        <f>[3]ATI_BAX!$EV$4</f>
        <v>0</v>
      </c>
      <c r="G4" s="118">
        <f>[3]IFL!$EV$4</f>
        <v>32</v>
      </c>
      <c r="H4" s="118">
        <f>'[3]Suburban Air Freight'!$EV$15</f>
        <v>23</v>
      </c>
      <c r="I4" s="118">
        <f>[3]Bemidji!$EV$4</f>
        <v>257</v>
      </c>
      <c r="J4" s="118">
        <f>'[3]CSA Air'!$EV$4</f>
        <v>24</v>
      </c>
      <c r="K4" s="118">
        <f>'[3]Mountain Cargo'!$EV$4</f>
        <v>20</v>
      </c>
      <c r="L4" s="118">
        <f>'[3]Misc Cargo'!$EV$4</f>
        <v>22</v>
      </c>
      <c r="M4" s="204">
        <f>SUM(B4:L4)</f>
        <v>630</v>
      </c>
    </row>
    <row r="5" spans="1:20" x14ac:dyDescent="0.2">
      <c r="A5" s="53" t="s">
        <v>58</v>
      </c>
      <c r="B5" s="198">
        <f>[3]DHL!$EV$5</f>
        <v>20</v>
      </c>
      <c r="C5" s="198">
        <f>[3]FedEx!$EV$5</f>
        <v>110</v>
      </c>
      <c r="D5" s="198">
        <f>[3]UPS!$EV$5+[3]UPS!$EV$16</f>
        <v>122</v>
      </c>
      <c r="E5" s="192"/>
      <c r="F5" s="120">
        <f>[3]ATI_BAX!$EV$5</f>
        <v>0</v>
      </c>
      <c r="G5" s="120">
        <f>[3]IFL!$EV$5</f>
        <v>32</v>
      </c>
      <c r="H5" s="120">
        <f>'[3]Suburban Air Freight'!$EV$16</f>
        <v>23</v>
      </c>
      <c r="I5" s="120">
        <f>[3]Bemidji!$EV$5</f>
        <v>257</v>
      </c>
      <c r="J5" s="120">
        <f>'[3]CSA Air'!$EV$5</f>
        <v>24</v>
      </c>
      <c r="K5" s="120">
        <f>'[3]Mountain Cargo'!$EV$5</f>
        <v>20</v>
      </c>
      <c r="L5" s="120">
        <f>'[3]Misc Cargo'!$EV$5</f>
        <v>21</v>
      </c>
      <c r="M5" s="208">
        <f>SUM(B5:L5)</f>
        <v>629</v>
      </c>
    </row>
    <row r="6" spans="1:20" s="189" customFormat="1" x14ac:dyDescent="0.2">
      <c r="A6" s="205" t="s">
        <v>59</v>
      </c>
      <c r="B6" s="206">
        <f>SUM(B4:B5)</f>
        <v>40</v>
      </c>
      <c r="C6" s="206">
        <f>SUM(C4:C5)</f>
        <v>220</v>
      </c>
      <c r="D6" s="206">
        <f>SUM(D4:D5)</f>
        <v>244</v>
      </c>
      <c r="E6" s="193"/>
      <c r="F6" s="188">
        <f t="shared" ref="F6:L6" si="0">SUM(F4:F5)</f>
        <v>0</v>
      </c>
      <c r="G6" s="188">
        <f t="shared" ref="G6" si="1">SUM(G4:G5)</f>
        <v>64</v>
      </c>
      <c r="H6" s="188">
        <f t="shared" si="0"/>
        <v>46</v>
      </c>
      <c r="I6" s="188">
        <f t="shared" si="0"/>
        <v>514</v>
      </c>
      <c r="J6" s="188">
        <f t="shared" si="0"/>
        <v>48</v>
      </c>
      <c r="K6" s="188">
        <f t="shared" si="0"/>
        <v>40</v>
      </c>
      <c r="L6" s="188">
        <f t="shared" si="0"/>
        <v>43</v>
      </c>
      <c r="M6" s="207">
        <f>SUM(B6:L6)</f>
        <v>1259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Cargo'!$EV$8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Cargo'!$EV$9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40</v>
      </c>
      <c r="C12" s="210">
        <f>C6+C10</f>
        <v>220</v>
      </c>
      <c r="D12" s="210">
        <f>D6+D10</f>
        <v>244</v>
      </c>
      <c r="E12" s="211"/>
      <c r="F12" s="212">
        <f t="shared" ref="F12:L12" si="4">F6+F10</f>
        <v>0</v>
      </c>
      <c r="G12" s="212">
        <f t="shared" ref="G12" si="5">G6+G10</f>
        <v>64</v>
      </c>
      <c r="H12" s="212">
        <f t="shared" si="4"/>
        <v>46</v>
      </c>
      <c r="I12" s="212">
        <f t="shared" si="4"/>
        <v>514</v>
      </c>
      <c r="J12" s="212">
        <f t="shared" si="4"/>
        <v>48</v>
      </c>
      <c r="K12" s="212">
        <f t="shared" si="4"/>
        <v>40</v>
      </c>
      <c r="L12" s="212">
        <f t="shared" si="4"/>
        <v>43</v>
      </c>
      <c r="M12" s="213">
        <f>SUM(B12:L12)</f>
        <v>1259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[3]DHL!$EV$47</f>
        <v>709681</v>
      </c>
      <c r="C16" s="161">
        <f>[3]FedEx!$EV$47</f>
        <v>8422387</v>
      </c>
      <c r="D16" s="161">
        <f>[3]UPS!$EV$47</f>
        <v>6052245</v>
      </c>
      <c r="E16" s="192"/>
      <c r="F16" s="118">
        <f>[3]ATI_BAX!$EV$47</f>
        <v>0</v>
      </c>
      <c r="G16" s="118">
        <f>[3]IFL!$EV$47</f>
        <v>43636</v>
      </c>
      <c r="H16" s="118">
        <f>'[3]Suburban Air Freight'!$EV$47</f>
        <v>19936</v>
      </c>
      <c r="I16" s="498" t="s">
        <v>92</v>
      </c>
      <c r="J16" s="118">
        <f>'[3]CSA Air'!$EV$47</f>
        <v>32332</v>
      </c>
      <c r="K16" s="118">
        <f>'[3]Mountain Cargo'!$EV$47</f>
        <v>52909</v>
      </c>
      <c r="L16" s="118">
        <f>'[3]Misc Cargo'!$EV$47</f>
        <v>46709</v>
      </c>
      <c r="M16" s="204">
        <f>SUM(B16:H16)+SUM(J16:L16)</f>
        <v>15379835</v>
      </c>
    </row>
    <row r="17" spans="1:14" x14ac:dyDescent="0.2">
      <c r="A17" s="53" t="s">
        <v>41</v>
      </c>
      <c r="B17" s="161">
        <f>[3]DHL!$EV$48</f>
        <v>0</v>
      </c>
      <c r="C17" s="161">
        <f>[3]FedEx!$EV$48</f>
        <v>0</v>
      </c>
      <c r="D17" s="161">
        <f>[3]UPS!$EV$48</f>
        <v>1423</v>
      </c>
      <c r="E17" s="192"/>
      <c r="F17" s="118">
        <f>[3]ATI_BAX!$EV$48</f>
        <v>0</v>
      </c>
      <c r="G17" s="118">
        <f>[3]IFL!$EV$48</f>
        <v>0</v>
      </c>
      <c r="H17" s="118">
        <f>'[3]Suburban Air Freight'!$EV$48</f>
        <v>0</v>
      </c>
      <c r="I17" s="499"/>
      <c r="J17" s="118">
        <f>'[3]CSA Air'!$EV$48</f>
        <v>0</v>
      </c>
      <c r="K17" s="118">
        <f>'[3]Mountain Cargo'!$EV$48</f>
        <v>0</v>
      </c>
      <c r="L17" s="118">
        <f>'[3]Misc Cargo'!$EV$48</f>
        <v>0</v>
      </c>
      <c r="M17" s="204">
        <f>SUM(B17:H17)+SUM(J17:L17)</f>
        <v>1423</v>
      </c>
    </row>
    <row r="18" spans="1:14" ht="18" customHeight="1" x14ac:dyDescent="0.2">
      <c r="A18" s="219" t="s">
        <v>42</v>
      </c>
      <c r="B18" s="306">
        <f>SUM(B16:B17)</f>
        <v>709681</v>
      </c>
      <c r="C18" s="306">
        <f>SUM(C16:C17)</f>
        <v>8422387</v>
      </c>
      <c r="D18" s="306">
        <f>SUM(D16:D17)</f>
        <v>6053668</v>
      </c>
      <c r="E18" s="197"/>
      <c r="F18" s="307">
        <f>SUM(F16:F17)</f>
        <v>0</v>
      </c>
      <c r="G18" s="307">
        <f>SUM(G16:G17)</f>
        <v>43636</v>
      </c>
      <c r="H18" s="307">
        <f>SUM(H16:H17)</f>
        <v>19936</v>
      </c>
      <c r="I18" s="499"/>
      <c r="J18" s="307">
        <f>SUM(J16:J17)</f>
        <v>32332</v>
      </c>
      <c r="K18" s="307">
        <f>SUM(K16:K17)</f>
        <v>52909</v>
      </c>
      <c r="L18" s="307">
        <f>SUM(L16:L17)</f>
        <v>46709</v>
      </c>
      <c r="M18" s="220">
        <f>SUM(B18:H18)+SUM(J18:L18)</f>
        <v>15381258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9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9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[3]DHL!$EV$52</f>
        <v>431116</v>
      </c>
      <c r="C21" s="161">
        <f>[3]FedEx!$EV$52</f>
        <v>8910580</v>
      </c>
      <c r="D21" s="161">
        <f>[3]UPS!$EV$52</f>
        <v>4949797</v>
      </c>
      <c r="E21" s="192"/>
      <c r="F21" s="118">
        <f>[3]ATI_BAX!$EV$52</f>
        <v>0</v>
      </c>
      <c r="G21" s="118">
        <f>[3]IFL!$EV$52</f>
        <v>41935</v>
      </c>
      <c r="H21" s="118">
        <f>'[3]Suburban Air Freight'!$EV$52</f>
        <v>80007</v>
      </c>
      <c r="I21" s="499"/>
      <c r="J21" s="118">
        <f>'[3]CSA Air'!$EV$52</f>
        <v>34625</v>
      </c>
      <c r="K21" s="118">
        <f>'[3]Mountain Cargo'!$EV$52</f>
        <v>126193</v>
      </c>
      <c r="L21" s="118">
        <f>'[3]Misc Cargo'!$EV$52</f>
        <v>35805</v>
      </c>
      <c r="M21" s="204">
        <f>SUM(B21:H21)+SUM(J21:L21)</f>
        <v>14610058</v>
      </c>
    </row>
    <row r="22" spans="1:14" x14ac:dyDescent="0.2">
      <c r="A22" s="53" t="s">
        <v>64</v>
      </c>
      <c r="B22" s="161">
        <f>[3]DHL!$EV$53</f>
        <v>0</v>
      </c>
      <c r="C22" s="161">
        <f>[3]FedEx!$EV$53</f>
        <v>0</v>
      </c>
      <c r="D22" s="161">
        <f>[3]UPS!$EV$53</f>
        <v>354062</v>
      </c>
      <c r="E22" s="192"/>
      <c r="F22" s="118">
        <f>[3]ATI_BAX!$EV$53</f>
        <v>0</v>
      </c>
      <c r="G22" s="118">
        <f>[3]IFL!$EV$53</f>
        <v>0</v>
      </c>
      <c r="H22" s="118">
        <f>'[3]Suburban Air Freight'!$EV$53</f>
        <v>0</v>
      </c>
      <c r="I22" s="499"/>
      <c r="J22" s="118">
        <f>'[3]CSA Air'!$EV$53</f>
        <v>0</v>
      </c>
      <c r="K22" s="118">
        <f>'[3]Mountain Cargo'!$EV$53</f>
        <v>0</v>
      </c>
      <c r="L22" s="118">
        <f>'[3]Misc Cargo'!$EV$53</f>
        <v>0</v>
      </c>
      <c r="M22" s="204">
        <f>SUM(B22:H22)+SUM(J22:L22)</f>
        <v>354062</v>
      </c>
    </row>
    <row r="23" spans="1:14" ht="18" customHeight="1" x14ac:dyDescent="0.2">
      <c r="A23" s="219" t="s">
        <v>44</v>
      </c>
      <c r="B23" s="306">
        <f>SUM(B21:B22)</f>
        <v>431116</v>
      </c>
      <c r="C23" s="306">
        <f>SUM(C21:C22)</f>
        <v>8910580</v>
      </c>
      <c r="D23" s="306">
        <f>SUM(D21:D22)</f>
        <v>5303859</v>
      </c>
      <c r="E23" s="197"/>
      <c r="F23" s="307">
        <f>SUM(F21:F22)</f>
        <v>0</v>
      </c>
      <c r="G23" s="307">
        <f>SUM(G21:G22)</f>
        <v>41935</v>
      </c>
      <c r="H23" s="307">
        <f>SUM(H21:H22)</f>
        <v>80007</v>
      </c>
      <c r="I23" s="499"/>
      <c r="J23" s="307">
        <f>SUM(J21:J22)</f>
        <v>34625</v>
      </c>
      <c r="K23" s="307">
        <f>SUM(K21:K22)</f>
        <v>126193</v>
      </c>
      <c r="L23" s="307">
        <f>SUM(L21:L22)</f>
        <v>35805</v>
      </c>
      <c r="M23" s="220">
        <f>SUM(B23:H23)+SUM(J23:L23)</f>
        <v>14964120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9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9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[3]DHL!$EV$57</f>
        <v>0</v>
      </c>
      <c r="C26" s="161">
        <f>[3]FedEx!$EV$57</f>
        <v>0</v>
      </c>
      <c r="D26" s="161">
        <f>[3]UPS!$EV$57</f>
        <v>0</v>
      </c>
      <c r="E26" s="192"/>
      <c r="F26" s="118">
        <f>[3]ATI_BAX!$EV$57</f>
        <v>0</v>
      </c>
      <c r="G26" s="118">
        <f>[3]IFL!$EV$57</f>
        <v>0</v>
      </c>
      <c r="H26" s="118">
        <f>'[3]Suburban Air Freight'!$EV$57</f>
        <v>0</v>
      </c>
      <c r="I26" s="499"/>
      <c r="J26" s="118">
        <f>'[3]CSA Air'!$EV$57</f>
        <v>0</v>
      </c>
      <c r="K26" s="118">
        <f>'[3]Mountain Cargo'!$EV$57</f>
        <v>0</v>
      </c>
      <c r="L26" s="118">
        <f>'[3]Misc Cargo'!$EV$57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[3]DHL!$EV$58</f>
        <v>0</v>
      </c>
      <c r="C27" s="161">
        <f>[3]FedEx!$EV$58</f>
        <v>0</v>
      </c>
      <c r="D27" s="161">
        <f>[3]UPS!$EV$58</f>
        <v>0</v>
      </c>
      <c r="E27" s="192"/>
      <c r="F27" s="118">
        <f>[3]ATI_BAX!$EV$58</f>
        <v>0</v>
      </c>
      <c r="G27" s="118">
        <f>[3]IFL!$EV$58</f>
        <v>0</v>
      </c>
      <c r="H27" s="118">
        <f>'[3]Suburban Air Freight'!$EV$58</f>
        <v>0</v>
      </c>
      <c r="I27" s="499"/>
      <c r="J27" s="118">
        <f>'[3]CSA Air'!$EV$58</f>
        <v>0</v>
      </c>
      <c r="K27" s="118">
        <f>'[3]Mountain Cargo'!$EV$58</f>
        <v>0</v>
      </c>
      <c r="L27" s="118">
        <f>'[3]Misc Cargo'!$EV$58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9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9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9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1140797</v>
      </c>
      <c r="C31" s="161">
        <f t="shared" si="6"/>
        <v>17332967</v>
      </c>
      <c r="D31" s="161">
        <f t="shared" si="6"/>
        <v>11002042</v>
      </c>
      <c r="E31" s="192"/>
      <c r="F31" s="118">
        <f t="shared" ref="F31:H33" si="7">F26+F21+F16</f>
        <v>0</v>
      </c>
      <c r="G31" s="118">
        <f t="shared" ref="G31" si="8">G26+G21+G16</f>
        <v>85571</v>
      </c>
      <c r="H31" s="118">
        <f t="shared" si="7"/>
        <v>99943</v>
      </c>
      <c r="I31" s="499"/>
      <c r="J31" s="118">
        <f t="shared" ref="J31:L33" si="9">J26+J21+J16</f>
        <v>66957</v>
      </c>
      <c r="K31" s="118">
        <f t="shared" si="9"/>
        <v>179102</v>
      </c>
      <c r="L31" s="118">
        <f>L26+L21+L16</f>
        <v>82514</v>
      </c>
      <c r="M31" s="204">
        <f>SUM(B31:H31)+SUM(J31:L31)</f>
        <v>29989893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355485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500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355485</v>
      </c>
    </row>
    <row r="33" spans="1:13" ht="18" customHeight="1" thickBot="1" x14ac:dyDescent="0.25">
      <c r="A33" s="209" t="s">
        <v>49</v>
      </c>
      <c r="B33" s="210">
        <f t="shared" si="6"/>
        <v>1140797</v>
      </c>
      <c r="C33" s="210">
        <f t="shared" si="6"/>
        <v>17332967</v>
      </c>
      <c r="D33" s="210">
        <f t="shared" si="6"/>
        <v>11357527</v>
      </c>
      <c r="E33" s="223"/>
      <c r="F33" s="212">
        <f t="shared" si="7"/>
        <v>0</v>
      </c>
      <c r="G33" s="212">
        <f t="shared" ref="G33" si="11">G28+G23+G18</f>
        <v>85571</v>
      </c>
      <c r="H33" s="212">
        <f t="shared" si="7"/>
        <v>99943</v>
      </c>
      <c r="I33" s="308">
        <f>I28+I23+I18</f>
        <v>0</v>
      </c>
      <c r="J33" s="212">
        <f t="shared" si="9"/>
        <v>66957</v>
      </c>
      <c r="K33" s="212">
        <f t="shared" si="9"/>
        <v>179102</v>
      </c>
      <c r="L33" s="212">
        <f t="shared" si="9"/>
        <v>82514</v>
      </c>
      <c r="M33" s="213">
        <f>SUM(B33:H33)+SUM(J33:L33)</f>
        <v>30345378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November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42675</v>
      </c>
      <c r="B2" s="77" t="s">
        <v>67</v>
      </c>
      <c r="C2" s="77" t="s">
        <v>68</v>
      </c>
      <c r="D2" s="77" t="s">
        <v>69</v>
      </c>
      <c r="E2" s="320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4542477</v>
      </c>
      <c r="C5" s="118">
        <f>'Regional Major'!L25</f>
        <v>1311</v>
      </c>
      <c r="D5" s="118">
        <f>Cargo!M16</f>
        <v>15379835</v>
      </c>
      <c r="E5" s="118">
        <f>SUM(B5:D5)</f>
        <v>19923623</v>
      </c>
      <c r="F5" s="118">
        <f>E5*0.00045359237</f>
        <v>9037.2033755565099</v>
      </c>
      <c r="G5" s="146">
        <f>'[1]Cargo Summary'!F5</f>
        <v>7368.3200194950496</v>
      </c>
      <c r="H5" s="98">
        <f>(F5-G5)/G5</f>
        <v>0.22649441821825606</v>
      </c>
      <c r="I5" s="146">
        <f>+F5+'[2]Cargo Summary'!I5</f>
        <v>81793.111080744915</v>
      </c>
      <c r="J5" s="146">
        <f>'[1]Cargo Summary'!I5</f>
        <v>72578.786688588967</v>
      </c>
      <c r="K5" s="85">
        <f>(I5-J5)/J5</f>
        <v>0.12695616463928364</v>
      </c>
      <c r="M5" s="35"/>
    </row>
    <row r="6" spans="1:18" x14ac:dyDescent="0.2">
      <c r="A6" s="62" t="s">
        <v>18</v>
      </c>
      <c r="B6" s="169">
        <f>'Major Airline Stats'!I29</f>
        <v>1628598</v>
      </c>
      <c r="C6" s="118">
        <f>'Regional Major'!L26</f>
        <v>0</v>
      </c>
      <c r="D6" s="118">
        <f>Cargo!M17</f>
        <v>1423</v>
      </c>
      <c r="E6" s="118">
        <f>SUM(B6:D6)</f>
        <v>1630021</v>
      </c>
      <c r="F6" s="118">
        <f>E6*0.00045359237</f>
        <v>739.36508853977</v>
      </c>
      <c r="G6" s="146">
        <f>'[1]Cargo Summary'!F6</f>
        <v>761.00235177350999</v>
      </c>
      <c r="H6" s="37">
        <f>(F6-G6)/G6</f>
        <v>-2.8432583924759912E-2</v>
      </c>
      <c r="I6" s="146">
        <f>+F6+'[2]Cargo Summary'!I6</f>
        <v>5409.880325004714</v>
      </c>
      <c r="J6" s="146">
        <f>'[1]Cargo Summary'!I6</f>
        <v>6983.8038707452397</v>
      </c>
      <c r="K6" s="85">
        <f>(I6-J6)/J6</f>
        <v>-0.22536766135910583</v>
      </c>
      <c r="M6" s="35"/>
    </row>
    <row r="7" spans="1:18" ht="18" customHeight="1" thickBot="1" x14ac:dyDescent="0.25">
      <c r="A7" s="73" t="s">
        <v>76</v>
      </c>
      <c r="B7" s="171">
        <f>SUM(B5:B6)</f>
        <v>6171075</v>
      </c>
      <c r="C7" s="133">
        <f t="shared" ref="C7:J7" si="0">SUM(C5:C6)</f>
        <v>1311</v>
      </c>
      <c r="D7" s="133">
        <f t="shared" si="0"/>
        <v>15381258</v>
      </c>
      <c r="E7" s="133">
        <f t="shared" si="0"/>
        <v>21553644</v>
      </c>
      <c r="F7" s="133">
        <f t="shared" si="0"/>
        <v>9776.5684640962791</v>
      </c>
      <c r="G7" s="133">
        <f t="shared" si="0"/>
        <v>8129.3223712685594</v>
      </c>
      <c r="H7" s="44">
        <f>(F7-G7)/G7</f>
        <v>0.20263018460795412</v>
      </c>
      <c r="I7" s="133">
        <f t="shared" si="0"/>
        <v>87202.991405749635</v>
      </c>
      <c r="J7" s="133">
        <f t="shared" si="0"/>
        <v>79562.590559334203</v>
      </c>
      <c r="K7" s="322">
        <f>(I7-J7)/J7</f>
        <v>9.6030066300035369E-2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2392235</v>
      </c>
      <c r="C10" s="118">
        <f>'Regional Major'!L30</f>
        <v>287</v>
      </c>
      <c r="D10" s="118">
        <f>Cargo!M21</f>
        <v>14610058</v>
      </c>
      <c r="E10" s="118">
        <f>SUM(B10:D10)</f>
        <v>17002580</v>
      </c>
      <c r="F10" s="118">
        <f>E10*0.00045359237</f>
        <v>7712.2405583146001</v>
      </c>
      <c r="G10" s="146">
        <f>'[1]Cargo Summary'!F10</f>
        <v>7807.19059553433</v>
      </c>
      <c r="H10" s="37">
        <f>(F10-G10)/G10</f>
        <v>-1.2161870016858662E-2</v>
      </c>
      <c r="I10" s="146">
        <f>+F10+'[2]Cargo Summary'!I10</f>
        <v>72593.758865537908</v>
      </c>
      <c r="J10" s="146">
        <f>'[1]Cargo Summary'!I10</f>
        <v>78297.320497984285</v>
      </c>
      <c r="K10" s="85">
        <f>(I10-J10)/J10</f>
        <v>-7.2844914694024709E-2</v>
      </c>
      <c r="M10" s="35"/>
    </row>
    <row r="11" spans="1:18" x14ac:dyDescent="0.2">
      <c r="A11" s="62" t="s">
        <v>18</v>
      </c>
      <c r="B11" s="169">
        <f>'Major Airline Stats'!I34</f>
        <v>2545639</v>
      </c>
      <c r="C11" s="118">
        <f>'Regional Major'!L31</f>
        <v>0</v>
      </c>
      <c r="D11" s="118">
        <f>Cargo!M22</f>
        <v>354062</v>
      </c>
      <c r="E11" s="118">
        <f>SUM(B11:D11)</f>
        <v>2899701</v>
      </c>
      <c r="F11" s="118">
        <f>E11*0.00045359237</f>
        <v>1315.2822488813699</v>
      </c>
      <c r="G11" s="146">
        <f>'[1]Cargo Summary'!F11</f>
        <v>352.92389377168001</v>
      </c>
      <c r="H11" s="35">
        <f>(F11-G11)/G11</f>
        <v>2.7268155318842662</v>
      </c>
      <c r="I11" s="146">
        <f>+F11+'[2]Cargo Summary'!I11</f>
        <v>7306.4599992591902</v>
      </c>
      <c r="J11" s="146">
        <f>'[1]Cargo Summary'!I11</f>
        <v>6308.81306494824</v>
      </c>
      <c r="K11" s="85">
        <f>(I11-J11)/J11</f>
        <v>0.15813544069864358</v>
      </c>
      <c r="M11" s="35"/>
    </row>
    <row r="12" spans="1:18" ht="18" customHeight="1" thickBot="1" x14ac:dyDescent="0.25">
      <c r="A12" s="73" t="s">
        <v>77</v>
      </c>
      <c r="B12" s="171">
        <f>SUM(B10:B11)</f>
        <v>4937874</v>
      </c>
      <c r="C12" s="133">
        <f t="shared" ref="C12:J12" si="1">SUM(C10:C11)</f>
        <v>287</v>
      </c>
      <c r="D12" s="133">
        <f t="shared" si="1"/>
        <v>14964120</v>
      </c>
      <c r="E12" s="133">
        <f t="shared" si="1"/>
        <v>19902281</v>
      </c>
      <c r="F12" s="133">
        <f t="shared" si="1"/>
        <v>9027.52280719597</v>
      </c>
      <c r="G12" s="133">
        <f t="shared" si="1"/>
        <v>8160.11448930601</v>
      </c>
      <c r="H12" s="44">
        <f>(F12-G12)/G12</f>
        <v>0.10629854752978228</v>
      </c>
      <c r="I12" s="133">
        <f t="shared" si="1"/>
        <v>79900.218864797091</v>
      </c>
      <c r="J12" s="133">
        <f t="shared" si="1"/>
        <v>84606.133562932519</v>
      </c>
      <c r="K12" s="322">
        <f>(I12-J12)/J12</f>
        <v>-5.5621436649566675E-2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4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6934712</v>
      </c>
      <c r="C20" s="118">
        <f t="shared" si="3"/>
        <v>1598</v>
      </c>
      <c r="D20" s="118">
        <f t="shared" si="3"/>
        <v>29989893</v>
      </c>
      <c r="E20" s="118">
        <f>SUM(B20:D20)</f>
        <v>36926203</v>
      </c>
      <c r="F20" s="118">
        <f>E20*0.00045359237</f>
        <v>16749.443933871109</v>
      </c>
      <c r="G20" s="146">
        <f>'[1]Cargo Summary'!F20</f>
        <v>15175.51061502938</v>
      </c>
      <c r="H20" s="37">
        <f>(F20-G20)/G20</f>
        <v>0.10371534499029984</v>
      </c>
      <c r="I20" s="146">
        <f>+I5+I10+I15</f>
        <v>154386.86994628282</v>
      </c>
      <c r="J20" s="146">
        <f>+J5+J10+J15</f>
        <v>150876.10718657327</v>
      </c>
      <c r="K20" s="85">
        <f>(I20-J20)/J20</f>
        <v>2.3269176446659972E-2</v>
      </c>
      <c r="M20" s="35"/>
    </row>
    <row r="21" spans="1:13" x14ac:dyDescent="0.2">
      <c r="A21" s="62" t="s">
        <v>18</v>
      </c>
      <c r="B21" s="169">
        <f t="shared" si="3"/>
        <v>4174237</v>
      </c>
      <c r="C21" s="120">
        <f t="shared" si="3"/>
        <v>0</v>
      </c>
      <c r="D21" s="120">
        <f t="shared" si="3"/>
        <v>355485</v>
      </c>
      <c r="E21" s="118">
        <f>SUM(B21:D21)</f>
        <v>4529722</v>
      </c>
      <c r="F21" s="118">
        <f>E21*0.00045359237</f>
        <v>2054.64733742114</v>
      </c>
      <c r="G21" s="146">
        <f>'[1]Cargo Summary'!F21</f>
        <v>1113.9262455451899</v>
      </c>
      <c r="H21" s="37">
        <f>(F21-G21)/G21</f>
        <v>0.84450931615811975</v>
      </c>
      <c r="I21" s="146">
        <f>+I6+I11+I16</f>
        <v>12716.340324263903</v>
      </c>
      <c r="J21" s="146">
        <f>+J6+J11+J16</f>
        <v>13292.616935693481</v>
      </c>
      <c r="K21" s="85">
        <f>(I21-J21)/J21</f>
        <v>-4.335313461731926E-2</v>
      </c>
      <c r="M21" s="35"/>
    </row>
    <row r="22" spans="1:13" ht="18" customHeight="1" thickBot="1" x14ac:dyDescent="0.25">
      <c r="A22" s="88" t="s">
        <v>66</v>
      </c>
      <c r="B22" s="172">
        <f>SUM(B20:B21)</f>
        <v>11108949</v>
      </c>
      <c r="C22" s="173">
        <f t="shared" ref="C22:J22" si="4">SUM(C20:C21)</f>
        <v>1598</v>
      </c>
      <c r="D22" s="173">
        <f t="shared" si="4"/>
        <v>30345378</v>
      </c>
      <c r="E22" s="173">
        <f t="shared" si="4"/>
        <v>41455925</v>
      </c>
      <c r="F22" s="173">
        <f t="shared" si="4"/>
        <v>18804.091271292251</v>
      </c>
      <c r="G22" s="173">
        <f t="shared" si="4"/>
        <v>16289.436860574569</v>
      </c>
      <c r="H22" s="328">
        <f>(F22-G22)/G22</f>
        <v>0.15437331764389695</v>
      </c>
      <c r="I22" s="173">
        <f t="shared" si="4"/>
        <v>167103.21027054673</v>
      </c>
      <c r="J22" s="173">
        <f t="shared" si="4"/>
        <v>164168.72412226675</v>
      </c>
      <c r="K22" s="329">
        <f>(I22-J22)/J22</f>
        <v>1.7874818507418497E-2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0" zoomScaleNormal="100" zoomScaleSheetLayoutView="100" workbookViewId="0">
      <selection activeCell="B30" sqref="B3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9">
        <v>42675</v>
      </c>
      <c r="B1" s="12" t="s">
        <v>20</v>
      </c>
      <c r="C1" s="277" t="s">
        <v>208</v>
      </c>
      <c r="D1" s="439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210</v>
      </c>
      <c r="J1" s="277" t="s">
        <v>214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4" t="s">
        <v>150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[3]Delta!$EV$32</f>
        <v>34819</v>
      </c>
      <c r="C4" s="21">
        <f>'[3]Atlantic Southeast'!$EV$32</f>
        <v>2381</v>
      </c>
      <c r="D4" s="21">
        <f>[3]Pinnacle!$EV$32</f>
        <v>6256</v>
      </c>
      <c r="E4" s="21">
        <f>[3]Compass!$EV$32</f>
        <v>11654</v>
      </c>
      <c r="F4" s="21">
        <f>'[3]Sky West'!$EV$32</f>
        <v>6468</v>
      </c>
      <c r="G4" s="21">
        <f>'[3]Sun Country'!$EV$32</f>
        <v>3853</v>
      </c>
      <c r="H4" s="21">
        <f>[3]Icelandair!$EV$32</f>
        <v>2497</v>
      </c>
      <c r="I4" s="21">
        <f>'[3]Jazz Air'!$EV$32</f>
        <v>0</v>
      </c>
      <c r="J4" s="21">
        <f>'[3]Air Georgian'!$EV$32</f>
        <v>3349</v>
      </c>
      <c r="K4" s="21">
        <f>[3]Condor!$EV$32</f>
        <v>0</v>
      </c>
      <c r="L4" s="21">
        <f>'[3]Air France'!$EV$32</f>
        <v>0</v>
      </c>
      <c r="M4" s="21">
        <f>'[3]Charter Misc'!$EV$32+[3]Ryan!$EV$32+[3]Omni!$EV$32</f>
        <v>34</v>
      </c>
      <c r="N4" s="286">
        <f>SUM(B4:M4)</f>
        <v>71311</v>
      </c>
    </row>
    <row r="5" spans="1:14" x14ac:dyDescent="0.2">
      <c r="A5" s="62" t="s">
        <v>34</v>
      </c>
      <c r="B5" s="14">
        <f>[3]Delta!$EV$33</f>
        <v>33761</v>
      </c>
      <c r="C5" s="14">
        <f>'[3]Atlantic Southeast'!$EV$33</f>
        <v>1283</v>
      </c>
      <c r="D5" s="14">
        <f>[3]Pinnacle!$EV$33</f>
        <v>7717</v>
      </c>
      <c r="E5" s="14">
        <f>[3]Compass!$EV$33</f>
        <v>11415</v>
      </c>
      <c r="F5" s="14">
        <f>'[3]Sky West'!$EV$33</f>
        <v>6512</v>
      </c>
      <c r="G5" s="14">
        <f>'[3]Sun Country'!$EV$33</f>
        <v>4660</v>
      </c>
      <c r="H5" s="14">
        <f>[3]Icelandair!$EV$33</f>
        <v>2432</v>
      </c>
      <c r="I5" s="14">
        <f>'[3]Jazz Air'!$EV$33</f>
        <v>0</v>
      </c>
      <c r="J5" s="14">
        <f>'[3]Air Georgian'!$EV$33</f>
        <v>2920</v>
      </c>
      <c r="K5" s="14">
        <f>[3]Condor!$EV$33</f>
        <v>0</v>
      </c>
      <c r="L5" s="14">
        <f>'[3]Air France'!$EV$33</f>
        <v>0</v>
      </c>
      <c r="M5" s="14">
        <f>'[3]Charter Misc'!$EV$33++[3]Ryan!$EV$33+[3]Omni!$EV$33</f>
        <v>0</v>
      </c>
      <c r="N5" s="287">
        <f>SUM(B5:M5)</f>
        <v>70700</v>
      </c>
    </row>
    <row r="6" spans="1:14" ht="15" x14ac:dyDescent="0.25">
      <c r="A6" s="60" t="s">
        <v>7</v>
      </c>
      <c r="B6" s="34">
        <f t="shared" ref="B6:M6" si="0">SUM(B4:B5)</f>
        <v>68580</v>
      </c>
      <c r="C6" s="34">
        <f t="shared" si="0"/>
        <v>3664</v>
      </c>
      <c r="D6" s="34">
        <f t="shared" si="0"/>
        <v>13973</v>
      </c>
      <c r="E6" s="34">
        <f t="shared" si="0"/>
        <v>23069</v>
      </c>
      <c r="F6" s="34">
        <f t="shared" si="0"/>
        <v>12980</v>
      </c>
      <c r="G6" s="34">
        <f t="shared" si="0"/>
        <v>8513</v>
      </c>
      <c r="H6" s="34">
        <f t="shared" si="0"/>
        <v>4929</v>
      </c>
      <c r="I6" s="34">
        <f t="shared" si="0"/>
        <v>0</v>
      </c>
      <c r="J6" s="34">
        <f t="shared" ref="J6" si="1">SUM(J4:J5)</f>
        <v>6269</v>
      </c>
      <c r="K6" s="34">
        <f t="shared" ref="K6" si="2">SUM(K4:K5)</f>
        <v>0</v>
      </c>
      <c r="L6" s="34">
        <f t="shared" si="0"/>
        <v>0</v>
      </c>
      <c r="M6" s="34">
        <f t="shared" si="0"/>
        <v>34</v>
      </c>
      <c r="N6" s="288">
        <f>SUM(B6:M6)</f>
        <v>142011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[3]Delta!$EV$37</f>
        <v>1500</v>
      </c>
      <c r="C9" s="21">
        <f>'[3]Atlantic Southeast'!$EV$37</f>
        <v>31</v>
      </c>
      <c r="D9" s="21">
        <f>[3]Pinnacle!$EV$37</f>
        <v>64</v>
      </c>
      <c r="E9" s="21">
        <f>[3]Compass!$EV$37</f>
        <v>174</v>
      </c>
      <c r="F9" s="21">
        <f>'[3]Sky West'!$EV$37</f>
        <v>73</v>
      </c>
      <c r="G9" s="21">
        <f>'[3]Sun Country'!$EV$37</f>
        <v>68</v>
      </c>
      <c r="H9" s="21">
        <f>[3]Icelandair!$EV$37</f>
        <v>96</v>
      </c>
      <c r="I9" s="21">
        <f>'[3]Jazz Air'!$EV$37</f>
        <v>0</v>
      </c>
      <c r="J9" s="21">
        <f>'[3]Air Georgian'!$EV$37</f>
        <v>0</v>
      </c>
      <c r="K9" s="21">
        <f>[3]Condor!$EV$37</f>
        <v>0</v>
      </c>
      <c r="L9" s="21">
        <f>'[3]Air France'!$EV$37</f>
        <v>0</v>
      </c>
      <c r="M9" s="21">
        <f>'[3]Charter Misc'!$EV$37+[3]Ryan!$EV$37+[3]Omni!$EV$37</f>
        <v>0</v>
      </c>
      <c r="N9" s="286">
        <f>SUM(B9:M9)</f>
        <v>2006</v>
      </c>
    </row>
    <row r="10" spans="1:14" x14ac:dyDescent="0.2">
      <c r="A10" s="62" t="s">
        <v>36</v>
      </c>
      <c r="B10" s="14">
        <f>[3]Delta!$EV$38</f>
        <v>1437</v>
      </c>
      <c r="C10" s="14">
        <f>'[3]Atlantic Southeast'!$EV$38</f>
        <v>9</v>
      </c>
      <c r="D10" s="14">
        <f>[3]Pinnacle!$EV$38</f>
        <v>105</v>
      </c>
      <c r="E10" s="14">
        <f>[3]Compass!$EV$38</f>
        <v>139</v>
      </c>
      <c r="F10" s="14">
        <f>'[3]Sky West'!$EV$38</f>
        <v>72</v>
      </c>
      <c r="G10" s="14">
        <f>'[3]Sun Country'!$EV$38</f>
        <v>83</v>
      </c>
      <c r="H10" s="14">
        <f>[3]Icelandair!$EV$38</f>
        <v>93</v>
      </c>
      <c r="I10" s="14">
        <f>'[3]Jazz Air'!$EV$38</f>
        <v>0</v>
      </c>
      <c r="J10" s="14">
        <f>'[3]Air Georgian'!$EV$38</f>
        <v>0</v>
      </c>
      <c r="K10" s="14">
        <f>[3]Condor!$EV$38</f>
        <v>0</v>
      </c>
      <c r="L10" s="14">
        <f>'[3]Air France'!$EV$38</f>
        <v>0</v>
      </c>
      <c r="M10" s="14">
        <f>'[3]Charter Misc'!$EV$38+[3]Ryan!$EV$38+[3]Omni!$EV$38</f>
        <v>0</v>
      </c>
      <c r="N10" s="287">
        <f>SUM(B10:M10)</f>
        <v>1938</v>
      </c>
    </row>
    <row r="11" spans="1:14" ht="15.75" thickBot="1" x14ac:dyDescent="0.3">
      <c r="A11" s="63" t="s">
        <v>37</v>
      </c>
      <c r="B11" s="289">
        <f t="shared" ref="B11:G11" si="3">SUM(B9:B10)</f>
        <v>2937</v>
      </c>
      <c r="C11" s="289">
        <f t="shared" si="3"/>
        <v>40</v>
      </c>
      <c r="D11" s="289">
        <f t="shared" si="3"/>
        <v>169</v>
      </c>
      <c r="E11" s="289">
        <f t="shared" si="3"/>
        <v>313</v>
      </c>
      <c r="F11" s="289">
        <f t="shared" si="3"/>
        <v>145</v>
      </c>
      <c r="G11" s="289">
        <f t="shared" si="3"/>
        <v>151</v>
      </c>
      <c r="H11" s="289">
        <f t="shared" ref="H11:M11" si="4">SUM(H9:H10)</f>
        <v>189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0</v>
      </c>
      <c r="M11" s="289">
        <f t="shared" si="4"/>
        <v>0</v>
      </c>
      <c r="N11" s="290">
        <f>SUM(B11:M11)</f>
        <v>3944</v>
      </c>
    </row>
    <row r="12" spans="1:14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1"/>
    </row>
    <row r="13" spans="1:14" ht="39" thickBot="1" x14ac:dyDescent="0.25">
      <c r="B13" s="12" t="s">
        <v>20</v>
      </c>
      <c r="C13" s="277" t="s">
        <v>54</v>
      </c>
      <c r="D13" s="439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277" t="s">
        <v>210</v>
      </c>
      <c r="J13" s="277" t="s">
        <v>214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7" t="s">
        <v>152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9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SUM([3]Delta!$EL$32:$EV$32)</f>
        <v>746243</v>
      </c>
      <c r="C16" s="21">
        <f>SUM('[3]Atlantic Southeast'!$EL$32:$EV$32)</f>
        <v>35593</v>
      </c>
      <c r="D16" s="21">
        <f>SUM([3]Pinnacle!$EL$32:$EV$32)</f>
        <v>134086</v>
      </c>
      <c r="E16" s="21">
        <f>SUM([3]Compass!$EL$32:$EV$32)</f>
        <v>62723</v>
      </c>
      <c r="F16" s="21">
        <f>SUM('[3]Sky West'!$EL$32:$EV$32)</f>
        <v>82334</v>
      </c>
      <c r="G16" s="21">
        <f>SUM('[3]Sun Country'!$EL$32:$EV$32)</f>
        <v>128970</v>
      </c>
      <c r="H16" s="21">
        <f>SUM([3]Icelandair!$EL$32:$EV$32)</f>
        <v>32893</v>
      </c>
      <c r="I16" s="21">
        <f>SUM('[3]Jazz Air'!$EL$32:$EV$32)</f>
        <v>3553</v>
      </c>
      <c r="J16" s="21">
        <f>SUM('[3]Air Georgian'!$EL$32:$EV$32)</f>
        <v>39315</v>
      </c>
      <c r="K16" s="21">
        <f>SUM([3]Condor!$EL$32:$EV$32)</f>
        <v>9717</v>
      </c>
      <c r="L16" s="21">
        <f>SUM('[3]Air France'!$EL$32:$EV$32)</f>
        <v>30191</v>
      </c>
      <c r="M16" s="21">
        <f>SUM('[3]Charter Misc'!$EL$32:$EV$32)+SUM([3]Ryan!$EL$32:$EV$32)+SUM([3]Omni!$EL$32:$EV$32)</f>
        <v>596</v>
      </c>
      <c r="N16" s="286">
        <f>SUM(B16:M16)</f>
        <v>1306214</v>
      </c>
    </row>
    <row r="17" spans="1:14" x14ac:dyDescent="0.2">
      <c r="A17" s="62" t="s">
        <v>34</v>
      </c>
      <c r="B17" s="14">
        <f>SUM([3]Delta!$EL$33:$EV$33)</f>
        <v>720989</v>
      </c>
      <c r="C17" s="14">
        <f>SUM('[3]Atlantic Southeast'!$EL$33:$EV$33)</f>
        <v>21682</v>
      </c>
      <c r="D17" s="14">
        <f>SUM([3]Pinnacle!$EL$33:$EV$33)</f>
        <v>143270</v>
      </c>
      <c r="E17" s="14">
        <f>SUM([3]Compass!$EL$33:$EV$33)</f>
        <v>61518</v>
      </c>
      <c r="F17" s="14">
        <f>SUM('[3]Sky West'!$EL$33:$EV$33)</f>
        <v>81680</v>
      </c>
      <c r="G17" s="14">
        <f>SUM('[3]Sun Country'!$EL$33:$EV$33)</f>
        <v>124021</v>
      </c>
      <c r="H17" s="14">
        <f>SUM([3]Icelandair!$EL$33:$EV$33)</f>
        <v>37198</v>
      </c>
      <c r="I17" s="14">
        <f>SUM('[3]Jazz Air'!$EL$33:$EV$33)</f>
        <v>3206</v>
      </c>
      <c r="J17" s="14">
        <f>SUM('[3]Air Georgian'!$EL$33:$EV$33)</f>
        <v>36652</v>
      </c>
      <c r="K17" s="14">
        <f>SUM([3]Condor!$EL$33:$EV$33)</f>
        <v>9144</v>
      </c>
      <c r="L17" s="14">
        <f>SUM('[3]Air France'!$EL$33:$EV$33)</f>
        <v>22654</v>
      </c>
      <c r="M17" s="14">
        <f>SUM('[3]Charter Misc'!$EL$33:$EV$33)++SUM([3]Ryan!$EL$33:$EV$33)+SUM([3]Omni!$EL$33:$EV$33)</f>
        <v>1215</v>
      </c>
      <c r="N17" s="287">
        <f>SUM(B17:M17)</f>
        <v>1263229</v>
      </c>
    </row>
    <row r="18" spans="1:14" ht="15" x14ac:dyDescent="0.25">
      <c r="A18" s="60" t="s">
        <v>7</v>
      </c>
      <c r="B18" s="34">
        <f t="shared" ref="B18:M18" si="6">SUM(B16:B17)</f>
        <v>1467232</v>
      </c>
      <c r="C18" s="34">
        <f t="shared" si="6"/>
        <v>57275</v>
      </c>
      <c r="D18" s="34">
        <f t="shared" si="6"/>
        <v>277356</v>
      </c>
      <c r="E18" s="34">
        <f t="shared" si="6"/>
        <v>124241</v>
      </c>
      <c r="F18" s="34">
        <f t="shared" si="6"/>
        <v>164014</v>
      </c>
      <c r="G18" s="34">
        <f t="shared" si="6"/>
        <v>252991</v>
      </c>
      <c r="H18" s="34">
        <f t="shared" si="6"/>
        <v>70091</v>
      </c>
      <c r="I18" s="34">
        <f t="shared" si="6"/>
        <v>6759</v>
      </c>
      <c r="J18" s="34">
        <f t="shared" ref="J18" si="7">SUM(J16:J17)</f>
        <v>75967</v>
      </c>
      <c r="K18" s="34">
        <f t="shared" ref="K18" si="8">SUM(K16:K17)</f>
        <v>18861</v>
      </c>
      <c r="L18" s="34">
        <f t="shared" si="6"/>
        <v>52845</v>
      </c>
      <c r="M18" s="34">
        <f t="shared" si="6"/>
        <v>1811</v>
      </c>
      <c r="N18" s="288">
        <f>SUM(B18:M18)</f>
        <v>2569443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SUM([3]Delta!$EL$37:$EV$37)</f>
        <v>21346</v>
      </c>
      <c r="C21" s="21">
        <f>SUM('[3]Atlantic Southeast'!$EL$37:$EV$37)</f>
        <v>392</v>
      </c>
      <c r="D21" s="21">
        <f>SUM([3]Pinnacle!$EL$37:$EV$37)</f>
        <v>1535</v>
      </c>
      <c r="E21" s="21">
        <f>SUM([3]Compass!$EL$37:$EV$37)</f>
        <v>872</v>
      </c>
      <c r="F21" s="21">
        <f>SUM('[3]Sky West'!$EL$37:$EV$37)</f>
        <v>869</v>
      </c>
      <c r="G21" s="21">
        <f>SUM('[3]Sun Country'!$EL$37:$EV$37)</f>
        <v>768</v>
      </c>
      <c r="H21" s="21">
        <f>SUM([3]Icelandair!$EL$37:$EV$37)</f>
        <v>480</v>
      </c>
      <c r="I21" s="21">
        <f>SUM('[3]Jazz Air'!$EL$37:$EV$37)</f>
        <v>24</v>
      </c>
      <c r="J21" s="21">
        <f>SUM('[3]Air Georgian'!$EL$37:$EV$37)</f>
        <v>0</v>
      </c>
      <c r="K21" s="21">
        <f>SUM([3]Condor!$EL$37:$EV$37)</f>
        <v>0</v>
      </c>
      <c r="L21" s="21">
        <f>SUM('[3]Air France'!$EL$37:$EV$37)</f>
        <v>55</v>
      </c>
      <c r="M21" s="21">
        <f>SUM('[3]Charter Misc'!$EL$37:$EV$37)++SUM([3]Ryan!$EL$37:$EV$37)+SUM([3]Omni!$EL$37:$EV$37)</f>
        <v>0</v>
      </c>
      <c r="N21" s="286">
        <f>SUM(B21:M21)</f>
        <v>26341</v>
      </c>
    </row>
    <row r="22" spans="1:14" x14ac:dyDescent="0.2">
      <c r="A22" s="62" t="s">
        <v>36</v>
      </c>
      <c r="B22" s="14">
        <f>SUM([3]Delta!$EL$38:$EV$38)</f>
        <v>20756</v>
      </c>
      <c r="C22" s="14">
        <f>SUM('[3]Atlantic Southeast'!$EL$38:$EV$38)</f>
        <v>265</v>
      </c>
      <c r="D22" s="14">
        <f>SUM([3]Pinnacle!$EL$38:$EV$38)</f>
        <v>1787</v>
      </c>
      <c r="E22" s="14">
        <f>SUM([3]Compass!$EL$38:$EV$38)</f>
        <v>749</v>
      </c>
      <c r="F22" s="14">
        <f>SUM('[3]Sky West'!$EL$38:$EV$38)</f>
        <v>791</v>
      </c>
      <c r="G22" s="14">
        <f>SUM('[3]Sun Country'!$EL$38:$EV$38)</f>
        <v>896</v>
      </c>
      <c r="H22" s="14">
        <f>SUM([3]Icelandair!$EL$38:$EV$38)</f>
        <v>555</v>
      </c>
      <c r="I22" s="14">
        <f>SUM('[3]Jazz Air'!$EL$38:$EV$38)</f>
        <v>39</v>
      </c>
      <c r="J22" s="14">
        <f>SUM('[3]Air Georgian'!$EL$38:$EV$38)</f>
        <v>0</v>
      </c>
      <c r="K22" s="14">
        <f>SUM([3]Condor!$EL$38:$EV$38)</f>
        <v>0</v>
      </c>
      <c r="L22" s="14">
        <f>SUM('[3]Air France'!$EL$38:$EV$38)</f>
        <v>28</v>
      </c>
      <c r="M22" s="14">
        <f>SUM('[3]Charter Misc'!$EL$38:$EV$38)++SUM([3]Ryan!$EL$38:$EV$38)+SUM([3]Omni!$EL$38:$EV$38)</f>
        <v>0</v>
      </c>
      <c r="N22" s="287">
        <f>SUM(B22:M22)</f>
        <v>25866</v>
      </c>
    </row>
    <row r="23" spans="1:14" ht="15.75" thickBot="1" x14ac:dyDescent="0.3">
      <c r="A23" s="63" t="s">
        <v>37</v>
      </c>
      <c r="B23" s="289">
        <f t="shared" ref="B23:M23" si="9">SUM(B21:B22)</f>
        <v>42102</v>
      </c>
      <c r="C23" s="289">
        <f t="shared" si="9"/>
        <v>657</v>
      </c>
      <c r="D23" s="289">
        <f t="shared" si="9"/>
        <v>3322</v>
      </c>
      <c r="E23" s="289">
        <f t="shared" si="9"/>
        <v>1621</v>
      </c>
      <c r="F23" s="289">
        <f t="shared" si="9"/>
        <v>1660</v>
      </c>
      <c r="G23" s="289">
        <f t="shared" si="9"/>
        <v>1664</v>
      </c>
      <c r="H23" s="289">
        <f t="shared" si="9"/>
        <v>1035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83</v>
      </c>
      <c r="M23" s="289">
        <f t="shared" si="9"/>
        <v>0</v>
      </c>
      <c r="N23" s="290">
        <f>SUM(B23:M23)</f>
        <v>52207</v>
      </c>
    </row>
    <row r="25" spans="1:14" ht="39" thickBot="1" x14ac:dyDescent="0.25">
      <c r="B25" s="12" t="s">
        <v>20</v>
      </c>
      <c r="C25" s="277" t="s">
        <v>54</v>
      </c>
      <c r="D25" s="439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277" t="s">
        <v>210</v>
      </c>
      <c r="J25" s="277" t="s">
        <v>214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10" t="s">
        <v>153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2"/>
    </row>
    <row r="27" spans="1:14" x14ac:dyDescent="0.2">
      <c r="A27" s="62" t="s">
        <v>25</v>
      </c>
      <c r="B27" s="21">
        <f>[3]Delta!$EV$15</f>
        <v>188</v>
      </c>
      <c r="C27" s="21">
        <f>'[3]Atlantic Southeast'!$EV$15</f>
        <v>43</v>
      </c>
      <c r="D27" s="21">
        <f>[3]Pinnacle!$EV$15</f>
        <v>105</v>
      </c>
      <c r="E27" s="21">
        <f>[3]Compass!$EV$15</f>
        <v>184</v>
      </c>
      <c r="F27" s="21">
        <f>'[3]Sky West'!$EV$15</f>
        <v>102</v>
      </c>
      <c r="G27" s="21">
        <f>'[3]Sun Country'!$EV$15</f>
        <v>33</v>
      </c>
      <c r="H27" s="21">
        <f>[3]Icelandair!$EV$15</f>
        <v>17</v>
      </c>
      <c r="I27" s="21">
        <f>'[3]Jazz Air'!$EV$15</f>
        <v>0</v>
      </c>
      <c r="J27" s="21">
        <f>'[3]Air Georgian'!$EV$15</f>
        <v>85</v>
      </c>
      <c r="K27" s="21">
        <f>[3]Condor!$EV$15</f>
        <v>0</v>
      </c>
      <c r="L27" s="21">
        <f>'[3]Air France'!$EV$15</f>
        <v>0</v>
      </c>
      <c r="M27" s="21">
        <f>'[3]Charter Misc'!$EV$15+[3]Ryan!$EV$15+[3]Omni!$EV$15</f>
        <v>1</v>
      </c>
      <c r="N27" s="286">
        <f>SUM(B27:M27)</f>
        <v>758</v>
      </c>
    </row>
    <row r="28" spans="1:14" x14ac:dyDescent="0.2">
      <c r="A28" s="62" t="s">
        <v>26</v>
      </c>
      <c r="B28" s="21">
        <f>[3]Delta!$EV$16</f>
        <v>187</v>
      </c>
      <c r="C28" s="21">
        <f>'[3]Atlantic Southeast'!$EV$16</f>
        <v>21</v>
      </c>
      <c r="D28" s="21">
        <f>[3]Pinnacle!$EV$16</f>
        <v>130</v>
      </c>
      <c r="E28" s="21">
        <f>[3]Compass!$EV$16</f>
        <v>184</v>
      </c>
      <c r="F28" s="21">
        <f>'[3]Sky West'!$EV$16</f>
        <v>102</v>
      </c>
      <c r="G28" s="21">
        <f>'[3]Sun Country'!$EV$16</f>
        <v>35</v>
      </c>
      <c r="H28" s="21">
        <f>[3]Icelandair!$EV$16</f>
        <v>17</v>
      </c>
      <c r="I28" s="21">
        <f>'[3]Jazz Air'!$EV$16</f>
        <v>0</v>
      </c>
      <c r="J28" s="21">
        <f>'[3]Air Georgian'!$EV$16</f>
        <v>85</v>
      </c>
      <c r="K28" s="21">
        <f>[3]Condor!$EV$16</f>
        <v>0</v>
      </c>
      <c r="L28" s="21">
        <f>'[3]Air France'!$EV$16</f>
        <v>0</v>
      </c>
      <c r="M28" s="21">
        <f>'[3]Charter Misc'!$EV$16+[3]Ryan!$EV$16+[3]Omni!$EV$16</f>
        <v>0</v>
      </c>
      <c r="N28" s="286">
        <f>SUM(B28:M28)</f>
        <v>761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2">
        <f t="shared" ref="B30:I30" si="12">SUM(B27:B28)</f>
        <v>375</v>
      </c>
      <c r="C30" s="392">
        <f t="shared" si="12"/>
        <v>64</v>
      </c>
      <c r="D30" s="392">
        <f t="shared" si="12"/>
        <v>235</v>
      </c>
      <c r="E30" s="392">
        <f t="shared" si="12"/>
        <v>368</v>
      </c>
      <c r="F30" s="392">
        <f>SUM(F27:F28)</f>
        <v>204</v>
      </c>
      <c r="G30" s="392">
        <f t="shared" si="12"/>
        <v>68</v>
      </c>
      <c r="H30" s="392">
        <f t="shared" si="12"/>
        <v>34</v>
      </c>
      <c r="I30" s="392">
        <f t="shared" si="12"/>
        <v>0</v>
      </c>
      <c r="J30" s="392">
        <f t="shared" ref="J30" si="13">SUM(J27:J28)</f>
        <v>170</v>
      </c>
      <c r="K30" s="392">
        <f>SUM(K27:K28)</f>
        <v>0</v>
      </c>
      <c r="L30" s="392">
        <f>SUM(L27:L28)</f>
        <v>0</v>
      </c>
      <c r="M30" s="392">
        <f>SUM(M27:M28)</f>
        <v>1</v>
      </c>
      <c r="N30" s="393">
        <f>SUM(B30:M30)</f>
        <v>1519</v>
      </c>
    </row>
    <row r="31" spans="1:14" ht="15" x14ac:dyDescent="0.25">
      <c r="A31" s="394"/>
    </row>
    <row r="32" spans="1:14" ht="39" thickBot="1" x14ac:dyDescent="0.25">
      <c r="B32" s="12" t="s">
        <v>20</v>
      </c>
      <c r="C32" s="277" t="s">
        <v>54</v>
      </c>
      <c r="D32" s="439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277" t="s">
        <v>210</v>
      </c>
      <c r="J32" s="277" t="s">
        <v>214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3" t="s">
        <v>154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5"/>
    </row>
    <row r="34" spans="1:14" x14ac:dyDescent="0.2">
      <c r="A34" s="62" t="s">
        <v>25</v>
      </c>
      <c r="B34" s="21">
        <f>SUM([3]Delta!$EL$15:$EV$15)</f>
        <v>4263</v>
      </c>
      <c r="C34" s="21">
        <f>SUM('[3]Atlantic Southeast'!$EL$15:$EV$15)</f>
        <v>438</v>
      </c>
      <c r="D34" s="21">
        <f>SUM([3]Pinnacle!$EL$15:$EV$15)</f>
        <v>2229</v>
      </c>
      <c r="E34" s="21">
        <f>SUM([3]Compass!$EL$15:$EV$15)</f>
        <v>963</v>
      </c>
      <c r="F34" s="21">
        <f>SUM('[3]Sky West'!$EL$15:$EV$15)</f>
        <v>1302</v>
      </c>
      <c r="G34" s="21">
        <f>SUM('[3]Sun Country'!$EL$15:$EV$15)</f>
        <v>1078</v>
      </c>
      <c r="H34" s="21">
        <f>SUM([3]Icelandair!$EL$15:$EV$15)</f>
        <v>193</v>
      </c>
      <c r="I34" s="21">
        <f>SUM('[3]Jazz Air'!$EL$15:$EV$15)</f>
        <v>92</v>
      </c>
      <c r="J34" s="21">
        <f>SUM('[3]Air Georgian'!$EL$15:$EV$15)</f>
        <v>931</v>
      </c>
      <c r="K34" s="21">
        <f>SUM([3]Condor!$EL$15:$EV$15)</f>
        <v>42</v>
      </c>
      <c r="L34" s="21">
        <f>SUM('[3]Air France'!$EL$15:$EV$15)</f>
        <v>125</v>
      </c>
      <c r="M34" s="21">
        <f>SUM('[3]Charter Misc'!$EL$15:$EV$15)+SUM([3]Ryan!$EL$15:$EV$15)+SUM([3]Omni!$EL$15:$EV$15)</f>
        <v>7</v>
      </c>
      <c r="N34" s="286">
        <f>SUM(B34:M34)</f>
        <v>11663</v>
      </c>
    </row>
    <row r="35" spans="1:14" x14ac:dyDescent="0.2">
      <c r="A35" s="62" t="s">
        <v>26</v>
      </c>
      <c r="B35" s="21">
        <f>SUM([3]Delta!$EL$16:$EV$16)</f>
        <v>4266</v>
      </c>
      <c r="C35" s="21">
        <f>SUM('[3]Atlantic Southeast'!$EL$16:$EV$16)</f>
        <v>361</v>
      </c>
      <c r="D35" s="21">
        <f>SUM([3]Pinnacle!$EL$16:$EV$16)</f>
        <v>2327</v>
      </c>
      <c r="E35" s="21">
        <f>SUM([3]Compass!$EL$16:$EV$16)</f>
        <v>963</v>
      </c>
      <c r="F35" s="21">
        <f>SUM('[3]Sky West'!$EL$16:$EV$16)</f>
        <v>1309</v>
      </c>
      <c r="G35" s="21">
        <f>SUM('[3]Sun Country'!$EL$16:$EV$16)</f>
        <v>1066</v>
      </c>
      <c r="H35" s="21">
        <f>SUM([3]Icelandair!$EL$16:$EV$16)</f>
        <v>193</v>
      </c>
      <c r="I35" s="21">
        <f>SUM('[3]Jazz Air'!$EL$16:$EV$16)</f>
        <v>93</v>
      </c>
      <c r="J35" s="21">
        <f>SUM('[3]Air Georgian'!$EL$16:$EV$16)</f>
        <v>930</v>
      </c>
      <c r="K35" s="21">
        <f>SUM([3]Condor!$EL$16:$EV$16)</f>
        <v>42</v>
      </c>
      <c r="L35" s="21">
        <f>SUM('[3]Air France'!$EL$16:$EV$16)</f>
        <v>125</v>
      </c>
      <c r="M35" s="21">
        <f>SUM('[3]Charter Misc'!$EL$16:$EV$16)+SUM([3]Ryan!$EL$16:$EV$16)+SUM([3]Omni!$EL$16:$EV$16)</f>
        <v>4</v>
      </c>
      <c r="N35" s="286">
        <f>SUM(B35:M35)</f>
        <v>11679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2">
        <f t="shared" ref="B37:I37" si="14">+SUM(B34:B35)</f>
        <v>8529</v>
      </c>
      <c r="C37" s="392">
        <f t="shared" si="14"/>
        <v>799</v>
      </c>
      <c r="D37" s="392">
        <f t="shared" si="14"/>
        <v>4556</v>
      </c>
      <c r="E37" s="392">
        <f t="shared" si="14"/>
        <v>1926</v>
      </c>
      <c r="F37" s="392">
        <f>+SUM(F34:F35)</f>
        <v>2611</v>
      </c>
      <c r="G37" s="392">
        <f t="shared" si="14"/>
        <v>2144</v>
      </c>
      <c r="H37" s="392">
        <f t="shared" si="14"/>
        <v>386</v>
      </c>
      <c r="I37" s="392">
        <f t="shared" si="14"/>
        <v>185</v>
      </c>
      <c r="J37" s="392">
        <f t="shared" ref="J37" si="15">+SUM(J34:J35)</f>
        <v>1861</v>
      </c>
      <c r="K37" s="392">
        <f>+SUM(K34:K35)</f>
        <v>84</v>
      </c>
      <c r="L37" s="392">
        <f>+SUM(L34:L35)</f>
        <v>250</v>
      </c>
      <c r="M37" s="392">
        <f>+SUM(M34:M35)</f>
        <v>11</v>
      </c>
      <c r="N37" s="393">
        <f>SUM(B37:M37)</f>
        <v>23342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&amp;"Arial,Bold"November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2016-10-31T20:38:34Z</cp:lastPrinted>
  <dcterms:created xsi:type="dcterms:W3CDTF">2007-09-24T12:26:24Z</dcterms:created>
  <dcterms:modified xsi:type="dcterms:W3CDTF">2020-01-29T19:48:49Z</dcterms:modified>
</cp:coreProperties>
</file>