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8\"/>
    </mc:Choice>
  </mc:AlternateContent>
  <xr:revisionPtr revIDLastSave="0" documentId="13_ncr:1_{90F545A3-03AD-4F1C-BF66-101A1F889630}" xr6:coauthVersionLast="44" xr6:coauthVersionMax="44" xr10:uidLastSave="{00000000-0000-0000-0000-000000000000}"/>
  <bookViews>
    <workbookView xWindow="-1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Cargo!$A$1:$N$37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B21" i="1"/>
  <c r="E10" i="7" l="1"/>
  <c r="P61" i="9" l="1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27" i="8"/>
  <c r="L27" i="8"/>
  <c r="K27" i="8"/>
  <c r="I27" i="8"/>
  <c r="H27" i="8"/>
  <c r="G27" i="8"/>
  <c r="E27" i="8"/>
  <c r="D27" i="8"/>
  <c r="C27" i="8"/>
  <c r="B27" i="8"/>
  <c r="M26" i="8"/>
  <c r="L26" i="8"/>
  <c r="K26" i="8"/>
  <c r="I26" i="8"/>
  <c r="H26" i="8"/>
  <c r="G26" i="8"/>
  <c r="E26" i="8"/>
  <c r="D26" i="8"/>
  <c r="C26" i="8"/>
  <c r="B26" i="8"/>
  <c r="M22" i="8"/>
  <c r="L22" i="8"/>
  <c r="K22" i="8"/>
  <c r="I22" i="8"/>
  <c r="H22" i="8"/>
  <c r="G22" i="8"/>
  <c r="E22" i="8"/>
  <c r="D22" i="8"/>
  <c r="C22" i="8"/>
  <c r="B22" i="8"/>
  <c r="M21" i="8"/>
  <c r="L21" i="8"/>
  <c r="K21" i="8"/>
  <c r="I21" i="8"/>
  <c r="H21" i="8"/>
  <c r="G21" i="8"/>
  <c r="E21" i="8"/>
  <c r="D21" i="8"/>
  <c r="C21" i="8"/>
  <c r="B21" i="8"/>
  <c r="M17" i="8"/>
  <c r="L17" i="8"/>
  <c r="K17" i="8"/>
  <c r="I17" i="8"/>
  <c r="H17" i="8"/>
  <c r="G17" i="8"/>
  <c r="E17" i="8"/>
  <c r="D17" i="8"/>
  <c r="C17" i="8"/>
  <c r="B17" i="8"/>
  <c r="M16" i="8"/>
  <c r="L16" i="8"/>
  <c r="K16" i="8"/>
  <c r="I16" i="8"/>
  <c r="H16" i="8"/>
  <c r="G16" i="8"/>
  <c r="E16" i="8"/>
  <c r="D16" i="8"/>
  <c r="C16" i="8"/>
  <c r="B16" i="8"/>
  <c r="M9" i="8"/>
  <c r="M8" i="8"/>
  <c r="M5" i="8"/>
  <c r="L5" i="8"/>
  <c r="K5" i="8"/>
  <c r="J5" i="8"/>
  <c r="I5" i="8"/>
  <c r="H5" i="8"/>
  <c r="G5" i="8"/>
  <c r="E5" i="8"/>
  <c r="D5" i="8"/>
  <c r="C5" i="8"/>
  <c r="B5" i="8"/>
  <c r="M4" i="8"/>
  <c r="L4" i="8"/>
  <c r="K4" i="8"/>
  <c r="J4" i="8"/>
  <c r="I4" i="8"/>
  <c r="H4" i="8"/>
  <c r="G4" i="8"/>
  <c r="E4" i="8"/>
  <c r="D4" i="8"/>
  <c r="C4" i="8"/>
  <c r="B4" i="8"/>
  <c r="M30" i="7"/>
  <c r="L30" i="7"/>
  <c r="O31" i="7"/>
  <c r="J31" i="7"/>
  <c r="C30" i="7"/>
  <c r="B30" i="7"/>
  <c r="E31" i="7"/>
  <c r="F11" i="7"/>
  <c r="E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0" i="1"/>
  <c r="B20" i="1"/>
  <c r="D37" i="1" l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O30" i="7" l="1"/>
  <c r="E30" i="7"/>
  <c r="J30" i="7"/>
  <c r="O29" i="7" l="1"/>
  <c r="M28" i="7"/>
  <c r="L28" i="7"/>
  <c r="J29" i="7"/>
  <c r="C28" i="7"/>
  <c r="B28" i="7"/>
  <c r="E29" i="7"/>
  <c r="D28" i="7" l="1"/>
  <c r="N28" i="7"/>
  <c r="C10" i="8" l="1"/>
  <c r="C23" i="8" l="1"/>
  <c r="C18" i="8"/>
  <c r="C28" i="8"/>
  <c r="C32" i="8"/>
  <c r="C6" i="8"/>
  <c r="C12" i="8" s="1"/>
  <c r="C31" i="8"/>
  <c r="C33" i="8" l="1"/>
  <c r="O28" i="7"/>
  <c r="M27" i="7"/>
  <c r="L27" i="7"/>
  <c r="N27" i="7" s="1"/>
  <c r="J28" i="7"/>
  <c r="C27" i="7"/>
  <c r="B27" i="7"/>
  <c r="E28" i="7"/>
  <c r="D27" i="7" l="1"/>
  <c r="O27" i="7"/>
  <c r="E27" i="7"/>
  <c r="J16" i="3" l="1"/>
  <c r="J17" i="3"/>
  <c r="O26" i="7"/>
  <c r="M26" i="7"/>
  <c r="L26" i="7"/>
  <c r="J27" i="7"/>
  <c r="E26" i="7"/>
  <c r="C26" i="7"/>
  <c r="B26" i="7"/>
  <c r="D20" i="1" l="1"/>
  <c r="G20" i="1" s="1"/>
  <c r="D26" i="7"/>
  <c r="N26" i="7"/>
  <c r="O25" i="7"/>
  <c r="M25" i="7"/>
  <c r="L25" i="7"/>
  <c r="J26" i="7"/>
  <c r="E25" i="7"/>
  <c r="C25" i="7"/>
  <c r="B25" i="7"/>
  <c r="D65" i="9" l="1"/>
  <c r="N25" i="7"/>
  <c r="D25" i="7"/>
  <c r="G40" i="2"/>
  <c r="G35" i="2"/>
  <c r="G30" i="2"/>
  <c r="G17" i="2"/>
  <c r="G11" i="2"/>
  <c r="G6" i="2"/>
  <c r="G44" i="2"/>
  <c r="N48" i="9" l="1"/>
  <c r="E48" i="9"/>
  <c r="G21" i="2"/>
  <c r="G23" i="2" s="1"/>
  <c r="Q48" i="9"/>
  <c r="G43" i="2"/>
  <c r="H48" i="9"/>
  <c r="M24" i="7" l="1"/>
  <c r="L24" i="7"/>
  <c r="J25" i="7"/>
  <c r="C24" i="7"/>
  <c r="B24" i="7"/>
  <c r="H40" i="2"/>
  <c r="H30" i="2"/>
  <c r="H17" i="2"/>
  <c r="H6" i="2"/>
  <c r="H11" i="2" l="1"/>
  <c r="H44" i="2"/>
  <c r="D24" i="7"/>
  <c r="N24" i="7"/>
  <c r="H21" i="2"/>
  <c r="H23" i="2" s="1"/>
  <c r="J20" i="3"/>
  <c r="J21" i="3"/>
  <c r="H35" i="2"/>
  <c r="E44" i="9"/>
  <c r="N44" i="9"/>
  <c r="Q44" i="9"/>
  <c r="H44" i="9"/>
  <c r="H43" i="2"/>
  <c r="H45" i="2" l="1"/>
  <c r="M23" i="7"/>
  <c r="L23" i="7"/>
  <c r="O24" i="7"/>
  <c r="J24" i="7"/>
  <c r="C23" i="7"/>
  <c r="B23" i="7"/>
  <c r="E24" i="7"/>
  <c r="G23" i="7" l="1"/>
  <c r="H23" i="7"/>
  <c r="M22" i="7"/>
  <c r="L22" i="7"/>
  <c r="C22" i="7"/>
  <c r="B22" i="7"/>
  <c r="O23" i="7"/>
  <c r="J23" i="7"/>
  <c r="E23" i="7"/>
  <c r="G22" i="7" l="1"/>
  <c r="H22" i="7"/>
  <c r="F65" i="9"/>
  <c r="C65" i="9"/>
  <c r="L65" i="9"/>
  <c r="O65" i="9"/>
  <c r="G65" i="9"/>
  <c r="M65" i="9"/>
  <c r="P65" i="9"/>
  <c r="O22" i="7"/>
  <c r="J22" i="7"/>
  <c r="E22" i="7"/>
  <c r="C21" i="7" l="1"/>
  <c r="B21" i="7"/>
  <c r="M21" i="7" l="1"/>
  <c r="L21" i="7"/>
  <c r="G21" i="7" l="1"/>
  <c r="H21" i="7" l="1"/>
  <c r="I21" i="2" l="1"/>
  <c r="I17" i="2"/>
  <c r="I11" i="2"/>
  <c r="I6" i="2"/>
  <c r="I40" i="2"/>
  <c r="I35" i="2"/>
  <c r="I43" i="2" l="1"/>
  <c r="I44" i="2"/>
  <c r="I23" i="2"/>
  <c r="I30" i="2"/>
  <c r="D36" i="15"/>
  <c r="O21" i="7"/>
  <c r="J21" i="7"/>
  <c r="E21" i="7"/>
  <c r="J3" i="17"/>
  <c r="I45" i="2" l="1"/>
  <c r="G17" i="4"/>
  <c r="G27" i="4"/>
  <c r="C13" i="9"/>
  <c r="G12" i="4"/>
  <c r="G20" i="4"/>
  <c r="G32" i="4"/>
  <c r="C18" i="9"/>
  <c r="C31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G21" i="4" l="1"/>
  <c r="D21" i="15"/>
  <c r="G42" i="4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N50" i="9"/>
  <c r="E50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6" i="9" l="1"/>
  <c r="N7" i="9"/>
  <c r="L31" i="9"/>
  <c r="N31" i="9" s="1"/>
  <c r="D31" i="9"/>
  <c r="E31" i="9" s="1"/>
  <c r="G4" i="9"/>
  <c r="P4" i="9"/>
  <c r="Q4" i="9" s="1"/>
  <c r="N9" i="9"/>
  <c r="E11" i="9"/>
  <c r="L13" i="9"/>
  <c r="N13" i="9" s="1"/>
  <c r="Q14" i="9"/>
  <c r="E36" i="9"/>
  <c r="P31" i="9"/>
  <c r="E6" i="9"/>
  <c r="N6" i="9"/>
  <c r="F18" i="9"/>
  <c r="H18" i="9" s="1"/>
  <c r="O31" i="9"/>
  <c r="O66" i="9" s="1"/>
  <c r="N33" i="9"/>
  <c r="Q34" i="9"/>
  <c r="E37" i="9"/>
  <c r="N37" i="9"/>
  <c r="Q38" i="9"/>
  <c r="E57" i="9"/>
  <c r="N57" i="9"/>
  <c r="E59" i="9"/>
  <c r="N59" i="9"/>
  <c r="H35" i="9"/>
  <c r="H50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13" i="9"/>
  <c r="H20" i="9"/>
  <c r="E4" i="9"/>
  <c r="E7" i="9"/>
  <c r="L18" i="9"/>
  <c r="N18" i="9" s="1"/>
  <c r="D18" i="9"/>
  <c r="E21" i="9"/>
  <c r="H24" i="9"/>
  <c r="H40" i="9"/>
  <c r="Q54" i="9"/>
  <c r="G54" i="9"/>
  <c r="Q56" i="9"/>
  <c r="H15" i="9"/>
  <c r="E23" i="9"/>
  <c r="H27" i="9"/>
  <c r="E32" i="9"/>
  <c r="E34" i="9"/>
  <c r="H37" i="9"/>
  <c r="H42" i="9"/>
  <c r="E55" i="9"/>
  <c r="N55" i="9"/>
  <c r="Q58" i="9"/>
  <c r="Q60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Q50" i="9"/>
  <c r="F54" i="9"/>
  <c r="L54" i="9"/>
  <c r="H55" i="9"/>
  <c r="H57" i="9"/>
  <c r="H59" i="9"/>
  <c r="H61" i="9"/>
  <c r="N61" i="9"/>
  <c r="P66" i="9" l="1"/>
  <c r="P64" i="9" s="1"/>
  <c r="D66" i="9"/>
  <c r="D64" i="9" s="1"/>
  <c r="L66" i="9"/>
  <c r="G66" i="9"/>
  <c r="G64" i="9" s="1"/>
  <c r="R48" i="9"/>
  <c r="Q31" i="9"/>
  <c r="E18" i="9"/>
  <c r="E65" i="9"/>
  <c r="M64" i="9"/>
  <c r="N65" i="9"/>
  <c r="H54" i="9"/>
  <c r="H31" i="9"/>
  <c r="H4" i="9"/>
  <c r="Q65" i="9"/>
  <c r="N54" i="9"/>
  <c r="E13" i="9"/>
  <c r="H65" i="9"/>
  <c r="E54" i="9"/>
  <c r="R57" i="9" l="1"/>
  <c r="R44" i="9"/>
  <c r="R31" i="9"/>
  <c r="R35" i="9"/>
  <c r="R22" i="9"/>
  <c r="R33" i="9"/>
  <c r="R55" i="9"/>
  <c r="R23" i="9"/>
  <c r="R24" i="9"/>
  <c r="R65" i="9"/>
  <c r="R19" i="9"/>
  <c r="R46" i="9"/>
  <c r="R42" i="9"/>
  <c r="R14" i="9"/>
  <c r="R54" i="9"/>
  <c r="R20" i="9"/>
  <c r="R60" i="9"/>
  <c r="R13" i="9"/>
  <c r="R56" i="9"/>
  <c r="R9" i="9"/>
  <c r="O64" i="9"/>
  <c r="R50" i="9"/>
  <c r="R27" i="9"/>
  <c r="R59" i="9"/>
  <c r="R7" i="9"/>
  <c r="R6" i="9"/>
  <c r="R32" i="9"/>
  <c r="R52" i="9"/>
  <c r="R40" i="9"/>
  <c r="R58" i="9"/>
  <c r="R5" i="9"/>
  <c r="R34" i="9"/>
  <c r="R16" i="9"/>
  <c r="R25" i="9"/>
  <c r="Q66" i="9"/>
  <c r="R18" i="9"/>
  <c r="R29" i="9"/>
  <c r="R51" i="9"/>
  <c r="R61" i="9"/>
  <c r="R15" i="9"/>
  <c r="R4" i="9"/>
  <c r="R37" i="9"/>
  <c r="R36" i="9"/>
  <c r="R21" i="9"/>
  <c r="R11" i="9"/>
  <c r="R38" i="9"/>
  <c r="R66" i="9"/>
  <c r="N66" i="9"/>
  <c r="L64" i="9"/>
  <c r="R64" i="9" l="1"/>
  <c r="Q64" i="9"/>
  <c r="N64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H32" i="8" l="1"/>
  <c r="H18" i="8"/>
  <c r="H6" i="8"/>
  <c r="H31" i="8"/>
  <c r="H10" i="8"/>
  <c r="H12" i="8" l="1"/>
  <c r="H23" i="8"/>
  <c r="H28" i="8"/>
  <c r="H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K37" i="15"/>
  <c r="M30" i="16"/>
  <c r="M6" i="16"/>
  <c r="M37" i="16"/>
  <c r="F6" i="2"/>
  <c r="F17" i="2"/>
  <c r="F30" i="2"/>
  <c r="F40" i="2"/>
  <c r="K32" i="15"/>
  <c r="K12" i="15"/>
  <c r="K27" i="15"/>
  <c r="K17" i="15"/>
  <c r="M18" i="16"/>
  <c r="K40" i="15"/>
  <c r="K20" i="15"/>
  <c r="M11" i="16"/>
  <c r="K41" i="15"/>
  <c r="F43" i="2"/>
  <c r="F44" i="2"/>
  <c r="F45" i="2" l="1"/>
  <c r="F23" i="2"/>
  <c r="G45" i="2"/>
  <c r="K21" i="15"/>
  <c r="K42" i="15"/>
  <c r="I10" i="8" l="1"/>
  <c r="I18" i="8" l="1"/>
  <c r="I28" i="8"/>
  <c r="I31" i="8"/>
  <c r="I23" i="8"/>
  <c r="I6" i="8"/>
  <c r="I12" i="8" s="1"/>
  <c r="I32" i="8"/>
  <c r="L18" i="8"/>
  <c r="D30" i="2"/>
  <c r="B30" i="3"/>
  <c r="C27" i="4"/>
  <c r="K27" i="4"/>
  <c r="F27" i="15"/>
  <c r="D23" i="8"/>
  <c r="D35" i="2"/>
  <c r="B35" i="3"/>
  <c r="F35" i="3"/>
  <c r="H35" i="3"/>
  <c r="E32" i="4"/>
  <c r="B32" i="15"/>
  <c r="I32" i="15"/>
  <c r="L32" i="15"/>
  <c r="K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J51" i="2" s="1"/>
  <c r="O33" i="7"/>
  <c r="J33" i="7"/>
  <c r="E33" i="7"/>
  <c r="K47" i="2"/>
  <c r="N32" i="7"/>
  <c r="P32" i="7" s="1"/>
  <c r="I32" i="7"/>
  <c r="K32" i="7" s="1"/>
  <c r="D32" i="7"/>
  <c r="F32" i="7" s="1"/>
  <c r="M45" i="15"/>
  <c r="M44" i="15"/>
  <c r="P20" i="16"/>
  <c r="P8" i="16"/>
  <c r="K42" i="2"/>
  <c r="K37" i="2"/>
  <c r="K36" i="2"/>
  <c r="K32" i="2"/>
  <c r="K8" i="2"/>
  <c r="M34" i="4"/>
  <c r="M33" i="4"/>
  <c r="M14" i="4"/>
  <c r="B10" i="8"/>
  <c r="D10" i="8"/>
  <c r="E10" i="8"/>
  <c r="G10" i="8"/>
  <c r="J10" i="8"/>
  <c r="K10" i="8"/>
  <c r="L10" i="8"/>
  <c r="J33" i="8"/>
  <c r="L32" i="8" l="1"/>
  <c r="O37" i="16"/>
  <c r="H18" i="3"/>
  <c r="H23" i="3" s="1"/>
  <c r="C17" i="4"/>
  <c r="K37" i="4"/>
  <c r="K37" i="16"/>
  <c r="E32" i="8"/>
  <c r="I37" i="16"/>
  <c r="B18" i="3"/>
  <c r="F17" i="15"/>
  <c r="B37" i="16"/>
  <c r="F37" i="16"/>
  <c r="H44" i="3"/>
  <c r="J48" i="3"/>
  <c r="J50" i="2" s="1"/>
  <c r="K50" i="2" s="1"/>
  <c r="D30" i="16"/>
  <c r="I30" i="16"/>
  <c r="O11" i="16"/>
  <c r="F41" i="15"/>
  <c r="K41" i="4"/>
  <c r="C23" i="16"/>
  <c r="L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K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K6" i="8"/>
  <c r="K12" i="8" s="1"/>
  <c r="M32" i="8"/>
  <c r="L41" i="15"/>
  <c r="G41" i="15"/>
  <c r="B41" i="15"/>
  <c r="D41" i="4"/>
  <c r="D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M23" i="8"/>
  <c r="E23" i="8"/>
  <c r="L27" i="15"/>
  <c r="G27" i="15"/>
  <c r="J28" i="3"/>
  <c r="J28" i="2" s="1"/>
  <c r="K28" i="2" s="1"/>
  <c r="B5" i="5" s="1"/>
  <c r="K23" i="8"/>
  <c r="I33" i="8"/>
  <c r="C30" i="16"/>
  <c r="H30" i="16"/>
  <c r="G7" i="3"/>
  <c r="E7" i="7"/>
  <c r="C12" i="7"/>
  <c r="L6" i="8"/>
  <c r="L12" i="8" s="1"/>
  <c r="C44" i="3"/>
  <c r="F32" i="15"/>
  <c r="K32" i="4"/>
  <c r="D27" i="4"/>
  <c r="M18" i="8"/>
  <c r="E18" i="8"/>
  <c r="G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J9" i="2" s="1"/>
  <c r="B17" i="2"/>
  <c r="D21" i="1"/>
  <c r="G21" i="1" s="1"/>
  <c r="H41" i="15"/>
  <c r="M36" i="15"/>
  <c r="L36" i="4" s="1"/>
  <c r="M36" i="4" s="1"/>
  <c r="C16" i="5" s="1"/>
  <c r="B37" i="4"/>
  <c r="M31" i="8"/>
  <c r="E28" i="8"/>
  <c r="L40" i="15"/>
  <c r="D40" i="4"/>
  <c r="H40" i="3"/>
  <c r="B40" i="3"/>
  <c r="D40" i="2"/>
  <c r="F44" i="3"/>
  <c r="B32" i="8"/>
  <c r="M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19" i="2"/>
  <c r="K19" i="2" s="1"/>
  <c r="N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F23" i="16"/>
  <c r="N11" i="16"/>
  <c r="L20" i="15"/>
  <c r="L21" i="15" s="1"/>
  <c r="C40" i="4"/>
  <c r="D31" i="8"/>
  <c r="F43" i="3"/>
  <c r="B41" i="4"/>
  <c r="C32" i="4"/>
  <c r="B18" i="16"/>
  <c r="F18" i="16"/>
  <c r="P21" i="16"/>
  <c r="H7" i="3"/>
  <c r="C6" i="2"/>
  <c r="F7" i="15"/>
  <c r="H7" i="15"/>
  <c r="E7" i="4"/>
  <c r="J15" i="2"/>
  <c r="K15" i="2" s="1"/>
  <c r="I40" i="15"/>
  <c r="E6" i="8"/>
  <c r="E12" i="8" s="1"/>
  <c r="N5" i="8"/>
  <c r="C19" i="1" s="1"/>
  <c r="N27" i="8"/>
  <c r="D16" i="5" s="1"/>
  <c r="C44" i="2"/>
  <c r="H23" i="16"/>
  <c r="J5" i="3"/>
  <c r="J4" i="2" s="1"/>
  <c r="K4" i="2" s="1"/>
  <c r="B5" i="1" s="1"/>
  <c r="C7" i="15"/>
  <c r="L5" i="4"/>
  <c r="M5" i="4" s="1"/>
  <c r="L16" i="4"/>
  <c r="M16" i="4" s="1"/>
  <c r="G20" i="15"/>
  <c r="G21" i="15" s="1"/>
  <c r="I30" i="3"/>
  <c r="I43" i="3"/>
  <c r="J34" i="3"/>
  <c r="J34" i="2" s="1"/>
  <c r="K34" i="2" s="1"/>
  <c r="B11" i="5" s="1"/>
  <c r="J29" i="3"/>
  <c r="J29" i="2" s="1"/>
  <c r="F12" i="3"/>
  <c r="G35" i="3"/>
  <c r="M31" i="15"/>
  <c r="L31" i="4" s="1"/>
  <c r="G18" i="8"/>
  <c r="C30" i="2"/>
  <c r="I40" i="3"/>
  <c r="I44" i="3"/>
  <c r="N9" i="8"/>
  <c r="K30" i="16"/>
  <c r="P28" i="16"/>
  <c r="P17" i="16"/>
  <c r="H18" i="16"/>
  <c r="D23" i="16"/>
  <c r="H40" i="4"/>
  <c r="H37" i="4"/>
  <c r="J38" i="3"/>
  <c r="J38" i="2" s="1"/>
  <c r="F40" i="3"/>
  <c r="G28" i="8"/>
  <c r="G32" i="8"/>
  <c r="N16" i="8"/>
  <c r="D5" i="5" s="1"/>
  <c r="H37" i="15"/>
  <c r="L18" i="4"/>
  <c r="M18" i="4" s="1"/>
  <c r="K32" i="8"/>
  <c r="P10" i="16"/>
  <c r="B11" i="16"/>
  <c r="K51" i="2"/>
  <c r="J20" i="2"/>
  <c r="K20" i="2" s="1"/>
  <c r="G22" i="3"/>
  <c r="H41" i="4"/>
  <c r="N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N22" i="8"/>
  <c r="D11" i="5" s="1"/>
  <c r="H27" i="15"/>
  <c r="C41" i="15"/>
  <c r="E41" i="4"/>
  <c r="F30" i="3"/>
  <c r="N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N21" i="8"/>
  <c r="H27" i="4"/>
  <c r="O6" i="16"/>
  <c r="J6" i="3"/>
  <c r="J5" i="2" s="1"/>
  <c r="K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M6" i="8"/>
  <c r="I41" i="15"/>
  <c r="B31" i="8"/>
  <c r="K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J6" i="8"/>
  <c r="J12" i="8" s="1"/>
  <c r="M28" i="8"/>
  <c r="G6" i="8"/>
  <c r="G12" i="8" s="1"/>
  <c r="B6" i="2"/>
  <c r="J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N4" i="8"/>
  <c r="B19" i="1" s="1"/>
  <c r="D6" i="8"/>
  <c r="L31" i="8"/>
  <c r="L23" i="8"/>
  <c r="D32" i="8"/>
  <c r="B43" i="3"/>
  <c r="C11" i="16"/>
  <c r="P9" i="16"/>
  <c r="B31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J33" i="2" s="1"/>
  <c r="D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C31" i="7" l="1"/>
  <c r="F27" i="7"/>
  <c r="F26" i="7"/>
  <c r="J22" i="3"/>
  <c r="J18" i="3"/>
  <c r="F25" i="7"/>
  <c r="F24" i="7"/>
  <c r="D23" i="7"/>
  <c r="F23" i="7" s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D33" i="1" s="1"/>
  <c r="N10" i="8"/>
  <c r="H45" i="3"/>
  <c r="K33" i="8"/>
  <c r="F21" i="15"/>
  <c r="G45" i="3"/>
  <c r="D45" i="2"/>
  <c r="C45" i="3"/>
  <c r="M12" i="8"/>
  <c r="G23" i="3"/>
  <c r="B33" i="8"/>
  <c r="H42" i="15"/>
  <c r="I21" i="15"/>
  <c r="F42" i="15"/>
  <c r="B42" i="4"/>
  <c r="D7" i="1"/>
  <c r="G7" i="1" s="1"/>
  <c r="J17" i="2"/>
  <c r="K17" i="2" s="1"/>
  <c r="J12" i="3"/>
  <c r="J44" i="3"/>
  <c r="E45" i="2"/>
  <c r="M33" i="8"/>
  <c r="E21" i="4"/>
  <c r="D17" i="5"/>
  <c r="F45" i="3"/>
  <c r="G42" i="15"/>
  <c r="D18" i="1"/>
  <c r="G18" i="1" s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M32" i="15"/>
  <c r="M25" i="4"/>
  <c r="C5" i="5" s="1"/>
  <c r="J30" i="3"/>
  <c r="P6" i="16"/>
  <c r="J7" i="3"/>
  <c r="N23" i="8"/>
  <c r="B21" i="4"/>
  <c r="N18" i="8"/>
  <c r="N31" i="8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I42" i="15"/>
  <c r="E23" i="2"/>
  <c r="M27" i="15"/>
  <c r="B16" i="1"/>
  <c r="C17" i="1"/>
  <c r="P37" i="16"/>
  <c r="L41" i="4"/>
  <c r="M41" i="4" s="1"/>
  <c r="P18" i="16"/>
  <c r="D19" i="1"/>
  <c r="G19" i="1" s="1"/>
  <c r="J6" i="2"/>
  <c r="K6" i="2" s="1"/>
  <c r="D5" i="1" s="1"/>
  <c r="G5" i="1" s="1"/>
  <c r="L20" i="4"/>
  <c r="M20" i="4" s="1"/>
  <c r="N32" i="8"/>
  <c r="G7" i="7"/>
  <c r="P30" i="16"/>
  <c r="N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L33" i="8"/>
  <c r="M37" i="15"/>
  <c r="C23" i="3"/>
  <c r="L17" i="4"/>
  <c r="M17" i="4" s="1"/>
  <c r="D10" i="5"/>
  <c r="D12" i="8"/>
  <c r="N6" i="8"/>
  <c r="E42" i="4"/>
  <c r="C42" i="15"/>
  <c r="M40" i="15"/>
  <c r="M41" i="15"/>
  <c r="D33" i="8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D31" i="7" l="1"/>
  <c r="F31" i="7" s="1"/>
  <c r="D30" i="7"/>
  <c r="F30" i="7" s="1"/>
  <c r="F28" i="7"/>
  <c r="D22" i="7"/>
  <c r="F22" i="7" s="1"/>
  <c r="B8" i="1"/>
  <c r="F18" i="1"/>
  <c r="M21" i="15"/>
  <c r="D6" i="1"/>
  <c r="G6" i="1" s="1"/>
  <c r="C8" i="1"/>
  <c r="C33" i="1" s="1"/>
  <c r="N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M42" i="15"/>
  <c r="J23" i="3"/>
  <c r="B17" i="1"/>
  <c r="D17" i="1" s="1"/>
  <c r="G17" i="1" s="1"/>
  <c r="K43" i="2"/>
  <c r="C11" i="5"/>
  <c r="C28" i="1"/>
  <c r="C27" i="1"/>
  <c r="N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G16" i="1" s="1"/>
  <c r="F5" i="1"/>
  <c r="E6" i="5"/>
  <c r="F6" i="5" s="1"/>
  <c r="I6" i="5" s="1"/>
  <c r="C7" i="5"/>
  <c r="E5" i="5"/>
  <c r="D10" i="1" l="1"/>
  <c r="G10" i="1" s="1"/>
  <c r="D8" i="1"/>
  <c r="F8" i="1" s="1"/>
  <c r="F6" i="1"/>
  <c r="C11" i="1"/>
  <c r="B32" i="1"/>
  <c r="D32" i="1" s="1"/>
  <c r="B11" i="1"/>
  <c r="L31" i="7" s="1"/>
  <c r="D28" i="1"/>
  <c r="G28" i="1" s="1"/>
  <c r="B22" i="1"/>
  <c r="B29" i="1"/>
  <c r="C12" i="5"/>
  <c r="C21" i="5"/>
  <c r="E21" i="5" s="1"/>
  <c r="F21" i="5" s="1"/>
  <c r="I21" i="5" s="1"/>
  <c r="E11" i="5"/>
  <c r="F11" i="5" s="1"/>
  <c r="I11" i="5" s="1"/>
  <c r="C29" i="1"/>
  <c r="F5" i="5"/>
  <c r="I5" i="5" s="1"/>
  <c r="E7" i="5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H30" i="7" l="1"/>
  <c r="M31" i="7"/>
  <c r="H31" i="7" s="1"/>
  <c r="G31" i="7"/>
  <c r="N30" i="7"/>
  <c r="P30" i="7" s="1"/>
  <c r="G30" i="7"/>
  <c r="H28" i="7"/>
  <c r="P28" i="7"/>
  <c r="G28" i="7"/>
  <c r="G27" i="7"/>
  <c r="H26" i="7"/>
  <c r="H27" i="7"/>
  <c r="P26" i="7"/>
  <c r="G26" i="7"/>
  <c r="G25" i="7"/>
  <c r="H24" i="7"/>
  <c r="H25" i="7"/>
  <c r="G24" i="7"/>
  <c r="P24" i="7"/>
  <c r="F10" i="1"/>
  <c r="I23" i="7"/>
  <c r="K23" i="7" s="1"/>
  <c r="N23" i="7"/>
  <c r="P23" i="7" s="1"/>
  <c r="C32" i="1"/>
  <c r="N22" i="7"/>
  <c r="P22" i="7" s="1"/>
  <c r="H21" i="5"/>
  <c r="F28" i="1"/>
  <c r="D11" i="1"/>
  <c r="F11" i="1" s="1"/>
  <c r="N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E22" i="5"/>
  <c r="F12" i="5"/>
  <c r="H12" i="5" s="1"/>
  <c r="H10" i="5"/>
  <c r="I31" i="7" l="1"/>
  <c r="K31" i="7" s="1"/>
  <c r="N31" i="7"/>
  <c r="P31" i="7" s="1"/>
  <c r="I30" i="7"/>
  <c r="K30" i="7" s="1"/>
  <c r="I28" i="7"/>
  <c r="K28" i="7" s="1"/>
  <c r="I26" i="7"/>
  <c r="K26" i="7" s="1"/>
  <c r="I27" i="7"/>
  <c r="K27" i="7" s="1"/>
  <c r="P27" i="7"/>
  <c r="I24" i="7"/>
  <c r="K24" i="7" s="1"/>
  <c r="I25" i="7"/>
  <c r="K25" i="7" s="1"/>
  <c r="P25" i="7"/>
  <c r="I22" i="7"/>
  <c r="K22" i="7" s="1"/>
  <c r="P21" i="7"/>
  <c r="I21" i="7"/>
  <c r="F22" i="5"/>
  <c r="H22" i="5" s="1"/>
  <c r="H20" i="5"/>
  <c r="K21" i="7" l="1"/>
  <c r="H52" i="9" l="1"/>
  <c r="F66" i="9"/>
  <c r="I52" i="9" s="1"/>
  <c r="C66" i="9"/>
  <c r="E52" i="9"/>
  <c r="C64" i="9" l="1"/>
  <c r="E66" i="9"/>
  <c r="I48" i="9"/>
  <c r="I4" i="9"/>
  <c r="I9" i="9"/>
  <c r="I40" i="9"/>
  <c r="I32" i="9"/>
  <c r="I11" i="9"/>
  <c r="I15" i="9"/>
  <c r="I55" i="9"/>
  <c r="I24" i="9"/>
  <c r="I44" i="9"/>
  <c r="I65" i="9"/>
  <c r="I56" i="9"/>
  <c r="I19" i="9"/>
  <c r="I34" i="9"/>
  <c r="I57" i="9"/>
  <c r="I38" i="9"/>
  <c r="I31" i="9"/>
  <c r="I37" i="9"/>
  <c r="I21" i="9"/>
  <c r="I16" i="9"/>
  <c r="I42" i="9"/>
  <c r="I27" i="9"/>
  <c r="I61" i="9"/>
  <c r="I20" i="9"/>
  <c r="I5" i="9"/>
  <c r="I46" i="9"/>
  <c r="I25" i="9"/>
  <c r="I54" i="9"/>
  <c r="I36" i="9"/>
  <c r="I29" i="9"/>
  <c r="I58" i="9"/>
  <c r="H66" i="9"/>
  <c r="I66" i="9" s="1"/>
  <c r="I59" i="9"/>
  <c r="I35" i="9"/>
  <c r="I18" i="9"/>
  <c r="F64" i="9"/>
  <c r="I13" i="9"/>
  <c r="I6" i="9"/>
  <c r="I22" i="9"/>
  <c r="I23" i="9"/>
  <c r="I60" i="9"/>
  <c r="I14" i="9"/>
  <c r="I50" i="9"/>
  <c r="I33" i="9"/>
  <c r="I7" i="9"/>
  <c r="E64" i="9" l="1"/>
  <c r="H64" i="9"/>
  <c r="I64" i="9"/>
  <c r="I20" i="1" l="1"/>
  <c r="B29" i="7" l="1"/>
  <c r="I21" i="1" l="1"/>
  <c r="B33" i="7"/>
  <c r="I7" i="1"/>
  <c r="I18" i="1" l="1"/>
  <c r="I19" i="1"/>
  <c r="I5" i="1"/>
  <c r="C29" i="7"/>
  <c r="I6" i="1"/>
  <c r="I17" i="1"/>
  <c r="K6" i="5"/>
  <c r="I16" i="1" l="1"/>
  <c r="G22" i="1"/>
  <c r="I22" i="1" s="1"/>
  <c r="C33" i="7"/>
  <c r="D29" i="7"/>
  <c r="G8" i="1"/>
  <c r="I10" i="1"/>
  <c r="L29" i="7"/>
  <c r="I28" i="1"/>
  <c r="K21" i="5"/>
  <c r="K11" i="5"/>
  <c r="F29" i="7" l="1"/>
  <c r="D33" i="7"/>
  <c r="K5" i="5"/>
  <c r="I7" i="5"/>
  <c r="K7" i="5" s="1"/>
  <c r="K10" i="5"/>
  <c r="I12" i="5"/>
  <c r="K12" i="5" s="1"/>
  <c r="G29" i="1"/>
  <c r="I29" i="1" s="1"/>
  <c r="I27" i="1"/>
  <c r="L33" i="7"/>
  <c r="G29" i="7"/>
  <c r="I17" i="5"/>
  <c r="K17" i="5" s="1"/>
  <c r="K15" i="5"/>
  <c r="D34" i="1"/>
  <c r="E33" i="1" s="1"/>
  <c r="I8" i="1"/>
  <c r="G11" i="1"/>
  <c r="I11" i="1" s="1"/>
  <c r="F33" i="7" l="1"/>
  <c r="K20" i="5"/>
  <c r="I22" i="5"/>
  <c r="K22" i="5" s="1"/>
  <c r="M29" i="7"/>
  <c r="E32" i="1"/>
  <c r="G33" i="7"/>
  <c r="H29" i="7" l="1"/>
  <c r="M33" i="7"/>
  <c r="N29" i="7"/>
  <c r="P29" i="7" l="1"/>
  <c r="N33" i="7"/>
  <c r="P33" i="7" s="1"/>
  <c r="H33" i="7"/>
  <c r="I29" i="7"/>
  <c r="K29" i="7" l="1"/>
  <c r="I33" i="7"/>
  <c r="K33" i="7" l="1"/>
</calcChain>
</file>

<file path=xl/sharedStrings.xml><?xml version="1.0" encoding="utf-8"?>
<sst xmlns="http://schemas.openxmlformats.org/spreadsheetml/2006/main" count="598" uniqueCount="232">
  <si>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</si>
  <si>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</si>
  <si>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</si>
  <si>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</si>
  <si>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</si>
  <si>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</si>
  <si>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</si>
  <si>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</si>
  <si>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</si>
  <si>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</si>
  <si>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</si>
  <si>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</si>
  <si>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</si>
  <si>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</si>
  <si>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</si>
  <si>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</si>
  <si>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</si>
  <si>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</si>
  <si>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</si>
  <si>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</si>
  <si>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</si>
  <si>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</si>
  <si>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</si>
  <si>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</si>
  <si>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</si>
  <si>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</si>
  <si>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</si>
  <si>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</si>
  <si>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</si>
  <si>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</si>
  <si>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</si>
  <si>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</si>
  <si>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</si>
  <si>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</si>
  <si>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</si>
  <si>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</si>
  <si>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</si>
  <si>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</si>
  <si>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</si>
  <si>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</si>
  <si>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</si>
  <si>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</si>
  <si>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</si>
  <si>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</si>
  <si>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</si>
  <si>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</si>
  <si>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</si>
  <si>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</si>
  <si>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</si>
  <si>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</si>
  <si>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</si>
  <si>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</si>
  <si>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</si>
  <si>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</si>
  <si>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</si>
  <si>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</si>
  <si>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</si>
  <si>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</si>
  <si>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</si>
  <si>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</si>
  <si>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</si>
  <si>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</si>
  <si>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</si>
  <si>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</si>
  <si>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</si>
  <si>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</si>
  <si>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</si>
  <si>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</si>
  <si>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</si>
  <si>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</si>
  <si>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</si>
  <si>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</si>
  <si>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</si>
  <si>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</si>
  <si>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</si>
  <si>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</si>
  <si>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</si>
  <si>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</si>
  <si>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</si>
  <si>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</si>
  <si>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</si>
  <si>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</si>
  <si>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</si>
  <si>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</si>
  <si>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</si>
  <si>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</si>
  <si>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</si>
  <si>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</si>
  <si>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</si>
  <si>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</si>
  <si>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</si>
  <si>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</si>
  <si>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</si>
  <si>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</si>
  <si>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</si>
  <si>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</si>
  <si>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</si>
  <si>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</si>
  <si>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</si>
  <si>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</si>
  <si>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</si>
  <si>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</si>
  <si>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</si>
  <si>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</si>
  <si>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</si>
  <si>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</si>
  <si>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</si>
  <si>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</si>
  <si>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</si>
  <si>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</si>
  <si>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</si>
  <si>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</si>
  <si>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</si>
  <si>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</si>
  <si>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</si>
  <si>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</si>
  <si>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</si>
  <si>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</si>
  <si>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</si>
  <si>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</si>
  <si>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</si>
  <si>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</si>
  <si>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</si>
  <si>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</si>
  <si>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</si>
  <si>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</si>
  <si>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</si>
  <si>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</si>
  <si>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</si>
  <si>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</si>
  <si>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</si>
  <si>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</si>
  <si>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</si>
  <si>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</si>
  <si>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</si>
  <si>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</si>
  <si>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</si>
  <si>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</si>
  <si>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</si>
  <si>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</si>
  <si>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</si>
  <si>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</si>
  <si>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</si>
  <si>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</si>
  <si>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</si>
  <si>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</si>
  <si>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</si>
  <si>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</si>
  <si>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</si>
  <si>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</si>
  <si>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</si>
  <si>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</si>
  <si>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</si>
  <si>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</si>
  <si>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</si>
  <si>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</si>
  <si>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</si>
  <si>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</si>
  <si>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</si>
  <si>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</si>
  <si>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</si>
  <si>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</si>
  <si>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</si>
  <si>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</si>
  <si>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</si>
  <si>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</si>
  <si>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</si>
  <si>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</si>
  <si>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</si>
  <si>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</si>
  <si>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</si>
  <si>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</si>
  <si>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</si>
  <si>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</si>
  <si>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</si>
  <si>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</si>
  <si>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</si>
  <si>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</si>
  <si>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</si>
  <si>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</si>
  <si>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</si>
  <si>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</si>
  <si>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</si>
  <si>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</si>
  <si>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</si>
  <si>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</si>
  <si>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</si>
  <si>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</si>
  <si>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</si>
  <si>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</si>
  <si>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</si>
  <si>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</si>
  <si>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</si>
  <si>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</si>
  <si>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</si>
  <si>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</si>
  <si>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</si>
  <si>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</si>
  <si>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</si>
  <si>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</si>
  <si>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</si>
  <si>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</si>
  <si>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</si>
  <si>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</si>
  <si>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</si>
  <si>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</si>
  <si>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</si>
  <si>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</si>
  <si>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</si>
  <si>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</si>
  <si>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</si>
  <si>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</si>
  <si>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</si>
  <si>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</si>
  <si>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</si>
  <si>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</si>
  <si>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</si>
  <si>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</si>
  <si>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</si>
  <si>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</si>
  <si>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</si>
  <si>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</si>
  <si>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</si>
  <si>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</si>
  <si>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</si>
  <si>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</si>
  <si>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</si>
  <si>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</si>
  <si>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</si>
  <si>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Jet Blue</t>
  </si>
  <si>
    <t>Atlas Air -Amazon</t>
  </si>
  <si>
    <t>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</si>
</sst>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16" xfId="0" applyFont="1" applyBorder="1"/>
    <xf numFmtId="0" fontId="4" fillId="0" borderId="0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November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y%20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ne%2020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ly%2020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ugus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8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September%2020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October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2262007</v>
          </cell>
          <cell r="G5">
            <v>27015988</v>
          </cell>
        </row>
        <row r="6">
          <cell r="D6">
            <v>599457</v>
          </cell>
          <cell r="G6">
            <v>6946325</v>
          </cell>
        </row>
        <row r="7">
          <cell r="D7">
            <v>136</v>
          </cell>
          <cell r="G7">
            <v>5383</v>
          </cell>
        </row>
        <row r="10">
          <cell r="D10">
            <v>91909</v>
          </cell>
          <cell r="G10">
            <v>1138855</v>
          </cell>
        </row>
        <row r="16">
          <cell r="D16">
            <v>17944</v>
          </cell>
          <cell r="G16">
            <v>210678</v>
          </cell>
        </row>
        <row r="17">
          <cell r="D17">
            <v>11706</v>
          </cell>
          <cell r="G17">
            <v>137545</v>
          </cell>
        </row>
        <row r="18">
          <cell r="D18">
            <v>2</v>
          </cell>
          <cell r="G18">
            <v>43</v>
          </cell>
        </row>
        <row r="19">
          <cell r="D19">
            <v>1288</v>
          </cell>
          <cell r="G19">
            <v>13402</v>
          </cell>
        </row>
        <row r="20">
          <cell r="D20">
            <v>1654</v>
          </cell>
          <cell r="G20">
            <v>20560</v>
          </cell>
        </row>
        <row r="21">
          <cell r="D21">
            <v>88</v>
          </cell>
          <cell r="G21">
            <v>667</v>
          </cell>
        </row>
        <row r="27">
          <cell r="D27">
            <v>16565.475486854139</v>
          </cell>
          <cell r="G27">
            <v>185057.98224000318</v>
          </cell>
        </row>
        <row r="28">
          <cell r="D28">
            <v>2365.9858827112203</v>
          </cell>
          <cell r="G28">
            <v>22938.546714898424</v>
          </cell>
        </row>
        <row r="32">
          <cell r="B32">
            <v>870937</v>
          </cell>
          <cell r="D32">
            <v>10134632</v>
          </cell>
        </row>
        <row r="33">
          <cell r="B33">
            <v>569134</v>
          </cell>
          <cell r="D33">
            <v>6827039</v>
          </cell>
        </row>
      </sheetData>
      <sheetData sheetId="1"/>
      <sheetData sheetId="2"/>
      <sheetData sheetId="3"/>
      <sheetData sheetId="4"/>
      <sheetData sheetId="5">
        <row r="31">
          <cell r="D31">
            <v>179608</v>
          </cell>
          <cell r="I31">
            <v>2773901</v>
          </cell>
          <cell r="N31">
            <v>2953509</v>
          </cell>
        </row>
      </sheetData>
      <sheetData sheetId="6"/>
      <sheetData sheetId="7">
        <row r="5">
          <cell r="F5">
            <v>9133.8521162018897</v>
          </cell>
          <cell r="I5">
            <v>100179.55581658255</v>
          </cell>
        </row>
        <row r="6">
          <cell r="F6">
            <v>925.13339008089997</v>
          </cell>
          <cell r="I6">
            <v>9980.8183867530588</v>
          </cell>
        </row>
        <row r="10">
          <cell r="F10">
            <v>7431.6233706522498</v>
          </cell>
          <cell r="I10">
            <v>84878.42642342062</v>
          </cell>
        </row>
        <row r="11">
          <cell r="F11">
            <v>1440.8524926303201</v>
          </cell>
          <cell r="I11">
            <v>12957.728328145369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16565.475486854139</v>
          </cell>
        </row>
        <row r="21">
          <cell r="F21">
            <v>2365.9858827112198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130702</v>
          </cell>
          <cell r="C24">
            <v>111716</v>
          </cell>
          <cell r="L24">
            <v>1544136</v>
          </cell>
          <cell r="M24">
            <v>1449126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128052</v>
          </cell>
          <cell r="C25">
            <v>118282</v>
          </cell>
          <cell r="L25">
            <v>1632409</v>
          </cell>
          <cell r="M25">
            <v>1595081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225442</v>
          </cell>
          <cell r="I25">
            <v>2980236</v>
          </cell>
          <cell r="N25">
            <v>3205678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128004</v>
          </cell>
          <cell r="C26">
            <v>132185</v>
          </cell>
          <cell r="L26">
            <v>1762626</v>
          </cell>
          <cell r="M26">
            <v>1753039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248451</v>
          </cell>
          <cell r="I26">
            <v>3247151</v>
          </cell>
          <cell r="N26">
            <v>3495602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139361</v>
          </cell>
          <cell r="C27">
            <v>126713</v>
          </cell>
          <cell r="L27">
            <v>1834236</v>
          </cell>
          <cell r="M27">
            <v>1830772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263710</v>
          </cell>
          <cell r="I27">
            <v>3397860</v>
          </cell>
          <cell r="N27">
            <v>3661570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139687</v>
          </cell>
          <cell r="C28">
            <v>136180</v>
          </cell>
          <cell r="L28">
            <v>1876007</v>
          </cell>
          <cell r="M28">
            <v>1863098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267158</v>
          </cell>
          <cell r="I28">
            <v>3401041</v>
          </cell>
          <cell r="N28">
            <v>3668199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24639570</v>
          </cell>
        </row>
        <row r="6">
          <cell r="G6">
            <v>6514655</v>
          </cell>
        </row>
        <row r="7">
          <cell r="G7">
            <v>4091</v>
          </cell>
        </row>
        <row r="10">
          <cell r="G10">
            <v>1065421</v>
          </cell>
        </row>
        <row r="16">
          <cell r="G16">
            <v>187474</v>
          </cell>
        </row>
        <row r="17">
          <cell r="G17">
            <v>125460</v>
          </cell>
        </row>
        <row r="18">
          <cell r="G18">
            <v>32</v>
          </cell>
        </row>
        <row r="19">
          <cell r="G19">
            <v>12784</v>
          </cell>
        </row>
        <row r="20">
          <cell r="G20">
            <v>17320</v>
          </cell>
        </row>
        <row r="21">
          <cell r="G21">
            <v>985</v>
          </cell>
        </row>
        <row r="27">
          <cell r="G27">
            <v>177798.52393571578</v>
          </cell>
        </row>
        <row r="28">
          <cell r="G28">
            <v>20934.814213825048</v>
          </cell>
        </row>
        <row r="32">
          <cell r="D32">
            <v>9726972</v>
          </cell>
        </row>
        <row r="33">
          <cell r="D33">
            <v>5827041</v>
          </cell>
        </row>
      </sheetData>
      <sheetData sheetId="1"/>
      <sheetData sheetId="2"/>
      <sheetData sheetId="3"/>
      <sheetData sheetId="4"/>
      <sheetData sheetId="5">
        <row r="30">
          <cell r="B30">
            <v>108154</v>
          </cell>
          <cell r="C30">
            <v>100391</v>
          </cell>
          <cell r="L30">
            <v>1611180</v>
          </cell>
          <cell r="M30">
            <v>1614763</v>
          </cell>
        </row>
      </sheetData>
      <sheetData sheetId="6"/>
      <sheetData sheetId="7">
        <row r="5">
          <cell r="I5">
            <v>99689.184362853455</v>
          </cell>
        </row>
        <row r="6">
          <cell r="I6">
            <v>8543.2775720161117</v>
          </cell>
        </row>
        <row r="10">
          <cell r="I10">
            <v>78109.339572862285</v>
          </cell>
        </row>
        <row r="11">
          <cell r="I11">
            <v>12391.53664180894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177798.52393571578</v>
          </cell>
        </row>
        <row r="21">
          <cell r="I21">
            <v>20934.814213825048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112387</v>
          </cell>
          <cell r="C29">
            <v>113274</v>
          </cell>
          <cell r="L29">
            <v>1516481</v>
          </cell>
          <cell r="M29">
            <v>1533733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219794</v>
          </cell>
          <cell r="I29">
            <v>2821616</v>
          </cell>
          <cell r="N29">
            <v>3041410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203624</v>
          </cell>
          <cell r="I30">
            <v>3047366</v>
          </cell>
          <cell r="N30">
            <v>3250990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 Air Cargo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X4">
            <v>100</v>
          </cell>
        </row>
        <row r="5">
          <cell r="FX5">
            <v>100</v>
          </cell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I19">
            <v>256</v>
          </cell>
          <cell r="FJ19">
            <v>250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FW19">
            <v>202</v>
          </cell>
          <cell r="FX19">
            <v>200</v>
          </cell>
        </row>
        <row r="22">
          <cell r="FX22">
            <v>426</v>
          </cell>
        </row>
        <row r="23">
          <cell r="FX23">
            <v>424</v>
          </cell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I41">
            <v>806</v>
          </cell>
          <cell r="FJ41">
            <v>877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FW41">
            <v>850</v>
          </cell>
          <cell r="FX41">
            <v>850</v>
          </cell>
        </row>
      </sheetData>
      <sheetData sheetId="3"/>
      <sheetData sheetId="4">
        <row r="15">
          <cell r="FR15">
            <v>20</v>
          </cell>
          <cell r="FS15">
            <v>28</v>
          </cell>
          <cell r="FT15">
            <v>26</v>
          </cell>
          <cell r="FU15">
            <v>31</v>
          </cell>
          <cell r="FV15">
            <v>21</v>
          </cell>
        </row>
        <row r="16">
          <cell r="FR16">
            <v>20</v>
          </cell>
          <cell r="FS16">
            <v>28</v>
          </cell>
          <cell r="FT16">
            <v>26</v>
          </cell>
          <cell r="FU16">
            <v>31</v>
          </cell>
          <cell r="FV16">
            <v>21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I19">
            <v>0</v>
          </cell>
          <cell r="FJ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FW19">
            <v>0</v>
          </cell>
          <cell r="FX19">
            <v>0</v>
          </cell>
        </row>
        <row r="32">
          <cell r="FR32">
            <v>3781</v>
          </cell>
          <cell r="FS32">
            <v>6449</v>
          </cell>
          <cell r="FT32">
            <v>6560</v>
          </cell>
          <cell r="FU32">
            <v>7850</v>
          </cell>
          <cell r="FV32">
            <v>4862</v>
          </cell>
        </row>
        <row r="33">
          <cell r="FR33">
            <v>3802</v>
          </cell>
          <cell r="FS33">
            <v>6319</v>
          </cell>
          <cell r="FT33">
            <v>4769</v>
          </cell>
          <cell r="FU33">
            <v>7190</v>
          </cell>
          <cell r="FV33">
            <v>4458</v>
          </cell>
        </row>
        <row r="37">
          <cell r="FR37">
            <v>16</v>
          </cell>
          <cell r="FS37">
            <v>6</v>
          </cell>
          <cell r="FT37">
            <v>7</v>
          </cell>
          <cell r="FU37">
            <v>24</v>
          </cell>
          <cell r="FV37">
            <v>8</v>
          </cell>
        </row>
        <row r="38">
          <cell r="FR38">
            <v>13</v>
          </cell>
          <cell r="FS38">
            <v>8</v>
          </cell>
          <cell r="FT38">
            <v>6</v>
          </cell>
          <cell r="FU38">
            <v>13</v>
          </cell>
          <cell r="FV38">
            <v>10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I41">
            <v>0</v>
          </cell>
          <cell r="FJ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FW41">
            <v>0</v>
          </cell>
          <cell r="FX41">
            <v>0</v>
          </cell>
        </row>
      </sheetData>
      <sheetData sheetId="5"/>
      <sheetData sheetId="6">
        <row r="4">
          <cell r="FX4">
            <v>57</v>
          </cell>
        </row>
        <row r="5">
          <cell r="FX5">
            <v>57</v>
          </cell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I19">
            <v>124</v>
          </cell>
          <cell r="FJ19">
            <v>116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FW19">
            <v>126</v>
          </cell>
          <cell r="FX19">
            <v>114</v>
          </cell>
        </row>
        <row r="22">
          <cell r="FX22">
            <v>9026</v>
          </cell>
        </row>
        <row r="23">
          <cell r="FX23">
            <v>8856</v>
          </cell>
        </row>
        <row r="27">
          <cell r="FX27">
            <v>288</v>
          </cell>
        </row>
        <row r="28">
          <cell r="FX28">
            <v>379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I41">
            <v>17799</v>
          </cell>
          <cell r="FJ41">
            <v>15916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FW41">
            <v>19950</v>
          </cell>
          <cell r="FX41">
            <v>17882</v>
          </cell>
        </row>
        <row r="47">
          <cell r="FX47">
            <v>8305</v>
          </cell>
        </row>
        <row r="48">
          <cell r="FX48">
            <v>1952</v>
          </cell>
        </row>
        <row r="52">
          <cell r="FX52">
            <v>7824</v>
          </cell>
        </row>
        <row r="53">
          <cell r="FX53">
            <v>6520</v>
          </cell>
        </row>
      </sheetData>
      <sheetData sheetId="7"/>
      <sheetData sheetId="8">
        <row r="4">
          <cell r="FX4">
            <v>530</v>
          </cell>
        </row>
        <row r="5">
          <cell r="FX5">
            <v>532</v>
          </cell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I19">
            <v>1335</v>
          </cell>
          <cell r="FJ19">
            <v>1167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FW19">
            <v>1267</v>
          </cell>
          <cell r="FX19">
            <v>1062</v>
          </cell>
        </row>
        <row r="22">
          <cell r="FX22">
            <v>63038</v>
          </cell>
        </row>
        <row r="23">
          <cell r="FX23">
            <v>65829</v>
          </cell>
        </row>
        <row r="27">
          <cell r="FX27">
            <v>3046</v>
          </cell>
        </row>
        <row r="28">
          <cell r="FX28">
            <v>3279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I41">
            <v>172592</v>
          </cell>
          <cell r="FJ41">
            <v>149393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FW41">
            <v>154703</v>
          </cell>
          <cell r="FX41">
            <v>128867</v>
          </cell>
        </row>
        <row r="47">
          <cell r="FX47">
            <v>39676</v>
          </cell>
        </row>
        <row r="48">
          <cell r="FX48">
            <v>19393</v>
          </cell>
        </row>
        <row r="52">
          <cell r="FX52">
            <v>10283</v>
          </cell>
        </row>
        <row r="53">
          <cell r="FX53">
            <v>53407</v>
          </cell>
        </row>
      </sheetData>
      <sheetData sheetId="9"/>
      <sheetData sheetId="10">
        <row r="4">
          <cell r="FX4">
            <v>562</v>
          </cell>
        </row>
        <row r="5">
          <cell r="FX5">
            <v>573</v>
          </cell>
        </row>
        <row r="8">
          <cell r="FX8">
            <v>64</v>
          </cell>
        </row>
        <row r="9">
          <cell r="FX9">
            <v>63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  <cell r="FS15">
            <v>15</v>
          </cell>
          <cell r="FT15">
            <v>5</v>
          </cell>
          <cell r="FU15">
            <v>5</v>
          </cell>
          <cell r="FV15">
            <v>7</v>
          </cell>
          <cell r="FW15">
            <v>17</v>
          </cell>
          <cell r="FX15">
            <v>21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  <cell r="FS16">
            <v>14</v>
          </cell>
          <cell r="FT16">
            <v>6</v>
          </cell>
          <cell r="FU16">
            <v>5</v>
          </cell>
          <cell r="FV16">
            <v>7</v>
          </cell>
          <cell r="FW16">
            <v>15</v>
          </cell>
          <cell r="FX16">
            <v>23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I19">
            <v>1525</v>
          </cell>
          <cell r="FJ19">
            <v>1665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FW19">
            <v>1382</v>
          </cell>
          <cell r="FX19">
            <v>1306</v>
          </cell>
        </row>
        <row r="22">
          <cell r="FX22">
            <v>75838</v>
          </cell>
        </row>
        <row r="23">
          <cell r="FX23">
            <v>78694</v>
          </cell>
        </row>
        <row r="27">
          <cell r="FX27">
            <v>1212</v>
          </cell>
        </row>
        <row r="28">
          <cell r="FX28">
            <v>1189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  <cell r="FS32">
            <v>1767</v>
          </cell>
          <cell r="FT32">
            <v>643</v>
          </cell>
          <cell r="FU32">
            <v>591</v>
          </cell>
          <cell r="FV32">
            <v>422</v>
          </cell>
          <cell r="FW32">
            <v>1578</v>
          </cell>
          <cell r="FX32">
            <v>2576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  <cell r="FT33">
            <v>585</v>
          </cell>
          <cell r="FU33">
            <v>660</v>
          </cell>
          <cell r="FV33">
            <v>608</v>
          </cell>
          <cell r="FW33">
            <v>1823</v>
          </cell>
          <cell r="FX33">
            <v>3098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  <cell r="FS37">
            <v>1</v>
          </cell>
          <cell r="FT37">
            <v>8</v>
          </cell>
          <cell r="FU37">
            <v>6</v>
          </cell>
          <cell r="FV37">
            <v>6</v>
          </cell>
          <cell r="FW37">
            <v>18</v>
          </cell>
          <cell r="FX37">
            <v>31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  <cell r="FT38">
            <v>12</v>
          </cell>
          <cell r="FU38">
            <v>5</v>
          </cell>
          <cell r="FV38">
            <v>3</v>
          </cell>
          <cell r="FW38">
            <v>23</v>
          </cell>
          <cell r="FX38">
            <v>38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I41">
            <v>173849</v>
          </cell>
          <cell r="FJ41">
            <v>185455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FW41">
            <v>171893</v>
          </cell>
          <cell r="FX41">
            <v>160206</v>
          </cell>
        </row>
        <row r="47">
          <cell r="FX47">
            <v>159090</v>
          </cell>
        </row>
        <row r="48">
          <cell r="FX48">
            <v>210855</v>
          </cell>
        </row>
        <row r="52">
          <cell r="FX52">
            <v>101263</v>
          </cell>
        </row>
        <row r="53">
          <cell r="FX53">
            <v>391509</v>
          </cell>
        </row>
        <row r="70">
          <cell r="FX70">
            <v>77205</v>
          </cell>
        </row>
        <row r="71">
          <cell r="FX71">
            <v>1489</v>
          </cell>
        </row>
        <row r="73">
          <cell r="FX73">
            <v>3077</v>
          </cell>
        </row>
        <row r="74">
          <cell r="FX74">
            <v>21</v>
          </cell>
        </row>
      </sheetData>
      <sheetData sheetId="11">
        <row r="4">
          <cell r="FX4">
            <v>59</v>
          </cell>
        </row>
        <row r="5">
          <cell r="FX5">
            <v>59</v>
          </cell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I19">
            <v>148</v>
          </cell>
          <cell r="FJ19">
            <v>154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FW19">
            <v>164</v>
          </cell>
          <cell r="FX19">
            <v>118</v>
          </cell>
        </row>
        <row r="22">
          <cell r="FX22">
            <v>306</v>
          </cell>
        </row>
        <row r="23">
          <cell r="FX23">
            <v>297</v>
          </cell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I41">
            <v>817</v>
          </cell>
          <cell r="FJ41">
            <v>892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FW41">
            <v>933</v>
          </cell>
          <cell r="FX41">
            <v>603</v>
          </cell>
        </row>
      </sheetData>
      <sheetData sheetId="12">
        <row r="15">
          <cell r="FR15">
            <v>4</v>
          </cell>
          <cell r="FS15">
            <v>11</v>
          </cell>
          <cell r="FT15">
            <v>18</v>
          </cell>
          <cell r="FU15">
            <v>18</v>
          </cell>
          <cell r="FV15">
            <v>8</v>
          </cell>
        </row>
        <row r="16">
          <cell r="FR16">
            <v>4</v>
          </cell>
          <cell r="FS16">
            <v>11</v>
          </cell>
          <cell r="FT16">
            <v>18</v>
          </cell>
          <cell r="FU16">
            <v>18</v>
          </cell>
          <cell r="FV16">
            <v>9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I19">
            <v>0</v>
          </cell>
          <cell r="FJ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FW19">
            <v>0</v>
          </cell>
          <cell r="FX19">
            <v>0</v>
          </cell>
        </row>
        <row r="32">
          <cell r="FR32">
            <v>730</v>
          </cell>
          <cell r="FS32">
            <v>2566</v>
          </cell>
          <cell r="FT32">
            <v>4485</v>
          </cell>
          <cell r="FU32">
            <v>4458</v>
          </cell>
          <cell r="FV32">
            <v>1784</v>
          </cell>
        </row>
        <row r="33">
          <cell r="FR33">
            <v>972</v>
          </cell>
          <cell r="FS33">
            <v>2779</v>
          </cell>
          <cell r="FT33">
            <v>4391</v>
          </cell>
          <cell r="FU33">
            <v>4529</v>
          </cell>
          <cell r="FV33">
            <v>2146</v>
          </cell>
        </row>
        <row r="37">
          <cell r="FR37">
            <v>5</v>
          </cell>
          <cell r="FT37">
            <v>4</v>
          </cell>
          <cell r="FU37">
            <v>6</v>
          </cell>
          <cell r="FV37">
            <v>3</v>
          </cell>
        </row>
        <row r="38">
          <cell r="FR38">
            <v>4</v>
          </cell>
          <cell r="FT38">
            <v>5</v>
          </cell>
          <cell r="FU38">
            <v>6</v>
          </cell>
          <cell r="FV38">
            <v>4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I41">
            <v>0</v>
          </cell>
          <cell r="FJ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FW41">
            <v>0</v>
          </cell>
          <cell r="FX41">
            <v>0</v>
          </cell>
        </row>
      </sheetData>
      <sheetData sheetId="13">
        <row r="4">
          <cell r="FX4">
            <v>5251</v>
          </cell>
        </row>
        <row r="5">
          <cell r="FX5">
            <v>5295</v>
          </cell>
        </row>
        <row r="8">
          <cell r="FX8">
            <v>5</v>
          </cell>
        </row>
        <row r="9">
          <cell r="FX9">
            <v>8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  <cell r="FS15">
            <v>452</v>
          </cell>
          <cell r="FT15">
            <v>497</v>
          </cell>
          <cell r="FU15">
            <v>502</v>
          </cell>
          <cell r="FV15">
            <v>452</v>
          </cell>
          <cell r="FW15">
            <v>465</v>
          </cell>
          <cell r="FX15">
            <v>440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  <cell r="FS16">
            <v>450</v>
          </cell>
          <cell r="FT16">
            <v>502</v>
          </cell>
          <cell r="FU16">
            <v>505</v>
          </cell>
          <cell r="FV16">
            <v>452</v>
          </cell>
          <cell r="FW16">
            <v>463</v>
          </cell>
          <cell r="FX16">
            <v>438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I19">
            <v>12866</v>
          </cell>
          <cell r="FJ19">
            <v>11689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FW19">
            <v>12655</v>
          </cell>
          <cell r="FX19">
            <v>11437</v>
          </cell>
        </row>
        <row r="22">
          <cell r="FX22">
            <v>701209</v>
          </cell>
        </row>
        <row r="23">
          <cell r="FX23">
            <v>712716</v>
          </cell>
        </row>
        <row r="27">
          <cell r="FX27">
            <v>26204</v>
          </cell>
        </row>
        <row r="28">
          <cell r="FX28">
            <v>26218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  <cell r="FS32">
            <v>79056</v>
          </cell>
          <cell r="FT32">
            <v>88990</v>
          </cell>
          <cell r="FU32">
            <v>89576</v>
          </cell>
          <cell r="FV32">
            <v>73777</v>
          </cell>
          <cell r="FW32">
            <v>74576</v>
          </cell>
          <cell r="FX32">
            <v>62421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  <cell r="FS33">
            <v>81087</v>
          </cell>
          <cell r="FT33">
            <v>81699</v>
          </cell>
          <cell r="FU33">
            <v>86560</v>
          </cell>
          <cell r="FV33">
            <v>74010</v>
          </cell>
          <cell r="FW33">
            <v>69977</v>
          </cell>
          <cell r="FX33">
            <v>63439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  <cell r="FS37">
            <v>2000</v>
          </cell>
          <cell r="FT37">
            <v>2405</v>
          </cell>
          <cell r="FU37">
            <v>2213</v>
          </cell>
          <cell r="FV37">
            <v>2047</v>
          </cell>
          <cell r="FW37">
            <v>2311</v>
          </cell>
          <cell r="FX37">
            <v>1779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  <cell r="FS38">
            <v>2239</v>
          </cell>
          <cell r="FT38">
            <v>2272</v>
          </cell>
          <cell r="FU38">
            <v>2316</v>
          </cell>
          <cell r="FV38">
            <v>1865</v>
          </cell>
          <cell r="FW38">
            <v>1979</v>
          </cell>
          <cell r="FX38">
            <v>1799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I41">
            <v>1725419</v>
          </cell>
          <cell r="FJ41">
            <v>1544710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FW41">
            <v>1710446</v>
          </cell>
          <cell r="FX41">
            <v>1539785</v>
          </cell>
        </row>
        <row r="47">
          <cell r="FX47">
            <v>3723615</v>
          </cell>
        </row>
        <row r="48">
          <cell r="FX48">
            <v>1801266</v>
          </cell>
        </row>
        <row r="52">
          <cell r="FX52">
            <v>2117577</v>
          </cell>
        </row>
        <row r="53">
          <cell r="FX53">
            <v>2127244</v>
          </cell>
        </row>
        <row r="70">
          <cell r="FX70">
            <v>377027</v>
          </cell>
        </row>
        <row r="71">
          <cell r="FX71">
            <v>335689</v>
          </cell>
        </row>
        <row r="73">
          <cell r="FX73">
            <v>33559</v>
          </cell>
        </row>
        <row r="74">
          <cell r="FX74">
            <v>29880</v>
          </cell>
        </row>
      </sheetData>
      <sheetData sheetId="14">
        <row r="4">
          <cell r="FX4">
            <v>123</v>
          </cell>
        </row>
        <row r="5">
          <cell r="FX5">
            <v>121</v>
          </cell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I19">
            <v>206</v>
          </cell>
          <cell r="FJ19">
            <v>234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FW19">
            <v>286</v>
          </cell>
          <cell r="FX19">
            <v>244</v>
          </cell>
        </row>
        <row r="22">
          <cell r="FX22">
            <v>18275</v>
          </cell>
        </row>
        <row r="23">
          <cell r="FX23">
            <v>18204</v>
          </cell>
        </row>
        <row r="27">
          <cell r="FX27">
            <v>148</v>
          </cell>
        </row>
        <row r="28">
          <cell r="FX28">
            <v>145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I41">
            <v>30783</v>
          </cell>
          <cell r="FJ41">
            <v>36385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FW41">
            <v>40541</v>
          </cell>
          <cell r="FX41">
            <v>36479</v>
          </cell>
        </row>
      </sheetData>
      <sheetData sheetId="15"/>
      <sheetData sheetId="16">
        <row r="15">
          <cell r="FN15">
            <v>5</v>
          </cell>
          <cell r="FP15">
            <v>17</v>
          </cell>
          <cell r="FQ15">
            <v>20</v>
          </cell>
          <cell r="FR15">
            <v>37</v>
          </cell>
          <cell r="FS15">
            <v>46</v>
          </cell>
          <cell r="FT15">
            <v>47</v>
          </cell>
          <cell r="FU15">
            <v>49</v>
          </cell>
          <cell r="FV15">
            <v>37</v>
          </cell>
          <cell r="FW15">
            <v>24</v>
          </cell>
          <cell r="FX15">
            <v>17</v>
          </cell>
        </row>
        <row r="16">
          <cell r="FN16">
            <v>5</v>
          </cell>
          <cell r="FP16">
            <v>17</v>
          </cell>
          <cell r="FQ16">
            <v>20</v>
          </cell>
          <cell r="FR16">
            <v>37</v>
          </cell>
          <cell r="FS16">
            <v>46</v>
          </cell>
          <cell r="FT16">
            <v>47</v>
          </cell>
          <cell r="FU16">
            <v>49</v>
          </cell>
          <cell r="FV16">
            <v>37</v>
          </cell>
          <cell r="FW16">
            <v>24</v>
          </cell>
          <cell r="FX16">
            <v>17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I19">
            <v>50</v>
          </cell>
          <cell r="FJ19">
            <v>34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FW19">
            <v>48</v>
          </cell>
          <cell r="FX19">
            <v>34</v>
          </cell>
        </row>
        <row r="32">
          <cell r="FN32">
            <v>852</v>
          </cell>
          <cell r="FP32">
            <v>2019</v>
          </cell>
          <cell r="FQ32">
            <v>2672</v>
          </cell>
          <cell r="FR32">
            <v>4435</v>
          </cell>
          <cell r="FS32">
            <v>6735</v>
          </cell>
          <cell r="FT32">
            <v>7414</v>
          </cell>
          <cell r="FU32">
            <v>7211</v>
          </cell>
          <cell r="FV32">
            <v>5539</v>
          </cell>
          <cell r="FW32">
            <v>3796</v>
          </cell>
          <cell r="FX32">
            <v>2238</v>
          </cell>
        </row>
        <row r="33">
          <cell r="FN33">
            <v>671</v>
          </cell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  <cell r="FT33">
            <v>6448</v>
          </cell>
          <cell r="FU33">
            <v>7240</v>
          </cell>
          <cell r="FV33">
            <v>5600</v>
          </cell>
          <cell r="FW33">
            <v>3249</v>
          </cell>
          <cell r="FX33">
            <v>2363</v>
          </cell>
        </row>
        <row r="37">
          <cell r="FN37">
            <v>20</v>
          </cell>
          <cell r="FP37">
            <v>75</v>
          </cell>
          <cell r="FQ37">
            <v>52</v>
          </cell>
          <cell r="FR37">
            <v>75</v>
          </cell>
          <cell r="FS37">
            <v>64</v>
          </cell>
          <cell r="FT37">
            <v>82</v>
          </cell>
          <cell r="FU37">
            <v>91</v>
          </cell>
          <cell r="FV37">
            <v>71</v>
          </cell>
          <cell r="FW37">
            <v>53</v>
          </cell>
          <cell r="FX37">
            <v>83</v>
          </cell>
        </row>
        <row r="38">
          <cell r="FN38">
            <v>13</v>
          </cell>
          <cell r="FP38">
            <v>54</v>
          </cell>
          <cell r="FQ38">
            <v>60</v>
          </cell>
          <cell r="FR38">
            <v>82</v>
          </cell>
          <cell r="FS38">
            <v>78</v>
          </cell>
          <cell r="FT38">
            <v>80</v>
          </cell>
          <cell r="FU38">
            <v>141</v>
          </cell>
          <cell r="FV38">
            <v>69</v>
          </cell>
          <cell r="FW38">
            <v>49</v>
          </cell>
          <cell r="FX38">
            <v>80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I41">
            <v>7502</v>
          </cell>
          <cell r="FJ41">
            <v>4965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FW41">
            <v>7045</v>
          </cell>
          <cell r="FX41">
            <v>4601</v>
          </cell>
        </row>
        <row r="47">
          <cell r="FX47">
            <v>13796</v>
          </cell>
        </row>
        <row r="52">
          <cell r="FX52">
            <v>328</v>
          </cell>
        </row>
      </sheetData>
      <sheetData sheetId="17">
        <row r="4">
          <cell r="FX4">
            <v>85</v>
          </cell>
        </row>
        <row r="5">
          <cell r="FX5">
            <v>85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FW19">
            <v>178</v>
          </cell>
          <cell r="FX19">
            <v>170</v>
          </cell>
        </row>
        <row r="22">
          <cell r="FX22">
            <v>8654</v>
          </cell>
        </row>
        <row r="23">
          <cell r="FX23">
            <v>8577</v>
          </cell>
        </row>
        <row r="27">
          <cell r="FX27">
            <v>186</v>
          </cell>
        </row>
        <row r="28">
          <cell r="FX28">
            <v>231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FW41">
            <v>17526</v>
          </cell>
          <cell r="FX41">
            <v>17231</v>
          </cell>
        </row>
      </sheetData>
      <sheetData sheetId="18"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  <cell r="FS15">
            <v>20</v>
          </cell>
          <cell r="FT15">
            <v>18</v>
          </cell>
          <cell r="FU15">
            <v>17</v>
          </cell>
          <cell r="FV15">
            <v>16</v>
          </cell>
          <cell r="FW15">
            <v>18</v>
          </cell>
          <cell r="FX15">
            <v>17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  <cell r="FS16">
            <v>20</v>
          </cell>
          <cell r="FT16">
            <v>18</v>
          </cell>
          <cell r="FU16">
            <v>17</v>
          </cell>
          <cell r="FV16">
            <v>16</v>
          </cell>
          <cell r="FW16">
            <v>18</v>
          </cell>
          <cell r="FX16">
            <v>17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I19">
            <v>28</v>
          </cell>
          <cell r="FJ19">
            <v>22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FW19">
            <v>36</v>
          </cell>
          <cell r="FX19">
            <v>34</v>
          </cell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  <cell r="FS32">
            <v>5068</v>
          </cell>
          <cell r="FT32">
            <v>4888</v>
          </cell>
          <cell r="FU32">
            <v>4403</v>
          </cell>
          <cell r="FV32">
            <v>3978</v>
          </cell>
          <cell r="FW32">
            <v>4430</v>
          </cell>
          <cell r="FX32">
            <v>4177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  <cell r="FS33">
            <v>5026</v>
          </cell>
          <cell r="FT33">
            <v>3899</v>
          </cell>
          <cell r="FU33">
            <v>4249</v>
          </cell>
          <cell r="FV33">
            <v>3883</v>
          </cell>
          <cell r="FW33">
            <v>3303</v>
          </cell>
          <cell r="FX33">
            <v>3429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  <cell r="FS37">
            <v>47</v>
          </cell>
          <cell r="FT37">
            <v>41</v>
          </cell>
          <cell r="FU37">
            <v>23</v>
          </cell>
          <cell r="FV37">
            <v>16</v>
          </cell>
          <cell r="FW37">
            <v>8</v>
          </cell>
          <cell r="FX37">
            <v>13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  <cell r="FS38">
            <v>16</v>
          </cell>
          <cell r="FT38">
            <v>37</v>
          </cell>
          <cell r="FU38">
            <v>29</v>
          </cell>
          <cell r="FV38">
            <v>12</v>
          </cell>
          <cell r="FW38">
            <v>15</v>
          </cell>
          <cell r="FX38">
            <v>15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I41">
            <v>5953</v>
          </cell>
          <cell r="FJ41">
            <v>4545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FW41">
            <v>7733</v>
          </cell>
          <cell r="FX41">
            <v>7606</v>
          </cell>
        </row>
        <row r="47">
          <cell r="FX47">
            <v>518038</v>
          </cell>
        </row>
        <row r="52">
          <cell r="FX52">
            <v>73249</v>
          </cell>
        </row>
      </sheetData>
      <sheetData sheetId="19"/>
      <sheetData sheetId="2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</row>
      </sheetData>
      <sheetData sheetId="21">
        <row r="4">
          <cell r="FX4">
            <v>632</v>
          </cell>
        </row>
        <row r="5">
          <cell r="FX5">
            <v>629</v>
          </cell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I19">
            <v>1553</v>
          </cell>
          <cell r="FJ19">
            <v>1269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FW19">
            <v>1477</v>
          </cell>
          <cell r="FX19">
            <v>1261</v>
          </cell>
        </row>
        <row r="22">
          <cell r="FX22">
            <v>73914</v>
          </cell>
        </row>
        <row r="23">
          <cell r="FX23">
            <v>76342</v>
          </cell>
        </row>
        <row r="27">
          <cell r="FX27">
            <v>1568</v>
          </cell>
        </row>
        <row r="28">
          <cell r="FX28">
            <v>1801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I41">
            <v>179643</v>
          </cell>
          <cell r="FJ41">
            <v>154160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FW41">
            <v>178514</v>
          </cell>
          <cell r="FX41">
            <v>150256</v>
          </cell>
        </row>
        <row r="47">
          <cell r="FX47">
            <v>247628</v>
          </cell>
        </row>
        <row r="52">
          <cell r="FX52">
            <v>65364</v>
          </cell>
        </row>
        <row r="70">
          <cell r="FX70">
            <v>75861</v>
          </cell>
        </row>
        <row r="71">
          <cell r="FX71">
            <v>481</v>
          </cell>
        </row>
      </sheetData>
      <sheetData sheetId="22">
        <row r="4">
          <cell r="FX4">
            <v>333</v>
          </cell>
        </row>
        <row r="5">
          <cell r="FX5">
            <v>333</v>
          </cell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I19">
            <v>780</v>
          </cell>
          <cell r="FJ19">
            <v>742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FW19">
            <v>602</v>
          </cell>
          <cell r="FX19">
            <v>666</v>
          </cell>
        </row>
        <row r="22">
          <cell r="FX22">
            <v>42285</v>
          </cell>
        </row>
        <row r="23">
          <cell r="FX23">
            <v>45272</v>
          </cell>
        </row>
        <row r="27">
          <cell r="FX27">
            <v>267</v>
          </cell>
        </row>
        <row r="28">
          <cell r="FX28">
            <v>290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I41">
            <v>105443</v>
          </cell>
          <cell r="FJ41">
            <v>91625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FW41">
            <v>89265</v>
          </cell>
          <cell r="FX41">
            <v>87557</v>
          </cell>
        </row>
      </sheetData>
      <sheetData sheetId="23">
        <row r="4">
          <cell r="FX4">
            <v>225</v>
          </cell>
        </row>
        <row r="5">
          <cell r="FX5">
            <v>225</v>
          </cell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I19">
            <v>730</v>
          </cell>
          <cell r="FJ19">
            <v>602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FW19">
            <v>666</v>
          </cell>
          <cell r="FX19">
            <v>450</v>
          </cell>
        </row>
        <row r="22">
          <cell r="FX22">
            <v>32632</v>
          </cell>
        </row>
        <row r="23">
          <cell r="FX23">
            <v>33597</v>
          </cell>
        </row>
        <row r="27">
          <cell r="FX27">
            <v>1163</v>
          </cell>
        </row>
        <row r="28">
          <cell r="FX28">
            <v>1145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I41">
            <v>88591</v>
          </cell>
          <cell r="FJ41">
            <v>73084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FW41">
            <v>86741</v>
          </cell>
          <cell r="FX41">
            <v>66229</v>
          </cell>
        </row>
        <row r="47">
          <cell r="FX47">
            <v>6837</v>
          </cell>
        </row>
        <row r="48">
          <cell r="FX48">
            <v>22303</v>
          </cell>
        </row>
        <row r="52">
          <cell r="FX52">
            <v>41873</v>
          </cell>
        </row>
        <row r="53">
          <cell r="FX53">
            <v>24845</v>
          </cell>
        </row>
      </sheetData>
      <sheetData sheetId="24"/>
      <sheetData sheetId="25"/>
      <sheetData sheetId="26"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</row>
      </sheetData>
      <sheetData sheetId="27"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</row>
      </sheetData>
      <sheetData sheetId="28">
        <row r="4">
          <cell r="FX4">
            <v>5</v>
          </cell>
        </row>
        <row r="5">
          <cell r="FX5">
            <v>5</v>
          </cell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I19">
            <v>6</v>
          </cell>
          <cell r="FJ19">
            <v>14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FW19">
            <v>12</v>
          </cell>
          <cell r="FX19">
            <v>10</v>
          </cell>
        </row>
        <row r="22">
          <cell r="FX22">
            <v>245</v>
          </cell>
        </row>
        <row r="23">
          <cell r="FX23">
            <v>266</v>
          </cell>
        </row>
        <row r="27">
          <cell r="FX27">
            <v>36</v>
          </cell>
        </row>
        <row r="28">
          <cell r="FX28">
            <v>29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I41">
            <v>374</v>
          </cell>
          <cell r="FJ41">
            <v>691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FW41">
            <v>459</v>
          </cell>
          <cell r="FX41">
            <v>511</v>
          </cell>
        </row>
      </sheetData>
      <sheetData sheetId="29">
        <row r="15">
          <cell r="FN15">
            <v>21</v>
          </cell>
          <cell r="FO15">
            <v>22</v>
          </cell>
          <cell r="FP15">
            <v>2</v>
          </cell>
        </row>
        <row r="16">
          <cell r="FN16">
            <v>23</v>
          </cell>
          <cell r="FO16">
            <v>26</v>
          </cell>
          <cell r="FP16">
            <v>5</v>
          </cell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I19">
            <v>145</v>
          </cell>
          <cell r="FJ19">
            <v>112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</row>
        <row r="32">
          <cell r="FN32">
            <v>1136</v>
          </cell>
          <cell r="FO32">
            <v>1111</v>
          </cell>
          <cell r="FP32">
            <v>122</v>
          </cell>
        </row>
        <row r="33">
          <cell r="FN33">
            <v>1362</v>
          </cell>
          <cell r="FO33">
            <v>1562</v>
          </cell>
          <cell r="FP33">
            <v>242</v>
          </cell>
        </row>
        <row r="37">
          <cell r="FN37">
            <v>17</v>
          </cell>
          <cell r="FO37">
            <v>30</v>
          </cell>
          <cell r="FP37">
            <v>1</v>
          </cell>
        </row>
        <row r="38">
          <cell r="FN38">
            <v>14</v>
          </cell>
          <cell r="FO38">
            <v>17</v>
          </cell>
          <cell r="FP38">
            <v>4</v>
          </cell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I41">
            <v>7685</v>
          </cell>
          <cell r="FJ41">
            <v>6319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</row>
      </sheetData>
      <sheetData sheetId="30"/>
      <sheetData sheetId="31"/>
      <sheetData sheetId="32"/>
      <sheetData sheetId="33">
        <row r="15">
          <cell r="FO15">
            <v>1</v>
          </cell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I19">
            <v>348</v>
          </cell>
          <cell r="FJ19">
            <v>210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I41">
            <v>22364</v>
          </cell>
          <cell r="FJ41">
            <v>12940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</row>
        <row r="70">
          <cell r="BG70">
            <v>26242</v>
          </cell>
        </row>
        <row r="71">
          <cell r="BG71">
            <v>44562</v>
          </cell>
        </row>
        <row r="73">
          <cell r="BG73">
            <v>1540</v>
          </cell>
        </row>
        <row r="74">
          <cell r="BG74">
            <v>2614</v>
          </cell>
        </row>
      </sheetData>
      <sheetData sheetId="34"/>
      <sheetData sheetId="35"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I19">
            <v>20</v>
          </cell>
          <cell r="FJ19">
            <v>2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FW19">
            <v>0</v>
          </cell>
          <cell r="FX19">
            <v>0</v>
          </cell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I41">
            <v>785</v>
          </cell>
          <cell r="FJ41">
            <v>98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FW41">
            <v>0</v>
          </cell>
          <cell r="FX41">
            <v>0</v>
          </cell>
        </row>
      </sheetData>
      <sheetData sheetId="36"/>
      <sheetData sheetId="37">
        <row r="4">
          <cell r="FX4">
            <v>154</v>
          </cell>
        </row>
        <row r="5">
          <cell r="FX5">
            <v>154</v>
          </cell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  <cell r="FS15">
            <v>13</v>
          </cell>
          <cell r="FT15">
            <v>21</v>
          </cell>
          <cell r="FU15">
            <v>28</v>
          </cell>
          <cell r="FV15">
            <v>30</v>
          </cell>
          <cell r="FW15">
            <v>31</v>
          </cell>
          <cell r="FX15">
            <v>28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  <cell r="FS16">
            <v>12</v>
          </cell>
          <cell r="FT16">
            <v>21</v>
          </cell>
          <cell r="FU16">
            <v>26</v>
          </cell>
          <cell r="FV16">
            <v>30</v>
          </cell>
          <cell r="FW16">
            <v>31</v>
          </cell>
          <cell r="FX16">
            <v>31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I19">
            <v>121</v>
          </cell>
          <cell r="FJ19">
            <v>201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FW19">
            <v>222</v>
          </cell>
          <cell r="FX19">
            <v>367</v>
          </cell>
        </row>
        <row r="22">
          <cell r="FX22">
            <v>9488</v>
          </cell>
        </row>
        <row r="23">
          <cell r="FX23">
            <v>9453</v>
          </cell>
        </row>
        <row r="27">
          <cell r="FX27">
            <v>272</v>
          </cell>
        </row>
        <row r="28">
          <cell r="FX28">
            <v>252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  <cell r="FS32">
            <v>849</v>
          </cell>
          <cell r="FT32">
            <v>1484</v>
          </cell>
          <cell r="FU32">
            <v>1821</v>
          </cell>
          <cell r="FV32">
            <v>1891</v>
          </cell>
          <cell r="FW32">
            <v>2093</v>
          </cell>
          <cell r="FX32">
            <v>1712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  <cell r="FS33">
            <v>815</v>
          </cell>
          <cell r="FT33">
            <v>1363</v>
          </cell>
          <cell r="FU33">
            <v>1794</v>
          </cell>
          <cell r="FV33">
            <v>2030</v>
          </cell>
          <cell r="FW33">
            <v>1941</v>
          </cell>
          <cell r="FX33">
            <v>1823</v>
          </cell>
        </row>
        <row r="37">
          <cell r="FN37">
            <v>47</v>
          </cell>
          <cell r="FO37">
            <v>35</v>
          </cell>
          <cell r="FQ37">
            <v>53</v>
          </cell>
          <cell r="FR37">
            <v>60</v>
          </cell>
          <cell r="FS37">
            <v>18</v>
          </cell>
          <cell r="FT37">
            <v>37</v>
          </cell>
          <cell r="FU37">
            <v>22</v>
          </cell>
          <cell r="FV37">
            <v>33</v>
          </cell>
          <cell r="FW37">
            <v>23</v>
          </cell>
          <cell r="FX37">
            <v>29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  <cell r="FS38">
            <v>20</v>
          </cell>
          <cell r="FT38">
            <v>42</v>
          </cell>
          <cell r="FU38">
            <v>23</v>
          </cell>
          <cell r="FV38">
            <v>27</v>
          </cell>
          <cell r="FW38">
            <v>23</v>
          </cell>
          <cell r="FX38">
            <v>26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I41">
            <v>7353</v>
          </cell>
          <cell r="FJ41">
            <v>12041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FW41">
            <v>13848</v>
          </cell>
          <cell r="FX41">
            <v>22476</v>
          </cell>
        </row>
        <row r="70">
          <cell r="FX70">
            <v>4906</v>
          </cell>
        </row>
        <row r="71">
          <cell r="FX71">
            <v>4547</v>
          </cell>
        </row>
        <row r="73">
          <cell r="FX73">
            <v>946</v>
          </cell>
        </row>
        <row r="74">
          <cell r="FX74">
            <v>877</v>
          </cell>
        </row>
      </sheetData>
      <sheetData sheetId="38"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I19">
            <v>14</v>
          </cell>
          <cell r="FJ19">
            <v>172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FW19">
            <v>0</v>
          </cell>
          <cell r="FX19">
            <v>0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I41">
            <v>934</v>
          </cell>
          <cell r="FJ41">
            <v>11532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FW41">
            <v>0</v>
          </cell>
          <cell r="FX41">
            <v>0</v>
          </cell>
        </row>
      </sheetData>
      <sheetData sheetId="39">
        <row r="4">
          <cell r="FX4">
            <v>33</v>
          </cell>
        </row>
        <row r="5">
          <cell r="FX5">
            <v>33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52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FW19">
            <v>122</v>
          </cell>
          <cell r="FX19">
            <v>66</v>
          </cell>
        </row>
        <row r="22">
          <cell r="FX22">
            <v>2190</v>
          </cell>
        </row>
        <row r="23">
          <cell r="FX23">
            <v>2267</v>
          </cell>
        </row>
        <row r="27">
          <cell r="FX27">
            <v>79</v>
          </cell>
        </row>
        <row r="28">
          <cell r="FX28">
            <v>78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2954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FW41">
            <v>7891</v>
          </cell>
          <cell r="FX41">
            <v>4457</v>
          </cell>
        </row>
        <row r="47">
          <cell r="FX47">
            <v>586</v>
          </cell>
        </row>
        <row r="48">
          <cell r="FX48">
            <v>464</v>
          </cell>
        </row>
        <row r="53">
          <cell r="FX53">
            <v>4413</v>
          </cell>
        </row>
      </sheetData>
      <sheetData sheetId="40">
        <row r="4">
          <cell r="FX4">
            <v>163</v>
          </cell>
        </row>
        <row r="5">
          <cell r="FX5">
            <v>163</v>
          </cell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I19">
            <v>318</v>
          </cell>
          <cell r="FJ19">
            <v>296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FW19">
            <v>274</v>
          </cell>
          <cell r="FX19">
            <v>326</v>
          </cell>
        </row>
        <row r="22">
          <cell r="FX22">
            <v>10129</v>
          </cell>
        </row>
        <row r="23">
          <cell r="FX23">
            <v>10922</v>
          </cell>
        </row>
        <row r="27">
          <cell r="FX27">
            <v>348</v>
          </cell>
        </row>
        <row r="28">
          <cell r="FX28">
            <v>316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I41">
            <v>18566</v>
          </cell>
          <cell r="FJ41">
            <v>17610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FW41">
            <v>17814</v>
          </cell>
          <cell r="FX41">
            <v>21051</v>
          </cell>
        </row>
      </sheetData>
      <sheetData sheetId="41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</sheetData>
      <sheetData sheetId="42"/>
      <sheetData sheetId="43">
        <row r="4">
          <cell r="FX4">
            <v>865</v>
          </cell>
        </row>
        <row r="5">
          <cell r="FX5">
            <v>867</v>
          </cell>
        </row>
        <row r="9">
          <cell r="FX9">
            <v>1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  <cell r="FS15">
            <v>152</v>
          </cell>
          <cell r="FT15">
            <v>100</v>
          </cell>
          <cell r="FU15">
            <v>69</v>
          </cell>
          <cell r="FX15">
            <v>7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  <cell r="FS16">
            <v>152</v>
          </cell>
          <cell r="FT16">
            <v>100</v>
          </cell>
          <cell r="FU16">
            <v>70</v>
          </cell>
          <cell r="FX16">
            <v>7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I19">
            <v>2678</v>
          </cell>
          <cell r="FJ19">
            <v>2737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FW19">
            <v>1900</v>
          </cell>
          <cell r="FX19">
            <v>1747</v>
          </cell>
        </row>
        <row r="22">
          <cell r="FX22">
            <v>50856</v>
          </cell>
        </row>
        <row r="23">
          <cell r="FX23">
            <v>51216</v>
          </cell>
        </row>
        <row r="27">
          <cell r="FX27">
            <v>1931</v>
          </cell>
        </row>
        <row r="28">
          <cell r="FX28">
            <v>2002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  <cell r="FS32">
            <v>9734</v>
          </cell>
          <cell r="FT32">
            <v>6677</v>
          </cell>
          <cell r="FU32">
            <v>4790</v>
          </cell>
          <cell r="FX32">
            <v>365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  <cell r="FS33">
            <v>10134</v>
          </cell>
          <cell r="FT33">
            <v>6305</v>
          </cell>
          <cell r="FU33">
            <v>4848</v>
          </cell>
          <cell r="FX33">
            <v>417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  <cell r="FS37">
            <v>134</v>
          </cell>
          <cell r="FT37">
            <v>136</v>
          </cell>
          <cell r="FU37">
            <v>95</v>
          </cell>
          <cell r="FX37">
            <v>6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  <cell r="FS38">
            <v>156</v>
          </cell>
          <cell r="FT38">
            <v>154</v>
          </cell>
          <cell r="FU38">
            <v>115</v>
          </cell>
          <cell r="FX38">
            <v>3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I41">
            <v>138892</v>
          </cell>
          <cell r="FJ41">
            <v>142252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FW41">
            <v>112526</v>
          </cell>
          <cell r="FX41">
            <v>102854</v>
          </cell>
        </row>
        <row r="70">
          <cell r="FX70">
            <v>19104</v>
          </cell>
        </row>
        <row r="71">
          <cell r="FX71">
            <v>32112</v>
          </cell>
        </row>
        <row r="73">
          <cell r="FX73">
            <v>156</v>
          </cell>
        </row>
        <row r="74">
          <cell r="FX74">
            <v>261</v>
          </cell>
        </row>
      </sheetData>
      <sheetData sheetId="44"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I19">
            <v>113</v>
          </cell>
          <cell r="FJ19">
            <v>111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I41">
            <v>5871</v>
          </cell>
          <cell r="FJ41">
            <v>6088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</row>
      </sheetData>
      <sheetData sheetId="45">
        <row r="4">
          <cell r="FX4">
            <v>215</v>
          </cell>
        </row>
        <row r="5">
          <cell r="FX5">
            <v>215</v>
          </cell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I19">
            <v>349</v>
          </cell>
          <cell r="FJ19">
            <v>353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FW19">
            <v>460</v>
          </cell>
          <cell r="FX19">
            <v>430</v>
          </cell>
        </row>
        <row r="22">
          <cell r="FX22">
            <v>12410</v>
          </cell>
        </row>
        <row r="23">
          <cell r="FX23">
            <v>12775</v>
          </cell>
        </row>
        <row r="27">
          <cell r="FX27">
            <v>460</v>
          </cell>
        </row>
        <row r="28">
          <cell r="FX28">
            <v>481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I41">
            <v>19496</v>
          </cell>
          <cell r="FJ41">
            <v>20669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FW41">
            <v>27236</v>
          </cell>
          <cell r="FX41">
            <v>25185</v>
          </cell>
        </row>
      </sheetData>
      <sheetData sheetId="46">
        <row r="4">
          <cell r="FX4">
            <v>209</v>
          </cell>
        </row>
        <row r="5">
          <cell r="FX5">
            <v>209</v>
          </cell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I19">
            <v>366</v>
          </cell>
          <cell r="FJ19">
            <v>388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FW19">
            <v>452</v>
          </cell>
          <cell r="FX19">
            <v>418</v>
          </cell>
        </row>
        <row r="22">
          <cell r="FX22">
            <v>12503</v>
          </cell>
        </row>
        <row r="23">
          <cell r="FX23">
            <v>12714</v>
          </cell>
        </row>
        <row r="27">
          <cell r="FX27">
            <v>416</v>
          </cell>
        </row>
        <row r="28">
          <cell r="FX28">
            <v>479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I41">
            <v>19962</v>
          </cell>
          <cell r="FJ41">
            <v>21543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FW41">
            <v>28092</v>
          </cell>
          <cell r="FX41">
            <v>25217</v>
          </cell>
        </row>
      </sheetData>
      <sheetData sheetId="47"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  <cell r="FS15">
            <v>90</v>
          </cell>
          <cell r="FT15">
            <v>91</v>
          </cell>
          <cell r="FU15">
            <v>91</v>
          </cell>
          <cell r="FV15">
            <v>89</v>
          </cell>
          <cell r="FW15">
            <v>93</v>
          </cell>
          <cell r="FX15">
            <v>86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  <cell r="FS16">
            <v>90</v>
          </cell>
          <cell r="FT16">
            <v>91</v>
          </cell>
          <cell r="FU16">
            <v>91</v>
          </cell>
          <cell r="FV16">
            <v>89</v>
          </cell>
          <cell r="FW16">
            <v>93</v>
          </cell>
          <cell r="FX16">
            <v>86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I19">
            <v>184</v>
          </cell>
          <cell r="FJ19">
            <v>156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FW19">
            <v>186</v>
          </cell>
          <cell r="FX19">
            <v>172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  <cell r="FS32">
            <v>5746</v>
          </cell>
          <cell r="FT32">
            <v>6179</v>
          </cell>
          <cell r="FU32">
            <v>5892</v>
          </cell>
          <cell r="FV32">
            <v>5347</v>
          </cell>
          <cell r="FW32">
            <v>6083</v>
          </cell>
          <cell r="FX32">
            <v>4613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  <cell r="FT33">
            <v>5525</v>
          </cell>
          <cell r="FU33">
            <v>6057</v>
          </cell>
          <cell r="FV33">
            <v>5659</v>
          </cell>
          <cell r="FW33">
            <v>5271</v>
          </cell>
          <cell r="FX33">
            <v>4316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  <cell r="FS37">
            <v>46</v>
          </cell>
          <cell r="FT37">
            <v>54</v>
          </cell>
          <cell r="FU37">
            <v>93</v>
          </cell>
          <cell r="FV37">
            <v>52</v>
          </cell>
          <cell r="FW37">
            <v>71</v>
          </cell>
          <cell r="FX37">
            <v>53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  <cell r="FT38">
            <v>59</v>
          </cell>
          <cell r="FU38">
            <v>89</v>
          </cell>
          <cell r="FV38">
            <v>63</v>
          </cell>
          <cell r="FW38">
            <v>82</v>
          </cell>
          <cell r="FX38">
            <v>54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I41">
            <v>10235</v>
          </cell>
          <cell r="FJ41">
            <v>8299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FW41">
            <v>11354</v>
          </cell>
          <cell r="FX41">
            <v>8929</v>
          </cell>
        </row>
        <row r="47">
          <cell r="FX47">
            <v>774</v>
          </cell>
        </row>
        <row r="52">
          <cell r="FX52">
            <v>1369</v>
          </cell>
        </row>
      </sheetData>
      <sheetData sheetId="48">
        <row r="4">
          <cell r="FX4">
            <v>3704</v>
          </cell>
        </row>
        <row r="5">
          <cell r="FX5">
            <v>3695</v>
          </cell>
        </row>
        <row r="8">
          <cell r="FX8">
            <v>2</v>
          </cell>
        </row>
        <row r="9">
          <cell r="FX9">
            <v>8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  <cell r="FS15">
            <v>126</v>
          </cell>
          <cell r="FT15">
            <v>141</v>
          </cell>
          <cell r="FU15">
            <v>153</v>
          </cell>
          <cell r="FV15">
            <v>194</v>
          </cell>
          <cell r="FW15">
            <v>198</v>
          </cell>
          <cell r="FX15">
            <v>144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  <cell r="FS16">
            <v>126</v>
          </cell>
          <cell r="FT16">
            <v>142</v>
          </cell>
          <cell r="FU16">
            <v>154</v>
          </cell>
          <cell r="FV16">
            <v>194</v>
          </cell>
          <cell r="FW16">
            <v>197</v>
          </cell>
          <cell r="FX16">
            <v>143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I19">
            <v>7052</v>
          </cell>
          <cell r="FJ19">
            <v>6474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FW19">
            <v>8373</v>
          </cell>
          <cell r="FX19">
            <v>7696</v>
          </cell>
        </row>
        <row r="22">
          <cell r="FX22">
            <v>181685</v>
          </cell>
        </row>
        <row r="23">
          <cell r="FX23">
            <v>180876</v>
          </cell>
        </row>
        <row r="27">
          <cell r="FX27">
            <v>7051</v>
          </cell>
        </row>
        <row r="28">
          <cell r="FX28">
            <v>6963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  <cell r="FS32">
            <v>7659</v>
          </cell>
          <cell r="FT32">
            <v>9166</v>
          </cell>
          <cell r="FU32">
            <v>10441</v>
          </cell>
          <cell r="FV32">
            <v>12382</v>
          </cell>
          <cell r="FW32">
            <v>12947</v>
          </cell>
          <cell r="FX32">
            <v>9134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  <cell r="FS33">
            <v>8116</v>
          </cell>
          <cell r="FT33">
            <v>8964</v>
          </cell>
          <cell r="FU33">
            <v>10216</v>
          </cell>
          <cell r="FV33">
            <v>12668</v>
          </cell>
          <cell r="FW33">
            <v>12513</v>
          </cell>
          <cell r="FX33">
            <v>8506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  <cell r="FS37">
            <v>59</v>
          </cell>
          <cell r="FT37">
            <v>101</v>
          </cell>
          <cell r="FU37">
            <v>81</v>
          </cell>
          <cell r="FV37">
            <v>169</v>
          </cell>
          <cell r="FW37">
            <v>167</v>
          </cell>
          <cell r="FX37">
            <v>91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  <cell r="FS38">
            <v>60</v>
          </cell>
          <cell r="FT38">
            <v>98</v>
          </cell>
          <cell r="FU38">
            <v>100</v>
          </cell>
          <cell r="FV38">
            <v>159</v>
          </cell>
          <cell r="FW38">
            <v>143</v>
          </cell>
          <cell r="FX38">
            <v>95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I41">
            <v>341545</v>
          </cell>
          <cell r="FJ41">
            <v>308786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FW41">
            <v>399248</v>
          </cell>
          <cell r="FX41">
            <v>380201</v>
          </cell>
        </row>
        <row r="70">
          <cell r="FX70">
            <v>59327</v>
          </cell>
        </row>
        <row r="71">
          <cell r="FX71">
            <v>121549</v>
          </cell>
        </row>
        <row r="73">
          <cell r="FX73">
            <v>2790</v>
          </cell>
        </row>
        <row r="74">
          <cell r="FX74">
            <v>5716</v>
          </cell>
        </row>
      </sheetData>
      <sheetData sheetId="49">
        <row r="4">
          <cell r="FX4">
            <v>87</v>
          </cell>
        </row>
        <row r="5">
          <cell r="FX5">
            <v>87</v>
          </cell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I19">
            <v>380</v>
          </cell>
          <cell r="FJ19">
            <v>232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FW19">
            <v>174</v>
          </cell>
          <cell r="FX19">
            <v>174</v>
          </cell>
        </row>
        <row r="22">
          <cell r="FX22">
            <v>5423</v>
          </cell>
        </row>
        <row r="23">
          <cell r="FX23">
            <v>5574</v>
          </cell>
        </row>
        <row r="27">
          <cell r="FX27">
            <v>245</v>
          </cell>
        </row>
        <row r="28">
          <cell r="FX28">
            <v>207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I41">
            <v>24437</v>
          </cell>
          <cell r="FJ41">
            <v>15393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FW41">
            <v>10955</v>
          </cell>
          <cell r="FX41">
            <v>10997</v>
          </cell>
        </row>
      </sheetData>
      <sheetData sheetId="5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</sheetData>
      <sheetData sheetId="51">
        <row r="4">
          <cell r="FX4">
            <v>32</v>
          </cell>
        </row>
        <row r="5">
          <cell r="FX5">
            <v>32</v>
          </cell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I19">
            <v>90</v>
          </cell>
          <cell r="FJ19">
            <v>14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FW19">
            <v>68</v>
          </cell>
          <cell r="FX19">
            <v>64</v>
          </cell>
        </row>
        <row r="22">
          <cell r="FX22">
            <v>1746</v>
          </cell>
        </row>
        <row r="23">
          <cell r="FX23">
            <v>1684</v>
          </cell>
        </row>
        <row r="27">
          <cell r="FX27">
            <v>194</v>
          </cell>
        </row>
        <row r="28">
          <cell r="FX28">
            <v>165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I41">
            <v>5887</v>
          </cell>
          <cell r="FJ41">
            <v>853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FW41">
            <v>3755</v>
          </cell>
          <cell r="FX41">
            <v>3430</v>
          </cell>
        </row>
        <row r="47">
          <cell r="FX47">
            <v>305</v>
          </cell>
        </row>
      </sheetData>
      <sheetData sheetId="52">
        <row r="4">
          <cell r="FX4">
            <v>26</v>
          </cell>
        </row>
        <row r="5">
          <cell r="FX5">
            <v>26</v>
          </cell>
        </row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I19">
            <v>184</v>
          </cell>
          <cell r="FJ19">
            <v>182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FW19">
            <v>0</v>
          </cell>
          <cell r="FX19">
            <v>52</v>
          </cell>
        </row>
        <row r="22">
          <cell r="FX22">
            <v>1580</v>
          </cell>
        </row>
        <row r="23">
          <cell r="FX23">
            <v>1462</v>
          </cell>
        </row>
        <row r="27">
          <cell r="FX27">
            <v>40</v>
          </cell>
        </row>
        <row r="28">
          <cell r="FX28">
            <v>33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I41">
            <v>11704</v>
          </cell>
          <cell r="FJ41">
            <v>11389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FW41">
            <v>0</v>
          </cell>
          <cell r="FX41">
            <v>3042</v>
          </cell>
        </row>
      </sheetData>
      <sheetData sheetId="53"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FW41">
            <v>0</v>
          </cell>
          <cell r="FX41">
            <v>0</v>
          </cell>
        </row>
      </sheetData>
      <sheetData sheetId="54"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</row>
      </sheetData>
      <sheetData sheetId="55"/>
      <sheetData sheetId="56"/>
      <sheetData sheetId="57"/>
      <sheetData sheetId="58"/>
      <sheetData sheetId="59"/>
      <sheetData sheetId="60">
        <row r="8">
          <cell r="FX8">
            <v>1</v>
          </cell>
        </row>
      </sheetData>
      <sheetData sheetId="61">
        <row r="4">
          <cell r="FX4">
            <v>2</v>
          </cell>
        </row>
        <row r="5">
          <cell r="FX5">
            <v>1</v>
          </cell>
        </row>
        <row r="22">
          <cell r="FX22">
            <v>241</v>
          </cell>
        </row>
        <row r="23">
          <cell r="FX23">
            <v>147</v>
          </cell>
        </row>
        <row r="32">
          <cell r="FQ32">
            <v>37</v>
          </cell>
        </row>
      </sheetData>
      <sheetData sheetId="62">
        <row r="4">
          <cell r="FX4">
            <v>30</v>
          </cell>
        </row>
        <row r="5">
          <cell r="FX5">
            <v>30</v>
          </cell>
        </row>
        <row r="47">
          <cell r="FX47">
            <v>1288872</v>
          </cell>
        </row>
        <row r="52">
          <cell r="FX52">
            <v>736107</v>
          </cell>
        </row>
      </sheetData>
      <sheetData sheetId="63"/>
      <sheetData sheetId="64">
        <row r="4">
          <cell r="FX4">
            <v>24</v>
          </cell>
        </row>
        <row r="5">
          <cell r="FX5">
            <v>24</v>
          </cell>
        </row>
        <row r="12"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D12">
            <v>44</v>
          </cell>
          <cell r="FE12">
            <v>46</v>
          </cell>
          <cell r="FF12">
            <v>44</v>
          </cell>
          <cell r="FG12">
            <v>44</v>
          </cell>
          <cell r="FH12">
            <v>42</v>
          </cell>
          <cell r="FI12">
            <v>44</v>
          </cell>
          <cell r="FJ12">
            <v>50</v>
          </cell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FU12">
            <v>46</v>
          </cell>
          <cell r="FV12">
            <v>40</v>
          </cell>
          <cell r="FW12">
            <v>46</v>
          </cell>
          <cell r="FX12">
            <v>48</v>
          </cell>
        </row>
        <row r="47">
          <cell r="FX47">
            <v>921653</v>
          </cell>
        </row>
        <row r="52">
          <cell r="FX52">
            <v>530658</v>
          </cell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  <cell r="FI64">
            <v>1254153</v>
          </cell>
          <cell r="FJ64">
            <v>1315598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FW64">
            <v>1480638</v>
          </cell>
          <cell r="FX64">
            <v>1452311</v>
          </cell>
        </row>
      </sheetData>
      <sheetData sheetId="65">
        <row r="4">
          <cell r="FX4">
            <v>16</v>
          </cell>
        </row>
        <row r="5">
          <cell r="FX5">
            <v>16</v>
          </cell>
        </row>
        <row r="12"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D12">
            <v>66</v>
          </cell>
          <cell r="FE12">
            <v>46</v>
          </cell>
          <cell r="FF12">
            <v>32</v>
          </cell>
          <cell r="FG12">
            <v>38</v>
          </cell>
          <cell r="FH12">
            <v>34</v>
          </cell>
          <cell r="FI12">
            <v>36</v>
          </cell>
          <cell r="FJ12">
            <v>32</v>
          </cell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  <cell r="FV12">
            <v>36</v>
          </cell>
          <cell r="FW12">
            <v>46</v>
          </cell>
          <cell r="FX12">
            <v>32</v>
          </cell>
        </row>
        <row r="47">
          <cell r="FX47">
            <v>16033</v>
          </cell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  <cell r="FI64">
            <v>17704</v>
          </cell>
          <cell r="FJ64">
            <v>16454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FW64">
            <v>26214</v>
          </cell>
          <cell r="FX64">
            <v>16033</v>
          </cell>
        </row>
      </sheetData>
      <sheetData sheetId="66"/>
      <sheetData sheetId="67">
        <row r="12"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  <cell r="FI64">
            <v>0</v>
          </cell>
          <cell r="FJ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</row>
      </sheetData>
      <sheetData sheetId="68">
        <row r="4">
          <cell r="FX4">
            <v>142</v>
          </cell>
        </row>
        <row r="5">
          <cell r="FX5">
            <v>142</v>
          </cell>
        </row>
        <row r="12"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D12">
            <v>173</v>
          </cell>
          <cell r="FE12">
            <v>176</v>
          </cell>
          <cell r="FF12">
            <v>120</v>
          </cell>
          <cell r="FG12">
            <v>280</v>
          </cell>
          <cell r="FH12">
            <v>250</v>
          </cell>
          <cell r="FI12">
            <v>262</v>
          </cell>
          <cell r="FJ12">
            <v>264</v>
          </cell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FU12">
            <v>272</v>
          </cell>
          <cell r="FV12">
            <v>252</v>
          </cell>
          <cell r="FW12">
            <v>300</v>
          </cell>
          <cell r="FX12">
            <v>284</v>
          </cell>
        </row>
        <row r="47">
          <cell r="FX47">
            <v>8845921</v>
          </cell>
        </row>
        <row r="52">
          <cell r="FX52">
            <v>8416263</v>
          </cell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  <cell r="FI64">
            <v>17545340</v>
          </cell>
          <cell r="FJ64">
            <v>17525940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FW64">
            <v>18366037</v>
          </cell>
          <cell r="FX64">
            <v>17262184</v>
          </cell>
        </row>
      </sheetData>
      <sheetData sheetId="69">
        <row r="4">
          <cell r="FX4">
            <v>128</v>
          </cell>
        </row>
        <row r="5">
          <cell r="FX5">
            <v>128</v>
          </cell>
        </row>
        <row r="12"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D12">
            <v>196</v>
          </cell>
          <cell r="FE12">
            <v>198</v>
          </cell>
          <cell r="FF12">
            <v>186</v>
          </cell>
          <cell r="FG12">
            <v>212</v>
          </cell>
          <cell r="FH12">
            <v>184</v>
          </cell>
          <cell r="FI12">
            <v>194</v>
          </cell>
          <cell r="FJ12">
            <v>200</v>
          </cell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FU12">
            <v>232</v>
          </cell>
          <cell r="FV12">
            <v>196</v>
          </cell>
          <cell r="FW12">
            <v>248</v>
          </cell>
          <cell r="FX12">
            <v>256</v>
          </cell>
        </row>
        <row r="47">
          <cell r="FX47">
            <v>6220905</v>
          </cell>
        </row>
        <row r="48">
          <cell r="FX48">
            <v>700</v>
          </cell>
        </row>
        <row r="52">
          <cell r="FX52">
            <v>5179827</v>
          </cell>
        </row>
        <row r="53">
          <cell r="FX53">
            <v>388264</v>
          </cell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  <cell r="FI64">
            <v>11845395</v>
          </cell>
          <cell r="FJ64">
            <v>10069854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FW64">
            <v>12818408</v>
          </cell>
          <cell r="FX64">
            <v>11789696</v>
          </cell>
        </row>
      </sheetData>
      <sheetData sheetId="70"/>
      <sheetData sheetId="71"/>
      <sheetData sheetId="72"/>
      <sheetData sheetId="73">
        <row r="4">
          <cell r="FX4">
            <v>229</v>
          </cell>
        </row>
        <row r="5">
          <cell r="FX5">
            <v>229</v>
          </cell>
        </row>
        <row r="12"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D12">
            <v>576</v>
          </cell>
          <cell r="FE12">
            <v>546</v>
          </cell>
          <cell r="FF12">
            <v>528</v>
          </cell>
          <cell r="FG12">
            <v>598</v>
          </cell>
          <cell r="FH12">
            <v>538</v>
          </cell>
          <cell r="FI12">
            <v>568</v>
          </cell>
          <cell r="FJ12">
            <v>590</v>
          </cell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  <cell r="FV12">
            <v>516</v>
          </cell>
          <cell r="FW12">
            <v>568</v>
          </cell>
          <cell r="FX12">
            <v>458</v>
          </cell>
        </row>
      </sheetData>
      <sheetData sheetId="74">
        <row r="5">
          <cell r="FX5">
            <v>8</v>
          </cell>
        </row>
        <row r="12"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D12">
            <v>48</v>
          </cell>
          <cell r="FE12">
            <v>4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6</v>
          </cell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  <cell r="FV12">
            <v>0</v>
          </cell>
          <cell r="FW12">
            <v>0</v>
          </cell>
          <cell r="FX12">
            <v>8</v>
          </cell>
        </row>
        <row r="52">
          <cell r="FX52">
            <v>12022</v>
          </cell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8840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FW64">
            <v>0</v>
          </cell>
          <cell r="FX64">
            <v>12022</v>
          </cell>
        </row>
      </sheetData>
      <sheetData sheetId="75">
        <row r="4">
          <cell r="FX4">
            <v>21</v>
          </cell>
        </row>
        <row r="5">
          <cell r="FX5">
            <v>21</v>
          </cell>
        </row>
        <row r="12"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D12">
            <v>42</v>
          </cell>
          <cell r="FE12">
            <v>44</v>
          </cell>
          <cell r="FF12">
            <v>34</v>
          </cell>
          <cell r="FG12">
            <v>46</v>
          </cell>
          <cell r="FH12">
            <v>46</v>
          </cell>
          <cell r="FI12">
            <v>44</v>
          </cell>
          <cell r="FJ12">
            <v>40</v>
          </cell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  <cell r="FV12">
            <v>42</v>
          </cell>
          <cell r="FW12">
            <v>44</v>
          </cell>
          <cell r="FX12">
            <v>42</v>
          </cell>
        </row>
        <row r="47">
          <cell r="FX47">
            <v>199140</v>
          </cell>
        </row>
        <row r="52">
          <cell r="FX52">
            <v>115877</v>
          </cell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  <cell r="FI64">
            <v>175883</v>
          </cell>
          <cell r="FJ64">
            <v>158106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FW64">
            <v>227743</v>
          </cell>
          <cell r="FX64">
            <v>315017</v>
          </cell>
        </row>
      </sheetData>
      <sheetData sheetId="76">
        <row r="4">
          <cell r="FX4">
            <v>43</v>
          </cell>
        </row>
        <row r="5">
          <cell r="FX5">
            <v>42</v>
          </cell>
        </row>
        <row r="12"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D12">
            <v>46</v>
          </cell>
          <cell r="FE12">
            <v>44</v>
          </cell>
          <cell r="FF12">
            <v>42</v>
          </cell>
          <cell r="FG12">
            <v>50</v>
          </cell>
          <cell r="FH12">
            <v>41</v>
          </cell>
          <cell r="FI12">
            <v>44</v>
          </cell>
          <cell r="FJ12">
            <v>72</v>
          </cell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  <cell r="FV12">
            <v>76</v>
          </cell>
          <cell r="FW12">
            <v>94</v>
          </cell>
          <cell r="FX12">
            <v>85</v>
          </cell>
        </row>
        <row r="47">
          <cell r="FX47">
            <v>68813</v>
          </cell>
        </row>
        <row r="52">
          <cell r="FX52">
            <v>33105</v>
          </cell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  <cell r="FI64">
            <v>97935</v>
          </cell>
          <cell r="FJ64">
            <v>97344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FW64">
            <v>132947</v>
          </cell>
          <cell r="FX64">
            <v>101918</v>
          </cell>
        </row>
      </sheetData>
      <sheetData sheetId="77">
        <row r="4">
          <cell r="FX4">
            <v>43</v>
          </cell>
        </row>
        <row r="5">
          <cell r="FX5">
            <v>42</v>
          </cell>
        </row>
      </sheetData>
      <sheetData sheetId="78">
        <row r="4">
          <cell r="FX4">
            <v>730</v>
          </cell>
        </row>
        <row r="5">
          <cell r="FX5">
            <v>731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L23">
            <v>1694504</v>
          </cell>
          <cell r="M23">
            <v>1716363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D21" sqref="D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8">
        <v>43405</v>
      </c>
      <c r="B2" s="17"/>
      <c r="C2" s="17"/>
      <c r="D2" s="520" t="s">
        <v>211</v>
      </c>
      <c r="E2" s="520" t="s">
        <v>188</v>
      </c>
      <c r="F2" s="8"/>
      <c r="G2" s="8"/>
      <c r="H2" s="8"/>
      <c r="I2" s="8"/>
      <c r="J2" s="23"/>
    </row>
    <row r="3" spans="1:14" ht="13.5" thickBot="1" x14ac:dyDescent="0.25">
      <c r="A3" s="384"/>
      <c r="B3" s="8" t="s">
        <v>0</v>
      </c>
      <c r="C3" s="8" t="s">
        <v>1</v>
      </c>
      <c r="D3" s="521"/>
      <c r="E3" s="522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Stats'!K4</f>
        <v>1097015</v>
      </c>
      <c r="C5" s="296">
        <f>'Major Airline Stats'!K5</f>
        <v>1121137</v>
      </c>
      <c r="D5" s="5">
        <f>'Major Airline Stats'!K6</f>
        <v>2218152</v>
      </c>
      <c r="E5" s="9">
        <f>'[1]Monthly Summary'!D5</f>
        <v>2262007</v>
      </c>
      <c r="F5" s="39">
        <f>(D5-E5)/E5</f>
        <v>-1.9387649994009746E-2</v>
      </c>
      <c r="G5" s="9">
        <f>+D5+'[2]Monthly Summary'!G5</f>
        <v>26857722</v>
      </c>
      <c r="H5" s="9">
        <f>'[1]Monthly Summary'!G5</f>
        <v>27015988</v>
      </c>
      <c r="I5" s="85">
        <f>(G5-H5)/H5</f>
        <v>-5.8582347608386563E-3</v>
      </c>
      <c r="J5" s="9"/>
    </row>
    <row r="6" spans="1:14" x14ac:dyDescent="0.2">
      <c r="A6" s="67" t="s">
        <v>5</v>
      </c>
      <c r="B6" s="294">
        <f>'Regional Major'!M5</f>
        <v>304079</v>
      </c>
      <c r="C6" s="294">
        <f>'Regional Major'!M6</f>
        <v>304271</v>
      </c>
      <c r="D6" s="5">
        <f>B6+C6</f>
        <v>608350</v>
      </c>
      <c r="E6" s="9">
        <f>'[1]Monthly Summary'!D6</f>
        <v>599457</v>
      </c>
      <c r="F6" s="39">
        <f>(D6-E6)/E6</f>
        <v>1.4835092425311574E-2</v>
      </c>
      <c r="G6" s="9">
        <f>+D6+'[2]Monthly Summary'!G6</f>
        <v>7123005</v>
      </c>
      <c r="H6" s="9">
        <f>'[1]Monthly Summary'!G6</f>
        <v>6946325</v>
      </c>
      <c r="I6" s="85">
        <f>(G6-H6)/H6</f>
        <v>2.543503219328206E-2</v>
      </c>
      <c r="J6" s="20"/>
      <c r="K6" s="2"/>
    </row>
    <row r="7" spans="1:14" x14ac:dyDescent="0.2">
      <c r="A7" s="67" t="s">
        <v>6</v>
      </c>
      <c r="B7" s="9">
        <f>Charter!G5</f>
        <v>241</v>
      </c>
      <c r="C7" s="295">
        <f>Charter!G6</f>
        <v>147</v>
      </c>
      <c r="D7" s="5">
        <f>B7+C7</f>
        <v>388</v>
      </c>
      <c r="E7" s="9">
        <f>'[1]Monthly Summary'!D7</f>
        <v>136</v>
      </c>
      <c r="F7" s="39">
        <f>(D7-E7)/E7</f>
        <v>1.8529411764705883</v>
      </c>
      <c r="G7" s="9">
        <f>+D7+'[2]Monthly Summary'!G7</f>
        <v>4479</v>
      </c>
      <c r="H7" s="9">
        <f>'[1]Monthly Summary'!G7</f>
        <v>5383</v>
      </c>
      <c r="I7" s="85">
        <f>(G7-H7)/H7</f>
        <v>-0.16793609511424856</v>
      </c>
      <c r="J7" s="20"/>
      <c r="K7" s="2"/>
    </row>
    <row r="8" spans="1:14" x14ac:dyDescent="0.2">
      <c r="A8" s="70" t="s">
        <v>7</v>
      </c>
      <c r="B8" s="148">
        <f>SUM(B5:B7)</f>
        <v>1401335</v>
      </c>
      <c r="C8" s="148">
        <f>SUM(C5:C7)</f>
        <v>1425555</v>
      </c>
      <c r="D8" s="148">
        <f>SUM(D5:D7)</f>
        <v>2826890</v>
      </c>
      <c r="E8" s="148">
        <f>SUM(E5:E7)</f>
        <v>2861600</v>
      </c>
      <c r="F8" s="92">
        <f>(D8-E8)/E8</f>
        <v>-1.2129577858540677E-2</v>
      </c>
      <c r="G8" s="148">
        <f>SUM(G5:G7)</f>
        <v>33985206</v>
      </c>
      <c r="H8" s="148">
        <f>SUM(H5:H7)</f>
        <v>33967696</v>
      </c>
      <c r="I8" s="91">
        <f>(G8-H8)/H8</f>
        <v>5.1548977593299239E-4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Stats'!K9+'Regional Major'!M10</f>
        <v>47239</v>
      </c>
      <c r="C10" s="297">
        <f>'Major Airline Stats'!K10+'Regional Major'!M11</f>
        <v>47792</v>
      </c>
      <c r="D10" s="120">
        <f>SUM(B10:C10)</f>
        <v>95031</v>
      </c>
      <c r="E10" s="120">
        <f>'[1]Monthly Summary'!D10</f>
        <v>91909</v>
      </c>
      <c r="F10" s="93">
        <f>(D10-E10)/E10</f>
        <v>3.3968381768923611E-2</v>
      </c>
      <c r="G10" s="509">
        <f>+D10+'[2]Monthly Summary'!G10</f>
        <v>1160452</v>
      </c>
      <c r="H10" s="120">
        <f>'[1]Monthly Summary'!G10</f>
        <v>1138855</v>
      </c>
      <c r="I10" s="96">
        <f>(G10-H10)/H10</f>
        <v>1.8963783800396011E-2</v>
      </c>
      <c r="J10" s="264"/>
    </row>
    <row r="11" spans="1:14" ht="15.75" thickBot="1" x14ac:dyDescent="0.3">
      <c r="A11" s="69" t="s">
        <v>13</v>
      </c>
      <c r="B11" s="273">
        <f>B10+B8</f>
        <v>1448574</v>
      </c>
      <c r="C11" s="273">
        <f>C10+C8</f>
        <v>1473347</v>
      </c>
      <c r="D11" s="273">
        <f>D10+D8</f>
        <v>2921921</v>
      </c>
      <c r="E11" s="273">
        <f>E10+E8</f>
        <v>2953509</v>
      </c>
      <c r="F11" s="94">
        <f>(D11-E11)/E11</f>
        <v>-1.0695074909201225E-2</v>
      </c>
      <c r="G11" s="273">
        <f>G8+G10</f>
        <v>35145658</v>
      </c>
      <c r="H11" s="273">
        <f>H8+H10</f>
        <v>35106551</v>
      </c>
      <c r="I11" s="97">
        <f>(G11-H11)/H11</f>
        <v>1.1139516382569167E-3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0" t="s">
        <v>211</v>
      </c>
      <c r="E13" s="520" t="s">
        <v>188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208</v>
      </c>
      <c r="C14" s="449" t="s">
        <v>209</v>
      </c>
      <c r="D14" s="521"/>
      <c r="E14" s="522"/>
      <c r="F14" s="449" t="s">
        <v>2</v>
      </c>
      <c r="G14" s="500" t="s">
        <v>212</v>
      </c>
      <c r="H14" s="500" t="s">
        <v>189</v>
      </c>
      <c r="I14" s="449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Stats'!K15+'Major Airline Stats'!K19</f>
        <v>8521</v>
      </c>
      <c r="C16" s="305">
        <f>'Major Airline Stats'!K16+'Major Airline Stats'!K20</f>
        <v>8575</v>
      </c>
      <c r="D16" s="47">
        <f t="shared" ref="D16:D21" si="0">SUM(B16:C16)</f>
        <v>17096</v>
      </c>
      <c r="E16" s="9">
        <f>'[1]Monthly Summary'!D16</f>
        <v>17944</v>
      </c>
      <c r="F16" s="95">
        <f t="shared" ref="F16:F22" si="1">(D16-E16)/E16</f>
        <v>-4.7258136424431565E-2</v>
      </c>
      <c r="G16" s="9">
        <f>+D16+'[2]Monthly Summary'!G16</f>
        <v>204570</v>
      </c>
      <c r="H16" s="9">
        <f>'[1]Monthly Summary'!G16</f>
        <v>210678</v>
      </c>
      <c r="I16" s="262">
        <f t="shared" ref="I16:I22" si="2">(G16-H16)/H16</f>
        <v>-2.8992111183892007E-2</v>
      </c>
      <c r="N16" s="130"/>
    </row>
    <row r="17" spans="1:12" x14ac:dyDescent="0.2">
      <c r="A17" s="68" t="s">
        <v>5</v>
      </c>
      <c r="B17" s="47">
        <f>'Regional Major'!M15+'Regional Major'!M18</f>
        <v>5760</v>
      </c>
      <c r="C17" s="47">
        <f>'Regional Major'!M16+'Regional Major'!M19</f>
        <v>5762</v>
      </c>
      <c r="D17" s="47">
        <f>SUM(B17:C17)</f>
        <v>11522</v>
      </c>
      <c r="E17" s="9">
        <f>'[1]Monthly Summary'!D17</f>
        <v>11706</v>
      </c>
      <c r="F17" s="95">
        <f t="shared" si="1"/>
        <v>-1.571843499060311E-2</v>
      </c>
      <c r="G17" s="9">
        <f>+D17+'[2]Monthly Summary'!G17</f>
        <v>136982</v>
      </c>
      <c r="H17" s="9">
        <f>'[1]Monthly Summary'!G17</f>
        <v>137545</v>
      </c>
      <c r="I17" s="262">
        <f t="shared" si="2"/>
        <v>-4.0932058599003965E-3</v>
      </c>
    </row>
    <row r="18" spans="1:12" x14ac:dyDescent="0.2">
      <c r="A18" s="68" t="s">
        <v>10</v>
      </c>
      <c r="B18" s="47">
        <f>Charter!G10</f>
        <v>3</v>
      </c>
      <c r="C18" s="47">
        <f>Charter!G11</f>
        <v>1</v>
      </c>
      <c r="D18" s="47">
        <f t="shared" si="0"/>
        <v>4</v>
      </c>
      <c r="E18" s="9">
        <f>'[1]Monthly Summary'!D18</f>
        <v>2</v>
      </c>
      <c r="F18" s="95">
        <f t="shared" si="1"/>
        <v>1</v>
      </c>
      <c r="G18" s="9">
        <f>+D18+'[2]Monthly Summary'!G18</f>
        <v>36</v>
      </c>
      <c r="H18" s="9">
        <f>'[1]Monthly Summary'!G18</f>
        <v>43</v>
      </c>
      <c r="I18" s="262">
        <f t="shared" si="2"/>
        <v>-0.16279069767441862</v>
      </c>
    </row>
    <row r="19" spans="1:12" x14ac:dyDescent="0.2">
      <c r="A19" s="68" t="s">
        <v>11</v>
      </c>
      <c r="B19" s="47">
        <f>Cargo!N4</f>
        <v>633</v>
      </c>
      <c r="C19" s="47">
        <f>Cargo!N5</f>
        <v>640</v>
      </c>
      <c r="D19" s="47">
        <f t="shared" si="0"/>
        <v>1273</v>
      </c>
      <c r="E19" s="9">
        <f>'[1]Monthly Summary'!D19</f>
        <v>1288</v>
      </c>
      <c r="F19" s="95">
        <f t="shared" si="1"/>
        <v>-1.1645962732919254E-2</v>
      </c>
      <c r="G19" s="9">
        <f>+D19+'[2]Monthly Summary'!G19</f>
        <v>14057</v>
      </c>
      <c r="H19" s="9">
        <f>'[1]Monthly Summary'!G19</f>
        <v>13402</v>
      </c>
      <c r="I19" s="262">
        <f t="shared" si="2"/>
        <v>4.8873302492165351E-2</v>
      </c>
    </row>
    <row r="20" spans="1:12" x14ac:dyDescent="0.2">
      <c r="A20" s="68" t="s">
        <v>153</v>
      </c>
      <c r="B20" s="47">
        <f>'[3]General Avation'!$FX$4</f>
        <v>730</v>
      </c>
      <c r="C20" s="47">
        <f>'[3]General Avation'!$FX$5</f>
        <v>731</v>
      </c>
      <c r="D20" s="47">
        <f>SUM(B20:C20)</f>
        <v>1461</v>
      </c>
      <c r="E20" s="9">
        <f>'[1]Monthly Summary'!D20</f>
        <v>1654</v>
      </c>
      <c r="F20" s="95">
        <f t="shared" si="1"/>
        <v>-0.11668681983071343</v>
      </c>
      <c r="G20" s="9">
        <f>+D20+'[2]Monthly Summary'!G20</f>
        <v>18781</v>
      </c>
      <c r="H20" s="9">
        <f>'[1]Monthly Summary'!G20</f>
        <v>20560</v>
      </c>
      <c r="I20" s="262">
        <f t="shared" si="2"/>
        <v>-8.6527237354085601E-2</v>
      </c>
    </row>
    <row r="21" spans="1:12" ht="12.75" customHeight="1" x14ac:dyDescent="0.2">
      <c r="A21" s="68" t="s">
        <v>12</v>
      </c>
      <c r="B21" s="18">
        <f>'[3]Military '!$FX$4</f>
        <v>43</v>
      </c>
      <c r="C21" s="18">
        <f>'[3]Military '!$FX$5</f>
        <v>42</v>
      </c>
      <c r="D21" s="18">
        <f t="shared" si="0"/>
        <v>85</v>
      </c>
      <c r="E21" s="120">
        <f>'[1]Monthly Summary'!D21</f>
        <v>88</v>
      </c>
      <c r="F21" s="260">
        <f t="shared" si="1"/>
        <v>-3.4090909090909088E-2</v>
      </c>
      <c r="G21" s="120">
        <f>+D21+'[2]Monthly Summary'!G21</f>
        <v>1070</v>
      </c>
      <c r="H21" s="120">
        <f>'[1]Monthly Summary'!G21</f>
        <v>667</v>
      </c>
      <c r="I21" s="263">
        <f t="shared" si="2"/>
        <v>0.60419790104947524</v>
      </c>
    </row>
    <row r="22" spans="1:12" ht="15.75" thickBot="1" x14ac:dyDescent="0.3">
      <c r="A22" s="69" t="s">
        <v>28</v>
      </c>
      <c r="B22" s="274">
        <f>SUM(B16:B21)</f>
        <v>15690</v>
      </c>
      <c r="C22" s="274">
        <f>SUM(C16:C21)</f>
        <v>15751</v>
      </c>
      <c r="D22" s="274">
        <f>SUM(D16:D21)</f>
        <v>31441</v>
      </c>
      <c r="E22" s="274">
        <f>SUM(E16:E21)</f>
        <v>32682</v>
      </c>
      <c r="F22" s="270">
        <f t="shared" si="1"/>
        <v>-3.7971972339514104E-2</v>
      </c>
      <c r="G22" s="274">
        <f>SUM(G16:G21)</f>
        <v>375496</v>
      </c>
      <c r="H22" s="274">
        <f>SUM(H16:H21)</f>
        <v>382895</v>
      </c>
      <c r="I22" s="271">
        <f t="shared" si="2"/>
        <v>-1.9323835516264251E-2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0" t="s">
        <v>211</v>
      </c>
      <c r="E24" s="520" t="s">
        <v>188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21"/>
      <c r="E25" s="522"/>
      <c r="F25" s="449" t="s">
        <v>2</v>
      </c>
      <c r="G25" s="500" t="s">
        <v>212</v>
      </c>
      <c r="H25" s="500" t="s">
        <v>189</v>
      </c>
      <c r="I25" s="449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(Cargo!N16+'Major Airline Stats'!K28+'Regional Major'!M25)*0.00045359237</f>
        <v>10106.032106899189</v>
      </c>
      <c r="C27" s="22">
        <f>(Cargo!N21+'Major Airline Stats'!K33+'Regional Major'!M30)*0.00045359237</f>
        <v>7912.0067203939298</v>
      </c>
      <c r="D27" s="22">
        <f>(SUM(B27:C27)+('Cargo Summary'!E17*0.00045359237))</f>
        <v>18018.03882729312</v>
      </c>
      <c r="E27" s="9">
        <f>'[1]Monthly Summary'!D27</f>
        <v>16565.475486854139</v>
      </c>
      <c r="F27" s="98">
        <f>(D27-E27)/E27</f>
        <v>8.768618453431605E-2</v>
      </c>
      <c r="G27" s="9">
        <f>+D27+'[2]Monthly Summary'!G27</f>
        <v>195816.5627630089</v>
      </c>
      <c r="H27" s="9">
        <f>'[1]Monthly Summary'!G27</f>
        <v>185057.98224000318</v>
      </c>
      <c r="I27" s="100">
        <f>(G27-H27)/H27</f>
        <v>5.8136268388860018E-2</v>
      </c>
    </row>
    <row r="28" spans="1:12" x14ac:dyDescent="0.2">
      <c r="A28" s="62" t="s">
        <v>16</v>
      </c>
      <c r="B28" s="22">
        <f>(Cargo!N17+'Major Airline Stats'!K29+'Regional Major'!M26)*0.00045359237</f>
        <v>933.00911440121001</v>
      </c>
      <c r="C28" s="22">
        <f>(Cargo!N22+'Major Airline Stats'!K34+'Regional Major'!M31)*0.00045359237</f>
        <v>1359.0543661787399</v>
      </c>
      <c r="D28" s="22">
        <f>SUM(B28:C28)</f>
        <v>2292.06348057995</v>
      </c>
      <c r="E28" s="9">
        <f>'[1]Monthly Summary'!D28</f>
        <v>2365.9858827112203</v>
      </c>
      <c r="F28" s="98">
        <f>(D28-E28)/E28</f>
        <v>-3.1243805244755479E-2</v>
      </c>
      <c r="G28" s="120">
        <f>+D28+'[2]Monthly Summary'!G28</f>
        <v>23226.877694404997</v>
      </c>
      <c r="H28" s="9">
        <f>'[1]Monthly Summary'!G28</f>
        <v>22938.546714898424</v>
      </c>
      <c r="I28" s="100">
        <f>(G28-H28)/H28</f>
        <v>1.256971433675454E-2</v>
      </c>
    </row>
    <row r="29" spans="1:12" ht="15.75" thickBot="1" x14ac:dyDescent="0.3">
      <c r="A29" s="63" t="s">
        <v>62</v>
      </c>
      <c r="B29" s="54">
        <f>SUM(B27:B28)</f>
        <v>11039.041221300398</v>
      </c>
      <c r="C29" s="54">
        <f>SUM(C27:C28)</f>
        <v>9271.0610865726703</v>
      </c>
      <c r="D29" s="54">
        <f>SUM(D27:D28)</f>
        <v>20310.102307873069</v>
      </c>
      <c r="E29" s="54">
        <f>SUM(E27:E28)</f>
        <v>18931.461369565361</v>
      </c>
      <c r="F29" s="99">
        <f>(D29-E29)/E29</f>
        <v>7.2822742597359227E-2</v>
      </c>
      <c r="G29" s="54">
        <f>SUM(G27:G28)</f>
        <v>219043.4404574139</v>
      </c>
      <c r="H29" s="54">
        <f>SUM(H27:H28)</f>
        <v>207996.52895490162</v>
      </c>
      <c r="I29" s="101">
        <f>(G29-H29)/H29</f>
        <v>5.311103775634405E-2</v>
      </c>
    </row>
    <row r="30" spans="1:12" s="7" customFormat="1" ht="4.5" customHeight="1" thickBot="1" x14ac:dyDescent="0.3">
      <c r="A30" s="59"/>
      <c r="B30" s="386"/>
      <c r="C30" s="386"/>
      <c r="D30" s="386"/>
      <c r="E30" s="386"/>
      <c r="F30" s="275"/>
      <c r="G30" s="386"/>
      <c r="H30" s="386"/>
      <c r="I30" s="275"/>
    </row>
    <row r="31" spans="1:12" ht="13.5" thickBot="1" x14ac:dyDescent="0.25">
      <c r="B31" s="519" t="s">
        <v>149</v>
      </c>
      <c r="C31" s="518"/>
      <c r="D31" s="519" t="s">
        <v>156</v>
      </c>
      <c r="E31" s="518"/>
      <c r="F31" s="409"/>
      <c r="G31" s="410"/>
      <c r="H31" s="408"/>
      <c r="I31" s="408"/>
    </row>
    <row r="32" spans="1:12" x14ac:dyDescent="0.2">
      <c r="A32" s="390" t="s">
        <v>150</v>
      </c>
      <c r="B32" s="391">
        <f>C8-B33</f>
        <v>892933</v>
      </c>
      <c r="C32" s="392">
        <f>B32/C8</f>
        <v>0.62637569227423706</v>
      </c>
      <c r="D32" s="393">
        <f>+B32+'[2]Monthly Summary'!$D$32</f>
        <v>10619905</v>
      </c>
      <c r="E32" s="394">
        <f>+D32/D34</f>
        <v>0.62545201385571181</v>
      </c>
      <c r="G32" s="416"/>
      <c r="H32" s="408"/>
      <c r="I32" s="407"/>
    </row>
    <row r="33" spans="1:14" ht="13.5" thickBot="1" x14ac:dyDescent="0.25">
      <c r="A33" s="395" t="s">
        <v>151</v>
      </c>
      <c r="B33" s="396">
        <f>'Major Airline Stats'!K51+'Regional Major'!M45</f>
        <v>532622</v>
      </c>
      <c r="C33" s="397">
        <f>+B33/C8</f>
        <v>0.37362430772576294</v>
      </c>
      <c r="D33" s="398">
        <f>+B33+'[2]Monthly Summary'!$D$33</f>
        <v>6359663</v>
      </c>
      <c r="E33" s="399">
        <f>+D33/D34</f>
        <v>0.37454798614428825</v>
      </c>
      <c r="G33" s="408"/>
      <c r="H33" s="408"/>
      <c r="I33" s="407"/>
    </row>
    <row r="34" spans="1:14" ht="13.5" thickBot="1" x14ac:dyDescent="0.25">
      <c r="B34" s="309"/>
      <c r="D34" s="400">
        <f>SUM(D32:D33)</f>
        <v>16979568</v>
      </c>
    </row>
    <row r="35" spans="1:14" ht="13.5" thickBot="1" x14ac:dyDescent="0.25">
      <c r="B35" s="517" t="s">
        <v>231</v>
      </c>
      <c r="C35" s="518"/>
      <c r="D35" s="519" t="s">
        <v>213</v>
      </c>
      <c r="E35" s="518"/>
    </row>
    <row r="36" spans="1:14" x14ac:dyDescent="0.2">
      <c r="A36" s="390" t="s">
        <v>150</v>
      </c>
      <c r="B36" s="391">
        <f>'[1]Monthly Summary'!$B$32</f>
        <v>870937</v>
      </c>
      <c r="C36" s="392">
        <f>+B36/B38</f>
        <v>0.6047875417253733</v>
      </c>
      <c r="D36" s="393">
        <f>'[1]Monthly Summary'!$D$32</f>
        <v>10134632</v>
      </c>
      <c r="E36" s="394">
        <f>+D36/D38</f>
        <v>0.59750197961038154</v>
      </c>
    </row>
    <row r="37" spans="1:14" ht="13.5" thickBot="1" x14ac:dyDescent="0.25">
      <c r="A37" s="395" t="s">
        <v>151</v>
      </c>
      <c r="B37" s="396">
        <f>'[1]Monthly Summary'!$B$33</f>
        <v>569134</v>
      </c>
      <c r="C37" s="399">
        <f>+B37/B38</f>
        <v>0.39521245827462675</v>
      </c>
      <c r="D37" s="398">
        <f>'[1]Monthly Summary'!$D$33</f>
        <v>6827039</v>
      </c>
      <c r="E37" s="399">
        <f>+D37/D38</f>
        <v>0.40249802038961846</v>
      </c>
      <c r="M37" s="13"/>
    </row>
    <row r="38" spans="1:14" x14ac:dyDescent="0.2">
      <c r="B38" s="415">
        <f>+SUM(B36:B37)</f>
        <v>1440071</v>
      </c>
      <c r="D38" s="400">
        <f>SUM(D36:D37)</f>
        <v>16961671</v>
      </c>
    </row>
    <row r="39" spans="1:14" x14ac:dyDescent="0.2">
      <c r="A39" s="404" t="s">
        <v>152</v>
      </c>
    </row>
    <row r="40" spans="1:14" x14ac:dyDescent="0.2">
      <c r="A40" s="229" t="s">
        <v>154</v>
      </c>
      <c r="I40" s="2"/>
    </row>
    <row r="41" spans="1:14" x14ac:dyDescent="0.2">
      <c r="N41" s="405"/>
    </row>
    <row r="42" spans="1:14" x14ac:dyDescent="0.2">
      <c r="G42" s="2"/>
      <c r="N42" s="405"/>
    </row>
    <row r="43" spans="1:14" x14ac:dyDescent="0.2">
      <c r="B43" s="309"/>
      <c r="J43" s="2"/>
      <c r="N43" s="405"/>
    </row>
    <row r="44" spans="1:14" x14ac:dyDescent="0.2">
      <c r="B44" s="309"/>
      <c r="N44" s="405"/>
    </row>
    <row r="45" spans="1:14" x14ac:dyDescent="0.2">
      <c r="J45" s="2"/>
      <c r="N45" s="405"/>
    </row>
    <row r="46" spans="1:14" x14ac:dyDescent="0.2">
      <c r="B46" s="2"/>
      <c r="F46" s="309"/>
    </row>
    <row r="47" spans="1:14" x14ac:dyDescent="0.2">
      <c r="N47" s="405"/>
    </row>
    <row r="51" spans="12:12" x14ac:dyDescent="0.2">
      <c r="L51" s="4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16" zoomScaleNormal="100" zoomScaleSheetLayoutView="100" workbookViewId="0">
      <selection activeCell="P17" sqref="P1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8">
        <v>43405</v>
      </c>
      <c r="B1" s="12" t="s">
        <v>18</v>
      </c>
      <c r="C1" s="499" t="s">
        <v>222</v>
      </c>
      <c r="D1" s="423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4" t="s">
        <v>144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6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[3]Delta!$FX$32</f>
        <v>62421</v>
      </c>
      <c r="C4" s="21">
        <f>'[3]Atlantic Southeast'!$FX$32</f>
        <v>0</v>
      </c>
      <c r="D4" s="21">
        <f>[3]Pinnacle!$FX$32</f>
        <v>365</v>
      </c>
      <c r="E4" s="21">
        <f>[3]Compass!$FX$32</f>
        <v>0</v>
      </c>
      <c r="F4" s="21">
        <f>'[3]Sky West'!$FX$32</f>
        <v>9134</v>
      </c>
      <c r="G4" s="21">
        <f>'[3]Go Jet'!$FX$32</f>
        <v>1712</v>
      </c>
      <c r="H4" s="21">
        <f>'[3]Sun Country'!$FX$32</f>
        <v>2576</v>
      </c>
      <c r="I4" s="21">
        <f>[3]Icelandair!$FX$32</f>
        <v>2238</v>
      </c>
      <c r="J4" s="21">
        <f>[3]KLM!$FX$32</f>
        <v>4177</v>
      </c>
      <c r="K4" s="21">
        <f>'[3]Air Georgian'!$FX$32</f>
        <v>0</v>
      </c>
      <c r="L4" s="21">
        <f>'[3]Sky Regional'!$FX$32</f>
        <v>4613</v>
      </c>
      <c r="M4" s="21">
        <f>[3]Condor!$FX$32</f>
        <v>0</v>
      </c>
      <c r="N4" s="21">
        <f>'[3]Air France'!$FX$32</f>
        <v>0</v>
      </c>
      <c r="O4" s="21">
        <f>'[3]Charter Misc'!$FX$32+[3]Ryan!$FX$32+[3]Omni!$FX$32</f>
        <v>0</v>
      </c>
      <c r="P4" s="281">
        <f>SUM(B4:O4)</f>
        <v>87236</v>
      </c>
    </row>
    <row r="5" spans="1:16" x14ac:dyDescent="0.2">
      <c r="A5" s="62" t="s">
        <v>31</v>
      </c>
      <c r="B5" s="14">
        <f>[3]Delta!$FX$33</f>
        <v>63439</v>
      </c>
      <c r="C5" s="14">
        <f>'[3]Atlantic Southeast'!$FX$33</f>
        <v>0</v>
      </c>
      <c r="D5" s="14">
        <f>[3]Pinnacle!$FX$33</f>
        <v>417</v>
      </c>
      <c r="E5" s="14">
        <f>[3]Compass!$FX$33</f>
        <v>0</v>
      </c>
      <c r="F5" s="14">
        <f>'[3]Sky West'!$FX$33</f>
        <v>8506</v>
      </c>
      <c r="G5" s="14">
        <f>'[3]Go Jet'!$FX$33</f>
        <v>1823</v>
      </c>
      <c r="H5" s="14">
        <f>'[3]Sun Country'!$FX$33</f>
        <v>3098</v>
      </c>
      <c r="I5" s="14">
        <f>[3]Icelandair!$FX$33</f>
        <v>2363</v>
      </c>
      <c r="J5" s="14">
        <f>[3]KLM!$FX$33</f>
        <v>3429</v>
      </c>
      <c r="K5" s="14">
        <f>'[3]Air Georgian'!$FX$33</f>
        <v>0</v>
      </c>
      <c r="L5" s="14">
        <f>'[3]Sky Regional'!$FX$33</f>
        <v>4316</v>
      </c>
      <c r="M5" s="14">
        <f>[3]Condor!$FX$33</f>
        <v>0</v>
      </c>
      <c r="N5" s="14">
        <f>'[3]Air France'!$FX$33</f>
        <v>0</v>
      </c>
      <c r="O5" s="14">
        <f>'[3]Charter Misc'!$FX$33++[3]Ryan!$FX$33+[3]Omni!$FX$33</f>
        <v>0</v>
      </c>
      <c r="P5" s="282">
        <f>SUM(B5:O5)</f>
        <v>87391</v>
      </c>
    </row>
    <row r="6" spans="1:16" ht="15" x14ac:dyDescent="0.25">
      <c r="A6" s="60" t="s">
        <v>7</v>
      </c>
      <c r="B6" s="34">
        <f t="shared" ref="B6:O6" si="0">SUM(B4:B5)</f>
        <v>125860</v>
      </c>
      <c r="C6" s="34">
        <f t="shared" si="0"/>
        <v>0</v>
      </c>
      <c r="D6" s="34">
        <f t="shared" si="0"/>
        <v>782</v>
      </c>
      <c r="E6" s="34">
        <f t="shared" si="0"/>
        <v>0</v>
      </c>
      <c r="F6" s="34">
        <f t="shared" si="0"/>
        <v>17640</v>
      </c>
      <c r="G6" s="34">
        <f t="shared" ref="G6" si="1">SUM(G4:G5)</f>
        <v>3535</v>
      </c>
      <c r="H6" s="34">
        <f t="shared" si="0"/>
        <v>5674</v>
      </c>
      <c r="I6" s="34">
        <f t="shared" si="0"/>
        <v>4601</v>
      </c>
      <c r="J6" s="34">
        <f t="shared" ref="J6" si="2">SUM(J4:J5)</f>
        <v>7606</v>
      </c>
      <c r="K6" s="34">
        <f t="shared" si="0"/>
        <v>0</v>
      </c>
      <c r="L6" s="34">
        <f t="shared" ref="L6" si="3">SUM(L4:L5)</f>
        <v>8929</v>
      </c>
      <c r="M6" s="34">
        <f t="shared" ref="M6" si="4">SUM(M4:M5)</f>
        <v>0</v>
      </c>
      <c r="N6" s="34">
        <f t="shared" si="0"/>
        <v>0</v>
      </c>
      <c r="O6" s="34">
        <f t="shared" si="0"/>
        <v>0</v>
      </c>
      <c r="P6" s="283">
        <f>SUM(B6:O6)</f>
        <v>174627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[3]Delta!$FX$37</f>
        <v>1779</v>
      </c>
      <c r="C9" s="21">
        <f>'[3]Atlantic Southeast'!$FX$37</f>
        <v>0</v>
      </c>
      <c r="D9" s="21">
        <f>[3]Pinnacle!$FX$37</f>
        <v>6</v>
      </c>
      <c r="E9" s="21">
        <f>[3]Compass!$FX$37</f>
        <v>0</v>
      </c>
      <c r="F9" s="21">
        <f>'[3]Sky West'!$FX$37</f>
        <v>91</v>
      </c>
      <c r="G9" s="21">
        <f>'[3]Go Jet'!$FX$37</f>
        <v>29</v>
      </c>
      <c r="H9" s="21">
        <f>'[3]Sun Country'!$FX$37</f>
        <v>31</v>
      </c>
      <c r="I9" s="21">
        <f>[3]Icelandair!$FX$37</f>
        <v>83</v>
      </c>
      <c r="J9" s="21">
        <f>[3]KLM!$FX$37</f>
        <v>13</v>
      </c>
      <c r="K9" s="21">
        <f>'[3]Air Georgian'!$FX$37</f>
        <v>0</v>
      </c>
      <c r="L9" s="21">
        <f>'[3]Sky Regional'!$FX$37</f>
        <v>53</v>
      </c>
      <c r="M9" s="21">
        <f>[3]Condor!$FX$37</f>
        <v>0</v>
      </c>
      <c r="N9" s="21">
        <f>'[3]Air France'!$FX$37</f>
        <v>0</v>
      </c>
      <c r="O9" s="21">
        <f>'[3]Charter Misc'!$FX$37+[3]Ryan!$FX$37+[3]Omni!$FX$37</f>
        <v>0</v>
      </c>
      <c r="P9" s="281">
        <f>SUM(B9:O9)</f>
        <v>2085</v>
      </c>
    </row>
    <row r="10" spans="1:16" x14ac:dyDescent="0.2">
      <c r="A10" s="62" t="s">
        <v>33</v>
      </c>
      <c r="B10" s="14">
        <f>[3]Delta!$FX$38</f>
        <v>1799</v>
      </c>
      <c r="C10" s="14">
        <f>'[3]Atlantic Southeast'!$FX$38</f>
        <v>0</v>
      </c>
      <c r="D10" s="14">
        <f>[3]Pinnacle!$FX$38</f>
        <v>3</v>
      </c>
      <c r="E10" s="14">
        <f>[3]Compass!$FX$38</f>
        <v>0</v>
      </c>
      <c r="F10" s="14">
        <f>'[3]Sky West'!$FX$38</f>
        <v>95</v>
      </c>
      <c r="G10" s="14">
        <f>'[3]Go Jet'!$FX$38</f>
        <v>26</v>
      </c>
      <c r="H10" s="14">
        <f>'[3]Sun Country'!$FX$38</f>
        <v>38</v>
      </c>
      <c r="I10" s="14">
        <f>[3]Icelandair!$FX$38</f>
        <v>80</v>
      </c>
      <c r="J10" s="14">
        <f>[3]KLM!$FX$38</f>
        <v>15</v>
      </c>
      <c r="K10" s="14">
        <f>'[3]Air Georgian'!$FX$38</f>
        <v>0</v>
      </c>
      <c r="L10" s="14">
        <f>'[3]Sky Regional'!$FX$38</f>
        <v>54</v>
      </c>
      <c r="M10" s="14">
        <f>[3]Condor!$FX$38</f>
        <v>0</v>
      </c>
      <c r="N10" s="14">
        <f>'[3]Air France'!$FX$38</f>
        <v>0</v>
      </c>
      <c r="O10" s="14">
        <f>'[3]Charter Misc'!$FX$38+[3]Ryan!$FX$38+[3]Omni!$FX$38</f>
        <v>0</v>
      </c>
      <c r="P10" s="282">
        <f>SUM(B10:O10)</f>
        <v>2110</v>
      </c>
    </row>
    <row r="11" spans="1:16" ht="15.75" thickBot="1" x14ac:dyDescent="0.3">
      <c r="A11" s="63" t="s">
        <v>34</v>
      </c>
      <c r="B11" s="284">
        <f t="shared" ref="B11:H11" si="5">SUM(B9:B10)</f>
        <v>3578</v>
      </c>
      <c r="C11" s="284">
        <f t="shared" si="5"/>
        <v>0</v>
      </c>
      <c r="D11" s="284">
        <f t="shared" si="5"/>
        <v>9</v>
      </c>
      <c r="E11" s="284">
        <f t="shared" si="5"/>
        <v>0</v>
      </c>
      <c r="F11" s="284">
        <f t="shared" si="5"/>
        <v>186</v>
      </c>
      <c r="G11" s="284">
        <f t="shared" ref="G11" si="6">SUM(G9:G10)</f>
        <v>55</v>
      </c>
      <c r="H11" s="284">
        <f t="shared" si="5"/>
        <v>69</v>
      </c>
      <c r="I11" s="284">
        <f t="shared" ref="I11:O11" si="7">SUM(I9:I10)</f>
        <v>163</v>
      </c>
      <c r="J11" s="284">
        <f t="shared" ref="J11" si="8">SUM(J9:J10)</f>
        <v>28</v>
      </c>
      <c r="K11" s="284">
        <f t="shared" si="7"/>
        <v>0</v>
      </c>
      <c r="L11" s="284">
        <f t="shared" ref="L11" si="9">SUM(L9:L10)</f>
        <v>107</v>
      </c>
      <c r="M11" s="284">
        <f t="shared" si="7"/>
        <v>0</v>
      </c>
      <c r="N11" s="284">
        <f t="shared" si="7"/>
        <v>0</v>
      </c>
      <c r="O11" s="284">
        <f t="shared" si="7"/>
        <v>0</v>
      </c>
      <c r="P11" s="285">
        <f>SUM(B11:O11)</f>
        <v>4195</v>
      </c>
    </row>
    <row r="12" spans="1:16" ht="15" x14ac:dyDescent="0.25">
      <c r="A12" s="383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80"/>
    </row>
    <row r="13" spans="1:16" ht="39" thickBot="1" x14ac:dyDescent="0.25">
      <c r="B13" s="12" t="s">
        <v>18</v>
      </c>
      <c r="C13" s="499" t="s">
        <v>222</v>
      </c>
      <c r="D13" s="423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7" t="s">
        <v>146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9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SUM([3]Delta!$FN$32:$FX$32)</f>
        <v>883662</v>
      </c>
      <c r="C16" s="21">
        <f>SUM('[3]Atlantic Southeast'!$FN$32:$FX$32)</f>
        <v>2369</v>
      </c>
      <c r="D16" s="21">
        <f>SUM([3]Pinnacle!$FN$32:$FX$32)</f>
        <v>46460</v>
      </c>
      <c r="E16" s="21">
        <f>SUM([3]Compass!$FN$32:$FX$32)</f>
        <v>0</v>
      </c>
      <c r="F16" s="21">
        <f>SUM('[3]Sky West'!$FN$32:$FX$32)</f>
        <v>121423</v>
      </c>
      <c r="G16" s="21">
        <f>SUM('[3]Go Jet'!$FN$32:$FX$32)</f>
        <v>22661</v>
      </c>
      <c r="H16" s="21">
        <f>SUM('[3]Sun Country'!$FN$32:$FX$32)</f>
        <v>130425</v>
      </c>
      <c r="I16" s="21">
        <f>SUM([3]Icelandair!$FN$32:$FX$32)</f>
        <v>42911</v>
      </c>
      <c r="J16" s="21">
        <f>SUM([3]KLM!$FN$32:$FX$32)</f>
        <v>41832</v>
      </c>
      <c r="K16" s="21">
        <f>SUM('[3]Air Georgian'!$FN$32:$FX$32)</f>
        <v>0</v>
      </c>
      <c r="L16" s="21">
        <f>SUM('[3]Sky Regional'!$FN$32:$FX$32)</f>
        <v>55606</v>
      </c>
      <c r="M16" s="21">
        <f>SUM([3]Condor!$FN$32:$FX$32)</f>
        <v>14023</v>
      </c>
      <c r="N16" s="21">
        <f>SUM('[3]Air France'!$FN$32:$FX$32)</f>
        <v>29502</v>
      </c>
      <c r="O16" s="21">
        <f>SUM('[3]Charter Misc'!$FN$32:$FX$32)+SUM([3]Ryan!$FN$32:$FX$32)+SUM([3]Omni!$FN$32:$FX$32)</f>
        <v>37</v>
      </c>
      <c r="P16" s="281">
        <f>SUM(B16:O16)</f>
        <v>1390911</v>
      </c>
    </row>
    <row r="17" spans="1:19" x14ac:dyDescent="0.2">
      <c r="A17" s="62" t="s">
        <v>31</v>
      </c>
      <c r="B17" s="14">
        <f>SUM([3]Delta!$FN$33:$FX$33)</f>
        <v>862780</v>
      </c>
      <c r="C17" s="14">
        <f>SUM('[3]Atlantic Southeast'!$FN$33:$FX$33)</f>
        <v>3166</v>
      </c>
      <c r="D17" s="14">
        <f>SUM([3]Pinnacle!$FN$33:$FX$33)</f>
        <v>47062</v>
      </c>
      <c r="E17" s="14">
        <f>SUM([3]Compass!$FN$33:$FX$33)</f>
        <v>0</v>
      </c>
      <c r="F17" s="14">
        <f>SUM('[3]Sky West'!$FN$33:$FX$33)</f>
        <v>123278</v>
      </c>
      <c r="G17" s="14">
        <f>SUM('[3]Go Jet'!$FN$33:$FX$33)</f>
        <v>21608</v>
      </c>
      <c r="H17" s="14">
        <f>SUM('[3]Sun Country'!$FN$33:$FX$33)</f>
        <v>125052</v>
      </c>
      <c r="I17" s="14">
        <f>SUM([3]Icelandair!$FN$33:$FX$33)</f>
        <v>43648</v>
      </c>
      <c r="J17" s="14">
        <f>SUM([3]KLM!$FN$33:$FX$33)</f>
        <v>37154</v>
      </c>
      <c r="K17" s="14">
        <f>SUM('[3]Air Georgian'!$FN$33:$FX$33)</f>
        <v>0</v>
      </c>
      <c r="L17" s="14">
        <f>SUM('[3]Sky Regional'!$FN$33:$FX$33)</f>
        <v>53911</v>
      </c>
      <c r="M17" s="14">
        <f>SUM([3]Condor!$FN$33:$FX$33)</f>
        <v>14817</v>
      </c>
      <c r="N17" s="14">
        <f>SUM('[3]Air France'!$FN$33:$FX$33)</f>
        <v>26538</v>
      </c>
      <c r="O17" s="14">
        <f>SUM('[3]Charter Misc'!$FN$33:$FX$33)++SUM([3]Ryan!$FN$33:$FX$33)+SUM([3]Omni!$FN$33:$FX$33)</f>
        <v>0</v>
      </c>
      <c r="P17" s="282">
        <f>SUM(B17:O17)</f>
        <v>1359014</v>
      </c>
    </row>
    <row r="18" spans="1:19" ht="15" x14ac:dyDescent="0.25">
      <c r="A18" s="60" t="s">
        <v>7</v>
      </c>
      <c r="B18" s="34">
        <f t="shared" ref="B18:O18" si="10">SUM(B16:B17)</f>
        <v>1746442</v>
      </c>
      <c r="C18" s="34">
        <f t="shared" si="10"/>
        <v>5535</v>
      </c>
      <c r="D18" s="34">
        <f t="shared" si="10"/>
        <v>93522</v>
      </c>
      <c r="E18" s="34">
        <f t="shared" si="10"/>
        <v>0</v>
      </c>
      <c r="F18" s="34">
        <f t="shared" si="10"/>
        <v>244701</v>
      </c>
      <c r="G18" s="34">
        <f t="shared" ref="G18" si="11">SUM(G16:G17)</f>
        <v>44269</v>
      </c>
      <c r="H18" s="34">
        <f t="shared" si="10"/>
        <v>255477</v>
      </c>
      <c r="I18" s="34">
        <f t="shared" si="10"/>
        <v>86559</v>
      </c>
      <c r="J18" s="34">
        <f t="shared" ref="J18" si="12">SUM(J16:J17)</f>
        <v>78986</v>
      </c>
      <c r="K18" s="34">
        <f t="shared" si="10"/>
        <v>0</v>
      </c>
      <c r="L18" s="34">
        <f t="shared" ref="L18" si="13">SUM(L16:L17)</f>
        <v>109517</v>
      </c>
      <c r="M18" s="34">
        <f t="shared" ref="M18" si="14">SUM(M16:M17)</f>
        <v>28840</v>
      </c>
      <c r="N18" s="34">
        <f t="shared" si="10"/>
        <v>56040</v>
      </c>
      <c r="O18" s="34">
        <f t="shared" si="10"/>
        <v>37</v>
      </c>
      <c r="P18" s="283">
        <f>SUM(B18:O18)</f>
        <v>2749925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SUM([3]Delta!$FN$37:$FX$37)</f>
        <v>41983</v>
      </c>
      <c r="C21" s="21">
        <f>SUM('[3]Atlantic Southeast'!$FN$37:$FX$37)</f>
        <v>48</v>
      </c>
      <c r="D21" s="21">
        <f>SUM([3]Pinnacle!$FN$37:$FX$37)</f>
        <v>769</v>
      </c>
      <c r="E21" s="21">
        <f>SUM([3]Compass!$FN$37:$FX$37)</f>
        <v>0</v>
      </c>
      <c r="F21" s="21">
        <f>SUM('[3]Sky West'!$FN$37:$FX$37)</f>
        <v>1254</v>
      </c>
      <c r="G21" s="21">
        <f>SUM('[3]Go Jet'!$FN$37:$FX$37)</f>
        <v>357</v>
      </c>
      <c r="H21" s="21">
        <f>SUM('[3]Sun Country'!$FN$37:$FX$37)</f>
        <v>836</v>
      </c>
      <c r="I21" s="21">
        <f>SUM([3]Icelandair!$FN$37:$FX$37)</f>
        <v>666</v>
      </c>
      <c r="J21" s="21">
        <f>SUM([3]KLM!$FN$37:$FX$37)</f>
        <v>259</v>
      </c>
      <c r="K21" s="21">
        <f>SUM('[3]Air Georgian'!$FN$37:$FX$37)</f>
        <v>0</v>
      </c>
      <c r="L21" s="21">
        <f>SUM('[3]Sky Regional'!$FN$37:$FX$37)</f>
        <v>630</v>
      </c>
      <c r="M21" s="21">
        <f>SUM([3]Condor!$FN$37:$FX$37)</f>
        <v>18</v>
      </c>
      <c r="N21" s="21">
        <f>SUM('[3]Air France'!$FN$37:$FX$37)</f>
        <v>61</v>
      </c>
      <c r="O21" s="21">
        <f>SUM('[3]Charter Misc'!$FN$37:$FX$37)++SUM([3]Ryan!$FN$37:$FX$37)+SUM([3]Omni!$FN$37:$FX$37)</f>
        <v>0</v>
      </c>
      <c r="P21" s="281">
        <f>SUM(B21:O21)</f>
        <v>46881</v>
      </c>
    </row>
    <row r="22" spans="1:19" x14ac:dyDescent="0.2">
      <c r="A22" s="62" t="s">
        <v>33</v>
      </c>
      <c r="B22" s="14">
        <f>SUM([3]Delta!$FN$38:$FX$38)</f>
        <v>23721</v>
      </c>
      <c r="C22" s="14">
        <f>SUM('[3]Atlantic Southeast'!$FN$38:$FX$38)</f>
        <v>35</v>
      </c>
      <c r="D22" s="14">
        <f>SUM([3]Pinnacle!$FN$38:$FX$38)</f>
        <v>821</v>
      </c>
      <c r="E22" s="14">
        <f>SUM([3]Compass!$FN$38:$FX$38)</f>
        <v>0</v>
      </c>
      <c r="F22" s="14">
        <f>SUM('[3]Sky West'!$FN$38:$FX$38)</f>
        <v>1240</v>
      </c>
      <c r="G22" s="14">
        <f>SUM('[3]Go Jet'!$FN$38:$FX$38)</f>
        <v>386</v>
      </c>
      <c r="H22" s="14">
        <f>SUM('[3]Sun Country'!$FN$38:$FX$38)</f>
        <v>1013</v>
      </c>
      <c r="I22" s="14">
        <f>SUM([3]Icelandair!$FN$38:$FX$38)</f>
        <v>706</v>
      </c>
      <c r="J22" s="14">
        <f>SUM([3]KLM!$FN$38:$FX$38)</f>
        <v>222</v>
      </c>
      <c r="K22" s="14">
        <f>SUM('[3]Air Georgian'!$FN$38:$FX$38)</f>
        <v>0</v>
      </c>
      <c r="L22" s="14">
        <f>SUM('[3]Sky Regional'!$FN$38:$FX$38)</f>
        <v>671</v>
      </c>
      <c r="M22" s="14">
        <f>SUM([3]Condor!$FN$38:$FX$38)</f>
        <v>19</v>
      </c>
      <c r="N22" s="14">
        <f>SUM('[3]Air France'!$FN$38:$FX$38)</f>
        <v>50</v>
      </c>
      <c r="O22" s="14">
        <f>SUM('[3]Charter Misc'!$FN$38:$FX$38)++SUM([3]Ryan!$FN$38:$FX$38)+SUM([3]Omni!$FN$38:$FX$38)</f>
        <v>0</v>
      </c>
      <c r="P22" s="282">
        <f>SUM(B22:O22)</f>
        <v>28884</v>
      </c>
    </row>
    <row r="23" spans="1:19" ht="15.75" thickBot="1" x14ac:dyDescent="0.3">
      <c r="A23" s="63" t="s">
        <v>34</v>
      </c>
      <c r="B23" s="284">
        <f t="shared" ref="B23:O23" si="15">SUM(B21:B22)</f>
        <v>65704</v>
      </c>
      <c r="C23" s="284">
        <f t="shared" si="15"/>
        <v>83</v>
      </c>
      <c r="D23" s="284">
        <f t="shared" si="15"/>
        <v>1590</v>
      </c>
      <c r="E23" s="284">
        <f t="shared" si="15"/>
        <v>0</v>
      </c>
      <c r="F23" s="284">
        <f t="shared" si="15"/>
        <v>2494</v>
      </c>
      <c r="G23" s="284">
        <f t="shared" ref="G23" si="16">SUM(G21:G22)</f>
        <v>743</v>
      </c>
      <c r="H23" s="284">
        <f t="shared" si="15"/>
        <v>1849</v>
      </c>
      <c r="I23" s="284">
        <f t="shared" si="15"/>
        <v>1372</v>
      </c>
      <c r="J23" s="284">
        <f t="shared" ref="J23" si="17">SUM(J21:J22)</f>
        <v>481</v>
      </c>
      <c r="K23" s="284">
        <f t="shared" si="15"/>
        <v>0</v>
      </c>
      <c r="L23" s="284">
        <f t="shared" ref="L23" si="18">SUM(L21:L22)</f>
        <v>1301</v>
      </c>
      <c r="M23" s="284">
        <f t="shared" ref="M23" si="19">SUM(M21:M22)</f>
        <v>37</v>
      </c>
      <c r="N23" s="284">
        <f t="shared" si="15"/>
        <v>111</v>
      </c>
      <c r="O23" s="284">
        <f t="shared" si="15"/>
        <v>0</v>
      </c>
      <c r="P23" s="285">
        <f>SUM(B23:O23)</f>
        <v>75765</v>
      </c>
    </row>
    <row r="25" spans="1:19" ht="39" thickBot="1" x14ac:dyDescent="0.25">
      <c r="B25" s="12" t="s">
        <v>18</v>
      </c>
      <c r="C25" s="499" t="s">
        <v>222</v>
      </c>
      <c r="D25" s="423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60" t="s">
        <v>147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2"/>
    </row>
    <row r="27" spans="1:19" x14ac:dyDescent="0.2">
      <c r="A27" s="62" t="s">
        <v>22</v>
      </c>
      <c r="B27" s="21">
        <f>[3]Delta!$FX$15</f>
        <v>440</v>
      </c>
      <c r="C27" s="21">
        <f>'[3]Atlantic Southeast'!$FX$15</f>
        <v>0</v>
      </c>
      <c r="D27" s="21">
        <f>[3]Pinnacle!$FX$15</f>
        <v>7</v>
      </c>
      <c r="E27" s="21">
        <f>[3]Compass!$FX$15</f>
        <v>0</v>
      </c>
      <c r="F27" s="21">
        <f>'[3]Sky West'!$FX$15</f>
        <v>144</v>
      </c>
      <c r="G27" s="21">
        <f>'[3]Go Jet'!$FX$15</f>
        <v>28</v>
      </c>
      <c r="H27" s="21">
        <f>'[3]Sun Country'!$FX$15</f>
        <v>21</v>
      </c>
      <c r="I27" s="21">
        <f>[3]Icelandair!$FX$15</f>
        <v>17</v>
      </c>
      <c r="J27" s="21">
        <f>[3]KLM!$FX$15</f>
        <v>17</v>
      </c>
      <c r="K27" s="21">
        <f>'[3]Air Georgian'!$FX$15</f>
        <v>0</v>
      </c>
      <c r="L27" s="21">
        <f>'[3]Sky Regional'!$FX$15</f>
        <v>86</v>
      </c>
      <c r="M27" s="21">
        <f>[3]Condor!$FX$15</f>
        <v>0</v>
      </c>
      <c r="N27" s="21">
        <f>'[3]Air France'!$FX$15</f>
        <v>0</v>
      </c>
      <c r="O27" s="21">
        <f>'[3]Charter Misc'!$FX$15+[3]Ryan!$FX$15+[3]Omni!$FX$15</f>
        <v>0</v>
      </c>
      <c r="P27" s="281">
        <f>SUM(B27:O27)</f>
        <v>760</v>
      </c>
    </row>
    <row r="28" spans="1:19" x14ac:dyDescent="0.2">
      <c r="A28" s="62" t="s">
        <v>23</v>
      </c>
      <c r="B28" s="21">
        <f>[3]Delta!$FX$16</f>
        <v>438</v>
      </c>
      <c r="C28" s="21">
        <f>'[3]Atlantic Southeast'!$FX$16</f>
        <v>0</v>
      </c>
      <c r="D28" s="21">
        <f>[3]Pinnacle!$FX$16</f>
        <v>7</v>
      </c>
      <c r="E28" s="21">
        <f>[3]Compass!$FX$16</f>
        <v>0</v>
      </c>
      <c r="F28" s="21">
        <f>'[3]Sky West'!$FX$16</f>
        <v>143</v>
      </c>
      <c r="G28" s="21">
        <f>'[3]Go Jet'!$FX$16</f>
        <v>31</v>
      </c>
      <c r="H28" s="21">
        <f>'[3]Sun Country'!$FX$16</f>
        <v>23</v>
      </c>
      <c r="I28" s="21">
        <f>[3]Icelandair!$FX$16</f>
        <v>17</v>
      </c>
      <c r="J28" s="21">
        <f>[3]KLM!$FX$16</f>
        <v>17</v>
      </c>
      <c r="K28" s="21">
        <f>'[3]Air Georgian'!$FX$16</f>
        <v>0</v>
      </c>
      <c r="L28" s="21">
        <f>'[3]Sky Regional'!$FX$16</f>
        <v>86</v>
      </c>
      <c r="M28" s="21">
        <f>[3]Condor!$FX$16</f>
        <v>0</v>
      </c>
      <c r="N28" s="21">
        <f>'[3]Air France'!$FX$16</f>
        <v>0</v>
      </c>
      <c r="O28" s="21">
        <f>'[3]Charter Misc'!$FX$16+[3]Ryan!$FX$16+[3]Omni!$FX$16</f>
        <v>0</v>
      </c>
      <c r="P28" s="281">
        <f>SUM(B28:O28)</f>
        <v>762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1">
        <f t="shared" ref="B30:K30" si="20">SUM(B27:B28)</f>
        <v>878</v>
      </c>
      <c r="C30" s="381">
        <f t="shared" si="20"/>
        <v>0</v>
      </c>
      <c r="D30" s="381">
        <f t="shared" si="20"/>
        <v>14</v>
      </c>
      <c r="E30" s="381">
        <f t="shared" si="20"/>
        <v>0</v>
      </c>
      <c r="F30" s="381">
        <f>SUM(F27:F28)</f>
        <v>287</v>
      </c>
      <c r="G30" s="381">
        <f>SUM(G27:G28)</f>
        <v>59</v>
      </c>
      <c r="H30" s="381">
        <f t="shared" si="20"/>
        <v>44</v>
      </c>
      <c r="I30" s="381">
        <f t="shared" si="20"/>
        <v>34</v>
      </c>
      <c r="J30" s="381">
        <f t="shared" ref="J30" si="21">SUM(J27:J28)</f>
        <v>34</v>
      </c>
      <c r="K30" s="381">
        <f t="shared" si="20"/>
        <v>0</v>
      </c>
      <c r="L30" s="381">
        <f t="shared" ref="L30" si="22">SUM(L27:L28)</f>
        <v>172</v>
      </c>
      <c r="M30" s="381">
        <f>SUM(M27:M28)</f>
        <v>0</v>
      </c>
      <c r="N30" s="381">
        <f>SUM(N27:N28)</f>
        <v>0</v>
      </c>
      <c r="O30" s="381">
        <f>SUM(O27:O28)</f>
        <v>0</v>
      </c>
      <c r="P30" s="382">
        <f>SUM(B30:O30)</f>
        <v>1522</v>
      </c>
    </row>
    <row r="31" spans="1:19" ht="15" x14ac:dyDescent="0.25">
      <c r="A31" s="383"/>
    </row>
    <row r="32" spans="1:19" ht="39" thickBot="1" x14ac:dyDescent="0.25">
      <c r="B32" s="12" t="s">
        <v>18</v>
      </c>
      <c r="C32" s="499" t="s">
        <v>222</v>
      </c>
      <c r="D32" s="423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3" t="s">
        <v>148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5"/>
    </row>
    <row r="34" spans="1:16" x14ac:dyDescent="0.2">
      <c r="A34" s="62" t="s">
        <v>22</v>
      </c>
      <c r="B34" s="21">
        <f>SUM([3]Delta!$FN$15:$FX$15)</f>
        <v>5363</v>
      </c>
      <c r="C34" s="21">
        <f>SUM('[3]Atlantic Southeast'!$FN$15:$FX$15)</f>
        <v>45</v>
      </c>
      <c r="D34" s="21">
        <f>SUM([3]Pinnacle!$FN$15:$FX$15)</f>
        <v>721</v>
      </c>
      <c r="E34" s="21">
        <f>SUM([3]Compass!$FN$15:$FX$15)</f>
        <v>1</v>
      </c>
      <c r="F34" s="21">
        <f>SUM('[3]Sky West'!$FN$15:$FX$15)</f>
        <v>1937</v>
      </c>
      <c r="G34" s="21">
        <f>SUM('[3]Go Jet'!$FN$15:$FX$15)</f>
        <v>355</v>
      </c>
      <c r="H34" s="21">
        <f>SUM('[3]Sun Country'!$FN$15:$FX$15)</f>
        <v>1072</v>
      </c>
      <c r="I34" s="21">
        <f>SUM([3]Icelandair!$FN$15:$FX$15)</f>
        <v>299</v>
      </c>
      <c r="J34" s="21">
        <f>SUM([3]KLM!$FN$15:$FX$15)</f>
        <v>170</v>
      </c>
      <c r="K34" s="21">
        <f>SUM('[3]Air Georgian'!$FN$15:$FX$15)</f>
        <v>0</v>
      </c>
      <c r="L34" s="21">
        <f>SUM('[3]Sky Regional'!$FN$15:$FX$15)</f>
        <v>953</v>
      </c>
      <c r="M34" s="21">
        <f>SUM([3]Condor!$FN$15:$FX$15)</f>
        <v>59</v>
      </c>
      <c r="N34" s="21">
        <f>SUM('[3]Air France'!$FN$15:$FX$15)</f>
        <v>126</v>
      </c>
      <c r="O34" s="21">
        <f>SUM('[3]Charter Misc'!$FN$15:$FX$15)+SUM([3]Ryan!$FN$15:$FX$15)+SUM([3]Omni!$FN$15:$FX$15)</f>
        <v>0</v>
      </c>
      <c r="P34" s="281">
        <f>SUM(B34:O34)</f>
        <v>11101</v>
      </c>
    </row>
    <row r="35" spans="1:16" x14ac:dyDescent="0.2">
      <c r="A35" s="62" t="s">
        <v>23</v>
      </c>
      <c r="B35" s="21">
        <f>SUM([3]Delta!$FN$16:$FX$16)</f>
        <v>5385</v>
      </c>
      <c r="C35" s="21">
        <f>SUM('[3]Atlantic Southeast'!$FN$16:$FX$16)</f>
        <v>54</v>
      </c>
      <c r="D35" s="21">
        <f>SUM([3]Pinnacle!$FN$16:$FX$16)</f>
        <v>721</v>
      </c>
      <c r="E35" s="21">
        <f>SUM([3]Compass!$FN$16:$FX$16)</f>
        <v>0</v>
      </c>
      <c r="F35" s="21">
        <f>SUM('[3]Sky West'!$FN$16:$FX$16)</f>
        <v>1944</v>
      </c>
      <c r="G35" s="21">
        <f>SUM('[3]Go Jet'!$FN$16:$FX$16)</f>
        <v>349</v>
      </c>
      <c r="H35" s="21">
        <f>SUM('[3]Sun Country'!$FN$16:$FX$16)</f>
        <v>1065</v>
      </c>
      <c r="I35" s="21">
        <f>SUM([3]Icelandair!$FN$16:$FX$16)</f>
        <v>299</v>
      </c>
      <c r="J35" s="21">
        <f>SUM([3]KLM!$FN$16:$FX$16)</f>
        <v>170</v>
      </c>
      <c r="K35" s="21">
        <f>SUM('[3]Air Georgian'!$FN$16:$FX$16)</f>
        <v>0</v>
      </c>
      <c r="L35" s="21">
        <f>SUM('[3]Sky Regional'!$FN$16:$FX$16)</f>
        <v>953</v>
      </c>
      <c r="M35" s="21">
        <f>SUM([3]Condor!$FN$16:$FX$16)</f>
        <v>60</v>
      </c>
      <c r="N35" s="21">
        <f>SUM('[3]Air France'!$FN$16:$FX$16)</f>
        <v>126</v>
      </c>
      <c r="O35" s="21">
        <f>SUM('[3]Charter Misc'!$FN$16:$FX$16)+SUM([3]Ryan!$FN$16:$FX$16)+SUM([3]Omni!$FN$16:$FX$16)</f>
        <v>0</v>
      </c>
      <c r="P35" s="281">
        <f>SUM(B35:O35)</f>
        <v>11126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1">
        <f t="shared" ref="B37:K37" si="23">+SUM(B34:B35)</f>
        <v>10748</v>
      </c>
      <c r="C37" s="381">
        <f t="shared" si="23"/>
        <v>99</v>
      </c>
      <c r="D37" s="381">
        <f t="shared" si="23"/>
        <v>1442</v>
      </c>
      <c r="E37" s="381">
        <f t="shared" si="23"/>
        <v>1</v>
      </c>
      <c r="F37" s="381">
        <f>+SUM(F34:F35)</f>
        <v>3881</v>
      </c>
      <c r="G37" s="381">
        <f>+SUM(G34:G35)</f>
        <v>704</v>
      </c>
      <c r="H37" s="381">
        <f t="shared" si="23"/>
        <v>2137</v>
      </c>
      <c r="I37" s="381">
        <f t="shared" si="23"/>
        <v>598</v>
      </c>
      <c r="J37" s="381">
        <f t="shared" ref="J37" si="24">+SUM(J34:J35)</f>
        <v>340</v>
      </c>
      <c r="K37" s="381">
        <f t="shared" si="23"/>
        <v>0</v>
      </c>
      <c r="L37" s="381">
        <f t="shared" ref="L37" si="25">+SUM(L34:L35)</f>
        <v>1906</v>
      </c>
      <c r="M37" s="381">
        <f>+SUM(M34:M35)</f>
        <v>119</v>
      </c>
      <c r="N37" s="381">
        <f>+SUM(N34:N35)</f>
        <v>252</v>
      </c>
      <c r="O37" s="381">
        <f>+SUM(O34:O35)</f>
        <v>0</v>
      </c>
      <c r="P37" s="382">
        <f>SUM(B37:O37)</f>
        <v>22227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&amp;"Arial,Bold"November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703"/>
  <sheetViews>
    <sheetView topLeftCell="A28" zoomScaleNormal="100" zoomScaleSheetLayoutView="85" workbookViewId="0">
      <selection activeCell="K74" sqref="K74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9" t="s">
        <v>135</v>
      </c>
      <c r="B1" s="570"/>
      <c r="C1" s="452" t="s">
        <v>217</v>
      </c>
      <c r="D1" s="453" t="s">
        <v>192</v>
      </c>
      <c r="E1" s="267" t="s">
        <v>98</v>
      </c>
      <c r="F1" s="266" t="s">
        <v>218</v>
      </c>
      <c r="G1" s="453" t="s">
        <v>193</v>
      </c>
      <c r="H1" s="265" t="s">
        <v>99</v>
      </c>
      <c r="I1" s="267" t="s">
        <v>140</v>
      </c>
      <c r="J1" s="575" t="s">
        <v>139</v>
      </c>
      <c r="K1" s="576"/>
      <c r="L1" s="450" t="s">
        <v>219</v>
      </c>
      <c r="M1" s="451" t="s">
        <v>194</v>
      </c>
      <c r="N1" s="341" t="s">
        <v>99</v>
      </c>
      <c r="O1" s="491" t="s">
        <v>220</v>
      </c>
      <c r="P1" s="268" t="s">
        <v>195</v>
      </c>
      <c r="Q1" s="487" t="s">
        <v>99</v>
      </c>
      <c r="R1" s="492" t="s">
        <v>221</v>
      </c>
    </row>
    <row r="2" spans="1:19" s="224" customFormat="1" ht="13.5" customHeight="1" thickBot="1" x14ac:dyDescent="0.25">
      <c r="A2" s="571">
        <v>43405</v>
      </c>
      <c r="B2" s="572"/>
      <c r="C2" s="573" t="s">
        <v>9</v>
      </c>
      <c r="D2" s="574"/>
      <c r="E2" s="574"/>
      <c r="F2" s="574"/>
      <c r="G2" s="574"/>
      <c r="H2" s="574"/>
      <c r="I2" s="454"/>
      <c r="J2" s="571">
        <f>+A2</f>
        <v>43405</v>
      </c>
      <c r="K2" s="572"/>
      <c r="L2" s="566" t="s">
        <v>141</v>
      </c>
      <c r="M2" s="567"/>
      <c r="N2" s="567"/>
      <c r="O2" s="567"/>
      <c r="P2" s="567"/>
      <c r="Q2" s="567"/>
      <c r="R2" s="568"/>
    </row>
    <row r="3" spans="1:19" x14ac:dyDescent="0.2">
      <c r="A3" s="342"/>
      <c r="B3" s="343"/>
      <c r="C3" s="344"/>
      <c r="D3" s="345"/>
      <c r="E3" s="346"/>
      <c r="F3" s="411"/>
      <c r="G3" s="412"/>
      <c r="H3" s="484"/>
      <c r="I3" s="346"/>
      <c r="J3" s="347"/>
      <c r="K3" s="343"/>
      <c r="L3" s="493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172</v>
      </c>
      <c r="D4" s="352">
        <f>SUM(D5:D7)</f>
        <v>156</v>
      </c>
      <c r="E4" s="353">
        <f>(C4-D4)/D4</f>
        <v>0.10256410256410256</v>
      </c>
      <c r="F4" s="350">
        <f>SUM(F5:F7)</f>
        <v>1906</v>
      </c>
      <c r="G4" s="352">
        <f>SUM(G5:G7)</f>
        <v>1919</v>
      </c>
      <c r="H4" s="351">
        <f>(F4-G4)/G4</f>
        <v>-6.7743616466909851E-3</v>
      </c>
      <c r="I4" s="353">
        <f>F4/$F$66</f>
        <v>5.5804094252119739E-3</v>
      </c>
      <c r="J4" s="349" t="s">
        <v>101</v>
      </c>
      <c r="K4" s="55"/>
      <c r="L4" s="350">
        <f>SUM(L5:L7)</f>
        <v>8929</v>
      </c>
      <c r="M4" s="352">
        <f>SUM(M5:M7)</f>
        <v>8299</v>
      </c>
      <c r="N4" s="353">
        <f>(L4-M4)/M4</f>
        <v>7.5912760573563082E-2</v>
      </c>
      <c r="O4" s="350">
        <f>SUM(O5:O7)</f>
        <v>109517</v>
      </c>
      <c r="P4" s="352">
        <f>SUM(P5:P7)</f>
        <v>94895</v>
      </c>
      <c r="Q4" s="351">
        <f>(O4-P4)/P4</f>
        <v>0.154086095157806</v>
      </c>
      <c r="R4" s="353">
        <f>O4/$O$66</f>
        <v>3.2229151542284545E-3</v>
      </c>
      <c r="S4" s="20"/>
    </row>
    <row r="5" spans="1:19" ht="14.1" customHeight="1" x14ac:dyDescent="0.2">
      <c r="A5" s="349"/>
      <c r="B5" s="425" t="s">
        <v>101</v>
      </c>
      <c r="C5" s="354">
        <f>+[3]AirCanada!$FX$19</f>
        <v>0</v>
      </c>
      <c r="D5" s="9">
        <f>+[3]AirCanada!$FJ$19</f>
        <v>0</v>
      </c>
      <c r="E5" s="86" t="e">
        <f>(C5-D5)/D5</f>
        <v>#DIV/0!</v>
      </c>
      <c r="F5" s="295">
        <f>SUM([3]AirCanada!$FN$19:$FX$19)</f>
        <v>0</v>
      </c>
      <c r="G5" s="295">
        <f>SUM([3]AirCanada!$EZ$19:$FJ$19)</f>
        <v>0</v>
      </c>
      <c r="H5" s="432" t="e">
        <f>(F5-G5)/G5</f>
        <v>#DIV/0!</v>
      </c>
      <c r="I5" s="86">
        <f>F5/$F$66</f>
        <v>0</v>
      </c>
      <c r="J5" s="349"/>
      <c r="K5" s="425" t="s">
        <v>101</v>
      </c>
      <c r="L5" s="431">
        <f>+[3]AirCanada!$FX$41</f>
        <v>0</v>
      </c>
      <c r="M5" s="295">
        <f>+[3]AirCanada!$FJ$41</f>
        <v>0</v>
      </c>
      <c r="N5" s="433" t="e">
        <f>(L5-M5)/M5</f>
        <v>#DIV/0!</v>
      </c>
      <c r="O5" s="431">
        <f>SUM([3]AirCanada!$FN$41:$FX$41)</f>
        <v>0</v>
      </c>
      <c r="P5" s="295">
        <f>SUM([3]AirCanada!$EZ$41:$FJ$41)</f>
        <v>0</v>
      </c>
      <c r="Q5" s="432" t="e">
        <f>(O5-P5)/P5</f>
        <v>#DIV/0!</v>
      </c>
      <c r="R5" s="433">
        <f>O5/$O$66</f>
        <v>0</v>
      </c>
      <c r="S5" s="20"/>
    </row>
    <row r="6" spans="1:19" ht="14.1" customHeight="1" x14ac:dyDescent="0.2">
      <c r="A6" s="349"/>
      <c r="B6" s="425" t="s">
        <v>172</v>
      </c>
      <c r="C6" s="354">
        <f>'[3]Air Georgian'!$FX$19</f>
        <v>0</v>
      </c>
      <c r="D6" s="9">
        <f>'[3]Air Georgian'!$FJ$19</f>
        <v>0</v>
      </c>
      <c r="E6" s="86" t="e">
        <f>(C6-D6)/D6</f>
        <v>#DIV/0!</v>
      </c>
      <c r="F6" s="295">
        <f>SUM('[3]Air Georgian'!$FN$19:$FX$19)</f>
        <v>0</v>
      </c>
      <c r="G6" s="295">
        <f>SUM('[3]Air Georgian'!$EZ$19:$FJ$19)</f>
        <v>935</v>
      </c>
      <c r="H6" s="432">
        <f>(F6-G6)/G6</f>
        <v>-1</v>
      </c>
      <c r="I6" s="86">
        <f>F6/$F$66</f>
        <v>0</v>
      </c>
      <c r="J6" s="349"/>
      <c r="K6" s="425" t="s">
        <v>172</v>
      </c>
      <c r="L6" s="354">
        <f>'[3]Air Georgian'!$FX$41</f>
        <v>0</v>
      </c>
      <c r="M6" s="9">
        <f>'[3]Air Georgian'!$FJ$41</f>
        <v>0</v>
      </c>
      <c r="N6" s="86" t="e">
        <f>(L6-M6)/M6</f>
        <v>#DIV/0!</v>
      </c>
      <c r="O6" s="354">
        <f>SUM('[3]Air Georgian'!$FN$41:$FX$41)</f>
        <v>0</v>
      </c>
      <c r="P6" s="9">
        <f>SUM('[3]Air Georgian'!$EZ$41:$FJ$41)</f>
        <v>37149</v>
      </c>
      <c r="Q6" s="39">
        <f>(O6-P6)/P6</f>
        <v>-1</v>
      </c>
      <c r="R6" s="86">
        <f>O6/$O$66</f>
        <v>0</v>
      </c>
      <c r="S6" s="20"/>
    </row>
    <row r="7" spans="1:19" ht="14.1" customHeight="1" x14ac:dyDescent="0.2">
      <c r="A7" s="349"/>
      <c r="B7" s="425" t="s">
        <v>214</v>
      </c>
      <c r="C7" s="354">
        <f>'[3]Sky Regional'!$FX$19</f>
        <v>172</v>
      </c>
      <c r="D7" s="9">
        <f>'[3]Sky Regional'!$FJ$19</f>
        <v>156</v>
      </c>
      <c r="E7" s="86">
        <f>(C7-D7)/D7</f>
        <v>0.10256410256410256</v>
      </c>
      <c r="F7" s="295">
        <f>SUM('[3]Sky Regional'!$FN$19:$FX$19)</f>
        <v>1906</v>
      </c>
      <c r="G7" s="295">
        <f>SUM('[3]Sky Regional'!$EZ$19:$FJ$19)</f>
        <v>984</v>
      </c>
      <c r="H7" s="432">
        <f>(F7-G7)/G7</f>
        <v>0.93699186991869921</v>
      </c>
      <c r="I7" s="86">
        <f>F7/$F$66</f>
        <v>5.5804094252119739E-3</v>
      </c>
      <c r="J7" s="349"/>
      <c r="K7" s="425" t="s">
        <v>214</v>
      </c>
      <c r="L7" s="354">
        <f>'[3]Sky Regional'!$FX$41</f>
        <v>8929</v>
      </c>
      <c r="M7" s="9">
        <f>'[3]Sky Regional'!$FJ$41</f>
        <v>8299</v>
      </c>
      <c r="N7" s="86">
        <f>(L7-M7)/M7</f>
        <v>7.5912760573563082E-2</v>
      </c>
      <c r="O7" s="354">
        <f>SUM('[3]Sky Regional'!$FN$41:$FX$41)</f>
        <v>109517</v>
      </c>
      <c r="P7" s="9">
        <f>SUM('[3]Sky Regional'!$EZ$41:$FJ$41)</f>
        <v>57746</v>
      </c>
      <c r="Q7" s="39">
        <f>(O7-P7)/P7</f>
        <v>0.89652962975790529</v>
      </c>
      <c r="R7" s="86">
        <f>O7/$O$66</f>
        <v>3.2229151542284545E-3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One'!$FX$19</f>
        <v>200</v>
      </c>
      <c r="D9" s="352">
        <f>'[3]Air Choice One'!$FJ$19</f>
        <v>250</v>
      </c>
      <c r="E9" s="353">
        <f>(C9-D9)/D9</f>
        <v>-0.2</v>
      </c>
      <c r="F9" s="352">
        <f>SUM('[3]Air Choice One'!$FN$19:$FX$19)</f>
        <v>2174</v>
      </c>
      <c r="G9" s="352">
        <f>SUM('[3]Air Choice One'!$EZ$19:$FJ$19)</f>
        <v>2724</v>
      </c>
      <c r="H9" s="351">
        <f>(F9-G9)/G9</f>
        <v>-0.20190895741556533</v>
      </c>
      <c r="I9" s="353">
        <f>F9/$F$66</f>
        <v>6.3650630065114535E-3</v>
      </c>
      <c r="J9" s="349" t="s">
        <v>196</v>
      </c>
      <c r="K9" s="55"/>
      <c r="L9" s="350">
        <f>'[3]Air Choice One'!$FX$41</f>
        <v>850</v>
      </c>
      <c r="M9" s="352">
        <f>'[3]Air Choice One'!$FJ$41</f>
        <v>877</v>
      </c>
      <c r="N9" s="353">
        <f>(L9-M9)/M9</f>
        <v>-3.0786773090079819E-2</v>
      </c>
      <c r="O9" s="350">
        <f>SUM('[3]Air Choice One'!$FN$41:$FX$41)</f>
        <v>9174</v>
      </c>
      <c r="P9" s="352">
        <f>SUM('[3]Air Choice One'!$EZ$41:$FJ$41)</f>
        <v>9200</v>
      </c>
      <c r="Q9" s="351">
        <f>(O9-P9)/P9</f>
        <v>-2.8260869565217392E-3</v>
      </c>
      <c r="R9" s="353">
        <f>O9/$O$66</f>
        <v>2.6997656642249003E-4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France'!$FX$19</f>
        <v>0</v>
      </c>
      <c r="D11" s="352">
        <f>'[3]Air France'!$FJ$19</f>
        <v>0</v>
      </c>
      <c r="E11" s="353" t="e">
        <f>(C11-D11)/D11</f>
        <v>#DIV/0!</v>
      </c>
      <c r="F11" s="352">
        <f>SUM('[3]Air France'!$FN$19:$FX$19)</f>
        <v>252</v>
      </c>
      <c r="G11" s="352">
        <f>SUM('[3]Air France'!$EZ$19:$FJ$19)</f>
        <v>256</v>
      </c>
      <c r="H11" s="351">
        <f>(F11-G11)/G11</f>
        <v>-1.5625E-2</v>
      </c>
      <c r="I11" s="353">
        <f>F11/$F$66</f>
        <v>7.3780859137115285E-4</v>
      </c>
      <c r="J11" s="349" t="s">
        <v>162</v>
      </c>
      <c r="K11" s="55"/>
      <c r="L11" s="350">
        <f>'[3]Air France'!$FX$41</f>
        <v>0</v>
      </c>
      <c r="M11" s="352">
        <f>'[3]Air France'!$FJ$41</f>
        <v>0</v>
      </c>
      <c r="N11" s="353" t="e">
        <f>(L11-M11)/M11</f>
        <v>#DIV/0!</v>
      </c>
      <c r="O11" s="350">
        <f>SUM('[3]Air France'!$FN$41:$FX$41)</f>
        <v>56040</v>
      </c>
      <c r="P11" s="352">
        <f>SUM('[3]Air France'!$EZ$41:$FJ$41)</f>
        <v>63570</v>
      </c>
      <c r="Q11" s="351">
        <f>(O11-P11)/P11</f>
        <v>-0.11845210004719207</v>
      </c>
      <c r="R11" s="353">
        <f>O11/$O$66</f>
        <v>1.6491701310569372E-3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232</v>
      </c>
      <c r="D13" s="352">
        <f>SUM(D14:D16)</f>
        <v>350</v>
      </c>
      <c r="E13" s="353">
        <f>(C13-D13)/D13</f>
        <v>-0.33714285714285713</v>
      </c>
      <c r="F13" s="352">
        <f>SUM(F14:F16)</f>
        <v>3234</v>
      </c>
      <c r="G13" s="352">
        <f>SUM(G14:G16)</f>
        <v>2706</v>
      </c>
      <c r="H13" s="351">
        <f>(F13-G13)/G13</f>
        <v>0.1951219512195122</v>
      </c>
      <c r="I13" s="353">
        <f>F13/$F$66</f>
        <v>9.468543589263129E-3</v>
      </c>
      <c r="J13" s="349" t="s">
        <v>131</v>
      </c>
      <c r="K13" s="55"/>
      <c r="L13" s="350">
        <f>SUM(L14:L16)</f>
        <v>25381</v>
      </c>
      <c r="M13" s="352">
        <f>SUM(M14:M16)</f>
        <v>30259</v>
      </c>
      <c r="N13" s="353">
        <f>(L13-M13)/M13</f>
        <v>-0.16120823556627781</v>
      </c>
      <c r="O13" s="350">
        <f>SUM(O14:O16)</f>
        <v>326820</v>
      </c>
      <c r="P13" s="352">
        <f>SUM(P14:P16)</f>
        <v>290072</v>
      </c>
      <c r="Q13" s="351">
        <f>(O13-P13)/P13</f>
        <v>0.12668578835599437</v>
      </c>
      <c r="R13" s="353">
        <f>O13/$O$66</f>
        <v>9.6178048221275542E-3</v>
      </c>
      <c r="S13" s="20"/>
    </row>
    <row r="14" spans="1:19" ht="14.1" customHeight="1" x14ac:dyDescent="0.2">
      <c r="A14" s="349"/>
      <c r="B14" s="425" t="s">
        <v>131</v>
      </c>
      <c r="C14" s="431">
        <f>[3]Alaska!$FX$19</f>
        <v>114</v>
      </c>
      <c r="D14" s="295">
        <f>[3]Alaska!$FJ$19</f>
        <v>116</v>
      </c>
      <c r="E14" s="433">
        <f>(C14-D14)/D14</f>
        <v>-1.7241379310344827E-2</v>
      </c>
      <c r="F14" s="295">
        <f>SUM([3]Alaska!$FN$19:$FX$19)</f>
        <v>1308</v>
      </c>
      <c r="G14" s="295">
        <f>SUM([3]Alaska!$EZ$19:$FJ$19)</f>
        <v>1451</v>
      </c>
      <c r="H14" s="432">
        <f>(F14-G14)/G14</f>
        <v>-9.8552722260509998E-2</v>
      </c>
      <c r="I14" s="433">
        <f>F14/$F$66</f>
        <v>3.8295779266407457E-3</v>
      </c>
      <c r="J14" s="349"/>
      <c r="K14" s="425" t="s">
        <v>131</v>
      </c>
      <c r="L14" s="431">
        <f>[3]Alaska!$FX$41</f>
        <v>17882</v>
      </c>
      <c r="M14" s="295">
        <f>[3]Alaska!$FJ$41</f>
        <v>15916</v>
      </c>
      <c r="N14" s="433">
        <f>(L14-M14)/M14</f>
        <v>0.12352349836642372</v>
      </c>
      <c r="O14" s="431">
        <f>SUM([3]Alaska!$FN$41:$FX$41)</f>
        <v>201605</v>
      </c>
      <c r="P14" s="295">
        <f>SUM([3]Alaska!$EZ$41:$FJ$41)</f>
        <v>212191</v>
      </c>
      <c r="Q14" s="432">
        <f>(O14-P14)/P14</f>
        <v>-4.9889015085465456E-2</v>
      </c>
      <c r="R14" s="433">
        <f>O14/$O$66</f>
        <v>5.9329219177682692E-3</v>
      </c>
      <c r="S14" s="20"/>
    </row>
    <row r="15" spans="1:19" ht="14.1" customHeight="1" x14ac:dyDescent="0.2">
      <c r="A15" s="349"/>
      <c r="B15" s="425" t="s">
        <v>100</v>
      </c>
      <c r="C15" s="354">
        <f>'[3]Sky West_AS'!$FX$19</f>
        <v>52</v>
      </c>
      <c r="D15" s="9">
        <f>'[3]Sky West_AS'!$FJ$19</f>
        <v>182</v>
      </c>
      <c r="E15" s="86">
        <f>(C15-D15)/D15</f>
        <v>-0.7142857142857143</v>
      </c>
      <c r="F15" s="9">
        <f>SUM('[3]Sky West_AS'!$FN$19:$FX$19)</f>
        <v>746</v>
      </c>
      <c r="G15" s="9">
        <f>SUM('[3]Sky West_AS'!$EZ$19:$FJ$19)</f>
        <v>1203</v>
      </c>
      <c r="H15" s="39">
        <f>(F15-G15)/G15</f>
        <v>-0.37988362427265171</v>
      </c>
      <c r="I15" s="86">
        <f>F15/$F$66</f>
        <v>2.1841476554082541E-3</v>
      </c>
      <c r="J15" s="349"/>
      <c r="K15" s="425" t="s">
        <v>100</v>
      </c>
      <c r="L15" s="354">
        <f>'[3]Sky West_AS'!$FX$41</f>
        <v>3042</v>
      </c>
      <c r="M15" s="9">
        <f>'[3]Sky West_AS'!$FJ$41</f>
        <v>11389</v>
      </c>
      <c r="N15" s="86">
        <f>(L15-M15)/M15</f>
        <v>-0.7329001668276407</v>
      </c>
      <c r="O15" s="354">
        <f>SUM('[3]Sky West_AS'!$FN$41:$FX$41)</f>
        <v>49022</v>
      </c>
      <c r="P15" s="9">
        <f>SUM('[3]Sky West_AS'!$EZ$41:$FJ$41)</f>
        <v>74927</v>
      </c>
      <c r="Q15" s="39">
        <f>(O15-P15)/P15</f>
        <v>-0.34573651687642637</v>
      </c>
      <c r="R15" s="433">
        <f>O15/$O$66</f>
        <v>1.442641294872826E-3</v>
      </c>
      <c r="S15" s="20"/>
    </row>
    <row r="16" spans="1:19" ht="14.1" customHeight="1" x14ac:dyDescent="0.2">
      <c r="A16" s="349"/>
      <c r="B16" s="425" t="s">
        <v>215</v>
      </c>
      <c r="C16" s="354">
        <f>[3]Horizon_AS!$FX$19</f>
        <v>66</v>
      </c>
      <c r="D16" s="9">
        <f>[3]Horizon_AS!$FJ$19</f>
        <v>52</v>
      </c>
      <c r="E16" s="86">
        <f>(C16-D16)/D16</f>
        <v>0.26923076923076922</v>
      </c>
      <c r="F16" s="9">
        <f>SUM([3]Horizon_AS!$FN$19:$FX$19)</f>
        <v>1180</v>
      </c>
      <c r="G16" s="9">
        <f>SUM([3]Horizon_AS!$EZ$19:$FJ$19)</f>
        <v>52</v>
      </c>
      <c r="H16" s="39">
        <f>(F16-G16)/G16</f>
        <v>21.692307692307693</v>
      </c>
      <c r="I16" s="86">
        <f>F16/$F$66</f>
        <v>3.4548180072141283E-3</v>
      </c>
      <c r="J16" s="349"/>
      <c r="K16" s="425" t="s">
        <v>215</v>
      </c>
      <c r="L16" s="354">
        <f>[3]Horizon_AS!$FX$41</f>
        <v>4457</v>
      </c>
      <c r="M16" s="9">
        <f>[3]Horizon_AS!$FJ$41</f>
        <v>2954</v>
      </c>
      <c r="N16" s="86">
        <f>(L16-M16)/M16</f>
        <v>0.50880162491536896</v>
      </c>
      <c r="O16" s="354">
        <f>SUM([3]Horizon_AS!$FN$41:$FX$41)</f>
        <v>76193</v>
      </c>
      <c r="P16" s="9">
        <f>SUM([3]Horizon_AS!$EZ$41:$FJ$41)</f>
        <v>2954</v>
      </c>
      <c r="Q16" s="39">
        <f>(O16-P16)/P16</f>
        <v>24.79316181448883</v>
      </c>
      <c r="R16" s="433">
        <f>O16/$O$66</f>
        <v>2.2422416094864599E-3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1"/>
      <c r="C18" s="350">
        <f>SUM(C19:C25)</f>
        <v>1566</v>
      </c>
      <c r="D18" s="352">
        <f>SUM(D19:D25)</f>
        <v>1659</v>
      </c>
      <c r="E18" s="353">
        <f t="shared" ref="E18:E25" si="0">(C18-D18)/D18</f>
        <v>-5.6057866184448461E-2</v>
      </c>
      <c r="F18" s="350">
        <f>SUM(F19:F25)</f>
        <v>18937</v>
      </c>
      <c r="G18" s="352">
        <f>SUM(G19:G25)</f>
        <v>20987</v>
      </c>
      <c r="H18" s="351">
        <f t="shared" ref="H18:H25" si="1">(F18-G18)/G18</f>
        <v>-9.7679515890789534E-2</v>
      </c>
      <c r="I18" s="353">
        <f t="shared" ref="I18:I25" si="2">F18/$F$66</f>
        <v>5.5443973392045723E-2</v>
      </c>
      <c r="J18" s="349" t="s">
        <v>17</v>
      </c>
      <c r="K18" s="357"/>
      <c r="L18" s="350">
        <f>SUM(L19:L25)</f>
        <v>157993</v>
      </c>
      <c r="M18" s="352">
        <f>SUM(M19:M25)</f>
        <v>177694</v>
      </c>
      <c r="N18" s="353">
        <f t="shared" ref="N18:N25" si="3">(L18-M18)/M18</f>
        <v>-0.1108703726631175</v>
      </c>
      <c r="O18" s="350">
        <f>SUM(O19:O25)</f>
        <v>1947836</v>
      </c>
      <c r="P18" s="352">
        <f>SUM(P19:P25)</f>
        <v>2182657</v>
      </c>
      <c r="Q18" s="351">
        <f t="shared" ref="Q18:Q25" si="4">(O18-P18)/P18</f>
        <v>-0.10758492974388555</v>
      </c>
      <c r="R18" s="353">
        <f t="shared" ref="R18:R25" si="5">O18/$O$66</f>
        <v>5.7321787141281583E-2</v>
      </c>
      <c r="S18" s="20"/>
    </row>
    <row r="19" spans="1:22" ht="14.1" customHeight="1" x14ac:dyDescent="0.2">
      <c r="A19" s="53"/>
      <c r="B19" s="359" t="s">
        <v>17</v>
      </c>
      <c r="C19" s="354">
        <f>[3]American!$FX$19</f>
        <v>1062</v>
      </c>
      <c r="D19" s="9">
        <f>[3]American!$FJ$19</f>
        <v>1167</v>
      </c>
      <c r="E19" s="86">
        <f t="shared" si="0"/>
        <v>-8.9974293059125965E-2</v>
      </c>
      <c r="F19" s="9">
        <f>SUM([3]American!$FN$19:$FX$19)</f>
        <v>13117</v>
      </c>
      <c r="G19" s="9">
        <f>SUM([3]American!$EZ$19:$FJ$19)</f>
        <v>15927</v>
      </c>
      <c r="H19" s="39">
        <f t="shared" si="1"/>
        <v>-0.17642996170025743</v>
      </c>
      <c r="I19" s="86">
        <f t="shared" si="2"/>
        <v>3.8404108305616712E-2</v>
      </c>
      <c r="J19" s="53"/>
      <c r="K19" s="358" t="s">
        <v>17</v>
      </c>
      <c r="L19" s="354">
        <f>[3]American!$FX$41</f>
        <v>128867</v>
      </c>
      <c r="M19" s="9">
        <f>[3]American!$FJ$41</f>
        <v>149393</v>
      </c>
      <c r="N19" s="86">
        <f t="shared" si="3"/>
        <v>-0.13739599579632245</v>
      </c>
      <c r="O19" s="354">
        <f>SUM([3]American!$FN$41:$FX$41)</f>
        <v>1616519</v>
      </c>
      <c r="P19" s="9">
        <f>SUM([3]American!$EZ$41:$FJ$41)</f>
        <v>1921104</v>
      </c>
      <c r="Q19" s="39">
        <f t="shared" si="4"/>
        <v>-0.15854685639090857</v>
      </c>
      <c r="R19" s="86">
        <f t="shared" si="5"/>
        <v>4.7571642596110436E-2</v>
      </c>
      <c r="S19" s="20"/>
    </row>
    <row r="20" spans="1:22" ht="14.1" customHeight="1" x14ac:dyDescent="0.2">
      <c r="A20" s="53"/>
      <c r="B20" s="426" t="s">
        <v>173</v>
      </c>
      <c r="C20" s="354">
        <f>'[3]American Eagle'!$FX$19</f>
        <v>10</v>
      </c>
      <c r="D20" s="9">
        <f>'[3]American Eagle'!$FJ$19</f>
        <v>14</v>
      </c>
      <c r="E20" s="86">
        <f t="shared" si="0"/>
        <v>-0.2857142857142857</v>
      </c>
      <c r="F20" s="9">
        <f>SUM('[3]American Eagle'!$FN$19:$FX$19)</f>
        <v>400</v>
      </c>
      <c r="G20" s="9">
        <f>SUM('[3]American Eagle'!$EZ$19:$FJ$19)</f>
        <v>146</v>
      </c>
      <c r="H20" s="39">
        <f t="shared" si="1"/>
        <v>1.7397260273972603</v>
      </c>
      <c r="I20" s="86">
        <f t="shared" si="2"/>
        <v>1.1711247482081792E-3</v>
      </c>
      <c r="J20" s="53"/>
      <c r="K20" s="424" t="s">
        <v>173</v>
      </c>
      <c r="L20" s="354">
        <f>'[3]American Eagle'!$FX$41</f>
        <v>511</v>
      </c>
      <c r="M20" s="9">
        <f>'[3]American Eagle'!$FJ$41</f>
        <v>691</v>
      </c>
      <c r="N20" s="86">
        <f t="shared" si="3"/>
        <v>-0.26049204052098407</v>
      </c>
      <c r="O20" s="354">
        <f>SUM('[3]American Eagle'!$FN$41:$FX$41)</f>
        <v>23995</v>
      </c>
      <c r="P20" s="9">
        <f>SUM('[3]American Eagle'!$EZ$41:$FJ$41)</f>
        <v>7550</v>
      </c>
      <c r="Q20" s="39">
        <f t="shared" si="4"/>
        <v>2.1781456953642384</v>
      </c>
      <c r="R20" s="86">
        <f t="shared" si="5"/>
        <v>7.0613556914188443E-4</v>
      </c>
      <c r="S20" s="20"/>
    </row>
    <row r="21" spans="1:22" ht="14.1" customHeight="1" x14ac:dyDescent="0.2">
      <c r="A21" s="53"/>
      <c r="B21" s="426" t="s">
        <v>52</v>
      </c>
      <c r="C21" s="354">
        <f>[3]Republic!$FX$19</f>
        <v>430</v>
      </c>
      <c r="D21" s="9">
        <f>[3]Republic!$FJ$19</f>
        <v>353</v>
      </c>
      <c r="E21" s="86">
        <f t="shared" si="0"/>
        <v>0.21813031161473087</v>
      </c>
      <c r="F21" s="9">
        <f>SUM([3]Republic!$FN$19:$FX$19)</f>
        <v>4653</v>
      </c>
      <c r="G21" s="9">
        <f>SUM([3]Republic!$EZ$19:$FJ$19)</f>
        <v>4109</v>
      </c>
      <c r="H21" s="39">
        <f t="shared" si="1"/>
        <v>0.1323923095643709</v>
      </c>
      <c r="I21" s="86">
        <f t="shared" si="2"/>
        <v>1.3623108633531644E-2</v>
      </c>
      <c r="J21" s="363"/>
      <c r="K21" s="360" t="s">
        <v>52</v>
      </c>
      <c r="L21" s="354">
        <f>[3]Republic!$FX$41</f>
        <v>25185</v>
      </c>
      <c r="M21" s="9">
        <f>[3]Republic!$FJ$41</f>
        <v>20669</v>
      </c>
      <c r="N21" s="86">
        <f t="shared" si="3"/>
        <v>0.21849146064154046</v>
      </c>
      <c r="O21" s="354">
        <f>SUM([3]Republic!$FN$41:$FX$41)</f>
        <v>264863</v>
      </c>
      <c r="P21" s="9">
        <f>SUM([3]Republic!$EZ$41:$FJ$41)</f>
        <v>212482</v>
      </c>
      <c r="Q21" s="39">
        <f t="shared" si="4"/>
        <v>0.24651970519855801</v>
      </c>
      <c r="R21" s="86">
        <f t="shared" si="5"/>
        <v>7.7945065742707625E-3</v>
      </c>
      <c r="S21" s="20"/>
    </row>
    <row r="22" spans="1:22" ht="14.1" customHeight="1" x14ac:dyDescent="0.2">
      <c r="A22" s="53"/>
      <c r="B22" s="426" t="s">
        <v>200</v>
      </c>
      <c r="C22" s="354">
        <f>[3]PSA!$FX$19</f>
        <v>0</v>
      </c>
      <c r="D22" s="9">
        <f>[3]PSA!$FJ$19</f>
        <v>111</v>
      </c>
      <c r="E22" s="86">
        <f t="shared" si="0"/>
        <v>-1</v>
      </c>
      <c r="F22" s="9">
        <f>SUM([3]PSA!$FN$19:$FX$19)</f>
        <v>178</v>
      </c>
      <c r="G22" s="9">
        <f>SUM([3]PSA!$EZ$19:$FJ$19)</f>
        <v>622</v>
      </c>
      <c r="H22" s="39">
        <f t="shared" si="1"/>
        <v>-0.7138263665594855</v>
      </c>
      <c r="I22" s="86">
        <f t="shared" si="2"/>
        <v>5.2115051295263974E-4</v>
      </c>
      <c r="J22" s="363"/>
      <c r="K22" s="426" t="s">
        <v>200</v>
      </c>
      <c r="L22" s="354">
        <f>[3]PSA!$FX$41</f>
        <v>0</v>
      </c>
      <c r="M22" s="9">
        <f>[3]PSA!$FJ$41</f>
        <v>6088</v>
      </c>
      <c r="N22" s="86">
        <f t="shared" si="3"/>
        <v>-1</v>
      </c>
      <c r="O22" s="354">
        <f>SUM([3]PSA!$FN$41:$FX$41)</f>
        <v>7565</v>
      </c>
      <c r="P22" s="9">
        <f>SUM([3]PSA!$EZ$41:$FJ$41)</f>
        <v>30707</v>
      </c>
      <c r="Q22" s="39">
        <f t="shared" si="4"/>
        <v>-0.75363923535350241</v>
      </c>
      <c r="R22" s="86">
        <f t="shared" si="5"/>
        <v>2.2262619631416362E-4</v>
      </c>
      <c r="S22" s="20"/>
    </row>
    <row r="23" spans="1:22" ht="14.1" customHeight="1" x14ac:dyDescent="0.2">
      <c r="A23" s="53"/>
      <c r="B23" s="425" t="s">
        <v>100</v>
      </c>
      <c r="C23" s="354">
        <f>'[3]Sky West_AA'!$FX$19</f>
        <v>64</v>
      </c>
      <c r="D23" s="9">
        <f>'[3]Sky West_AA'!$FJ$19</f>
        <v>14</v>
      </c>
      <c r="E23" s="86">
        <f>(C23-D23)/D23</f>
        <v>3.5714285714285716</v>
      </c>
      <c r="F23" s="9">
        <f>SUM('[3]Sky West_AA'!$FN$19:$FX$19)</f>
        <v>589</v>
      </c>
      <c r="G23" s="9">
        <f>SUM('[3]Sky West_AA'!$EZ$19:$FJ$19)</f>
        <v>181</v>
      </c>
      <c r="H23" s="39">
        <f>(F23-G23)/G23</f>
        <v>2.2541436464088398</v>
      </c>
      <c r="I23" s="86">
        <f t="shared" si="2"/>
        <v>1.7244811917365437E-3</v>
      </c>
      <c r="J23" s="363"/>
      <c r="K23" s="425" t="s">
        <v>100</v>
      </c>
      <c r="L23" s="354">
        <f>'[3]Sky West_AA'!$FX$41</f>
        <v>3430</v>
      </c>
      <c r="M23" s="9">
        <f>'[3]Sky West_AA'!$FJ$41</f>
        <v>853</v>
      </c>
      <c r="N23" s="86">
        <f>(L23-M23)/M23</f>
        <v>3.0211019929660021</v>
      </c>
      <c r="O23" s="354">
        <f>SUM('[3]Sky West_AA'!$FN$41:$FX$41)</f>
        <v>34894</v>
      </c>
      <c r="P23" s="9">
        <f>SUM('[3]Sky West_AA'!$EZ$41:$FJ$41)</f>
        <v>10724</v>
      </c>
      <c r="Q23" s="39">
        <f>(O23-P23)/P23</f>
        <v>2.2538232002983962</v>
      </c>
      <c r="R23" s="433">
        <f t="shared" si="5"/>
        <v>1.026876205444339E-3</v>
      </c>
      <c r="S23" s="20"/>
    </row>
    <row r="24" spans="1:22" ht="14.1" customHeight="1" x14ac:dyDescent="0.2">
      <c r="A24" s="53"/>
      <c r="B24" s="426" t="s">
        <v>51</v>
      </c>
      <c r="C24" s="354">
        <f>[3]MESA!$FX$19</f>
        <v>0</v>
      </c>
      <c r="D24" s="9">
        <f>[3]MESA!$FJ$19</f>
        <v>0</v>
      </c>
      <c r="E24" s="86" t="e">
        <f t="shared" si="0"/>
        <v>#DIV/0!</v>
      </c>
      <c r="F24" s="9">
        <f>SUM([3]MESA!$FN$19:$FX$19)</f>
        <v>0</v>
      </c>
      <c r="G24" s="9">
        <f>SUM([3]MESA!$EZ$19:$FJ$19)</f>
        <v>0</v>
      </c>
      <c r="H24" s="39" t="e">
        <f t="shared" si="1"/>
        <v>#DIV/0!</v>
      </c>
      <c r="I24" s="86">
        <f t="shared" si="2"/>
        <v>0</v>
      </c>
      <c r="J24" s="363"/>
      <c r="K24" s="424" t="s">
        <v>51</v>
      </c>
      <c r="L24" s="354">
        <f>[3]MESA!$FX$41</f>
        <v>0</v>
      </c>
      <c r="M24" s="9">
        <f>[3]MESA!$FJ$41</f>
        <v>0</v>
      </c>
      <c r="N24" s="86" t="e">
        <f t="shared" si="3"/>
        <v>#DIV/0!</v>
      </c>
      <c r="O24" s="354">
        <f>SUM([3]MESA!$FN$41:$FX$41)</f>
        <v>0</v>
      </c>
      <c r="P24" s="9">
        <f>SUM([3]MESA!$EZ$41:$FJ$41)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6" t="s">
        <v>50</v>
      </c>
      <c r="C25" s="354">
        <f>'[3]Air Wisconsin'!$FX$19</f>
        <v>0</v>
      </c>
      <c r="D25" s="9">
        <f>'[3]Air Wisconsin'!$FJ$19</f>
        <v>0</v>
      </c>
      <c r="E25" s="86" t="e">
        <f t="shared" si="0"/>
        <v>#DIV/0!</v>
      </c>
      <c r="F25" s="9">
        <f>SUM('[3]Air Wisconsin'!$FN$19:$FX$19)</f>
        <v>0</v>
      </c>
      <c r="G25" s="9">
        <f>SUM('[3]Air Wisconsin'!$EZ$19:$FJ$19)</f>
        <v>2</v>
      </c>
      <c r="H25" s="485">
        <f t="shared" si="1"/>
        <v>-1</v>
      </c>
      <c r="I25" s="86">
        <f t="shared" si="2"/>
        <v>0</v>
      </c>
      <c r="J25" s="53"/>
      <c r="K25" s="427" t="s">
        <v>50</v>
      </c>
      <c r="L25" s="354">
        <f>'[3]Air Wisconsin'!$FX$41</f>
        <v>0</v>
      </c>
      <c r="M25" s="9">
        <f>'[3]Air Wisconsin'!$FJ$41</f>
        <v>0</v>
      </c>
      <c r="N25" s="86" t="e">
        <f t="shared" si="3"/>
        <v>#DIV/0!</v>
      </c>
      <c r="O25" s="354">
        <f>SUM('[3]Air Wisconsin'!$FN$41:$FX$41)</f>
        <v>0</v>
      </c>
      <c r="P25" s="9">
        <f>SUM('[3]Air Wisconsin'!$EZ$41:$FJ$41)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Air'!$FX$19</f>
        <v>118</v>
      </c>
      <c r="D27" s="352">
        <f>'[3]Boutique Air'!$FJ$19</f>
        <v>154</v>
      </c>
      <c r="E27" s="353">
        <f>(C27-D27)/D27</f>
        <v>-0.23376623376623376</v>
      </c>
      <c r="F27" s="352">
        <f>SUM('[3]Boutique Air'!$FN$19:$FX$19)</f>
        <v>1642</v>
      </c>
      <c r="G27" s="352">
        <f>SUM('[3]Boutique Air'!$EZ$19:$FJ$19)</f>
        <v>1696</v>
      </c>
      <c r="H27" s="351">
        <f>(F27-G27)/G27</f>
        <v>-3.1839622641509434E-2</v>
      </c>
      <c r="I27" s="353">
        <f>F27/$F$66</f>
        <v>4.8074670913945752E-3</v>
      </c>
      <c r="J27" s="349" t="s">
        <v>197</v>
      </c>
      <c r="K27" s="359"/>
      <c r="L27" s="350">
        <f>'[3]Boutique Air'!$FX$41</f>
        <v>603</v>
      </c>
      <c r="M27" s="352">
        <f>'[3]Boutique Air'!$FJ$41</f>
        <v>892</v>
      </c>
      <c r="N27" s="353">
        <f>(L27-M27)/M27</f>
        <v>-0.32399103139013452</v>
      </c>
      <c r="O27" s="350">
        <f>SUM('[3]Boutique Air'!$FN$41:$FX$41)</f>
        <v>8897</v>
      </c>
      <c r="P27" s="352">
        <f>SUM('[3]Boutique Air'!$EZ$41:$FJ$41)</f>
        <v>10465</v>
      </c>
      <c r="Q27" s="351">
        <f>(O27-P27)/P27</f>
        <v>-0.14983277591973243</v>
      </c>
      <c r="R27" s="353">
        <f>O27/$O$66</f>
        <v>2.6182488679538844E-4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[3]Condor!$FX$19</f>
        <v>0</v>
      </c>
      <c r="D29" s="352">
        <f>[3]Condor!$FJ$19</f>
        <v>0</v>
      </c>
      <c r="E29" s="353" t="e">
        <f>(C29-D29)/D29</f>
        <v>#DIV/0!</v>
      </c>
      <c r="F29" s="352">
        <f>SUM([3]Condor!$FN$19:$FX$19)</f>
        <v>121</v>
      </c>
      <c r="G29" s="352">
        <f>SUM([3]Condor!$EZ$19:$FJ$19)</f>
        <v>121</v>
      </c>
      <c r="H29" s="351">
        <f>(F29-G29)/G29</f>
        <v>0</v>
      </c>
      <c r="I29" s="353">
        <f>F29/$F$66</f>
        <v>3.5426523633297417E-4</v>
      </c>
      <c r="J29" s="349" t="s">
        <v>168</v>
      </c>
      <c r="K29" s="359"/>
      <c r="L29" s="350">
        <f>[3]Condor!$FX$41</f>
        <v>0</v>
      </c>
      <c r="M29" s="352">
        <f>[3]Condor!$FJ$41</f>
        <v>0</v>
      </c>
      <c r="N29" s="353" t="e">
        <f>(L29-M29)/M29</f>
        <v>#DIV/0!</v>
      </c>
      <c r="O29" s="350">
        <f>SUM([3]Condor!$FN$41:$FX$41)</f>
        <v>28840</v>
      </c>
      <c r="P29" s="352">
        <f>SUM([3]Condor!$EZ$41:$FJ$41)</f>
        <v>28112</v>
      </c>
      <c r="Q29" s="351">
        <f>(O29-P29)/P29</f>
        <v>2.5896414342629483E-2</v>
      </c>
      <c r="R29" s="353">
        <f>O29/$O$66</f>
        <v>8.4871639150039375E-4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1"/>
      <c r="C31" s="350">
        <f>SUM(C32:C38)</f>
        <v>21247</v>
      </c>
      <c r="D31" s="352">
        <f>SUM(D32:D38)</f>
        <v>21423</v>
      </c>
      <c r="E31" s="353">
        <f t="shared" ref="E31:E38" si="6">(C31-D31)/D31</f>
        <v>-8.2154693553657277E-3</v>
      </c>
      <c r="F31" s="355">
        <f>SUM(F32:F38)</f>
        <v>251349</v>
      </c>
      <c r="G31" s="355">
        <f>SUM(G32:G38)</f>
        <v>252621</v>
      </c>
      <c r="H31" s="351">
        <f>(F31-G31)/G31</f>
        <v>-5.0352108494543212E-3</v>
      </c>
      <c r="I31" s="353">
        <f t="shared" ref="I31:I38" si="7">F31/$F$66</f>
        <v>0.73590258584344403</v>
      </c>
      <c r="J31" s="349" t="s">
        <v>18</v>
      </c>
      <c r="K31" s="361"/>
      <c r="L31" s="350">
        <f>SUM(L32:L38)</f>
        <v>2045316</v>
      </c>
      <c r="M31" s="352">
        <f>SUM(M32:M38)</f>
        <v>2027048</v>
      </c>
      <c r="N31" s="353">
        <f t="shared" ref="N31:N38" si="8">(L31-M31)/M31</f>
        <v>9.0121200879308243E-3</v>
      </c>
      <c r="O31" s="350">
        <f>SUM(O32:O38)</f>
        <v>24270204</v>
      </c>
      <c r="P31" s="352">
        <f>SUM(P32:P38)</f>
        <v>24030965</v>
      </c>
      <c r="Q31" s="351">
        <f t="shared" ref="Q31:Q38" si="9">(O31-P31)/P31</f>
        <v>9.9554470659001838E-3</v>
      </c>
      <c r="R31" s="353">
        <f t="shared" ref="R31:R38" si="10">O31/$O$66</f>
        <v>0.71423439527941823</v>
      </c>
      <c r="S31" s="414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[3]Delta!$FX$19</f>
        <v>11437</v>
      </c>
      <c r="D32" s="9">
        <f>[3]Delta!$FJ$19</f>
        <v>11689</v>
      </c>
      <c r="E32" s="86">
        <f t="shared" si="6"/>
        <v>-2.1558730430319105E-2</v>
      </c>
      <c r="F32" s="9">
        <f>SUM([3]Delta!$FN$19:$FX$19)</f>
        <v>133598</v>
      </c>
      <c r="G32" s="9">
        <f>SUM([3]Delta!$EZ$19:$FJ$19)</f>
        <v>133654</v>
      </c>
      <c r="H32" s="39">
        <f t="shared" ref="H32:H38" si="11">(F32-G32)/G32</f>
        <v>-4.1899232346207372E-4</v>
      </c>
      <c r="I32" s="86">
        <f t="shared" si="7"/>
        <v>0.39114981027779078</v>
      </c>
      <c r="J32" s="53"/>
      <c r="K32" s="358" t="s">
        <v>18</v>
      </c>
      <c r="L32" s="354">
        <f>[3]Delta!$FX$41</f>
        <v>1539785</v>
      </c>
      <c r="M32" s="9">
        <f>[3]Delta!$FJ$41</f>
        <v>1544710</v>
      </c>
      <c r="N32" s="86">
        <f t="shared" si="8"/>
        <v>-3.1883007166393692E-3</v>
      </c>
      <c r="O32" s="354">
        <f>SUM([3]Delta!$FN$41:$FX$41)</f>
        <v>18324619</v>
      </c>
      <c r="P32" s="9">
        <f>SUM([3]Delta!$EZ$41:$FJ$41)</f>
        <v>18133044</v>
      </c>
      <c r="Q32" s="39">
        <f t="shared" si="9"/>
        <v>1.0564966367478069E-2</v>
      </c>
      <c r="R32" s="86">
        <f t="shared" si="10"/>
        <v>0.53926506634187077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[3]Compass!$FX$19</f>
        <v>0</v>
      </c>
      <c r="D33" s="9">
        <f>[3]Compass!$FJ$19</f>
        <v>210</v>
      </c>
      <c r="E33" s="86">
        <f t="shared" si="6"/>
        <v>-1</v>
      </c>
      <c r="F33" s="9">
        <f>SUM([3]Compass!$FN$19:$FX$19)</f>
        <v>2</v>
      </c>
      <c r="G33" s="9">
        <f>SUM([3]Compass!$EZ$19:$FJ$19)</f>
        <v>9731</v>
      </c>
      <c r="H33" s="39">
        <f t="shared" si="11"/>
        <v>-0.99979447127736099</v>
      </c>
      <c r="I33" s="86">
        <f t="shared" si="7"/>
        <v>5.8556237410408955E-6</v>
      </c>
      <c r="J33" s="53"/>
      <c r="K33" s="360" t="s">
        <v>120</v>
      </c>
      <c r="L33" s="354">
        <f>[3]Compass!$FX$41</f>
        <v>0</v>
      </c>
      <c r="M33" s="9">
        <f>[3]Compass!$FJ$41</f>
        <v>12940</v>
      </c>
      <c r="N33" s="86">
        <f t="shared" si="8"/>
        <v>-1</v>
      </c>
      <c r="O33" s="354">
        <f>SUM([3]Compass!$FN$41:$FX$41)</f>
        <v>0</v>
      </c>
      <c r="P33" s="9">
        <f>SUM([3]Compass!$EZ$41:$FJ$41)</f>
        <v>579555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[3]Pinnacle!$FX$19</f>
        <v>1747</v>
      </c>
      <c r="D34" s="9">
        <f>[3]Pinnacle!$FJ$19</f>
        <v>2737</v>
      </c>
      <c r="E34" s="86">
        <f t="shared" si="6"/>
        <v>-0.36170990135184511</v>
      </c>
      <c r="F34" s="9">
        <f>SUM([3]Pinnacle!$FN$19:$FX$19)</f>
        <v>22087</v>
      </c>
      <c r="G34" s="9">
        <f>SUM([3]Pinnacle!$EZ$19:$FJ$19)</f>
        <v>33450</v>
      </c>
      <c r="H34" s="39">
        <f t="shared" si="11"/>
        <v>-0.33970104633781761</v>
      </c>
      <c r="I34" s="86">
        <f t="shared" si="7"/>
        <v>6.4666580784185135E-2</v>
      </c>
      <c r="J34" s="53"/>
      <c r="K34" s="359" t="s">
        <v>164</v>
      </c>
      <c r="L34" s="354">
        <f>[3]Pinnacle!$FX$41</f>
        <v>102854</v>
      </c>
      <c r="M34" s="9">
        <f>[3]Pinnacle!$FJ$41</f>
        <v>142252</v>
      </c>
      <c r="N34" s="86">
        <f t="shared" si="8"/>
        <v>-0.27695919916767425</v>
      </c>
      <c r="O34" s="354">
        <f>SUM([3]Pinnacle!$FN$41:$FX$41)</f>
        <v>1301143</v>
      </c>
      <c r="P34" s="9">
        <f>SUM([3]Pinnacle!$EZ$41:$FJ$41)</f>
        <v>1676203</v>
      </c>
      <c r="Q34" s="39">
        <f t="shared" si="9"/>
        <v>-0.22375571455247364</v>
      </c>
      <c r="R34" s="86">
        <f t="shared" si="10"/>
        <v>3.8290616913522771E-2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Jet'!$FX$19</f>
        <v>367</v>
      </c>
      <c r="D35" s="9">
        <f>'[3]Go Jet'!$FJ$19</f>
        <v>201</v>
      </c>
      <c r="E35" s="86">
        <f t="shared" si="6"/>
        <v>0.82587064676616917</v>
      </c>
      <c r="F35" s="9">
        <f>SUM('[3]Go Jet'!$FN$19:$FX$19)</f>
        <v>5641</v>
      </c>
      <c r="G35" s="9">
        <f>SUM('[3]Go Jet'!$EZ$19:$FJ$19)</f>
        <v>4466</v>
      </c>
      <c r="H35" s="39">
        <f>(F35-G35)/G35</f>
        <v>0.26309896999552174</v>
      </c>
      <c r="I35" s="86">
        <f t="shared" si="7"/>
        <v>1.6515786761605845E-2</v>
      </c>
      <c r="J35" s="53"/>
      <c r="K35" s="358" t="s">
        <v>160</v>
      </c>
      <c r="L35" s="354">
        <f>'[3]Go Jet'!$FX$41</f>
        <v>22476</v>
      </c>
      <c r="M35" s="9">
        <f>'[3]Go Jet'!$FJ$41</f>
        <v>12041</v>
      </c>
      <c r="N35" s="86">
        <f t="shared" si="8"/>
        <v>0.86662237355701355</v>
      </c>
      <c r="O35" s="354">
        <f>SUM('[3]Go Jet'!$FN$41:$FX$41)</f>
        <v>335209</v>
      </c>
      <c r="P35" s="9">
        <f>SUM('[3]Go Jet'!$EZ$41:$FJ$41)</f>
        <v>252847</v>
      </c>
      <c r="Q35" s="39">
        <f>(O35-P35)/P35</f>
        <v>0.32573849007502559</v>
      </c>
      <c r="R35" s="86">
        <f t="shared" si="10"/>
        <v>9.8646800581988717E-3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West'!$FX$19</f>
        <v>7696</v>
      </c>
      <c r="D36" s="9">
        <f>'[3]Sky West'!$FJ$19</f>
        <v>6474</v>
      </c>
      <c r="E36" s="86">
        <f t="shared" si="6"/>
        <v>0.18875502008032127</v>
      </c>
      <c r="F36" s="9">
        <f>SUM('[3]Sky West'!$FN$19:$FX$19)</f>
        <v>88591</v>
      </c>
      <c r="G36" s="9">
        <f>SUM('[3]Sky West'!$EZ$19:$FJ$19)</f>
        <v>66272</v>
      </c>
      <c r="H36" s="39">
        <f t="shared" si="11"/>
        <v>0.33677873008208598</v>
      </c>
      <c r="I36" s="86">
        <f t="shared" si="7"/>
        <v>0.25937778142127699</v>
      </c>
      <c r="J36" s="53"/>
      <c r="K36" s="359" t="s">
        <v>100</v>
      </c>
      <c r="L36" s="354">
        <f>'[3]Sky West'!$FX$41</f>
        <v>380201</v>
      </c>
      <c r="M36" s="9">
        <f>'[3]Sky West'!$FJ$41</f>
        <v>308786</v>
      </c>
      <c r="N36" s="86">
        <f t="shared" si="8"/>
        <v>0.23127667705142071</v>
      </c>
      <c r="O36" s="354">
        <f>SUM('[3]Sky West'!$FN$41:$FX$41)</f>
        <v>4235822</v>
      </c>
      <c r="P36" s="9">
        <f>SUM('[3]Sky West'!$EZ$41:$FJ$41)</f>
        <v>3109462</v>
      </c>
      <c r="Q36" s="39">
        <f t="shared" si="9"/>
        <v>0.36223629682562447</v>
      </c>
      <c r="R36" s="86">
        <f t="shared" si="10"/>
        <v>0.12465366029396605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America_Delta'!$FX$19</f>
        <v>0</v>
      </c>
      <c r="D37" s="9">
        <f>'[3]Shuttle America_Delta'!$FJ$19</f>
        <v>0</v>
      </c>
      <c r="E37" s="86" t="e">
        <f t="shared" si="6"/>
        <v>#DIV/0!</v>
      </c>
      <c r="F37" s="9">
        <f>SUM('[3]Shuttle America_Delta'!$FN$19:$FX$19)</f>
        <v>78</v>
      </c>
      <c r="G37" s="9">
        <f>SUM('[3]Shuttle America_Delta'!$EZ$19:$FJ$19)</f>
        <v>158</v>
      </c>
      <c r="H37" s="39">
        <f t="shared" si="11"/>
        <v>-0.50632911392405067</v>
      </c>
      <c r="I37" s="86">
        <f t="shared" si="7"/>
        <v>2.2836932590059494E-4</v>
      </c>
      <c r="J37" s="53"/>
      <c r="K37" s="359" t="s">
        <v>134</v>
      </c>
      <c r="L37" s="354">
        <f>'[3]Shuttle America_Delta'!$FX$41</f>
        <v>0</v>
      </c>
      <c r="M37" s="9">
        <f>'[3]Shuttle America_Delta'!$FJ$41</f>
        <v>0</v>
      </c>
      <c r="N37" s="86" t="e">
        <f t="shared" si="8"/>
        <v>#DIV/0!</v>
      </c>
      <c r="O37" s="354">
        <f>SUM('[3]Shuttle America_Delta'!$FN$41:$FX$41)</f>
        <v>4612</v>
      </c>
      <c r="P37" s="9">
        <f>SUM('[3]Shuttle America_Delta'!$EZ$41:$FJ$41)</f>
        <v>8496</v>
      </c>
      <c r="Q37" s="39">
        <f t="shared" si="9"/>
        <v>-0.4571563088512241</v>
      </c>
      <c r="R37" s="86">
        <f t="shared" si="10"/>
        <v>1.3572399436892566E-4</v>
      </c>
      <c r="S37" s="20"/>
    </row>
    <row r="38" spans="1:22" ht="14.1" customHeight="1" x14ac:dyDescent="0.2">
      <c r="A38" s="53"/>
      <c r="B38" s="426" t="s">
        <v>174</v>
      </c>
      <c r="C38" s="354">
        <f>'[3]Atlantic Southeast'!$FX$19</f>
        <v>0</v>
      </c>
      <c r="D38" s="9">
        <f>'[3]Atlantic Southeast'!$FJ$19</f>
        <v>112</v>
      </c>
      <c r="E38" s="86">
        <f t="shared" si="6"/>
        <v>-1</v>
      </c>
      <c r="F38" s="9">
        <f>SUM('[3]Atlantic Southeast'!$FN$19:$FX$19)</f>
        <v>1352</v>
      </c>
      <c r="G38" s="9">
        <f>SUM('[3]Atlantic Southeast'!$EZ$19:$FJ$19)</f>
        <v>4890</v>
      </c>
      <c r="H38" s="39">
        <f t="shared" si="11"/>
        <v>-0.72351738241308794</v>
      </c>
      <c r="I38" s="86">
        <f t="shared" si="7"/>
        <v>3.9584016489436456E-3</v>
      </c>
      <c r="J38" s="53"/>
      <c r="K38" s="426" t="s">
        <v>174</v>
      </c>
      <c r="L38" s="354">
        <f>'[3]Atlantic Southeast'!$FX$41</f>
        <v>0</v>
      </c>
      <c r="M38" s="9">
        <f>'[3]Atlantic Southeast'!$FJ$41</f>
        <v>6319</v>
      </c>
      <c r="N38" s="86">
        <f t="shared" si="8"/>
        <v>-1</v>
      </c>
      <c r="O38" s="354">
        <f>SUM('[3]Atlantic Southeast'!$FN$41:$FX$41)</f>
        <v>68799</v>
      </c>
      <c r="P38" s="9">
        <f>SUM('[3]Atlantic Southeast'!$EZ$41:$FJ$41)</f>
        <v>271358</v>
      </c>
      <c r="Q38" s="39">
        <f t="shared" si="9"/>
        <v>-0.74646408066097181</v>
      </c>
      <c r="R38" s="86">
        <f t="shared" si="10"/>
        <v>2.0246476774908317E-3</v>
      </c>
      <c r="S38" s="328"/>
    </row>
    <row r="39" spans="1:22" ht="14.1" customHeight="1" x14ac:dyDescent="0.2">
      <c r="A39" s="53"/>
      <c r="B39" s="426"/>
      <c r="C39" s="354"/>
      <c r="D39" s="9"/>
      <c r="E39" s="86"/>
      <c r="F39" s="9"/>
      <c r="G39" s="9"/>
      <c r="H39" s="39"/>
      <c r="I39" s="86"/>
      <c r="J39" s="53"/>
      <c r="K39" s="426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2"/>
      <c r="C40" s="350">
        <f>[3]Frontier!$FX$19</f>
        <v>244</v>
      </c>
      <c r="D40" s="352">
        <f>[3]Frontier!$FJ$19</f>
        <v>234</v>
      </c>
      <c r="E40" s="353">
        <f>(C40-D40)/D40</f>
        <v>4.2735042735042736E-2</v>
      </c>
      <c r="F40" s="352">
        <f>SUM([3]Frontier!$FN$19:$FX$19)</f>
        <v>3078</v>
      </c>
      <c r="G40" s="352">
        <f>SUM([3]Frontier!$EZ$19:$FJ$19)</f>
        <v>2043</v>
      </c>
      <c r="H40" s="351">
        <f>(F40-G40)/G40</f>
        <v>0.50660792951541855</v>
      </c>
      <c r="I40" s="353">
        <f>F40/$F$66</f>
        <v>9.0118049374619379E-3</v>
      </c>
      <c r="J40" s="349" t="s">
        <v>47</v>
      </c>
      <c r="K40" s="362"/>
      <c r="L40" s="350">
        <f>[3]Frontier!$FX$41</f>
        <v>36479</v>
      </c>
      <c r="M40" s="352">
        <f>[3]Frontier!$FJ$41</f>
        <v>36385</v>
      </c>
      <c r="N40" s="353">
        <f>(L40-M40)/M40</f>
        <v>2.5834822042050294E-3</v>
      </c>
      <c r="O40" s="350">
        <f>SUM([3]Frontier!$FN$41:$FX$41)</f>
        <v>451305</v>
      </c>
      <c r="P40" s="352">
        <f>SUM([3]Frontier!$EZ$41:$FJ$41)</f>
        <v>302586</v>
      </c>
      <c r="Q40" s="351">
        <f>(O40-P40)/P40</f>
        <v>0.49149332751680513</v>
      </c>
      <c r="R40" s="353">
        <f>O40/$O$66</f>
        <v>1.3281204960682566E-2</v>
      </c>
      <c r="S40" s="469"/>
      <c r="T40"/>
      <c r="U40" s="4"/>
    </row>
    <row r="41" spans="1:22" s="7" customFormat="1" ht="14.1" customHeight="1" x14ac:dyDescent="0.2">
      <c r="A41" s="349"/>
      <c r="B41" s="362"/>
      <c r="C41" s="350"/>
      <c r="D41" s="352"/>
      <c r="E41" s="353"/>
      <c r="F41" s="352"/>
      <c r="G41" s="352"/>
      <c r="H41" s="351"/>
      <c r="I41" s="353"/>
      <c r="J41" s="349"/>
      <c r="K41" s="362"/>
      <c r="L41" s="354"/>
      <c r="M41" s="9"/>
      <c r="N41" s="86"/>
      <c r="O41" s="354"/>
      <c r="P41" s="9"/>
      <c r="Q41" s="39"/>
      <c r="R41" s="86"/>
      <c r="S41" s="469"/>
    </row>
    <row r="42" spans="1:22" s="7" customFormat="1" ht="14.1" customHeight="1" x14ac:dyDescent="0.2">
      <c r="A42" s="349" t="s">
        <v>48</v>
      </c>
      <c r="B42" s="362"/>
      <c r="C42" s="350">
        <f>[3]Icelandair!$FX$19</f>
        <v>34</v>
      </c>
      <c r="D42" s="352">
        <f>[3]Icelandair!$FJ$19</f>
        <v>34</v>
      </c>
      <c r="E42" s="353">
        <f>(C42-D42)/D42</f>
        <v>0</v>
      </c>
      <c r="F42" s="352">
        <f>SUM([3]Icelandair!$FN$19:$FX$19)</f>
        <v>598</v>
      </c>
      <c r="G42" s="352">
        <f>SUM([3]Icelandair!$EZ$19:$FJ$19)</f>
        <v>526</v>
      </c>
      <c r="H42" s="351">
        <f>(F42-G42)/G42</f>
        <v>0.13688212927756654</v>
      </c>
      <c r="I42" s="353">
        <f>F42/$F$66</f>
        <v>1.7508314985712277E-3</v>
      </c>
      <c r="J42" s="349" t="s">
        <v>48</v>
      </c>
      <c r="K42" s="362"/>
      <c r="L42" s="350">
        <f>[3]Icelandair!$FX$41</f>
        <v>4601</v>
      </c>
      <c r="M42" s="352">
        <f>[3]Icelandair!$FJ$41</f>
        <v>4965</v>
      </c>
      <c r="N42" s="353">
        <f>(L42-M42)/M42</f>
        <v>-7.3313192346424971E-2</v>
      </c>
      <c r="O42" s="350">
        <f>SUM([3]Icelandair!$FN$41:$FX$41)</f>
        <v>86559</v>
      </c>
      <c r="P42" s="352">
        <f>SUM([3]Icelandair!$EZ$41:$FJ$41)</f>
        <v>94940</v>
      </c>
      <c r="Q42" s="351">
        <f>(O42-P42)/P42</f>
        <v>-8.8276806404044658E-2</v>
      </c>
      <c r="R42" s="353">
        <f>O42/$O$66</f>
        <v>2.5472968839071628E-3</v>
      </c>
      <c r="S42" s="20"/>
    </row>
    <row r="43" spans="1:22" s="7" customFormat="1" ht="14.1" customHeight="1" x14ac:dyDescent="0.2">
      <c r="A43" s="349"/>
      <c r="B43" s="362"/>
      <c r="C43" s="350"/>
      <c r="D43" s="352"/>
      <c r="E43" s="353"/>
      <c r="F43" s="352"/>
      <c r="G43" s="352"/>
      <c r="H43" s="351"/>
      <c r="I43" s="353"/>
      <c r="J43" s="349"/>
      <c r="K43" s="362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229</v>
      </c>
      <c r="B44" s="362"/>
      <c r="C44" s="350">
        <f>'[3]Jet Blue'!$FX$19</f>
        <v>170</v>
      </c>
      <c r="D44" s="352">
        <f>'[3]Jet Blue'!$FJ$19</f>
        <v>0</v>
      </c>
      <c r="E44" s="353" t="e">
        <f>(C44-D44)/D44</f>
        <v>#DIV/0!</v>
      </c>
      <c r="F44" s="352">
        <f>SUM('[3]Jet Blue'!$FN$19:$FX$19)</f>
        <v>1237</v>
      </c>
      <c r="G44" s="352">
        <f>SUM('[3]Jet Blue'!$EZ$19:$FJ$19)</f>
        <v>0</v>
      </c>
      <c r="H44" s="351" t="e">
        <f>(F44-G44)/G44</f>
        <v>#DIV/0!</v>
      </c>
      <c r="I44" s="353">
        <f>F44/$F$66</f>
        <v>3.6217032838337941E-3</v>
      </c>
      <c r="J44" s="349" t="s">
        <v>229</v>
      </c>
      <c r="K44" s="362"/>
      <c r="L44" s="350">
        <f>'[3]Jet Blue'!$FX$41</f>
        <v>17231</v>
      </c>
      <c r="M44" s="352">
        <f>'[3]Jet Blue'!$FJ$41</f>
        <v>0</v>
      </c>
      <c r="N44" s="353" t="e">
        <f>(L44-M44)/M44</f>
        <v>#DIV/0!</v>
      </c>
      <c r="O44" s="350">
        <f>SUM('[3]Jet Blue'!$FN$41:$FX$41)</f>
        <v>139498</v>
      </c>
      <c r="P44" s="352">
        <f>SUM('[3]Jet Blue'!$EZ$41:$FJ$41)</f>
        <v>0</v>
      </c>
      <c r="Q44" s="351" t="e">
        <f>(O44-P44)/P44</f>
        <v>#DIV/0!</v>
      </c>
      <c r="R44" s="353">
        <f>O44/$O$66</f>
        <v>4.1052094029653931E-3</v>
      </c>
      <c r="S44" s="20"/>
    </row>
    <row r="45" spans="1:22" s="7" customFormat="1" ht="14.1" customHeight="1" x14ac:dyDescent="0.2">
      <c r="A45" s="349"/>
      <c r="B45" s="362"/>
      <c r="C45" s="350"/>
      <c r="D45" s="352"/>
      <c r="E45" s="353"/>
      <c r="F45" s="352"/>
      <c r="G45" s="352"/>
      <c r="H45" s="351"/>
      <c r="I45" s="353"/>
      <c r="J45" s="349"/>
      <c r="K45" s="362"/>
      <c r="L45" s="354"/>
      <c r="M45" s="9"/>
      <c r="N45" s="86"/>
      <c r="O45" s="354"/>
      <c r="P45" s="9"/>
      <c r="Q45" s="39"/>
      <c r="R45" s="86"/>
      <c r="S45" s="20"/>
    </row>
    <row r="46" spans="1:22" s="7" customFormat="1" ht="14.1" customHeight="1" x14ac:dyDescent="0.2">
      <c r="A46" s="349" t="s">
        <v>216</v>
      </c>
      <c r="B46" s="362"/>
      <c r="C46" s="350">
        <f>[3]KLM!$FX$19</f>
        <v>34</v>
      </c>
      <c r="D46" s="352">
        <f>[3]KLM!$FJ$19</f>
        <v>22</v>
      </c>
      <c r="E46" s="353">
        <f>(C46-D46)/D46</f>
        <v>0.54545454545454541</v>
      </c>
      <c r="F46" s="352">
        <f>SUM([3]KLM!$FN$19:$FX$19)</f>
        <v>340</v>
      </c>
      <c r="G46" s="352">
        <f>SUM([3]KLM!$EZ$19:$FJ$19)</f>
        <v>204</v>
      </c>
      <c r="H46" s="351">
        <f>(F46-G46)/G46</f>
        <v>0.66666666666666663</v>
      </c>
      <c r="I46" s="353">
        <f>F46/$F$66</f>
        <v>9.9545603597695235E-4</v>
      </c>
      <c r="J46" s="349" t="s">
        <v>216</v>
      </c>
      <c r="K46" s="362"/>
      <c r="L46" s="350">
        <f>[3]KLM!$FX$41</f>
        <v>7606</v>
      </c>
      <c r="M46" s="352">
        <f>[3]KLM!$FJ$41</f>
        <v>4545</v>
      </c>
      <c r="N46" s="353">
        <f>(L46-M46)/M46</f>
        <v>0.67348734873487348</v>
      </c>
      <c r="O46" s="350">
        <f>SUM([3]KLM!$FN$41:$FX$41)</f>
        <v>78986</v>
      </c>
      <c r="P46" s="352">
        <f>SUM([3]KLM!$EZ$41:$FJ$41)</f>
        <v>46588</v>
      </c>
      <c r="Q46" s="351">
        <f>(O46-P46)/P46</f>
        <v>0.69541512835923414</v>
      </c>
      <c r="R46" s="353">
        <f>O46/$O$66</f>
        <v>2.3244352600225414E-3</v>
      </c>
      <c r="S46" s="20"/>
    </row>
    <row r="47" spans="1:22" s="7" customFormat="1" ht="14.1" customHeight="1" x14ac:dyDescent="0.2">
      <c r="A47" s="349"/>
      <c r="B47" s="362"/>
      <c r="C47" s="350"/>
      <c r="D47" s="352"/>
      <c r="E47" s="353"/>
      <c r="F47" s="352"/>
      <c r="G47" s="352"/>
      <c r="H47" s="351"/>
      <c r="I47" s="353"/>
      <c r="J47" s="349"/>
      <c r="K47" s="362"/>
      <c r="L47" s="354"/>
      <c r="M47" s="9"/>
      <c r="N47" s="86"/>
      <c r="O47" s="354"/>
      <c r="P47" s="9"/>
      <c r="Q47" s="39"/>
      <c r="R47" s="86"/>
      <c r="S47" s="20"/>
    </row>
    <row r="48" spans="1:22" ht="14.1" customHeight="1" x14ac:dyDescent="0.2">
      <c r="A48" s="515" t="s">
        <v>132</v>
      </c>
      <c r="C48" s="350">
        <f>[3]Southwest!$FX$19</f>
        <v>1261</v>
      </c>
      <c r="D48" s="352">
        <f>[3]Southwest!$FJ$19</f>
        <v>1269</v>
      </c>
      <c r="E48" s="353">
        <f>(C48-D48)/D48</f>
        <v>-6.3041765169424748E-3</v>
      </c>
      <c r="F48" s="352">
        <f>SUM([3]Southwest!$FN$19:$FX$19)</f>
        <v>14936</v>
      </c>
      <c r="G48" s="352">
        <f>SUM([3]Southwest!$EZ$19:$FJ$19)</f>
        <v>16392</v>
      </c>
      <c r="H48" s="351">
        <f>(F48-G48)/G48</f>
        <v>-8.8823816495851637E-2</v>
      </c>
      <c r="I48" s="353">
        <f>F48/$F$66</f>
        <v>4.3729798098093409E-2</v>
      </c>
      <c r="J48" s="357" t="s">
        <v>132</v>
      </c>
      <c r="L48" s="350">
        <f>[3]Southwest!$FX$41</f>
        <v>150256</v>
      </c>
      <c r="M48" s="352">
        <f>[3]Southwest!$FJ$41</f>
        <v>154160</v>
      </c>
      <c r="N48" s="353">
        <f>(L48-M48)/M48</f>
        <v>-2.5324338349766478E-2</v>
      </c>
      <c r="O48" s="350">
        <f>SUM([3]Southwest!$FN$41:$FX$41)</f>
        <v>1800906</v>
      </c>
      <c r="P48" s="352">
        <f>SUM([3]Southwest!$EZ$41:$FJ$41)</f>
        <v>1905663</v>
      </c>
      <c r="Q48" s="351">
        <f>(O48-P48)/P48</f>
        <v>-5.4971419395769348E-2</v>
      </c>
      <c r="R48" s="353">
        <f>O48/$O$66</f>
        <v>5.2997865525360892E-2</v>
      </c>
      <c r="S48" s="20"/>
    </row>
    <row r="49" spans="1:20" ht="14.1" customHeight="1" x14ac:dyDescent="0.2">
      <c r="A49" s="349"/>
      <c r="B49" s="55"/>
      <c r="C49" s="350"/>
      <c r="D49" s="352"/>
      <c r="E49" s="353"/>
      <c r="F49" s="352"/>
      <c r="G49" s="352"/>
      <c r="H49" s="351"/>
      <c r="I49" s="353"/>
      <c r="J49" s="349"/>
      <c r="K49" s="55"/>
      <c r="L49" s="354"/>
      <c r="M49" s="9"/>
      <c r="N49" s="86"/>
      <c r="O49" s="354"/>
      <c r="P49" s="9"/>
      <c r="Q49" s="39"/>
      <c r="R49" s="86"/>
      <c r="S49" s="20"/>
      <c r="T49" s="7"/>
    </row>
    <row r="50" spans="1:20" ht="14.1" customHeight="1" x14ac:dyDescent="0.2">
      <c r="A50" s="349" t="s">
        <v>161</v>
      </c>
      <c r="B50" s="55"/>
      <c r="C50" s="350">
        <f>[3]Spirit!$FX$19</f>
        <v>666</v>
      </c>
      <c r="D50" s="352">
        <f>[3]Spirit!$FJ$19</f>
        <v>742</v>
      </c>
      <c r="E50" s="353">
        <f>(C50-D50)/D50</f>
        <v>-0.10242587601078167</v>
      </c>
      <c r="F50" s="352">
        <f>SUM([3]Spirit!$FN$19:$FX$19)</f>
        <v>7661</v>
      </c>
      <c r="G50" s="352">
        <f>SUM([3]Spirit!$EZ$19:$FJ$19)</f>
        <v>8443</v>
      </c>
      <c r="H50" s="351">
        <f>(F50-G50)/G50</f>
        <v>-9.2621106241857154E-2</v>
      </c>
      <c r="I50" s="353">
        <f>F50/$F$66</f>
        <v>2.242996674005715E-2</v>
      </c>
      <c r="J50" s="349" t="s">
        <v>161</v>
      </c>
      <c r="K50" s="55"/>
      <c r="L50" s="350">
        <f>[3]Spirit!$FX$41</f>
        <v>87557</v>
      </c>
      <c r="M50" s="352">
        <f>[3]Spirit!$FJ$41</f>
        <v>91625</v>
      </c>
      <c r="N50" s="353">
        <f>(L50-M50)/M50</f>
        <v>-4.4398362892223736E-2</v>
      </c>
      <c r="O50" s="350">
        <f>SUM([3]Spirit!$FN$41:$FX$41)</f>
        <v>1054886</v>
      </c>
      <c r="P50" s="352">
        <f>SUM([3]Spirit!$EZ$41:$FJ$41)</f>
        <v>1142998</v>
      </c>
      <c r="Q50" s="351">
        <f>(O50-P50)/P50</f>
        <v>-7.7088498842517658E-2</v>
      </c>
      <c r="R50" s="353">
        <f>O50/$O$66</f>
        <v>3.1043656011244255E-2</v>
      </c>
      <c r="S50" s="20"/>
      <c r="T50" s="7"/>
    </row>
    <row r="51" spans="1:20" ht="14.1" customHeight="1" x14ac:dyDescent="0.2">
      <c r="A51" s="349"/>
      <c r="B51" s="55"/>
      <c r="C51" s="350"/>
      <c r="D51" s="352"/>
      <c r="E51" s="353"/>
      <c r="F51" s="352"/>
      <c r="G51" s="352"/>
      <c r="H51" s="351"/>
      <c r="I51" s="353"/>
      <c r="J51" s="349"/>
      <c r="K51" s="55"/>
      <c r="L51" s="354"/>
      <c r="M51" s="9"/>
      <c r="N51" s="86"/>
      <c r="O51" s="354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49" t="s">
        <v>49</v>
      </c>
      <c r="B52" s="362"/>
      <c r="C52" s="350">
        <f>'[3]Sun Country'!$FX$19</f>
        <v>1306</v>
      </c>
      <c r="D52" s="352">
        <f>'[3]Sun Country'!$FJ$19</f>
        <v>1665</v>
      </c>
      <c r="E52" s="353">
        <f>(C52-D52)/D52</f>
        <v>-0.21561561561561562</v>
      </c>
      <c r="F52" s="352">
        <f>SUM('[3]Sun Country'!$FN$19:$FX$19)</f>
        <v>17684</v>
      </c>
      <c r="G52" s="352">
        <f>SUM('[3]Sun Country'!$EZ$19:$FJ$19)</f>
        <v>19069</v>
      </c>
      <c r="H52" s="351">
        <f>(F52-G52)/G52</f>
        <v>-7.2630971734228333E-2</v>
      </c>
      <c r="I52" s="353">
        <f>F52/$F$66</f>
        <v>5.1775425118283598E-2</v>
      </c>
      <c r="J52" s="349" t="s">
        <v>49</v>
      </c>
      <c r="K52" s="362"/>
      <c r="L52" s="350">
        <f>'[3]Sun Country'!$FX$41</f>
        <v>160206</v>
      </c>
      <c r="M52" s="352">
        <f>'[3]Sun Country'!$FJ$41</f>
        <v>185455</v>
      </c>
      <c r="N52" s="353">
        <f>(L52-M52)/M52</f>
        <v>-0.13614623493569869</v>
      </c>
      <c r="O52" s="350">
        <f>SUM('[3]Sun Country'!$FN$41:$FX$41)</f>
        <v>2138857</v>
      </c>
      <c r="P52" s="352">
        <f>SUM('[3]Sun Country'!$EZ$41:$FJ$41)</f>
        <v>2184802</v>
      </c>
      <c r="Q52" s="351">
        <f>(O52-P52)/P52</f>
        <v>-2.1029365590108394E-2</v>
      </c>
      <c r="R52" s="353">
        <f>O52/$O$66</f>
        <v>6.2943238383334182E-2</v>
      </c>
      <c r="S52" s="20"/>
    </row>
    <row r="53" spans="1:20" s="7" customFormat="1" ht="14.1" customHeight="1" x14ac:dyDescent="0.2">
      <c r="A53" s="349"/>
      <c r="B53" s="362"/>
      <c r="C53" s="350"/>
      <c r="D53" s="352"/>
      <c r="E53" s="353"/>
      <c r="F53" s="352"/>
      <c r="G53" s="352"/>
      <c r="H53" s="351"/>
      <c r="I53" s="353"/>
      <c r="J53" s="349"/>
      <c r="K53" s="362"/>
      <c r="L53" s="354"/>
      <c r="M53" s="9"/>
      <c r="N53" s="86"/>
      <c r="O53" s="354"/>
      <c r="P53" s="9"/>
      <c r="Q53" s="39"/>
      <c r="R53" s="86"/>
      <c r="S53" s="20"/>
    </row>
    <row r="54" spans="1:20" s="7" customFormat="1" ht="14.1" customHeight="1" x14ac:dyDescent="0.2">
      <c r="A54" s="349" t="s">
        <v>19</v>
      </c>
      <c r="B54" s="357"/>
      <c r="C54" s="350">
        <f>SUM(C55:C61)</f>
        <v>1368</v>
      </c>
      <c r="D54" s="352">
        <f>SUM(D55:D61)</f>
        <v>1692</v>
      </c>
      <c r="E54" s="353">
        <f t="shared" ref="E54:E61" si="12">(C54-D54)/D54</f>
        <v>-0.19148936170212766</v>
      </c>
      <c r="F54" s="352">
        <f>SUM(F55:F61)</f>
        <v>16403</v>
      </c>
      <c r="G54" s="352">
        <f>SUM(G55:G61)</f>
        <v>18516</v>
      </c>
      <c r="H54" s="351">
        <f t="shared" ref="H54:H61" si="13">(F54-G54)/G54</f>
        <v>-0.11411751998271764</v>
      </c>
      <c r="I54" s="353">
        <f t="shared" ref="I54:I61" si="14">F54/$F$66</f>
        <v>4.8024898112146906E-2</v>
      </c>
      <c r="J54" s="349" t="s">
        <v>19</v>
      </c>
      <c r="K54" s="357"/>
      <c r="L54" s="350">
        <f>SUM(L55:L61)</f>
        <v>123494</v>
      </c>
      <c r="M54" s="352">
        <f>SUM(M55:M61)</f>
        <v>139260</v>
      </c>
      <c r="N54" s="353">
        <f t="shared" ref="N54:N61" si="15">(L54-M54)/M54</f>
        <v>-0.11321269567715066</v>
      </c>
      <c r="O54" s="350">
        <f>SUM(O55:O61)</f>
        <v>1472402</v>
      </c>
      <c r="P54" s="352">
        <f>SUM(P55:P61)</f>
        <v>1574800</v>
      </c>
      <c r="Q54" s="351">
        <f t="shared" ref="Q54:Q61" si="16">(O54-P54)/P54</f>
        <v>-6.5022860045720096E-2</v>
      </c>
      <c r="R54" s="353">
        <f t="shared" ref="R54:R61" si="17">O54/$O$66</f>
        <v>4.3330503199651968E-2</v>
      </c>
      <c r="S54" s="20"/>
      <c r="T54"/>
    </row>
    <row r="55" spans="1:20" s="7" customFormat="1" ht="14.1" customHeight="1" x14ac:dyDescent="0.2">
      <c r="A55" s="363"/>
      <c r="B55" s="424" t="s">
        <v>19</v>
      </c>
      <c r="C55" s="354">
        <f>[3]United!$FX$19</f>
        <v>450</v>
      </c>
      <c r="D55" s="9">
        <f>[3]United!$FJ$19+[3]Continental!$FJ$19</f>
        <v>602</v>
      </c>
      <c r="E55" s="86">
        <f t="shared" si="12"/>
        <v>-0.25249169435215946</v>
      </c>
      <c r="F55" s="9">
        <f>SUM([3]United!$FN$19:$FX$19)</f>
        <v>6824</v>
      </c>
      <c r="G55" s="9">
        <f>SUM([3]United!$EZ$19:$FJ$19)+SUM([3]Continental!$EZ$19:$FJ$19)</f>
        <v>8172</v>
      </c>
      <c r="H55" s="39">
        <f t="shared" si="13"/>
        <v>-0.16495349975526186</v>
      </c>
      <c r="I55" s="86">
        <f t="shared" si="14"/>
        <v>1.9979388204431535E-2</v>
      </c>
      <c r="J55" s="363"/>
      <c r="K55" s="424" t="s">
        <v>19</v>
      </c>
      <c r="L55" s="354">
        <f>[3]United!$FX$41</f>
        <v>66229</v>
      </c>
      <c r="M55" s="9">
        <f>[3]United!$FJ$41+[3]Continental!$FJ$41</f>
        <v>73084</v>
      </c>
      <c r="N55" s="86">
        <f t="shared" si="15"/>
        <v>-9.3796179738383237E-2</v>
      </c>
      <c r="O55" s="354">
        <f>SUM([3]United!$FN$41:$FX$41)</f>
        <v>861031</v>
      </c>
      <c r="P55" s="9">
        <f>SUM([3]United!$EZ$41:$FJ$41)+SUM([3]Continental!$EZ$41:$FJ$41)</f>
        <v>960725</v>
      </c>
      <c r="Q55" s="39">
        <f t="shared" si="16"/>
        <v>-0.10376954903848656</v>
      </c>
      <c r="R55" s="86">
        <f t="shared" si="17"/>
        <v>2.5338804552356986E-2</v>
      </c>
      <c r="S55" s="20"/>
    </row>
    <row r="56" spans="1:20" s="7" customFormat="1" ht="14.1" customHeight="1" x14ac:dyDescent="0.2">
      <c r="A56" s="363"/>
      <c r="B56" s="426" t="s">
        <v>174</v>
      </c>
      <c r="C56" s="354">
        <f>'[3]Continental Express'!$FX$19</f>
        <v>0</v>
      </c>
      <c r="D56" s="9">
        <f>'[3]Continental Express'!$FJ$19</f>
        <v>2</v>
      </c>
      <c r="E56" s="86">
        <f t="shared" si="12"/>
        <v>-1</v>
      </c>
      <c r="F56" s="9">
        <f>SUM('[3]Continental Express'!$FN$19:$FX$19)</f>
        <v>64</v>
      </c>
      <c r="G56" s="9">
        <f>SUM('[3]Continental Express'!$EZ$19:$FJ$19)</f>
        <v>168</v>
      </c>
      <c r="H56" s="39">
        <f t="shared" si="13"/>
        <v>-0.61904761904761907</v>
      </c>
      <c r="I56" s="86">
        <f t="shared" si="14"/>
        <v>1.8737995971330866E-4</v>
      </c>
      <c r="J56" s="53"/>
      <c r="K56" s="424" t="s">
        <v>174</v>
      </c>
      <c r="L56" s="354">
        <f>'[3]Continental Express'!$FX$41</f>
        <v>0</v>
      </c>
      <c r="M56" s="9">
        <f>'[3]Continental Express'!$FJ$41</f>
        <v>98</v>
      </c>
      <c r="N56" s="86">
        <f t="shared" si="15"/>
        <v>-1</v>
      </c>
      <c r="O56" s="354">
        <f>SUM('[3]Continental Express'!$FN$41:$FX$41)</f>
        <v>2069</v>
      </c>
      <c r="P56" s="9">
        <f>SUM('[3]Continental Express'!$EZ$41:$FJ$41)</f>
        <v>6833</v>
      </c>
      <c r="Q56" s="39">
        <f t="shared" si="16"/>
        <v>-0.6972047416947168</v>
      </c>
      <c r="R56" s="86">
        <f t="shared" si="17"/>
        <v>6.08874554096503E-5</v>
      </c>
      <c r="S56" s="20"/>
    </row>
    <row r="57" spans="1:20" s="7" customFormat="1" ht="14.1" customHeight="1" x14ac:dyDescent="0.2">
      <c r="A57" s="363"/>
      <c r="B57" s="359" t="s">
        <v>160</v>
      </c>
      <c r="C57" s="354">
        <f>'[3]Go Jet_UA'!$FX$19</f>
        <v>0</v>
      </c>
      <c r="D57" s="9">
        <f>'[3]Go Jet_UA'!$FJ$19</f>
        <v>172</v>
      </c>
      <c r="E57" s="86">
        <f t="shared" si="12"/>
        <v>-1</v>
      </c>
      <c r="F57" s="9">
        <f>SUM('[3]Go Jet_UA'!$FN$19:$FX$19)</f>
        <v>157</v>
      </c>
      <c r="G57" s="9">
        <f>SUM('[3]Go Jet_UA'!$EZ$19:$FJ$19)</f>
        <v>402</v>
      </c>
      <c r="H57" s="39">
        <f t="shared" si="13"/>
        <v>-0.60945273631840791</v>
      </c>
      <c r="I57" s="86">
        <f t="shared" si="14"/>
        <v>4.5966646367171031E-4</v>
      </c>
      <c r="J57" s="363"/>
      <c r="K57" s="358" t="s">
        <v>160</v>
      </c>
      <c r="L57" s="354">
        <f>'[3]Go Jet_UA'!$FX$41</f>
        <v>0</v>
      </c>
      <c r="M57" s="9">
        <f>'[3]Go Jet_UA'!$FJ$41</f>
        <v>11532</v>
      </c>
      <c r="N57" s="86">
        <f t="shared" si="15"/>
        <v>-1</v>
      </c>
      <c r="O57" s="354">
        <f>SUM('[3]Go Jet_UA'!$FN$41:$FX$41)</f>
        <v>10365</v>
      </c>
      <c r="P57" s="9">
        <f>SUM('[3]Go Jet_UA'!$EZ$41:$FJ$41)</f>
        <v>26382</v>
      </c>
      <c r="Q57" s="39">
        <f t="shared" si="16"/>
        <v>-0.60711848987946326</v>
      </c>
      <c r="R57" s="86">
        <f t="shared" si="17"/>
        <v>3.0502584597439601E-4</v>
      </c>
      <c r="S57" s="20"/>
    </row>
    <row r="58" spans="1:20" s="7" customFormat="1" ht="14.1" customHeight="1" x14ac:dyDescent="0.2">
      <c r="A58" s="363"/>
      <c r="B58" s="359" t="s">
        <v>51</v>
      </c>
      <c r="C58" s="354">
        <f>[3]MESA_UA!$FX$19</f>
        <v>326</v>
      </c>
      <c r="D58" s="9">
        <f>[3]MESA_UA!$FJ$19</f>
        <v>296</v>
      </c>
      <c r="E58" s="86">
        <f t="shared" si="12"/>
        <v>0.10135135135135136</v>
      </c>
      <c r="F58" s="9">
        <f>SUM([3]MESA_UA!$FN$19:$FX$19)</f>
        <v>3074</v>
      </c>
      <c r="G58" s="9">
        <f>SUM([3]MESA_UA!$EZ$19:$FJ$19)</f>
        <v>3346</v>
      </c>
      <c r="H58" s="39">
        <f>(F58-G58)/G58</f>
        <v>-8.1291093843395099E-2</v>
      </c>
      <c r="I58" s="86">
        <f t="shared" si="14"/>
        <v>9.0000936899798569E-3</v>
      </c>
      <c r="J58" s="363"/>
      <c r="K58" s="358" t="s">
        <v>51</v>
      </c>
      <c r="L58" s="354">
        <f>[3]MESA_UA!$FX$41</f>
        <v>21051</v>
      </c>
      <c r="M58" s="9">
        <f>[3]MESA_UA!$FJ$41</f>
        <v>17610</v>
      </c>
      <c r="N58" s="86">
        <f t="shared" si="15"/>
        <v>0.19540034071550255</v>
      </c>
      <c r="O58" s="354">
        <f>SUM([3]MESA_UA!$FN$41:$FX$41)</f>
        <v>199053</v>
      </c>
      <c r="P58" s="9">
        <f>SUM([3]MESA_UA!$EZ$41:$FJ$41)</f>
        <v>192317</v>
      </c>
      <c r="Q58" s="39">
        <f t="shared" si="16"/>
        <v>3.5025504765569343E-2</v>
      </c>
      <c r="R58" s="86">
        <f t="shared" si="17"/>
        <v>5.8578205227922285E-3</v>
      </c>
      <c r="S58" s="20"/>
    </row>
    <row r="59" spans="1:20" s="7" customFormat="1" ht="14.1" customHeight="1" x14ac:dyDescent="0.2">
      <c r="A59" s="363"/>
      <c r="B59" s="426" t="s">
        <v>52</v>
      </c>
      <c r="C59" s="354">
        <f>[3]Republic_UA!$FX$19</f>
        <v>418</v>
      </c>
      <c r="D59" s="9">
        <f>[3]Republic_UA!$FJ$19</f>
        <v>388</v>
      </c>
      <c r="E59" s="86">
        <f t="shared" si="12"/>
        <v>7.7319587628865982E-2</v>
      </c>
      <c r="F59" s="9">
        <f>SUM([3]Republic_UA!$FN$19:$FX$19)</f>
        <v>4502</v>
      </c>
      <c r="G59" s="9">
        <f>SUM([3]Republic_UA!$EZ$19:$FJ$19)</f>
        <v>3580</v>
      </c>
      <c r="H59" s="39">
        <f t="shared" ref="H59" si="18">(F59-G59)/G59</f>
        <v>0.25754189944134076</v>
      </c>
      <c r="I59" s="86">
        <f t="shared" si="14"/>
        <v>1.3181009041083056E-2</v>
      </c>
      <c r="J59" s="363"/>
      <c r="K59" s="426" t="s">
        <v>52</v>
      </c>
      <c r="L59" s="354">
        <f>[3]Republic_UA!$FX$41</f>
        <v>25217</v>
      </c>
      <c r="M59" s="9">
        <f>[3]Republic_UA!$FJ$41</f>
        <v>21543</v>
      </c>
      <c r="N59" s="86">
        <f t="shared" si="15"/>
        <v>0.17054263565891473</v>
      </c>
      <c r="O59" s="354">
        <f>SUM([3]Republic_UA!$FN$41:$FX$41)</f>
        <v>284129</v>
      </c>
      <c r="P59" s="9">
        <f>SUM([3]Republic_UA!$EZ$41:$FJ$41)</f>
        <v>202268</v>
      </c>
      <c r="Q59" s="39">
        <f t="shared" si="16"/>
        <v>0.40471552593588705</v>
      </c>
      <c r="R59" s="86">
        <f t="shared" si="17"/>
        <v>8.3614750208257753E-3</v>
      </c>
      <c r="S59" s="20"/>
    </row>
    <row r="60" spans="1:20" s="7" customFormat="1" ht="14.1" customHeight="1" x14ac:dyDescent="0.2">
      <c r="A60" s="363"/>
      <c r="B60" s="359" t="s">
        <v>100</v>
      </c>
      <c r="C60" s="354">
        <f>'[3]Sky West_UA'!$FX$19</f>
        <v>174</v>
      </c>
      <c r="D60" s="9">
        <f>'[3]Sky West_UA'!$FJ$19+'[3]Sky West_CO'!$FJ$19</f>
        <v>232</v>
      </c>
      <c r="E60" s="86">
        <f t="shared" si="12"/>
        <v>-0.25</v>
      </c>
      <c r="F60" s="9">
        <f>SUM('[3]Sky West_UA'!$FN$19:$FX$19)</f>
        <v>1782</v>
      </c>
      <c r="G60" s="9">
        <f>SUM('[3]Sky West_UA'!$EZ$19:$FJ$19)+SUM('[3]Sky West_CO'!$EZ$19:$FJ$19)</f>
        <v>2824</v>
      </c>
      <c r="H60" s="39">
        <f t="shared" si="13"/>
        <v>-0.36898016997167138</v>
      </c>
      <c r="I60" s="86">
        <f t="shared" si="14"/>
        <v>5.2173607532674379E-3</v>
      </c>
      <c r="J60" s="363"/>
      <c r="K60" s="358" t="s">
        <v>100</v>
      </c>
      <c r="L60" s="354">
        <f>'[3]Sky West_UA'!$FX$41</f>
        <v>10997</v>
      </c>
      <c r="M60" s="9">
        <f>'[3]Sky West_UA'!$FJ$41+'[3]Sky West_CO'!$FJ$41</f>
        <v>15393</v>
      </c>
      <c r="N60" s="86">
        <f t="shared" si="15"/>
        <v>-0.28558435652569347</v>
      </c>
      <c r="O60" s="354">
        <f>SUM('[3]Sky West_UA'!$FN$41:$FX$41)</f>
        <v>115755</v>
      </c>
      <c r="P60" s="9">
        <f>SUM('[3]Sky West_UA'!$EZ$41:$FJ$41)+SUM('[3]Sky West_CO'!$EZ$41:$FJ$41)</f>
        <v>185002</v>
      </c>
      <c r="Q60" s="39">
        <f t="shared" si="16"/>
        <v>-0.37430406157771268</v>
      </c>
      <c r="R60" s="86">
        <f t="shared" si="17"/>
        <v>3.4064898022929291E-3</v>
      </c>
      <c r="S60" s="20"/>
    </row>
    <row r="61" spans="1:20" s="7" customFormat="1" ht="14.1" customHeight="1" x14ac:dyDescent="0.2">
      <c r="A61" s="363"/>
      <c r="B61" s="360" t="s">
        <v>134</v>
      </c>
      <c r="C61" s="354">
        <f>'[3]Shuttle America'!$FX$19</f>
        <v>0</v>
      </c>
      <c r="D61" s="9">
        <f>'[3]Shuttle America'!$FJ$19</f>
        <v>0</v>
      </c>
      <c r="E61" s="86" t="e">
        <f t="shared" si="12"/>
        <v>#DIV/0!</v>
      </c>
      <c r="F61" s="9">
        <f>SUM('[3]Shuttle America'!$FN$19:$FX$19)</f>
        <v>0</v>
      </c>
      <c r="G61" s="9">
        <f>SUM('[3]Shuttle America'!$EZ$19:$FJ$19)</f>
        <v>24</v>
      </c>
      <c r="H61" s="39">
        <f t="shared" si="13"/>
        <v>-1</v>
      </c>
      <c r="I61" s="86">
        <f t="shared" si="14"/>
        <v>0</v>
      </c>
      <c r="J61" s="363"/>
      <c r="K61" s="360" t="s">
        <v>134</v>
      </c>
      <c r="L61" s="354">
        <f>'[3]Shuttle America'!$FX$41</f>
        <v>0</v>
      </c>
      <c r="M61" s="9">
        <f>'[3]Shuttle America'!$FJ$41</f>
        <v>0</v>
      </c>
      <c r="N61" s="86" t="e">
        <f t="shared" si="15"/>
        <v>#DIV/0!</v>
      </c>
      <c r="O61" s="354">
        <f>SUM('[3]Shuttle America'!$FN$41:$FX$41)</f>
        <v>0</v>
      </c>
      <c r="P61" s="9">
        <f>SUM('[3]Shuttle America'!$EZ$41:$FJ$41)</f>
        <v>1273</v>
      </c>
      <c r="Q61" s="39">
        <f t="shared" si="16"/>
        <v>-1</v>
      </c>
      <c r="R61" s="86">
        <f t="shared" si="17"/>
        <v>0</v>
      </c>
      <c r="S61" s="20"/>
    </row>
    <row r="62" spans="1:20" s="7" customFormat="1" ht="14.1" customHeight="1" thickBot="1" x14ac:dyDescent="0.25">
      <c r="A62" s="429"/>
      <c r="B62" s="430"/>
      <c r="C62" s="364"/>
      <c r="D62" s="366"/>
      <c r="E62" s="367"/>
      <c r="F62" s="368"/>
      <c r="G62" s="368"/>
      <c r="H62" s="365"/>
      <c r="I62" s="367"/>
      <c r="J62" s="429"/>
      <c r="K62" s="430"/>
      <c r="L62" s="364"/>
      <c r="M62" s="368"/>
      <c r="N62" s="367"/>
      <c r="O62" s="364"/>
      <c r="P62" s="368"/>
      <c r="Q62" s="365"/>
      <c r="R62" s="471"/>
      <c r="S62" s="20"/>
    </row>
    <row r="63" spans="1:20" s="229" customFormat="1" ht="14.1" customHeight="1" thickBot="1" x14ac:dyDescent="0.25">
      <c r="B63" s="264"/>
      <c r="C63" s="352"/>
      <c r="D63" s="352"/>
      <c r="E63" s="351"/>
      <c r="F63" s="428"/>
      <c r="G63" s="352"/>
      <c r="H63" s="351"/>
      <c r="I63" s="351"/>
      <c r="J63" s="369"/>
      <c r="K63" s="264"/>
      <c r="L63" s="370"/>
      <c r="M63" s="371"/>
      <c r="N63" s="369"/>
      <c r="O63" s="230"/>
      <c r="P63" s="230"/>
      <c r="Q63" s="230"/>
      <c r="R63" s="490"/>
      <c r="S63" s="228"/>
      <c r="T63"/>
    </row>
    <row r="64" spans="1:20" ht="14.1" customHeight="1" x14ac:dyDescent="0.2">
      <c r="B64" s="372" t="s">
        <v>136</v>
      </c>
      <c r="C64" s="438">
        <f>+C66-C65</f>
        <v>17096</v>
      </c>
      <c r="D64" s="439">
        <f>+D66-D65</f>
        <v>17944</v>
      </c>
      <c r="E64" s="440">
        <f>(C64-D64)/D64</f>
        <v>-4.7258136424431565E-2</v>
      </c>
      <c r="F64" s="438">
        <f t="shared" ref="F64:G64" si="19">+F66-F65</f>
        <v>204570</v>
      </c>
      <c r="G64" s="439">
        <f t="shared" si="19"/>
        <v>210678</v>
      </c>
      <c r="H64" s="445">
        <f>(F64-G64)/G64</f>
        <v>-2.8992111183892007E-2</v>
      </c>
      <c r="I64" s="501">
        <f>F64/$F$66</f>
        <v>0.59894247435236803</v>
      </c>
      <c r="K64" s="372" t="s">
        <v>136</v>
      </c>
      <c r="L64" s="438">
        <f>+L66-L65</f>
        <v>2218152</v>
      </c>
      <c r="M64" s="439">
        <f>+M66-M65</f>
        <v>2262007</v>
      </c>
      <c r="N64" s="440">
        <f>(L64-M64)/M64</f>
        <v>-1.9387649994009746E-2</v>
      </c>
      <c r="O64" s="438">
        <f t="shared" ref="O64" si="20">+O66-O65</f>
        <v>26857722</v>
      </c>
      <c r="P64" s="439">
        <f>+P66-P65</f>
        <v>27015988</v>
      </c>
      <c r="Q64" s="488">
        <f>(O64-P64)/P64</f>
        <v>-5.8582347608386563E-3</v>
      </c>
      <c r="R64" s="494">
        <f>+O64/O66</f>
        <v>0.79038102981139868</v>
      </c>
    </row>
    <row r="65" spans="2:18" ht="14.1" customHeight="1" x14ac:dyDescent="0.2">
      <c r="B65" s="329" t="s">
        <v>137</v>
      </c>
      <c r="C65" s="441">
        <f>C61+C38+C36+C34+C33+C37+C20+C60+C57+C35+C56+C58+C25+C24+C21+C15+C6+C59+C22+C23+C7+C16</f>
        <v>11522</v>
      </c>
      <c r="D65" s="373">
        <f>D61+D38+D36+D34+D33+D37+D20+D60+D57+D35+D56+D58+D25+D24+D21+D15+D6+D59+D22+D23+D7+D16+D5</f>
        <v>11706</v>
      </c>
      <c r="E65" s="374">
        <f>(C65-D65)/D65</f>
        <v>-1.571843499060311E-2</v>
      </c>
      <c r="F65" s="441">
        <f>F61+F38+F36+F34+F33+F37+F20+F60+F57+F35+F56+F58+F25+F24+F21+F15+F6+F59+F22+F23+F7+F16</f>
        <v>136982</v>
      </c>
      <c r="G65" s="373">
        <f>G61+G38+G36+G34+G33+G37+G20+G60+G57+G35+G56+G58+G25+G24+G21+G15+G6+G59+G22+G23+G7+G16</f>
        <v>137545</v>
      </c>
      <c r="H65" s="446">
        <f>(F65-G65)/G65</f>
        <v>-4.0932058599003965E-3</v>
      </c>
      <c r="I65" s="502">
        <f>F65/$F$66</f>
        <v>0.40105752564763197</v>
      </c>
      <c r="K65" s="329" t="s">
        <v>137</v>
      </c>
      <c r="L65" s="441">
        <f>L61+L38+L36+L34+L33+L37+L20+L60+L57+L35+L56+L58+L25+L24+L21+L15+L6+L59+L22+L23+L7+L16</f>
        <v>608350</v>
      </c>
      <c r="M65" s="373">
        <f>M61+M38+M36+M34+M33+M37+M20+M60+M57+M35+M56+M58+M25+M24+M21+M15+M6+M59+M22+M23+M7+M16</f>
        <v>599457</v>
      </c>
      <c r="N65" s="374">
        <f>(L65-M65)/M65</f>
        <v>1.4835092425311574E-2</v>
      </c>
      <c r="O65" s="441">
        <f>O61+O38+O36+O34+O33+O37+O20+O60+O57+O35+O56+O58+O25+O24+O21+O15+O6+O59+O22+O23+O7+O16</f>
        <v>7123005</v>
      </c>
      <c r="P65" s="373">
        <f>P61+P38+P36+P34+P33+P37+P20+P60+P57+P35+P56+P58+P25+P24+P21+P15+P6+P59+P22+P23+P7+P16</f>
        <v>6946325</v>
      </c>
      <c r="Q65" s="486">
        <f>(O65-P65)/P65</f>
        <v>2.543503219328206E-2</v>
      </c>
      <c r="R65" s="495">
        <f>+O65/O66</f>
        <v>0.20961897018860132</v>
      </c>
    </row>
    <row r="66" spans="2:18" ht="14.1" customHeight="1" thickBot="1" x14ac:dyDescent="0.25">
      <c r="B66" s="329" t="s">
        <v>138</v>
      </c>
      <c r="C66" s="442">
        <f>C54+C52+C42+C40+C31+C18+C13+C4+C50+C29+C27+C9+C46+C11+C44+C48</f>
        <v>28618</v>
      </c>
      <c r="D66" s="443">
        <f>D54+D52+D42+D40+D31+D18+D13+D4+D50+D29+D27+D9+D46+D11+D44+D48</f>
        <v>29650</v>
      </c>
      <c r="E66" s="444">
        <f>(C66-D66)/D66</f>
        <v>-3.4806070826306913E-2</v>
      </c>
      <c r="F66" s="442">
        <f>F54+F52+F42+F40+F31+F18+F13+F4+F50+F29+F27+F9+F46+F11+F44+F48</f>
        <v>341552</v>
      </c>
      <c r="G66" s="443">
        <f>G54+G52+G42+G40+G31+G18+G13+G4+G50+G29+G27+G9+G46+G11+G44+G48</f>
        <v>348223</v>
      </c>
      <c r="H66" s="447">
        <f>(F66-G66)/G66</f>
        <v>-1.9157264166927514E-2</v>
      </c>
      <c r="I66" s="503">
        <f>+H66/H66</f>
        <v>1</v>
      </c>
      <c r="K66" s="329" t="s">
        <v>138</v>
      </c>
      <c r="L66" s="442">
        <f>L54+L52+L42+L40+L31+L18+L13+L4+L50+L29+L27+L9+L46+L11+L44+L48</f>
        <v>2826502</v>
      </c>
      <c r="M66" s="443">
        <f>M54+M52+M42+M40+M31+M18+M13+M4+M50+M29+M27+M9+M46+M11+M44+M48</f>
        <v>2861464</v>
      </c>
      <c r="N66" s="444">
        <f>(L66-M66)/M66</f>
        <v>-1.2218221162314117E-2</v>
      </c>
      <c r="O66" s="442">
        <f>O54+O52+O42+O40+O31+O18+O13+O4+O50+O29+O27+O9+O46+O11+O44+O48</f>
        <v>33980727</v>
      </c>
      <c r="P66" s="443">
        <f>P54+P52+P42+P40+P31+P18+P13+P4+P50+P29+P27+P9+P46+P11+P44+P48</f>
        <v>33962313</v>
      </c>
      <c r="Q66" s="489">
        <f>(O66-P66)/P66</f>
        <v>5.421892201511717E-4</v>
      </c>
      <c r="R66" s="496">
        <f>+O66/O66</f>
        <v>1</v>
      </c>
    </row>
    <row r="67" spans="2:18" x14ac:dyDescent="0.2">
      <c r="D67" s="227"/>
      <c r="E67" s="227"/>
      <c r="F67" s="4"/>
      <c r="G67" s="7"/>
      <c r="H67"/>
      <c r="I67"/>
      <c r="J67"/>
      <c r="K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E136" s="37"/>
      <c r="F136" s="231"/>
      <c r="G136" s="5"/>
      <c r="H136" s="37"/>
      <c r="I136" s="37"/>
      <c r="K136" s="11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November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E20" sqref="E20"/>
    </sheetView>
  </sheetViews>
  <sheetFormatPr defaultRowHeight="12.75" x14ac:dyDescent="0.2"/>
  <cols>
    <col min="1" max="1" width="25.28515625" bestFit="1" customWidth="1"/>
    <col min="2" max="2" width="10.14062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78">
        <v>43405</v>
      </c>
      <c r="B1" s="512" t="s">
        <v>17</v>
      </c>
      <c r="C1" s="512" t="s">
        <v>18</v>
      </c>
      <c r="D1" s="512" t="s">
        <v>19</v>
      </c>
      <c r="E1" s="512" t="s">
        <v>161</v>
      </c>
      <c r="F1" s="512" t="s">
        <v>168</v>
      </c>
      <c r="G1" s="512" t="s">
        <v>162</v>
      </c>
      <c r="H1" s="505" t="s">
        <v>229</v>
      </c>
      <c r="I1" s="505" t="s">
        <v>216</v>
      </c>
      <c r="J1" s="512" t="s">
        <v>20</v>
      </c>
      <c r="K1" s="513" t="s">
        <v>21</v>
      </c>
    </row>
    <row r="2" spans="1:20" ht="15" x14ac:dyDescent="0.25">
      <c r="A2" s="64" t="s">
        <v>3</v>
      </c>
      <c r="B2" s="58"/>
      <c r="C2" s="58"/>
      <c r="D2" s="58"/>
      <c r="E2" s="58"/>
      <c r="F2" s="58"/>
      <c r="G2" s="58"/>
      <c r="H2" s="504"/>
      <c r="I2" s="504"/>
      <c r="J2" s="58"/>
      <c r="K2" s="280"/>
    </row>
    <row r="3" spans="1:20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2" t="s">
        <v>30</v>
      </c>
      <c r="B4" s="21">
        <f>[3]American!$FX$22</f>
        <v>63038</v>
      </c>
      <c r="C4" s="21">
        <f>[3]Delta!$FX$22+[3]Delta!$FX$32</f>
        <v>763630</v>
      </c>
      <c r="D4" s="21">
        <f>[3]United!$FX$22</f>
        <v>32632</v>
      </c>
      <c r="E4" s="21">
        <f>[3]Spirit!$FX$22</f>
        <v>42285</v>
      </c>
      <c r="F4" s="21">
        <f>[3]Condor!$FX$22+[3]Condor!$FX$32</f>
        <v>0</v>
      </c>
      <c r="G4" s="21">
        <f>'[3]Air France'!$FX$22+'[3]Air France'!$FX$32</f>
        <v>0</v>
      </c>
      <c r="H4" s="21">
        <f>'[3]Jet Blue'!$FX$22</f>
        <v>8654</v>
      </c>
      <c r="I4" s="21">
        <f>[3]KLM!$FX$22+[3]KLM!$FX$32</f>
        <v>4177</v>
      </c>
      <c r="J4" s="21">
        <f>'Other Major Airline Stats'!J5</f>
        <v>182599</v>
      </c>
      <c r="K4" s="281">
        <f>SUM(B4:J4)</f>
        <v>1097015</v>
      </c>
    </row>
    <row r="5" spans="1:20" x14ac:dyDescent="0.2">
      <c r="A5" s="62" t="s">
        <v>31</v>
      </c>
      <c r="B5" s="14">
        <f>[3]American!$FX$23</f>
        <v>65829</v>
      </c>
      <c r="C5" s="14">
        <f>[3]Delta!$FX$23+[3]Delta!$FX$33</f>
        <v>776155</v>
      </c>
      <c r="D5" s="14">
        <f>[3]United!$FX$23</f>
        <v>33597</v>
      </c>
      <c r="E5" s="14">
        <f>[3]Spirit!$FX$23</f>
        <v>45272</v>
      </c>
      <c r="F5" s="14">
        <f>[3]Condor!$FX$23+[3]Condor!$FX$33</f>
        <v>0</v>
      </c>
      <c r="G5" s="14">
        <f>'[3]Air France'!$FX$23+'[3]Air France'!$FX$33</f>
        <v>0</v>
      </c>
      <c r="H5" s="14">
        <f>'[3]Jet Blue'!$FX$23</f>
        <v>8577</v>
      </c>
      <c r="I5" s="14">
        <f>[3]KLM!$FX$23+[3]KLM!$FX$33</f>
        <v>3429</v>
      </c>
      <c r="J5" s="14">
        <f>'Other Major Airline Stats'!J6</f>
        <v>188278</v>
      </c>
      <c r="K5" s="282">
        <f>SUM(B5:J5)</f>
        <v>1121137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0" t="s">
        <v>7</v>
      </c>
      <c r="B6" s="34">
        <f t="shared" ref="B6:J6" si="0">SUM(B4:B5)</f>
        <v>128867</v>
      </c>
      <c r="C6" s="34">
        <f t="shared" si="0"/>
        <v>1539785</v>
      </c>
      <c r="D6" s="34">
        <f t="shared" si="0"/>
        <v>66229</v>
      </c>
      <c r="E6" s="34">
        <f t="shared" si="0"/>
        <v>87557</v>
      </c>
      <c r="F6" s="34">
        <f t="shared" ref="F6:I6" si="1">SUM(F4:F5)</f>
        <v>0</v>
      </c>
      <c r="G6" s="34">
        <f t="shared" si="1"/>
        <v>0</v>
      </c>
      <c r="H6" s="34">
        <f t="shared" si="1"/>
        <v>17231</v>
      </c>
      <c r="I6" s="34">
        <f t="shared" si="1"/>
        <v>7606</v>
      </c>
      <c r="J6" s="34">
        <f t="shared" si="0"/>
        <v>370877</v>
      </c>
      <c r="K6" s="283">
        <f>SUM(B6:J6)</f>
        <v>2218152</v>
      </c>
    </row>
    <row r="7" spans="1:20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81"/>
    </row>
    <row r="8" spans="1:20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1">
        <f>SUM(B8:J8)</f>
        <v>0</v>
      </c>
    </row>
    <row r="9" spans="1:20" x14ac:dyDescent="0.2">
      <c r="A9" s="62" t="s">
        <v>30</v>
      </c>
      <c r="B9" s="21">
        <f>[3]American!$FX$27</f>
        <v>3046</v>
      </c>
      <c r="C9" s="21">
        <f>[3]Delta!$FX$27+[3]Delta!$FX$37</f>
        <v>27983</v>
      </c>
      <c r="D9" s="21">
        <f>[3]United!$FX$27</f>
        <v>1163</v>
      </c>
      <c r="E9" s="21">
        <f>[3]Spirit!$FX$27</f>
        <v>267</v>
      </c>
      <c r="F9" s="21">
        <f>[3]Condor!$FX$27+[3]Condor!$FX$37</f>
        <v>0</v>
      </c>
      <c r="G9" s="21">
        <f>'[3]Air France'!$FX$27+'[3]Air France'!$FX$37</f>
        <v>0</v>
      </c>
      <c r="H9" s="21">
        <f>'[3]Jet Blue'!$FX$27</f>
        <v>186</v>
      </c>
      <c r="I9" s="21">
        <f>[3]KLM!$FX$27+[3]KLM!$FX$37</f>
        <v>13</v>
      </c>
      <c r="J9" s="21">
        <f>'Other Major Airline Stats'!J10</f>
        <v>3330</v>
      </c>
      <c r="K9" s="281">
        <f>SUM(B9:J9)</f>
        <v>35988</v>
      </c>
    </row>
    <row r="10" spans="1:20" x14ac:dyDescent="0.2">
      <c r="A10" s="62" t="s">
        <v>33</v>
      </c>
      <c r="B10" s="14">
        <f>[3]American!$FX$28</f>
        <v>3279</v>
      </c>
      <c r="C10" s="14">
        <f>[3]Delta!$FX$28+[3]Delta!$FX$38</f>
        <v>28017</v>
      </c>
      <c r="D10" s="14">
        <f>[3]United!$FX$28</f>
        <v>1145</v>
      </c>
      <c r="E10" s="14">
        <f>[3]Spirit!$FX$28</f>
        <v>290</v>
      </c>
      <c r="F10" s="14">
        <f>[3]Condor!$FX$28+[3]Condor!$FX$38</f>
        <v>0</v>
      </c>
      <c r="G10" s="14">
        <f>'[3]Air France'!$FX$28+'[3]Air France'!$FX$38</f>
        <v>0</v>
      </c>
      <c r="H10" s="14">
        <f>'[3]Jet Blue'!$FX$28</f>
        <v>231</v>
      </c>
      <c r="I10" s="14">
        <f>[3]KLM!$FX$28+[3]KLM!$FX$38</f>
        <v>15</v>
      </c>
      <c r="J10" s="14">
        <f>'Other Major Airline Stats'!J11</f>
        <v>3632</v>
      </c>
      <c r="K10" s="282">
        <f>SUM(B10:J10)</f>
        <v>36609</v>
      </c>
    </row>
    <row r="11" spans="1:20" ht="15.75" thickBot="1" x14ac:dyDescent="0.3">
      <c r="A11" s="63" t="s">
        <v>34</v>
      </c>
      <c r="B11" s="284">
        <f t="shared" ref="B11:J11" si="2">SUM(B9:B10)</f>
        <v>6325</v>
      </c>
      <c r="C11" s="284">
        <f t="shared" si="2"/>
        <v>56000</v>
      </c>
      <c r="D11" s="284">
        <f t="shared" si="2"/>
        <v>2308</v>
      </c>
      <c r="E11" s="284">
        <f t="shared" si="2"/>
        <v>557</v>
      </c>
      <c r="F11" s="284">
        <f t="shared" ref="F11:I11" si="3">SUM(F9:F10)</f>
        <v>0</v>
      </c>
      <c r="G11" s="284">
        <f t="shared" si="3"/>
        <v>0</v>
      </c>
      <c r="H11" s="284">
        <f t="shared" si="3"/>
        <v>417</v>
      </c>
      <c r="I11" s="284">
        <f t="shared" si="3"/>
        <v>28</v>
      </c>
      <c r="J11" s="284">
        <f t="shared" si="2"/>
        <v>6962</v>
      </c>
      <c r="K11" s="285">
        <f>SUM(B11:J11)</f>
        <v>72597</v>
      </c>
    </row>
    <row r="13" spans="1:20" ht="13.5" thickBot="1" x14ac:dyDescent="0.25"/>
    <row r="14" spans="1:20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2" t="s">
        <v>22</v>
      </c>
      <c r="B15" s="21">
        <f>[3]American!$FX$4</f>
        <v>530</v>
      </c>
      <c r="C15" s="21">
        <f>[3]Delta!$FX$4+[3]Delta!$FX$15</f>
        <v>5691</v>
      </c>
      <c r="D15" s="21">
        <f>[3]United!$FX$4</f>
        <v>225</v>
      </c>
      <c r="E15" s="21">
        <f>[3]Spirit!$FX$4</f>
        <v>333</v>
      </c>
      <c r="F15" s="21">
        <f>[3]Condor!$FX$4+[3]Condor!$FX$15</f>
        <v>0</v>
      </c>
      <c r="G15" s="21">
        <f>'[3]Air France'!$FX$4+'[3]Air France'!$FX$15</f>
        <v>0</v>
      </c>
      <c r="H15" s="21">
        <f>'[3]Jet Blue'!$FX$4</f>
        <v>85</v>
      </c>
      <c r="I15" s="21">
        <f>[3]KLM!$FX$4+[3]KLM!$FX$15</f>
        <v>17</v>
      </c>
      <c r="J15" s="21">
        <f>'Other Major Airline Stats'!J16</f>
        <v>1571</v>
      </c>
      <c r="K15" s="27">
        <f>SUM(B15:J15)</f>
        <v>8452</v>
      </c>
    </row>
    <row r="16" spans="1:20" x14ac:dyDescent="0.2">
      <c r="A16" s="62" t="s">
        <v>23</v>
      </c>
      <c r="B16" s="14">
        <f>[3]American!$FX$5</f>
        <v>532</v>
      </c>
      <c r="C16" s="14">
        <f>[3]Delta!$FX$5+[3]Delta!$FX$16</f>
        <v>5733</v>
      </c>
      <c r="D16" s="14">
        <f>[3]United!$FX$5</f>
        <v>225</v>
      </c>
      <c r="E16" s="14">
        <f>[3]Spirit!$FX$5</f>
        <v>333</v>
      </c>
      <c r="F16" s="14">
        <f>[3]Condor!$FX$5+[3]Condor!$FX$16</f>
        <v>0</v>
      </c>
      <c r="G16" s="14">
        <f>'[3]Air France'!$FX$5+'[3]Air France'!$FX$16</f>
        <v>0</v>
      </c>
      <c r="H16" s="14">
        <f>'[3]Jet Blue'!$FX$5</f>
        <v>85</v>
      </c>
      <c r="I16" s="14">
        <f>[3]KLM!$FX$5+[3]KLM!$FX$16</f>
        <v>17</v>
      </c>
      <c r="J16" s="14">
        <f>'Other Major Airline Stats'!J17</f>
        <v>1579</v>
      </c>
      <c r="K16" s="33">
        <f>SUM(B16:J16)</f>
        <v>8504</v>
      </c>
      <c r="M16" s="309"/>
    </row>
    <row r="17" spans="1:11" x14ac:dyDescent="0.2">
      <c r="A17" s="62" t="s">
        <v>24</v>
      </c>
      <c r="B17" s="288">
        <f t="shared" ref="B17:J17" si="4">SUM(B15:B16)</f>
        <v>1062</v>
      </c>
      <c r="C17" s="286">
        <f t="shared" si="4"/>
        <v>11424</v>
      </c>
      <c r="D17" s="286">
        <f t="shared" si="4"/>
        <v>450</v>
      </c>
      <c r="E17" s="286">
        <f t="shared" si="4"/>
        <v>666</v>
      </c>
      <c r="F17" s="286">
        <f t="shared" ref="F17:I17" si="5">SUM(F15:F16)</f>
        <v>0</v>
      </c>
      <c r="G17" s="286">
        <f t="shared" si="5"/>
        <v>0</v>
      </c>
      <c r="H17" s="286">
        <f t="shared" si="5"/>
        <v>170</v>
      </c>
      <c r="I17" s="286">
        <f t="shared" si="5"/>
        <v>34</v>
      </c>
      <c r="J17" s="286">
        <f t="shared" si="4"/>
        <v>3150</v>
      </c>
      <c r="K17" s="287">
        <f>SUM(B17:J17)</f>
        <v>16956</v>
      </c>
    </row>
    <row r="18" spans="1:11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2" t="s">
        <v>25</v>
      </c>
      <c r="B19" s="21">
        <f>[3]American!$FX$8</f>
        <v>0</v>
      </c>
      <c r="C19" s="21">
        <f>[3]Delta!$FX$8</f>
        <v>5</v>
      </c>
      <c r="D19" s="21">
        <f>[3]United!$FX$8</f>
        <v>0</v>
      </c>
      <c r="E19" s="21">
        <f>[3]Spirit!$FX$8</f>
        <v>0</v>
      </c>
      <c r="F19" s="21">
        <f>[3]Condor!$FX$8</f>
        <v>0</v>
      </c>
      <c r="G19" s="21">
        <f>'[3]Air France'!$FX$8</f>
        <v>0</v>
      </c>
      <c r="H19" s="21">
        <f>'[3]Jet Blue'!$FX$8</f>
        <v>0</v>
      </c>
      <c r="I19" s="21">
        <f>[3]KLM!$FX$8</f>
        <v>0</v>
      </c>
      <c r="J19" s="21">
        <f>'Other Major Airline Stats'!J20</f>
        <v>64</v>
      </c>
      <c r="K19" s="27">
        <f>SUM(B19:J19)</f>
        <v>69</v>
      </c>
    </row>
    <row r="20" spans="1:11" x14ac:dyDescent="0.2">
      <c r="A20" s="62" t="s">
        <v>26</v>
      </c>
      <c r="B20" s="14">
        <f>[3]American!$FX$9</f>
        <v>0</v>
      </c>
      <c r="C20" s="14">
        <f>[3]Delta!$FX$9</f>
        <v>8</v>
      </c>
      <c r="D20" s="14">
        <f>[3]United!$FX$9</f>
        <v>0</v>
      </c>
      <c r="E20" s="14">
        <f>[3]Spirit!$FX$9</f>
        <v>0</v>
      </c>
      <c r="F20" s="14">
        <f>[3]Condor!$FX$9</f>
        <v>0</v>
      </c>
      <c r="G20" s="14">
        <f>'[3]Air France'!$FX$9</f>
        <v>0</v>
      </c>
      <c r="H20" s="14">
        <f>'[3]Jet Blue'!$FX$9</f>
        <v>0</v>
      </c>
      <c r="I20" s="14">
        <f>[3]KLM!$FX$9</f>
        <v>0</v>
      </c>
      <c r="J20" s="14">
        <f>'Other Major Airline Stats'!J21</f>
        <v>63</v>
      </c>
      <c r="K20" s="33">
        <f>SUM(B20:J20)</f>
        <v>71</v>
      </c>
    </row>
    <row r="21" spans="1:11" x14ac:dyDescent="0.2">
      <c r="A21" s="62" t="s">
        <v>27</v>
      </c>
      <c r="B21" s="288">
        <f t="shared" ref="B21:J21" si="6">SUM(B19:B20)</f>
        <v>0</v>
      </c>
      <c r="C21" s="286">
        <f t="shared" si="6"/>
        <v>13</v>
      </c>
      <c r="D21" s="286">
        <f t="shared" si="6"/>
        <v>0</v>
      </c>
      <c r="E21" s="286">
        <f t="shared" si="6"/>
        <v>0</v>
      </c>
      <c r="F21" s="286">
        <f t="shared" ref="F21:I21" si="7">SUM(F19:F20)</f>
        <v>0</v>
      </c>
      <c r="G21" s="286">
        <f t="shared" si="7"/>
        <v>0</v>
      </c>
      <c r="H21" s="286">
        <f t="shared" si="7"/>
        <v>0</v>
      </c>
      <c r="I21" s="286">
        <f t="shared" si="7"/>
        <v>0</v>
      </c>
      <c r="J21" s="286">
        <f t="shared" si="6"/>
        <v>127</v>
      </c>
      <c r="K21" s="176">
        <f>SUM(B21:J21)</f>
        <v>140</v>
      </c>
    </row>
    <row r="22" spans="1:11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3" t="s">
        <v>28</v>
      </c>
      <c r="B23" s="28">
        <f t="shared" ref="B23:J23" si="8">B17+B21</f>
        <v>1062</v>
      </c>
      <c r="C23" s="28">
        <f t="shared" si="8"/>
        <v>11437</v>
      </c>
      <c r="D23" s="28">
        <f t="shared" si="8"/>
        <v>450</v>
      </c>
      <c r="E23" s="28">
        <f>E17+E21</f>
        <v>666</v>
      </c>
      <c r="F23" s="28">
        <f t="shared" ref="F23:I23" si="9">F17+F21</f>
        <v>0</v>
      </c>
      <c r="G23" s="28">
        <f t="shared" si="9"/>
        <v>0</v>
      </c>
      <c r="H23" s="28">
        <f t="shared" si="9"/>
        <v>170</v>
      </c>
      <c r="I23" s="28">
        <f t="shared" si="9"/>
        <v>34</v>
      </c>
      <c r="J23" s="28">
        <f t="shared" si="8"/>
        <v>3277</v>
      </c>
      <c r="K23" s="29">
        <f>SUM(B23:J23)</f>
        <v>17096</v>
      </c>
    </row>
    <row r="25" spans="1:11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413"/>
    </row>
    <row r="26" spans="1:11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2" t="s">
        <v>37</v>
      </c>
      <c r="B28" s="21">
        <f>[3]American!$FX$47</f>
        <v>39676</v>
      </c>
      <c r="C28" s="21">
        <f>[3]Delta!$FX$47</f>
        <v>3723615</v>
      </c>
      <c r="D28" s="21">
        <f>[3]United!$FX$47</f>
        <v>6837</v>
      </c>
      <c r="E28" s="21">
        <f>[3]Spirit!$FX$47</f>
        <v>0</v>
      </c>
      <c r="F28" s="21">
        <f>[3]Condor!$FX$47</f>
        <v>0</v>
      </c>
      <c r="G28" s="21">
        <f>'[3]Air France'!$FX$47</f>
        <v>0</v>
      </c>
      <c r="H28" s="21">
        <f>'[3]Jet Blue'!$FX$47</f>
        <v>0</v>
      </c>
      <c r="I28" s="21">
        <f>[3]KLM!$FX$47</f>
        <v>518038</v>
      </c>
      <c r="J28" s="21">
        <f>'Other Major Airline Stats'!J28</f>
        <v>428819</v>
      </c>
      <c r="K28" s="27">
        <f>SUM(B28:J28)</f>
        <v>4716985</v>
      </c>
    </row>
    <row r="29" spans="1:11" x14ac:dyDescent="0.2">
      <c r="A29" s="62" t="s">
        <v>38</v>
      </c>
      <c r="B29" s="14">
        <f>[3]American!$FX$48</f>
        <v>19393</v>
      </c>
      <c r="C29" s="14">
        <f>[3]Delta!$FX$48</f>
        <v>1801266</v>
      </c>
      <c r="D29" s="14">
        <f>[3]United!$FX$48</f>
        <v>22303</v>
      </c>
      <c r="E29" s="14">
        <f>[3]Spirit!$FX$48</f>
        <v>0</v>
      </c>
      <c r="F29" s="14">
        <f>[3]Condor!$FX$48</f>
        <v>0</v>
      </c>
      <c r="G29" s="14">
        <f>'[3]Air France'!$FX$48</f>
        <v>0</v>
      </c>
      <c r="H29" s="14">
        <f>'[3]Jet Blue'!$FX$48</f>
        <v>0</v>
      </c>
      <c r="I29" s="14">
        <f>[3]KLM!$FX$48</f>
        <v>0</v>
      </c>
      <c r="J29" s="14">
        <f>'Other Major Airline Stats'!J29</f>
        <v>212807</v>
      </c>
      <c r="K29" s="33">
        <f>SUM(B29:J29)</f>
        <v>2055769</v>
      </c>
    </row>
    <row r="30" spans="1:11" x14ac:dyDescent="0.2">
      <c r="A30" s="66" t="s">
        <v>39</v>
      </c>
      <c r="B30" s="288">
        <f t="shared" ref="B30:J30" si="10">SUM(B28:B29)</f>
        <v>59069</v>
      </c>
      <c r="C30" s="288">
        <f t="shared" si="10"/>
        <v>5524881</v>
      </c>
      <c r="D30" s="288">
        <f t="shared" si="10"/>
        <v>29140</v>
      </c>
      <c r="E30" s="288">
        <f t="shared" si="10"/>
        <v>0</v>
      </c>
      <c r="F30" s="288">
        <f t="shared" ref="F30:I30" si="11">SUM(F28:F29)</f>
        <v>0</v>
      </c>
      <c r="G30" s="288">
        <f t="shared" si="11"/>
        <v>0</v>
      </c>
      <c r="H30" s="288">
        <f t="shared" si="11"/>
        <v>0</v>
      </c>
      <c r="I30" s="288">
        <f t="shared" si="11"/>
        <v>518038</v>
      </c>
      <c r="J30" s="288">
        <f t="shared" si="10"/>
        <v>641626</v>
      </c>
      <c r="K30" s="27">
        <f>SUM(B30:J30)</f>
        <v>6772754</v>
      </c>
    </row>
    <row r="31" spans="1:11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2">SUM(B32:J32)</f>
        <v>0</v>
      </c>
    </row>
    <row r="33" spans="1:11" x14ac:dyDescent="0.2">
      <c r="A33" s="62" t="s">
        <v>37</v>
      </c>
      <c r="B33" s="21">
        <f>[3]American!$FX$52</f>
        <v>10283</v>
      </c>
      <c r="C33" s="21">
        <f>[3]Delta!$FX$52</f>
        <v>2117577</v>
      </c>
      <c r="D33" s="21">
        <f>[3]United!$FX$52</f>
        <v>41873</v>
      </c>
      <c r="E33" s="21">
        <f>[3]Spirit!$FX$52</f>
        <v>0</v>
      </c>
      <c r="F33" s="21">
        <f>[3]Condor!$FX$52</f>
        <v>0</v>
      </c>
      <c r="G33" s="21">
        <f>'[3]Air France'!$FX$52</f>
        <v>0</v>
      </c>
      <c r="H33" s="21">
        <f>'[3]Jet Blue'!$FX$52</f>
        <v>0</v>
      </c>
      <c r="I33" s="21">
        <f>[3]KLM!$FX$52</f>
        <v>73249</v>
      </c>
      <c r="J33" s="21">
        <f>'Other Major Airline Stats'!J33</f>
        <v>174779</v>
      </c>
      <c r="K33" s="27">
        <f t="shared" si="12"/>
        <v>2417761</v>
      </c>
    </row>
    <row r="34" spans="1:11" x14ac:dyDescent="0.2">
      <c r="A34" s="62" t="s">
        <v>38</v>
      </c>
      <c r="B34" s="14">
        <f>[3]American!$FX$53</f>
        <v>53407</v>
      </c>
      <c r="C34" s="14">
        <f>[3]Delta!$FX$53</f>
        <v>2127244</v>
      </c>
      <c r="D34" s="14">
        <f>[3]United!$FX$53</f>
        <v>24845</v>
      </c>
      <c r="E34" s="14">
        <f>[3]Spirit!$FX$53</f>
        <v>0</v>
      </c>
      <c r="F34" s="14">
        <f>[3]Condor!$FX$53</f>
        <v>0</v>
      </c>
      <c r="G34" s="14">
        <f>'[3]Air France'!$FX$53</f>
        <v>0</v>
      </c>
      <c r="H34" s="14">
        <f>'[3]Jet Blue'!$FX$53</f>
        <v>0</v>
      </c>
      <c r="I34" s="14">
        <f>[3]KLM!$FX$53</f>
        <v>0</v>
      </c>
      <c r="J34" s="14">
        <f>'Other Major Airline Stats'!J34</f>
        <v>398029</v>
      </c>
      <c r="K34" s="33">
        <f t="shared" si="12"/>
        <v>2603525</v>
      </c>
    </row>
    <row r="35" spans="1:11" x14ac:dyDescent="0.2">
      <c r="A35" s="66" t="s">
        <v>41</v>
      </c>
      <c r="B35" s="288">
        <f t="shared" ref="B35:J35" si="13">SUM(B33:B34)</f>
        <v>63690</v>
      </c>
      <c r="C35" s="288">
        <f t="shared" si="13"/>
        <v>4244821</v>
      </c>
      <c r="D35" s="288">
        <f t="shared" si="13"/>
        <v>66718</v>
      </c>
      <c r="E35" s="288">
        <f t="shared" si="13"/>
        <v>0</v>
      </c>
      <c r="F35" s="288">
        <f t="shared" ref="F35:I35" si="14">SUM(F33:F34)</f>
        <v>0</v>
      </c>
      <c r="G35" s="288">
        <f t="shared" si="14"/>
        <v>0</v>
      </c>
      <c r="H35" s="288">
        <f t="shared" si="14"/>
        <v>0</v>
      </c>
      <c r="I35" s="288">
        <f t="shared" si="14"/>
        <v>73249</v>
      </c>
      <c r="J35" s="288">
        <f t="shared" si="13"/>
        <v>572808</v>
      </c>
      <c r="K35" s="27">
        <f t="shared" si="12"/>
        <v>5021286</v>
      </c>
    </row>
    <row r="36" spans="1:11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2"/>
        <v>0</v>
      </c>
    </row>
    <row r="37" spans="1:11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2"/>
        <v>0</v>
      </c>
    </row>
    <row r="38" spans="1:11" hidden="1" x14ac:dyDescent="0.2">
      <c r="A38" s="62" t="s">
        <v>37</v>
      </c>
      <c r="B38" s="21">
        <f>[3]American!$FX$57</f>
        <v>0</v>
      </c>
      <c r="C38" s="21">
        <f>[3]Delta!$FX$57</f>
        <v>0</v>
      </c>
      <c r="D38" s="21">
        <f>[3]United!$FX$57</f>
        <v>0</v>
      </c>
      <c r="E38" s="21">
        <f>[3]Spirit!$FX$57</f>
        <v>0</v>
      </c>
      <c r="F38" s="21">
        <f>[3]Condor!$FX$57</f>
        <v>0</v>
      </c>
      <c r="G38" s="21">
        <f>'[3]Air France'!$FX$57</f>
        <v>0</v>
      </c>
      <c r="H38" s="21">
        <f>'[3]Jet Blue'!$FX$57</f>
        <v>0</v>
      </c>
      <c r="I38" s="21">
        <f>[3]KLM!$FX$57</f>
        <v>0</v>
      </c>
      <c r="J38" s="21">
        <f>'Other Major Airline Stats'!J38</f>
        <v>0</v>
      </c>
      <c r="K38" s="27">
        <f t="shared" si="12"/>
        <v>0</v>
      </c>
    </row>
    <row r="39" spans="1:11" hidden="1" x14ac:dyDescent="0.2">
      <c r="A39" s="62" t="s">
        <v>38</v>
      </c>
      <c r="B39" s="14">
        <f>[3]American!$FX$58</f>
        <v>0</v>
      </c>
      <c r="C39" s="14">
        <f>[3]Delta!$FX$58</f>
        <v>0</v>
      </c>
      <c r="D39" s="14">
        <f>[3]United!$FX$58</f>
        <v>0</v>
      </c>
      <c r="E39" s="14">
        <f>[3]Spirit!$FX$58</f>
        <v>0</v>
      </c>
      <c r="F39" s="14">
        <f>[3]Condor!$FX$58</f>
        <v>0</v>
      </c>
      <c r="G39" s="14">
        <f>'[3]Air France'!$FX$58</f>
        <v>0</v>
      </c>
      <c r="H39" s="14">
        <f>'[3]Jet Blue'!$FX$58</f>
        <v>0</v>
      </c>
      <c r="I39" s="14">
        <f>[3]KLM!$FX$58</f>
        <v>0</v>
      </c>
      <c r="J39" s="14">
        <f>'Other Major Airline Stats'!J39</f>
        <v>0</v>
      </c>
      <c r="K39" s="33">
        <f t="shared" si="12"/>
        <v>0</v>
      </c>
    </row>
    <row r="40" spans="1:11" hidden="1" x14ac:dyDescent="0.2">
      <c r="A40" s="66" t="s">
        <v>43</v>
      </c>
      <c r="B40" s="288">
        <f t="shared" ref="B40:J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I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6"/>
        <v>0</v>
      </c>
      <c r="J40" s="288">
        <f t="shared" si="15"/>
        <v>0</v>
      </c>
      <c r="K40" s="27">
        <f t="shared" si="12"/>
        <v>0</v>
      </c>
    </row>
    <row r="41" spans="1:11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2" t="s">
        <v>45</v>
      </c>
      <c r="B43" s="21">
        <f t="shared" ref="B43:J44" si="17">B28+B33+B38</f>
        <v>49959</v>
      </c>
      <c r="C43" s="21">
        <f t="shared" si="17"/>
        <v>5841192</v>
      </c>
      <c r="D43" s="21">
        <f t="shared" si="17"/>
        <v>48710</v>
      </c>
      <c r="E43" s="21">
        <f>E28+E33+E38</f>
        <v>0</v>
      </c>
      <c r="F43" s="21">
        <f t="shared" ref="F43:I43" si="18">F28+F33+F38</f>
        <v>0</v>
      </c>
      <c r="G43" s="21">
        <f t="shared" si="18"/>
        <v>0</v>
      </c>
      <c r="H43" s="21">
        <f t="shared" si="18"/>
        <v>0</v>
      </c>
      <c r="I43" s="21">
        <f t="shared" si="18"/>
        <v>591287</v>
      </c>
      <c r="J43" s="21">
        <f t="shared" si="17"/>
        <v>603598</v>
      </c>
      <c r="K43" s="27">
        <f>SUM(B43:J43)</f>
        <v>7134746</v>
      </c>
    </row>
    <row r="44" spans="1:11" x14ac:dyDescent="0.2">
      <c r="A44" s="62" t="s">
        <v>38</v>
      </c>
      <c r="B44" s="14">
        <f t="shared" si="17"/>
        <v>72800</v>
      </c>
      <c r="C44" s="14">
        <f t="shared" si="17"/>
        <v>3928510</v>
      </c>
      <c r="D44" s="14">
        <f t="shared" si="17"/>
        <v>47148</v>
      </c>
      <c r="E44" s="14">
        <f>E29+E34+E39</f>
        <v>0</v>
      </c>
      <c r="F44" s="14">
        <f t="shared" ref="F44:I44" si="19">F29+F34+F39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7"/>
        <v>610836</v>
      </c>
      <c r="K44" s="27">
        <f>SUM(B44:J44)</f>
        <v>4659294</v>
      </c>
    </row>
    <row r="45" spans="1:11" ht="15.75" thickBot="1" x14ac:dyDescent="0.3">
      <c r="A45" s="63" t="s">
        <v>46</v>
      </c>
      <c r="B45" s="289">
        <f t="shared" ref="B45:J45" si="20">SUM(B43:B44)</f>
        <v>122759</v>
      </c>
      <c r="C45" s="289">
        <f t="shared" si="20"/>
        <v>9769702</v>
      </c>
      <c r="D45" s="289">
        <f t="shared" si="20"/>
        <v>95858</v>
      </c>
      <c r="E45" s="289">
        <f t="shared" si="20"/>
        <v>0</v>
      </c>
      <c r="F45" s="289">
        <f t="shared" ref="F45:I45" si="21">SUM(F43:F44)</f>
        <v>0</v>
      </c>
      <c r="G45" s="289">
        <f t="shared" si="21"/>
        <v>0</v>
      </c>
      <c r="H45" s="289">
        <f t="shared" si="21"/>
        <v>0</v>
      </c>
      <c r="I45" s="289">
        <f t="shared" si="21"/>
        <v>591287</v>
      </c>
      <c r="J45" s="289">
        <f t="shared" si="20"/>
        <v>1214434</v>
      </c>
      <c r="K45" s="290">
        <f>SUM(B45:J45)</f>
        <v>11794040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5" t="s">
        <v>124</v>
      </c>
      <c r="C47" s="319">
        <f>[3]Delta!$FX$70+[3]Delta!$FX$73</f>
        <v>410586</v>
      </c>
      <c r="D47" s="306"/>
      <c r="E47" s="306"/>
      <c r="F47" s="306"/>
      <c r="G47" s="306"/>
      <c r="H47" s="306"/>
      <c r="I47" s="306"/>
      <c r="J47" s="306"/>
      <c r="K47" s="307">
        <f>SUM(B47:J47)</f>
        <v>410586</v>
      </c>
    </row>
    <row r="48" spans="1:11" hidden="1" x14ac:dyDescent="0.2">
      <c r="A48" s="376" t="s">
        <v>125</v>
      </c>
      <c r="C48" s="319">
        <f>[3]Delta!$FX$71+[3]Delta!$FX$74</f>
        <v>365569</v>
      </c>
      <c r="D48" s="306"/>
      <c r="E48" s="306"/>
      <c r="F48" s="306"/>
      <c r="G48" s="306"/>
      <c r="H48" s="306"/>
      <c r="I48" s="306"/>
      <c r="J48" s="306"/>
      <c r="K48" s="307">
        <f>SUM(B48:J48)</f>
        <v>365569</v>
      </c>
    </row>
    <row r="49" spans="1:11" hidden="1" x14ac:dyDescent="0.2">
      <c r="A49" s="377" t="s">
        <v>126</v>
      </c>
      <c r="C49" s="320">
        <f>SUM(C47:C48)</f>
        <v>776155</v>
      </c>
      <c r="K49" s="307">
        <f>SUM(B49:J49)</f>
        <v>776155</v>
      </c>
    </row>
    <row r="50" spans="1:11" x14ac:dyDescent="0.2">
      <c r="A50" s="375" t="s">
        <v>124</v>
      </c>
      <c r="B50" s="387"/>
      <c r="C50" s="322">
        <f>[3]Delta!$FX$70+[3]Delta!$FX$73</f>
        <v>410586</v>
      </c>
      <c r="D50" s="387"/>
      <c r="E50" s="322">
        <f>[3]Spirit!$FX$70+[3]Spirit!$FX$73</f>
        <v>0</v>
      </c>
      <c r="F50" s="387"/>
      <c r="G50" s="387"/>
      <c r="H50" s="387"/>
      <c r="I50" s="387"/>
      <c r="J50" s="321">
        <f>'Other Major Airline Stats'!J48</f>
        <v>156143</v>
      </c>
      <c r="K50" s="310">
        <f>SUM(B50:J50)</f>
        <v>566729</v>
      </c>
    </row>
    <row r="51" spans="1:11" x14ac:dyDescent="0.2">
      <c r="A51" s="389" t="s">
        <v>125</v>
      </c>
      <c r="B51" s="387"/>
      <c r="C51" s="322">
        <f>[3]Delta!$FX$71+[3]Delta!$FX$74</f>
        <v>365569</v>
      </c>
      <c r="D51" s="387"/>
      <c r="E51" s="322">
        <f>[3]Spirit!$FX$71+[3]Spirit!$FX$74</f>
        <v>0</v>
      </c>
      <c r="F51" s="387"/>
      <c r="G51" s="387"/>
      <c r="H51" s="387"/>
      <c r="I51" s="387"/>
      <c r="J51" s="321">
        <f>+'Other Major Airline Stats'!J49</f>
        <v>1991</v>
      </c>
      <c r="K51" s="310">
        <f>SUM(B51:J51)</f>
        <v>367560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L22" sqref="L2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8">
        <v>43405</v>
      </c>
      <c r="B2" s="436" t="s">
        <v>47</v>
      </c>
      <c r="C2" s="436" t="s">
        <v>159</v>
      </c>
      <c r="D2" s="435" t="s">
        <v>196</v>
      </c>
      <c r="E2" s="435" t="s">
        <v>197</v>
      </c>
      <c r="F2" s="436" t="s">
        <v>48</v>
      </c>
      <c r="G2" s="435" t="s">
        <v>132</v>
      </c>
      <c r="H2" s="435" t="s">
        <v>49</v>
      </c>
      <c r="I2" s="435" t="s">
        <v>131</v>
      </c>
      <c r="J2" s="514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[3]Frontier!$FX$22</f>
        <v>18275</v>
      </c>
      <c r="C5" s="146">
        <f>'[3]Great Lakes'!$FX$22</f>
        <v>0</v>
      </c>
      <c r="D5" s="118">
        <f>'[3]Air Choice One'!$FX$22</f>
        <v>426</v>
      </c>
      <c r="E5" s="118">
        <f>'[3]Boutique Air'!$FX$22</f>
        <v>306</v>
      </c>
      <c r="F5" s="146">
        <f>[3]Icelandair!$FX$32</f>
        <v>2238</v>
      </c>
      <c r="G5" s="118">
        <f>[3]Southwest!$FX$22</f>
        <v>73914</v>
      </c>
      <c r="H5" s="118">
        <f>'[3]Sun Country'!$FX$22+'[3]Sun Country'!$FX$32</f>
        <v>78414</v>
      </c>
      <c r="I5" s="118">
        <f>[3]Alaska!$FX$22</f>
        <v>9026</v>
      </c>
      <c r="J5" s="147">
        <f>SUM(B5:I5)</f>
        <v>182599</v>
      </c>
      <c r="M5" s="130"/>
    </row>
    <row r="6" spans="1:13" x14ac:dyDescent="0.2">
      <c r="A6" s="62" t="s">
        <v>31</v>
      </c>
      <c r="B6" s="146">
        <f>[3]Frontier!$FX$23</f>
        <v>18204</v>
      </c>
      <c r="C6" s="146">
        <f>'[3]Great Lakes'!$FX$23</f>
        <v>0</v>
      </c>
      <c r="D6" s="118">
        <f>'[3]Air Choice One'!$FX$23</f>
        <v>424</v>
      </c>
      <c r="E6" s="118">
        <f>'[3]Boutique Air'!$FX$23</f>
        <v>297</v>
      </c>
      <c r="F6" s="146">
        <f>[3]Icelandair!$FX$33</f>
        <v>2363</v>
      </c>
      <c r="G6" s="118">
        <f>[3]Southwest!$FX$23</f>
        <v>76342</v>
      </c>
      <c r="H6" s="118">
        <f>'[3]Sun Country'!$FX$23+'[3]Sun Country'!$FX$33</f>
        <v>81792</v>
      </c>
      <c r="I6" s="118">
        <f>[3]Alaska!$FX$23</f>
        <v>8856</v>
      </c>
      <c r="J6" s="147">
        <f>SUM(B6:I6)</f>
        <v>188278</v>
      </c>
    </row>
    <row r="7" spans="1:13" ht="15" x14ac:dyDescent="0.25">
      <c r="A7" s="60" t="s">
        <v>7</v>
      </c>
      <c r="B7" s="155">
        <f t="shared" ref="B7:I7" si="0">SUM(B5:B6)</f>
        <v>36479</v>
      </c>
      <c r="C7" s="155">
        <f t="shared" si="0"/>
        <v>0</v>
      </c>
      <c r="D7" s="155">
        <f t="shared" ref="D7:E7" si="1">SUM(D5:D6)</f>
        <v>850</v>
      </c>
      <c r="E7" s="155">
        <f t="shared" si="1"/>
        <v>603</v>
      </c>
      <c r="F7" s="155">
        <f t="shared" si="0"/>
        <v>4601</v>
      </c>
      <c r="G7" s="155">
        <f t="shared" si="0"/>
        <v>150256</v>
      </c>
      <c r="H7" s="155">
        <f>SUM(H5:H6)</f>
        <v>160206</v>
      </c>
      <c r="I7" s="155">
        <f t="shared" si="0"/>
        <v>17882</v>
      </c>
      <c r="J7" s="156">
        <f>SUM(B7:I7)</f>
        <v>370877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[3]Frontier!$FX$27</f>
        <v>148</v>
      </c>
      <c r="C10" s="154">
        <f>'[3]Great Lakes'!$FX$27</f>
        <v>0</v>
      </c>
      <c r="D10" s="154">
        <f>'[3]Air Choice One'!$FX$27</f>
        <v>0</v>
      </c>
      <c r="E10" s="154">
        <f>'[3]Boutique Air'!$FX$27</f>
        <v>0</v>
      </c>
      <c r="F10" s="154">
        <f>[3]Icelandair!$FX$37</f>
        <v>83</v>
      </c>
      <c r="G10" s="154">
        <f>[3]Southwest!$FX$27</f>
        <v>1568</v>
      </c>
      <c r="H10" s="154">
        <f>'[3]Sun Country'!$FX$27+'[3]Sun Country'!$FX$37</f>
        <v>1243</v>
      </c>
      <c r="I10" s="154">
        <f>[3]Alaska!$FX$27</f>
        <v>288</v>
      </c>
      <c r="J10" s="147">
        <f>SUM(B10:I10)</f>
        <v>3330</v>
      </c>
    </row>
    <row r="11" spans="1:13" x14ac:dyDescent="0.2">
      <c r="A11" s="62" t="s">
        <v>33</v>
      </c>
      <c r="B11" s="157">
        <f>[3]Frontier!$FX$28</f>
        <v>145</v>
      </c>
      <c r="C11" s="157">
        <f>'[3]Great Lakes'!$FX$28</f>
        <v>0</v>
      </c>
      <c r="D11" s="157">
        <f>'[3]Air Choice One'!$FX$28</f>
        <v>0</v>
      </c>
      <c r="E11" s="157">
        <f>'[3]Boutique Air'!$FX$28</f>
        <v>0</v>
      </c>
      <c r="F11" s="157">
        <f>[3]Icelandair!$FX$38</f>
        <v>80</v>
      </c>
      <c r="G11" s="157">
        <f>[3]Southwest!$FX$28</f>
        <v>1801</v>
      </c>
      <c r="H11" s="157">
        <f>'[3]Sun Country'!$FX$28+'[3]Sun Country'!$FX$38</f>
        <v>1227</v>
      </c>
      <c r="I11" s="157">
        <f>[3]Alaska!$FX$28</f>
        <v>379</v>
      </c>
      <c r="J11" s="147">
        <f>SUM(B11:I11)</f>
        <v>3632</v>
      </c>
    </row>
    <row r="12" spans="1:13" ht="15.75" thickBot="1" x14ac:dyDescent="0.3">
      <c r="A12" s="63" t="s">
        <v>34</v>
      </c>
      <c r="B12" s="150">
        <f t="shared" ref="B12:I12" si="2">SUM(B10:B11)</f>
        <v>293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163</v>
      </c>
      <c r="G12" s="150">
        <f t="shared" si="2"/>
        <v>3369</v>
      </c>
      <c r="H12" s="150">
        <f>SUM(H10:H11)</f>
        <v>2470</v>
      </c>
      <c r="I12" s="150">
        <f t="shared" si="2"/>
        <v>667</v>
      </c>
      <c r="J12" s="158">
        <f>SUM(B12:I12)</f>
        <v>6962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[3]Frontier!$FX$4</f>
        <v>123</v>
      </c>
      <c r="C16" s="146">
        <f>'[3]Great Lakes'!$FX$4</f>
        <v>0</v>
      </c>
      <c r="D16" s="106">
        <f>'[3]Air Choice One'!$FX$4</f>
        <v>100</v>
      </c>
      <c r="E16" s="106">
        <f>'[3]Boutique Air'!$FX$4</f>
        <v>59</v>
      </c>
      <c r="F16" s="146">
        <f>[3]Icelandair!$FX$15</f>
        <v>17</v>
      </c>
      <c r="G16" s="106">
        <f>[3]Southwest!$FX$4</f>
        <v>632</v>
      </c>
      <c r="H16" s="118">
        <f>'[3]Sun Country'!$FX$4+'[3]Sun Country'!$FX$15</f>
        <v>583</v>
      </c>
      <c r="I16" s="118">
        <f>[3]Alaska!$FX$4</f>
        <v>57</v>
      </c>
      <c r="J16" s="147">
        <f>SUM(B16:I16)</f>
        <v>1571</v>
      </c>
    </row>
    <row r="17" spans="1:257" x14ac:dyDescent="0.2">
      <c r="A17" s="62" t="s">
        <v>23</v>
      </c>
      <c r="B17" s="146">
        <f>[3]Frontier!$FX$5</f>
        <v>121</v>
      </c>
      <c r="C17" s="146">
        <f>'[3]Great Lakes'!$FX$5</f>
        <v>0</v>
      </c>
      <c r="D17" s="106">
        <f>'[3]Air Choice One'!$FX$5</f>
        <v>100</v>
      </c>
      <c r="E17" s="106">
        <f>'[3]Boutique Air'!$FX$5</f>
        <v>59</v>
      </c>
      <c r="F17" s="146">
        <f>[3]Icelandair!$FX$16</f>
        <v>17</v>
      </c>
      <c r="G17" s="106">
        <f>[3]Southwest!$FX$5</f>
        <v>629</v>
      </c>
      <c r="H17" s="118">
        <f>'[3]Sun Country'!$FX$5+'[3]Sun Country'!$FX$16</f>
        <v>596</v>
      </c>
      <c r="I17" s="118">
        <f>[3]Alaska!$FX$5</f>
        <v>57</v>
      </c>
      <c r="J17" s="147">
        <f>SUM(B17:I17)</f>
        <v>1579</v>
      </c>
    </row>
    <row r="18" spans="1:257" x14ac:dyDescent="0.2">
      <c r="A18" s="66" t="s">
        <v>24</v>
      </c>
      <c r="B18" s="148">
        <f t="shared" ref="B18:I18" si="4">SUM(B16:B17)</f>
        <v>244</v>
      </c>
      <c r="C18" s="148">
        <f t="shared" si="4"/>
        <v>0</v>
      </c>
      <c r="D18" s="148">
        <f t="shared" ref="D18:E18" si="5">SUM(D16:D17)</f>
        <v>200</v>
      </c>
      <c r="E18" s="148">
        <f t="shared" si="5"/>
        <v>118</v>
      </c>
      <c r="F18" s="148">
        <f t="shared" si="4"/>
        <v>34</v>
      </c>
      <c r="G18" s="148">
        <f t="shared" si="4"/>
        <v>1261</v>
      </c>
      <c r="H18" s="148">
        <f t="shared" si="4"/>
        <v>1179</v>
      </c>
      <c r="I18" s="148">
        <f t="shared" si="4"/>
        <v>114</v>
      </c>
      <c r="J18" s="149">
        <f>SUM(B18:I18)</f>
        <v>3150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[3]Frontier!$FX$8</f>
        <v>0</v>
      </c>
      <c r="C20" s="146">
        <f>'[3]Great Lakes'!$FX$8</f>
        <v>0</v>
      </c>
      <c r="D20" s="118">
        <f>'[3]Air Choice One'!$FX$8</f>
        <v>0</v>
      </c>
      <c r="E20" s="118">
        <f>'[3]Boutique Air'!$FX$8</f>
        <v>0</v>
      </c>
      <c r="F20" s="146">
        <f>[3]Icelandair!$FX$8</f>
        <v>0</v>
      </c>
      <c r="G20" s="118">
        <f>[3]Southwest!$FX$8</f>
        <v>0</v>
      </c>
      <c r="H20" s="118">
        <f>'[3]Sun Country'!$FX$8</f>
        <v>64</v>
      </c>
      <c r="I20" s="118">
        <f>[3]Alaska!$FX$8</f>
        <v>0</v>
      </c>
      <c r="J20" s="147">
        <f>SUM(B20:I20)</f>
        <v>64</v>
      </c>
    </row>
    <row r="21" spans="1:257" x14ac:dyDescent="0.2">
      <c r="A21" s="62" t="s">
        <v>26</v>
      </c>
      <c r="B21" s="146">
        <f>[3]Frontier!$FX$9</f>
        <v>0</v>
      </c>
      <c r="C21" s="146">
        <f>'[3]Great Lakes'!$FX$9</f>
        <v>0</v>
      </c>
      <c r="D21" s="118">
        <f>'[3]Air Choice One'!$FX$9</f>
        <v>0</v>
      </c>
      <c r="E21" s="118">
        <f>'[3]Boutique Air'!$FX$9</f>
        <v>0</v>
      </c>
      <c r="F21" s="146">
        <f>[3]Icelandair!$FX$9</f>
        <v>0</v>
      </c>
      <c r="G21" s="118">
        <f>[3]Southwest!$FX$9</f>
        <v>0</v>
      </c>
      <c r="H21" s="118">
        <f>'[3]Sun Country'!$FX$9</f>
        <v>63</v>
      </c>
      <c r="I21" s="118">
        <f>[3]Alaska!$FX$9</f>
        <v>0</v>
      </c>
      <c r="J21" s="147">
        <f>SUM(B21:I21)</f>
        <v>63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127</v>
      </c>
      <c r="I22" s="148">
        <f t="shared" si="6"/>
        <v>0</v>
      </c>
      <c r="J22" s="149">
        <f>SUM(B22:I22)</f>
        <v>127</v>
      </c>
    </row>
    <row r="23" spans="1:257" ht="15.75" thickBot="1" x14ac:dyDescent="0.3">
      <c r="A23" s="63" t="s">
        <v>28</v>
      </c>
      <c r="B23" s="150">
        <f t="shared" ref="B23:I23" si="8">B22+B18</f>
        <v>244</v>
      </c>
      <c r="C23" s="150">
        <f t="shared" si="8"/>
        <v>0</v>
      </c>
      <c r="D23" s="150">
        <f t="shared" ref="D23:E23" si="9">D22+D18</f>
        <v>200</v>
      </c>
      <c r="E23" s="150">
        <f t="shared" si="9"/>
        <v>118</v>
      </c>
      <c r="F23" s="150">
        <f t="shared" si="8"/>
        <v>34</v>
      </c>
      <c r="G23" s="150">
        <f t="shared" si="8"/>
        <v>1261</v>
      </c>
      <c r="H23" s="150">
        <f t="shared" si="8"/>
        <v>1306</v>
      </c>
      <c r="I23" s="150">
        <f t="shared" si="8"/>
        <v>114</v>
      </c>
      <c r="J23" s="151">
        <f>SUM(B23:I23)</f>
        <v>3277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[3]Frontier!$FX$47</f>
        <v>0</v>
      </c>
      <c r="C28" s="146">
        <f>'[3]Great Lakes'!$FX$47</f>
        <v>0</v>
      </c>
      <c r="D28" s="118">
        <f>'[3]Air Choice One'!$FX$47</f>
        <v>0</v>
      </c>
      <c r="E28" s="118">
        <f>'[3]Boutique Air'!$FX$47</f>
        <v>0</v>
      </c>
      <c r="F28" s="146">
        <f>[3]Icelandair!$FX$47</f>
        <v>13796</v>
      </c>
      <c r="G28" s="118">
        <f>[3]Southwest!$FX$47</f>
        <v>247628</v>
      </c>
      <c r="H28" s="118">
        <f>'[3]Sun Country'!$FX$47</f>
        <v>159090</v>
      </c>
      <c r="I28" s="118">
        <f>[3]Alaska!$FX$47</f>
        <v>8305</v>
      </c>
      <c r="J28" s="147">
        <f>SUM(B28:I28)</f>
        <v>428819</v>
      </c>
    </row>
    <row r="29" spans="1:257" x14ac:dyDescent="0.2">
      <c r="A29" s="62" t="s">
        <v>38</v>
      </c>
      <c r="B29" s="146">
        <f>[3]Frontier!$FX$48</f>
        <v>0</v>
      </c>
      <c r="C29" s="146">
        <f>'[3]Great Lakes'!$FX$48</f>
        <v>0</v>
      </c>
      <c r="D29" s="118">
        <f>'[3]Air Choice One'!$FX$48</f>
        <v>0</v>
      </c>
      <c r="E29" s="118">
        <f>'[3]Boutique Air'!$FX$48</f>
        <v>0</v>
      </c>
      <c r="F29" s="146">
        <f>[3]Icelandair!$FX$48</f>
        <v>0</v>
      </c>
      <c r="G29" s="118">
        <f>[3]Southwest!$FX$48</f>
        <v>0</v>
      </c>
      <c r="H29" s="118">
        <f>'[3]Sun Country'!$FX$48</f>
        <v>210855</v>
      </c>
      <c r="I29" s="118">
        <f>[3]Alaska!$FX$48</f>
        <v>1952</v>
      </c>
      <c r="J29" s="147">
        <f>SUM(B29:I29)</f>
        <v>212807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13796</v>
      </c>
      <c r="G30" s="162">
        <f t="shared" si="10"/>
        <v>247628</v>
      </c>
      <c r="H30" s="162">
        <f t="shared" si="10"/>
        <v>369945</v>
      </c>
      <c r="I30" s="162">
        <f t="shared" si="10"/>
        <v>10257</v>
      </c>
      <c r="J30" s="165">
        <f>SUM(B30:I30)</f>
        <v>641626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[3]Frontier!$FX$52</f>
        <v>0</v>
      </c>
      <c r="C33" s="146">
        <f>'[3]Great Lakes'!$FX$52</f>
        <v>0</v>
      </c>
      <c r="D33" s="118">
        <f>'[3]Air Choice One'!$FX$52</f>
        <v>0</v>
      </c>
      <c r="E33" s="118">
        <f>'[3]Boutique Air'!$FX$52</f>
        <v>0</v>
      </c>
      <c r="F33" s="146">
        <f>[3]Icelandair!$FX$52</f>
        <v>328</v>
      </c>
      <c r="G33" s="118">
        <f>[3]Southwest!$FX$52</f>
        <v>65364</v>
      </c>
      <c r="H33" s="118">
        <f>'[3]Sun Country'!$FX$52</f>
        <v>101263</v>
      </c>
      <c r="I33" s="118">
        <f>[3]Alaska!$FX$52</f>
        <v>7824</v>
      </c>
      <c r="J33" s="147">
        <f>SUM(B33:I33)</f>
        <v>174779</v>
      </c>
    </row>
    <row r="34" spans="1:10" x14ac:dyDescent="0.2">
      <c r="A34" s="62" t="s">
        <v>38</v>
      </c>
      <c r="B34" s="146">
        <f>[3]Frontier!$FX$53</f>
        <v>0</v>
      </c>
      <c r="C34" s="146">
        <f>'[3]Great Lakes'!$FX$53</f>
        <v>0</v>
      </c>
      <c r="D34" s="118">
        <f>'[3]Air Choice One'!$FX$53</f>
        <v>0</v>
      </c>
      <c r="E34" s="118">
        <f>'[3]Boutique Air'!$FX$53</f>
        <v>0</v>
      </c>
      <c r="F34" s="146">
        <f>[3]Icelandair!$FX$53</f>
        <v>0</v>
      </c>
      <c r="G34" s="118">
        <f>[3]Southwest!$FX$53</f>
        <v>0</v>
      </c>
      <c r="H34" s="118">
        <f>'[3]Sun Country'!$FX$53</f>
        <v>391509</v>
      </c>
      <c r="I34" s="118">
        <f>[3]Alaska!$FX$53</f>
        <v>6520</v>
      </c>
      <c r="J34" s="163">
        <f>SUM(B34:I34)</f>
        <v>398029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328</v>
      </c>
      <c r="G35" s="164">
        <f t="shared" si="12"/>
        <v>65364</v>
      </c>
      <c r="H35" s="164">
        <f t="shared" si="12"/>
        <v>492772</v>
      </c>
      <c r="I35" s="164">
        <f t="shared" si="12"/>
        <v>14344</v>
      </c>
      <c r="J35" s="165">
        <f>SUM(B35:I35)</f>
        <v>572808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[3]Frontier!$FX$57</f>
        <v>0</v>
      </c>
      <c r="C38" s="154">
        <f>'[3]Great Lakes'!$FX$57</f>
        <v>0</v>
      </c>
      <c r="D38" s="154">
        <f>'[3]Air Choice One'!$FX$57</f>
        <v>0</v>
      </c>
      <c r="E38" s="154">
        <f>'[3]Boutique Air'!$FX$57</f>
        <v>0</v>
      </c>
      <c r="F38" s="154">
        <f>[3]Icelandair!$FX$57</f>
        <v>0</v>
      </c>
      <c r="G38" s="154">
        <f>[3]Southwest!$FX$57</f>
        <v>0</v>
      </c>
      <c r="H38" s="154">
        <f>'[3]Sun Country'!$FX$57</f>
        <v>0</v>
      </c>
      <c r="I38" s="154">
        <f>[3]Alaska!$FX$57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[3]Frontier!$FX$58</f>
        <v>0</v>
      </c>
      <c r="C39" s="157">
        <f>'[3]Great Lakes'!$FX$58</f>
        <v>0</v>
      </c>
      <c r="D39" s="157">
        <f>'[3]Air Choice One'!$FX$58</f>
        <v>0</v>
      </c>
      <c r="E39" s="157">
        <f>'[3]Boutique Air'!$FX$58</f>
        <v>0</v>
      </c>
      <c r="F39" s="157">
        <f>[3]Icelandair!$FX$58</f>
        <v>0</v>
      </c>
      <c r="G39" s="157">
        <f>[3]Southwest!$FX$58</f>
        <v>0</v>
      </c>
      <c r="H39" s="157">
        <f>'[3]Sun Country'!$FX$58</f>
        <v>0</v>
      </c>
      <c r="I39" s="157">
        <f>[3]Alaska!$FX$58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14124</v>
      </c>
      <c r="G43" s="154">
        <f t="shared" si="16"/>
        <v>312992</v>
      </c>
      <c r="H43" s="154">
        <f t="shared" si="16"/>
        <v>260353</v>
      </c>
      <c r="I43" s="154">
        <f t="shared" si="16"/>
        <v>16129</v>
      </c>
      <c r="J43" s="147">
        <f>SUM(B43:I43)</f>
        <v>603598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602364</v>
      </c>
      <c r="I44" s="157">
        <f t="shared" si="18"/>
        <v>8472</v>
      </c>
      <c r="J44" s="147">
        <f>SUM(B44:I44)</f>
        <v>610836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14124</v>
      </c>
      <c r="G45" s="167">
        <f t="shared" si="20"/>
        <v>312992</v>
      </c>
      <c r="H45" s="167">
        <f t="shared" si="20"/>
        <v>862717</v>
      </c>
      <c r="I45" s="167">
        <f t="shared" si="20"/>
        <v>24601</v>
      </c>
      <c r="J45" s="168">
        <f>SUM(B45:I45)</f>
        <v>1214434</v>
      </c>
    </row>
    <row r="48" spans="1:10" x14ac:dyDescent="0.2">
      <c r="A48" s="375" t="s">
        <v>124</v>
      </c>
      <c r="B48" s="387"/>
      <c r="C48" s="387"/>
      <c r="D48" s="387"/>
      <c r="E48" s="387"/>
      <c r="G48" s="322">
        <f>[3]Southwest!$FX$70+[3]Southwest!$FX$73</f>
        <v>75861</v>
      </c>
      <c r="H48" s="322">
        <f>'[3]Sun Country'!$FX$70+'[3]Sun Country'!$FX$73</f>
        <v>80282</v>
      </c>
      <c r="I48" s="387"/>
      <c r="J48" s="310">
        <f>SUM(B48:I48)</f>
        <v>156143</v>
      </c>
    </row>
    <row r="49" spans="1:10" x14ac:dyDescent="0.2">
      <c r="A49" s="389" t="s">
        <v>125</v>
      </c>
      <c r="B49" s="387"/>
      <c r="C49" s="387"/>
      <c r="D49" s="387"/>
      <c r="E49" s="387"/>
      <c r="G49" s="322">
        <f>[3]Southwest!$FX$71+[3]Southwest!$FX$74</f>
        <v>481</v>
      </c>
      <c r="H49" s="322">
        <f>'[3]Sun Country'!$FX$71+'[3]Sun Country'!$FX$74</f>
        <v>1510</v>
      </c>
      <c r="I49" s="387"/>
      <c r="J49" s="310">
        <f>SUM(B49:I49)</f>
        <v>1991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November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workbookViewId="0">
      <selection activeCell="E21" sqref="E2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5"/>
    </row>
    <row r="2" spans="1:13" s="7" customFormat="1" ht="51.75" thickBot="1" x14ac:dyDescent="0.25">
      <c r="A2" s="378">
        <v>43405</v>
      </c>
      <c r="B2" s="434" t="s">
        <v>163</v>
      </c>
      <c r="C2" s="434" t="s">
        <v>166</v>
      </c>
      <c r="D2" s="434" t="s">
        <v>176</v>
      </c>
      <c r="E2" s="434" t="s">
        <v>175</v>
      </c>
      <c r="F2" s="434" t="s">
        <v>177</v>
      </c>
      <c r="G2" s="434" t="s">
        <v>228</v>
      </c>
      <c r="H2" s="434" t="s">
        <v>181</v>
      </c>
      <c r="I2" s="434" t="s">
        <v>198</v>
      </c>
      <c r="J2" s="434" t="s">
        <v>223</v>
      </c>
      <c r="K2" s="434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[3]Pinnacle!$FX$22+[3]Pinnacle!$FX$32</f>
        <v>51221</v>
      </c>
      <c r="C5" s="132">
        <f>[3]MESA_UA!$FX$22</f>
        <v>10129</v>
      </c>
      <c r="D5" s="130">
        <f>'[3]Sky West'!$FX$22+'[3]Sky West'!$FX$32</f>
        <v>190819</v>
      </c>
      <c r="E5" s="130">
        <f>'[3]Sky West_UA'!$FX$22</f>
        <v>5423</v>
      </c>
      <c r="F5" s="130">
        <f>'[3]Sky West_AS'!$FX$22</f>
        <v>1580</v>
      </c>
      <c r="G5" s="130">
        <f>'[3]Sky West_AA'!$FX$22</f>
        <v>1746</v>
      </c>
      <c r="H5" s="130">
        <f>[3]Republic!$FX$22</f>
        <v>12410</v>
      </c>
      <c r="I5" s="130">
        <f>[3]Republic_UA!$FX$22</f>
        <v>12503</v>
      </c>
      <c r="J5" s="130">
        <f>'[3]Sky Regional'!$FX$32</f>
        <v>4613</v>
      </c>
      <c r="K5" s="130">
        <f>'[3]American Eagle'!$FX$22</f>
        <v>245</v>
      </c>
      <c r="L5" s="130">
        <f>'Other Regional'!M5</f>
        <v>13390</v>
      </c>
      <c r="M5" s="110">
        <f>SUM(B5:L5)</f>
        <v>304079</v>
      </c>
    </row>
    <row r="6" spans="1:13" s="10" customFormat="1" x14ac:dyDescent="0.2">
      <c r="A6" s="62" t="s">
        <v>31</v>
      </c>
      <c r="B6" s="131">
        <f>[3]Pinnacle!$FX$23+[3]Pinnacle!$FX$33</f>
        <v>51633</v>
      </c>
      <c r="C6" s="132">
        <f>[3]MESA_UA!$FX$23</f>
        <v>10922</v>
      </c>
      <c r="D6" s="130">
        <f>'[3]Sky West'!$FX$23+'[3]Sky West'!$FX$33</f>
        <v>189382</v>
      </c>
      <c r="E6" s="130">
        <f>'[3]Sky West_UA'!$FX$23</f>
        <v>5574</v>
      </c>
      <c r="F6" s="130">
        <f>'[3]Sky West_AS'!$FX$23</f>
        <v>1462</v>
      </c>
      <c r="G6" s="130">
        <f>'[3]Sky West_AA'!$FX$23</f>
        <v>1684</v>
      </c>
      <c r="H6" s="130">
        <f>[3]Republic!$FX$23</f>
        <v>12775</v>
      </c>
      <c r="I6" s="130">
        <f>[3]Republic_UA!$FX$23</f>
        <v>12714</v>
      </c>
      <c r="J6" s="130">
        <f>'[3]Sky Regional'!$FX$33</f>
        <v>4316</v>
      </c>
      <c r="K6" s="130">
        <f>'[3]American Eagle'!$FX$23</f>
        <v>266</v>
      </c>
      <c r="L6" s="130">
        <f>'Other Regional'!M6</f>
        <v>13543</v>
      </c>
      <c r="M6" s="115">
        <f>SUM(B6:L6)</f>
        <v>304271</v>
      </c>
    </row>
    <row r="7" spans="1:13" ht="15" thickBot="1" x14ac:dyDescent="0.25">
      <c r="A7" s="73" t="s">
        <v>7</v>
      </c>
      <c r="B7" s="133">
        <f>SUM(B5:B6)</f>
        <v>102854</v>
      </c>
      <c r="C7" s="133">
        <f t="shared" ref="C7:L7" si="0">SUM(C5:C6)</f>
        <v>21051</v>
      </c>
      <c r="D7" s="133">
        <f t="shared" si="0"/>
        <v>380201</v>
      </c>
      <c r="E7" s="133">
        <f t="shared" si="0"/>
        <v>10997</v>
      </c>
      <c r="F7" s="133">
        <f t="shared" ref="F7:G7" si="1">SUM(F5:F6)</f>
        <v>3042</v>
      </c>
      <c r="G7" s="133">
        <f t="shared" si="1"/>
        <v>3430</v>
      </c>
      <c r="H7" s="133">
        <f t="shared" si="0"/>
        <v>25185</v>
      </c>
      <c r="I7" s="133">
        <f t="shared" si="0"/>
        <v>25217</v>
      </c>
      <c r="J7" s="133">
        <f t="shared" si="0"/>
        <v>8929</v>
      </c>
      <c r="K7" s="133">
        <f t="shared" si="0"/>
        <v>511</v>
      </c>
      <c r="L7" s="133">
        <f t="shared" si="0"/>
        <v>26933</v>
      </c>
      <c r="M7" s="134">
        <f>SUM(B7:L7)</f>
        <v>608350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[3]Pinnacle!$FX$27+[3]Pinnacle!$FX$37</f>
        <v>1937</v>
      </c>
      <c r="C10" s="132">
        <f>[3]MESA_UA!$FX$27</f>
        <v>348</v>
      </c>
      <c r="D10" s="130">
        <f>'[3]Sky West'!$FX$27+'[3]Sky West'!$FX$37</f>
        <v>7142</v>
      </c>
      <c r="E10" s="130">
        <f>'[3]Sky West_UA'!$FX$27</f>
        <v>245</v>
      </c>
      <c r="F10" s="130">
        <f>'[3]Sky West_AS'!$FX$27</f>
        <v>40</v>
      </c>
      <c r="G10" s="130">
        <f>'[3]Sky West_AA'!$FX$27</f>
        <v>194</v>
      </c>
      <c r="H10" s="130">
        <f>[3]Republic!$FX$27</f>
        <v>460</v>
      </c>
      <c r="I10" s="130">
        <f>[3]Republic_UA!$FX$27</f>
        <v>416</v>
      </c>
      <c r="J10" s="130">
        <f>'[3]Sky Regional'!$FX$37</f>
        <v>53</v>
      </c>
      <c r="K10" s="130">
        <f>'[3]American Eagle'!$FX$27</f>
        <v>36</v>
      </c>
      <c r="L10" s="130">
        <f>'Other Regional'!M10</f>
        <v>380</v>
      </c>
      <c r="M10" s="110">
        <f>SUM(B10:L10)</f>
        <v>11251</v>
      </c>
    </row>
    <row r="11" spans="1:13" x14ac:dyDescent="0.2">
      <c r="A11" s="62" t="s">
        <v>33</v>
      </c>
      <c r="B11" s="131">
        <f>[3]Pinnacle!$FX$28+[3]Pinnacle!$FX$38</f>
        <v>2005</v>
      </c>
      <c r="C11" s="132">
        <f>[3]MESA_UA!$FX$28</f>
        <v>316</v>
      </c>
      <c r="D11" s="130">
        <f>'[3]Sky West'!$FX$28+'[3]Sky West'!$FX$38</f>
        <v>7058</v>
      </c>
      <c r="E11" s="130">
        <f>'[3]Sky West_UA'!$FX$28</f>
        <v>207</v>
      </c>
      <c r="F11" s="130">
        <f>'[3]Sky West_AS'!$FX$28</f>
        <v>33</v>
      </c>
      <c r="G11" s="130">
        <f>'[3]Sky West_AA'!$FX$28</f>
        <v>165</v>
      </c>
      <c r="H11" s="130">
        <f>[3]Republic!$FX$28</f>
        <v>481</v>
      </c>
      <c r="I11" s="130">
        <f>[3]Republic_UA!$FX$28</f>
        <v>479</v>
      </c>
      <c r="J11" s="130">
        <f>'[3]Sky Regional'!$FX$38</f>
        <v>54</v>
      </c>
      <c r="K11" s="130">
        <f>'[3]American Eagle'!$FX$28</f>
        <v>29</v>
      </c>
      <c r="L11" s="130">
        <f>'Other Regional'!M11</f>
        <v>356</v>
      </c>
      <c r="M11" s="115">
        <f>SUM(B11:L11)</f>
        <v>11183</v>
      </c>
    </row>
    <row r="12" spans="1:13" ht="15" thickBot="1" x14ac:dyDescent="0.25">
      <c r="A12" s="74" t="s">
        <v>34</v>
      </c>
      <c r="B12" s="136">
        <f t="shared" ref="B12:L12" si="2">SUM(B10:B11)</f>
        <v>3942</v>
      </c>
      <c r="C12" s="136">
        <f t="shared" si="2"/>
        <v>664</v>
      </c>
      <c r="D12" s="136">
        <f t="shared" si="2"/>
        <v>14200</v>
      </c>
      <c r="E12" s="136">
        <f t="shared" si="2"/>
        <v>452</v>
      </c>
      <c r="F12" s="136">
        <f t="shared" ref="F12:G12" si="3">SUM(F10:F11)</f>
        <v>73</v>
      </c>
      <c r="G12" s="136">
        <f t="shared" si="3"/>
        <v>359</v>
      </c>
      <c r="H12" s="136">
        <f t="shared" si="2"/>
        <v>941</v>
      </c>
      <c r="I12" s="136">
        <f t="shared" si="2"/>
        <v>895</v>
      </c>
      <c r="J12" s="136">
        <f t="shared" si="2"/>
        <v>107</v>
      </c>
      <c r="K12" s="136">
        <f t="shared" si="2"/>
        <v>65</v>
      </c>
      <c r="L12" s="136">
        <f t="shared" si="2"/>
        <v>736</v>
      </c>
      <c r="M12" s="137">
        <f>SUM(B12:L12)</f>
        <v>22434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[3]Pinnacle!$FX$4+[3]Pinnacle!$FX$15</f>
        <v>872</v>
      </c>
      <c r="C15" s="108">
        <f>[3]MESA_UA!$FX$4</f>
        <v>163</v>
      </c>
      <c r="D15" s="106">
        <f>'[3]Sky West'!$FX$4+'[3]Sky West'!$FX$15</f>
        <v>3848</v>
      </c>
      <c r="E15" s="106">
        <f>'[3]Sky West_UA'!$FX$4</f>
        <v>87</v>
      </c>
      <c r="F15" s="106">
        <f>'[3]Sky West_AS'!$FX$4</f>
        <v>26</v>
      </c>
      <c r="G15" s="106">
        <f>'[3]Sky West_AA'!$FX$4</f>
        <v>32</v>
      </c>
      <c r="H15" s="109">
        <f>[3]Republic!$FX$4</f>
        <v>215</v>
      </c>
      <c r="I15" s="455">
        <f>[3]Republic_UA!$FX$4</f>
        <v>209</v>
      </c>
      <c r="J15" s="455">
        <f>'[3]Sky Regional'!$FX$15</f>
        <v>86</v>
      </c>
      <c r="K15" s="109">
        <f>'[3]American Eagle'!$FX$4</f>
        <v>5</v>
      </c>
      <c r="L15" s="107">
        <f>'Other Regional'!M15</f>
        <v>215</v>
      </c>
      <c r="M15" s="110">
        <f t="shared" ref="M15:M21" si="5">SUM(B15:L15)</f>
        <v>5758</v>
      </c>
    </row>
    <row r="16" spans="1:13" x14ac:dyDescent="0.2">
      <c r="A16" s="62" t="s">
        <v>54</v>
      </c>
      <c r="B16" s="14">
        <f>[3]Pinnacle!$FX$5+[3]Pinnacle!$FX$16</f>
        <v>874</v>
      </c>
      <c r="C16" s="113">
        <f>[3]MESA_UA!$FX$5</f>
        <v>163</v>
      </c>
      <c r="D16" s="111">
        <f>'[3]Sky West'!$FX$5+'[3]Sky West'!$FX$16</f>
        <v>3838</v>
      </c>
      <c r="E16" s="111">
        <f>'[3]Sky West_UA'!$FX$5</f>
        <v>87</v>
      </c>
      <c r="F16" s="111">
        <f>'[3]Sky West_AS'!$FX$5</f>
        <v>26</v>
      </c>
      <c r="G16" s="111">
        <f>'[3]Sky West_AA'!$FX$5</f>
        <v>32</v>
      </c>
      <c r="H16" s="114">
        <f>[3]Republic!$FX$5</f>
        <v>215</v>
      </c>
      <c r="I16" s="297">
        <f>[3]Republic_UA!$FX$5</f>
        <v>209</v>
      </c>
      <c r="J16" s="297">
        <f>'[3]Sky Regional'!$FX$16</f>
        <v>86</v>
      </c>
      <c r="K16" s="114">
        <f>'[3]American Eagle'!$FX$5</f>
        <v>5</v>
      </c>
      <c r="L16" s="112">
        <f>'Other Regional'!M16</f>
        <v>218</v>
      </c>
      <c r="M16" s="115">
        <f t="shared" si="5"/>
        <v>5753</v>
      </c>
    </row>
    <row r="17" spans="1:13" x14ac:dyDescent="0.2">
      <c r="A17" s="71" t="s">
        <v>55</v>
      </c>
      <c r="B17" s="116">
        <f t="shared" ref="B17:K17" si="6">SUM(B15:B16)</f>
        <v>1746</v>
      </c>
      <c r="C17" s="116">
        <f t="shared" si="6"/>
        <v>326</v>
      </c>
      <c r="D17" s="116">
        <f t="shared" si="6"/>
        <v>7686</v>
      </c>
      <c r="E17" s="116">
        <f t="shared" si="6"/>
        <v>174</v>
      </c>
      <c r="F17" s="116">
        <f t="shared" ref="F17:G17" si="7">SUM(F15:F16)</f>
        <v>52</v>
      </c>
      <c r="G17" s="116">
        <f t="shared" si="7"/>
        <v>64</v>
      </c>
      <c r="H17" s="116">
        <f t="shared" si="6"/>
        <v>430</v>
      </c>
      <c r="I17" s="116">
        <f t="shared" ref="I17:J17" si="8">SUM(I15:I16)</f>
        <v>418</v>
      </c>
      <c r="J17" s="116">
        <f t="shared" si="8"/>
        <v>172</v>
      </c>
      <c r="K17" s="116">
        <f t="shared" si="6"/>
        <v>10</v>
      </c>
      <c r="L17" s="116">
        <f>SUM(L15:L16)</f>
        <v>433</v>
      </c>
      <c r="M17" s="117">
        <f t="shared" si="5"/>
        <v>11511</v>
      </c>
    </row>
    <row r="18" spans="1:13" x14ac:dyDescent="0.2">
      <c r="A18" s="62" t="s">
        <v>56</v>
      </c>
      <c r="B18" s="118">
        <f>[3]Pinnacle!$FX$8</f>
        <v>0</v>
      </c>
      <c r="C18" s="119">
        <f>[3]MESA_UA!$FX$8</f>
        <v>0</v>
      </c>
      <c r="D18" s="118">
        <f>'[3]Sky West'!$FX$8</f>
        <v>2</v>
      </c>
      <c r="E18" s="118">
        <f>'[3]Sky West_UA'!$FX$8</f>
        <v>0</v>
      </c>
      <c r="F18" s="118">
        <f>'[3]Sky West_AS'!$FX$8</f>
        <v>0</v>
      </c>
      <c r="G18" s="118">
        <f>'[3]Sky West_AA'!$FX$8</f>
        <v>0</v>
      </c>
      <c r="H18" s="118">
        <f>[3]Republic!$FX$8</f>
        <v>0</v>
      </c>
      <c r="I18" s="118">
        <f>[3]Republic_UA!$FX$8</f>
        <v>0</v>
      </c>
      <c r="J18" s="118">
        <f>'[3]Sky Regional'!$FX$8</f>
        <v>0</v>
      </c>
      <c r="K18" s="118">
        <f>'[3]American Eagle'!$FX$8</f>
        <v>0</v>
      </c>
      <c r="L18" s="118">
        <f>'Other Regional'!M18</f>
        <v>0</v>
      </c>
      <c r="M18" s="110">
        <f t="shared" si="5"/>
        <v>2</v>
      </c>
    </row>
    <row r="19" spans="1:13" x14ac:dyDescent="0.2">
      <c r="A19" s="62" t="s">
        <v>57</v>
      </c>
      <c r="B19" s="120">
        <f>[3]Pinnacle!$FX$9</f>
        <v>1</v>
      </c>
      <c r="C19" s="121">
        <f>[3]MESA_UA!$FX$9</f>
        <v>0</v>
      </c>
      <c r="D19" s="120">
        <f>'[3]Sky West'!$FX$9</f>
        <v>8</v>
      </c>
      <c r="E19" s="120">
        <f>'[3]Sky West_UA'!$FX$9</f>
        <v>0</v>
      </c>
      <c r="F19" s="120">
        <f>'[3]Sky West_AS'!$FX$9</f>
        <v>0</v>
      </c>
      <c r="G19" s="120">
        <f>'[3]Sky West_AA'!$FX$9</f>
        <v>0</v>
      </c>
      <c r="H19" s="120">
        <f>[3]Republic!$FX$9</f>
        <v>0</v>
      </c>
      <c r="I19" s="120">
        <f>[3]Republic_UA!$FX$9</f>
        <v>0</v>
      </c>
      <c r="J19" s="120">
        <f>'[3]Sky Regional'!$FX$9</f>
        <v>0</v>
      </c>
      <c r="K19" s="120">
        <f>'[3]American Eagle'!$FX$9</f>
        <v>0</v>
      </c>
      <c r="L19" s="120">
        <f>'Other Regional'!M19</f>
        <v>0</v>
      </c>
      <c r="M19" s="115">
        <f t="shared" si="5"/>
        <v>9</v>
      </c>
    </row>
    <row r="20" spans="1:13" x14ac:dyDescent="0.2">
      <c r="A20" s="71" t="s">
        <v>58</v>
      </c>
      <c r="B20" s="116">
        <f t="shared" ref="B20:L20" si="9">SUM(B18:B19)</f>
        <v>1</v>
      </c>
      <c r="C20" s="116">
        <f t="shared" si="9"/>
        <v>0</v>
      </c>
      <c r="D20" s="116">
        <f t="shared" si="9"/>
        <v>10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11</v>
      </c>
    </row>
    <row r="21" spans="1:13" ht="15.75" thickBot="1" x14ac:dyDescent="0.3">
      <c r="A21" s="72" t="s">
        <v>28</v>
      </c>
      <c r="B21" s="122">
        <f t="shared" ref="B21:K21" si="11">SUM(B20,B17)</f>
        <v>1747</v>
      </c>
      <c r="C21" s="122">
        <f t="shared" si="11"/>
        <v>326</v>
      </c>
      <c r="D21" s="122">
        <f t="shared" si="11"/>
        <v>7696</v>
      </c>
      <c r="E21" s="122">
        <f t="shared" si="11"/>
        <v>174</v>
      </c>
      <c r="F21" s="122">
        <f t="shared" ref="F21:G21" si="12">SUM(F20,F17)</f>
        <v>52</v>
      </c>
      <c r="G21" s="122">
        <f t="shared" si="12"/>
        <v>64</v>
      </c>
      <c r="H21" s="122">
        <f t="shared" si="11"/>
        <v>430</v>
      </c>
      <c r="I21" s="122">
        <f t="shared" si="11"/>
        <v>418</v>
      </c>
      <c r="J21" s="122">
        <f t="shared" si="11"/>
        <v>172</v>
      </c>
      <c r="K21" s="122">
        <f t="shared" si="11"/>
        <v>10</v>
      </c>
      <c r="L21" s="122">
        <f>SUM(L20,L17)</f>
        <v>433</v>
      </c>
      <c r="M21" s="123">
        <f t="shared" si="5"/>
        <v>11522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[3]Pinnacle!$FX$47</f>
        <v>0</v>
      </c>
      <c r="C25" s="132">
        <f>[3]MESA_UA!$FX$47</f>
        <v>0</v>
      </c>
      <c r="D25" s="130">
        <f>'[3]Sky West'!$FX$47</f>
        <v>0</v>
      </c>
      <c r="E25" s="130">
        <f>'[3]Sky West_UA'!$FX$47</f>
        <v>0</v>
      </c>
      <c r="F25" s="130">
        <f>'[3]Sky West_AS'!$FX$47</f>
        <v>0</v>
      </c>
      <c r="G25" s="130">
        <f>'[3]Sky West_AA'!$FX$47</f>
        <v>305</v>
      </c>
      <c r="H25" s="130">
        <f>[3]Republic!$FX$47</f>
        <v>0</v>
      </c>
      <c r="I25" s="130">
        <f>[3]Republic_UA!$FX$47</f>
        <v>0</v>
      </c>
      <c r="J25" s="130">
        <f>'[3]Sky Regional'!$FX$47</f>
        <v>774</v>
      </c>
      <c r="K25" s="130">
        <f>'[3]American Eagle'!$FX$47</f>
        <v>0</v>
      </c>
      <c r="L25" s="130">
        <f>'Other Regional'!M25</f>
        <v>586</v>
      </c>
      <c r="M25" s="110">
        <f>SUM(B25:L25)</f>
        <v>1665</v>
      </c>
    </row>
    <row r="26" spans="1:13" x14ac:dyDescent="0.2">
      <c r="A26" s="75" t="s">
        <v>38</v>
      </c>
      <c r="B26" s="130">
        <f>[3]Pinnacle!$FX$48</f>
        <v>0</v>
      </c>
      <c r="C26" s="132">
        <f>[3]MESA_UA!$FX$48</f>
        <v>0</v>
      </c>
      <c r="D26" s="130">
        <f>'[3]Sky West'!$FX$48</f>
        <v>0</v>
      </c>
      <c r="E26" s="130">
        <f>'[3]Sky West_UA'!$FX$48</f>
        <v>0</v>
      </c>
      <c r="F26" s="130">
        <f>'[3]Sky West_AS'!$FX$48</f>
        <v>0</v>
      </c>
      <c r="G26" s="130">
        <f>'[3]Sky West_AA'!$FX$48</f>
        <v>0</v>
      </c>
      <c r="H26" s="130">
        <f>[3]Republic!$FX$48</f>
        <v>0</v>
      </c>
      <c r="I26" s="130">
        <f>[3]Republic_UA!$FX$48</f>
        <v>0</v>
      </c>
      <c r="J26" s="130">
        <f>'[3]Sky Regional'!$FX$48</f>
        <v>0</v>
      </c>
      <c r="K26" s="130">
        <f>'[3]American Eagle'!$FX$48</f>
        <v>0</v>
      </c>
      <c r="L26" s="130">
        <f>'Other Regional'!M26</f>
        <v>464</v>
      </c>
      <c r="M26" s="110">
        <f>SUM(B26:L26)</f>
        <v>464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305</v>
      </c>
      <c r="H27" s="133">
        <f t="shared" si="13"/>
        <v>0</v>
      </c>
      <c r="I27" s="133">
        <f t="shared" si="13"/>
        <v>0</v>
      </c>
      <c r="J27" s="133">
        <f t="shared" si="13"/>
        <v>774</v>
      </c>
      <c r="K27" s="133">
        <f t="shared" si="13"/>
        <v>0</v>
      </c>
      <c r="L27" s="133">
        <f t="shared" si="13"/>
        <v>1050</v>
      </c>
      <c r="M27" s="134">
        <f>SUM(B27:L27)</f>
        <v>2129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[3]Pinnacle!$FX$52</f>
        <v>0</v>
      </c>
      <c r="C30" s="132">
        <f>[3]MESA_UA!$FX$52</f>
        <v>0</v>
      </c>
      <c r="D30" s="130">
        <f>'[3]Sky West'!$FX$52</f>
        <v>0</v>
      </c>
      <c r="E30" s="130">
        <f>'[3]Sky West_UA'!$FX$52</f>
        <v>0</v>
      </c>
      <c r="F30" s="130">
        <f>'[3]Sky West_AS'!$FX$52</f>
        <v>0</v>
      </c>
      <c r="G30" s="130">
        <f>'[3]Sky West_AA'!$FX$52</f>
        <v>0</v>
      </c>
      <c r="H30" s="130">
        <f>[3]Republic!$FX$52</f>
        <v>0</v>
      </c>
      <c r="I30" s="130">
        <f>[3]Republic_UA!$FX$52</f>
        <v>0</v>
      </c>
      <c r="J30" s="130">
        <f>'[3]Sky Regional'!$FX$52</f>
        <v>1369</v>
      </c>
      <c r="K30" s="130">
        <f>'[3]American Eagle'!$FX$52</f>
        <v>0</v>
      </c>
      <c r="L30" s="130">
        <f>'Other Regional'!M30</f>
        <v>0</v>
      </c>
      <c r="M30" s="110">
        <f t="shared" ref="M30:M37" si="15">SUM(B30:L30)</f>
        <v>1369</v>
      </c>
    </row>
    <row r="31" spans="1:13" x14ac:dyDescent="0.2">
      <c r="A31" s="75" t="s">
        <v>60</v>
      </c>
      <c r="B31" s="130">
        <f>[3]Pinnacle!$FX$53</f>
        <v>0</v>
      </c>
      <c r="C31" s="132">
        <f>[3]MESA_UA!$FX$53</f>
        <v>0</v>
      </c>
      <c r="D31" s="130">
        <f>'[3]Sky West'!$FX$53</f>
        <v>0</v>
      </c>
      <c r="E31" s="130">
        <f>'[3]Sky West_UA'!$FX$53</f>
        <v>0</v>
      </c>
      <c r="F31" s="130">
        <f>'[3]Sky West_AS'!$FX$53</f>
        <v>0</v>
      </c>
      <c r="G31" s="130">
        <f>'[3]Sky West_AA'!$FX$53</f>
        <v>0</v>
      </c>
      <c r="H31" s="130">
        <f>[3]Republic!$FX$53</f>
        <v>0</v>
      </c>
      <c r="I31" s="130">
        <f>[3]Republic_UA!$FX$53</f>
        <v>0</v>
      </c>
      <c r="J31" s="130">
        <f>'[3]Sky Regional'!$FX$53</f>
        <v>0</v>
      </c>
      <c r="K31" s="130">
        <f>'[3]American Eagle'!$FX$53</f>
        <v>0</v>
      </c>
      <c r="L31" s="130">
        <f>'Other Regional'!M31</f>
        <v>4413</v>
      </c>
      <c r="M31" s="110">
        <f t="shared" si="15"/>
        <v>4413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0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1369</v>
      </c>
      <c r="K32" s="133">
        <f t="shared" si="16"/>
        <v>0</v>
      </c>
      <c r="L32" s="133">
        <f>SUM(L30:L31)</f>
        <v>4413</v>
      </c>
      <c r="M32" s="134">
        <f t="shared" si="15"/>
        <v>5782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[3]Pinnacle!$FX$57</f>
        <v>0</v>
      </c>
      <c r="C35" s="132">
        <f>[3]MESA_UA!$FX$57</f>
        <v>0</v>
      </c>
      <c r="D35" s="130">
        <f>'[3]Sky West'!$FX$57</f>
        <v>0</v>
      </c>
      <c r="E35" s="130">
        <f>'[3]Sky West_UA'!$FX$57</f>
        <v>0</v>
      </c>
      <c r="F35" s="130">
        <f>'[3]Sky West_AS'!$FX$57</f>
        <v>0</v>
      </c>
      <c r="G35" s="130">
        <f>'[3]Sky West_AA'!$FX$57</f>
        <v>0</v>
      </c>
      <c r="H35" s="130">
        <f>[3]Republic!$FX$57</f>
        <v>0</v>
      </c>
      <c r="I35" s="130">
        <f>[3]Republic!$FX$57</f>
        <v>0</v>
      </c>
      <c r="J35" s="130">
        <f>[3]Republic!$FX$57</f>
        <v>0</v>
      </c>
      <c r="K35" s="130">
        <f>'[3]American Eagle'!$FX$57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[3]Pinnacle!$FX$58</f>
        <v>0</v>
      </c>
      <c r="C36" s="132">
        <f>[3]MESA_UA!$FX$58</f>
        <v>0</v>
      </c>
      <c r="D36" s="130">
        <f>'[3]Sky West'!$FX$58</f>
        <v>0</v>
      </c>
      <c r="E36" s="130">
        <f>'[3]Sky West_UA'!$FX$58</f>
        <v>0</v>
      </c>
      <c r="F36" s="130">
        <f>'[3]Sky West_AS'!$FX$58</f>
        <v>0</v>
      </c>
      <c r="G36" s="130">
        <f>'[3]Sky West_AA'!$FX$58</f>
        <v>0</v>
      </c>
      <c r="H36" s="130">
        <f>[3]Republic!$FX$58</f>
        <v>0</v>
      </c>
      <c r="I36" s="130">
        <f>[3]Republic!$FX$58</f>
        <v>0</v>
      </c>
      <c r="J36" s="130">
        <f>[3]Republic!$FX$58</f>
        <v>0</v>
      </c>
      <c r="K36" s="130">
        <f>'[3]American Eagle'!$FX$58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0</v>
      </c>
      <c r="G40" s="130">
        <f t="shared" ref="G40" si="22">SUM(G35,G30,G25)</f>
        <v>305</v>
      </c>
      <c r="H40" s="130">
        <f t="shared" si="20"/>
        <v>0</v>
      </c>
      <c r="I40" s="130">
        <f t="shared" si="20"/>
        <v>0</v>
      </c>
      <c r="J40" s="130">
        <f t="shared" si="20"/>
        <v>2143</v>
      </c>
      <c r="K40" s="130">
        <f>SUM(K35,K30,K25)</f>
        <v>0</v>
      </c>
      <c r="L40" s="130">
        <f>L35+L30+L25</f>
        <v>586</v>
      </c>
      <c r="M40" s="110">
        <f>SUM(B40:L40)</f>
        <v>3034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0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4877</v>
      </c>
      <c r="M41" s="110">
        <f>SUM(B41:L41)</f>
        <v>4877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0</v>
      </c>
      <c r="G42" s="136">
        <f t="shared" ref="G42" si="24">SUM(G37,G32,G27)</f>
        <v>305</v>
      </c>
      <c r="H42" s="136">
        <f t="shared" si="20"/>
        <v>0</v>
      </c>
      <c r="I42" s="136">
        <f t="shared" si="20"/>
        <v>0</v>
      </c>
      <c r="J42" s="136">
        <f t="shared" si="20"/>
        <v>2143</v>
      </c>
      <c r="K42" s="136">
        <f>SUM(K37,K32,K27)</f>
        <v>0</v>
      </c>
      <c r="L42" s="136">
        <f>SUM(L37,L32,L27)</f>
        <v>5463</v>
      </c>
      <c r="M42" s="137">
        <f>SUM(B42:L42)</f>
        <v>7911</v>
      </c>
    </row>
    <row r="44" spans="1:13" x14ac:dyDescent="0.2">
      <c r="A44" s="375" t="s">
        <v>124</v>
      </c>
      <c r="B44" s="321">
        <f>[3]Pinnacle!$FX$70+[3]Pinnacle!$FX$73</f>
        <v>19260</v>
      </c>
      <c r="D44" s="322">
        <f>'[3]Sky West'!$FX$70+'[3]Sky West'!$FX$73</f>
        <v>62117</v>
      </c>
      <c r="E44" s="5"/>
      <c r="F44" s="5"/>
      <c r="G44" s="5"/>
      <c r="L44" s="322">
        <f>+'Other Regional'!M46</f>
        <v>5852</v>
      </c>
      <c r="M44" s="310">
        <f>SUM(B44:L44)</f>
        <v>87229</v>
      </c>
    </row>
    <row r="45" spans="1:13" x14ac:dyDescent="0.2">
      <c r="A45" s="389" t="s">
        <v>125</v>
      </c>
      <c r="B45" s="321">
        <f>[3]Pinnacle!$FX$71+[3]Pinnacle!$FX$74</f>
        <v>32373</v>
      </c>
      <c r="D45" s="322">
        <f>'[3]Sky West'!$FX$71+'[3]Sky West'!$FX$74</f>
        <v>127265</v>
      </c>
      <c r="E45" s="5"/>
      <c r="F45" s="5"/>
      <c r="G45" s="5"/>
      <c r="L45" s="322">
        <f>+'Other Regional'!M47</f>
        <v>5424</v>
      </c>
      <c r="M45" s="310">
        <f>SUM(B45:L45)</f>
        <v>165062</v>
      </c>
    </row>
    <row r="46" spans="1:13" x14ac:dyDescent="0.2">
      <c r="A46" s="312" t="s">
        <v>126</v>
      </c>
      <c r="B46" s="313">
        <f>SUM(B44:B45)</f>
        <v>51633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November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7"/>
  <sheetViews>
    <sheetView zoomScaleNormal="100" zoomScaleSheetLayoutView="100" workbookViewId="0">
      <selection activeCell="G3" sqref="G3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5"/>
    </row>
    <row r="2" spans="1:13" s="7" customFormat="1" ht="55.5" customHeight="1" thickBot="1" x14ac:dyDescent="0.25">
      <c r="A2" s="378">
        <v>43405</v>
      </c>
      <c r="B2" s="434" t="s">
        <v>179</v>
      </c>
      <c r="C2" s="434" t="s">
        <v>178</v>
      </c>
      <c r="D2" s="434" t="s">
        <v>227</v>
      </c>
      <c r="E2" s="434" t="s">
        <v>199</v>
      </c>
      <c r="F2" s="434" t="s">
        <v>170</v>
      </c>
      <c r="G2" s="434" t="s">
        <v>184</v>
      </c>
      <c r="H2" s="434" t="s">
        <v>183</v>
      </c>
      <c r="I2" s="434" t="s">
        <v>165</v>
      </c>
      <c r="J2" s="434" t="s">
        <v>169</v>
      </c>
      <c r="K2" s="434" t="s">
        <v>185</v>
      </c>
      <c r="L2" s="434" t="s">
        <v>182</v>
      </c>
      <c r="M2" s="291" t="s">
        <v>21</v>
      </c>
    </row>
    <row r="3" spans="1:13" ht="15.75" thickTop="1" x14ac:dyDescent="0.25">
      <c r="A3" s="279" t="s">
        <v>3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  <c r="L3" s="401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America'!$FX$22</f>
        <v>0</v>
      </c>
      <c r="C5" s="131">
        <f>'[3]Shuttle America_Delta'!$FX$22</f>
        <v>0</v>
      </c>
      <c r="D5" s="456">
        <f>[3]Horizon_AS!$FX$22</f>
        <v>2190</v>
      </c>
      <c r="E5" s="456">
        <f>[3]PSA!$FX$22</f>
        <v>0</v>
      </c>
      <c r="F5" s="21">
        <f>[3]Compass!$FX$22+[3]Compass!$FX$32</f>
        <v>0</v>
      </c>
      <c r="G5" s="131">
        <f>'[3]Atlantic Southeast'!$FX$22+'[3]Atlantic Southeast'!$FX$32</f>
        <v>0</v>
      </c>
      <c r="H5" s="131">
        <f>'[3]Continental Express'!$FX$22</f>
        <v>0</v>
      </c>
      <c r="I5" s="130">
        <f>'[3]Go Jet_UA'!$FX$22</f>
        <v>0</v>
      </c>
      <c r="J5" s="21">
        <f>'[3]Go Jet'!$FX$22+'[3]Go Jet'!$FX$32</f>
        <v>11200</v>
      </c>
      <c r="K5" s="132">
        <f>'[3]Air Wisconsin'!$FX$22</f>
        <v>0</v>
      </c>
      <c r="L5" s="130">
        <f>[3]MESA!$FX$22</f>
        <v>0</v>
      </c>
      <c r="M5" s="110">
        <f>SUM(B5:L5)</f>
        <v>13390</v>
      </c>
    </row>
    <row r="6" spans="1:13" s="10" customFormat="1" x14ac:dyDescent="0.2">
      <c r="A6" s="62" t="s">
        <v>31</v>
      </c>
      <c r="B6" s="131">
        <f>'[3]Shuttle America'!$FX$23</f>
        <v>0</v>
      </c>
      <c r="C6" s="131">
        <f>'[3]Shuttle America_Delta'!$FX$23</f>
        <v>0</v>
      </c>
      <c r="D6" s="456">
        <f>[3]Horizon_AS!$FX$23</f>
        <v>2267</v>
      </c>
      <c r="E6" s="456">
        <f>[3]PSA!$FX$23</f>
        <v>0</v>
      </c>
      <c r="F6" s="14">
        <f>[3]Compass!$FX$23+[3]Compass!$FX$33</f>
        <v>0</v>
      </c>
      <c r="G6" s="131">
        <f>'[3]Atlantic Southeast'!$FX$23+'[3]Atlantic Southeast'!$FX$33</f>
        <v>0</v>
      </c>
      <c r="H6" s="131">
        <f>'[3]Continental Express'!$FX$23</f>
        <v>0</v>
      </c>
      <c r="I6" s="130">
        <f>'[3]Go Jet_UA'!$FX$23</f>
        <v>0</v>
      </c>
      <c r="J6" s="14">
        <f>'[3]Go Jet'!$FX$23+'[3]Go Jet'!$FX$33</f>
        <v>11276</v>
      </c>
      <c r="K6" s="132">
        <f>'[3]Air Wisconsin'!$FX$23</f>
        <v>0</v>
      </c>
      <c r="L6" s="130">
        <f>[3]MESA!$FX$23</f>
        <v>0</v>
      </c>
      <c r="M6" s="115">
        <f>SUM(B6:L6)</f>
        <v>13543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0</v>
      </c>
      <c r="D7" s="133">
        <f t="shared" ref="D7" si="1">SUM(D5:D6)</f>
        <v>4457</v>
      </c>
      <c r="E7" s="133">
        <f t="shared" si="0"/>
        <v>0</v>
      </c>
      <c r="F7" s="133">
        <f>SUM(F5:F6)</f>
        <v>0</v>
      </c>
      <c r="G7" s="133">
        <f t="shared" si="0"/>
        <v>0</v>
      </c>
      <c r="H7" s="133">
        <f t="shared" si="0"/>
        <v>0</v>
      </c>
      <c r="I7" s="133">
        <f t="shared" si="0"/>
        <v>0</v>
      </c>
      <c r="J7" s="133">
        <f>SUM(J5:J6)</f>
        <v>22476</v>
      </c>
      <c r="K7" s="133">
        <f t="shared" si="0"/>
        <v>0</v>
      </c>
      <c r="L7" s="133">
        <f t="shared" si="0"/>
        <v>0</v>
      </c>
      <c r="M7" s="134">
        <f>SUM(B7:L7)</f>
        <v>26933</v>
      </c>
    </row>
    <row r="8" spans="1:13" ht="13.5" thickTop="1" x14ac:dyDescent="0.2">
      <c r="A8" s="62"/>
      <c r="B8" s="131"/>
      <c r="C8" s="131"/>
      <c r="D8" s="456"/>
      <c r="E8" s="456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6"/>
      <c r="E9" s="456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America'!$FX$27</f>
        <v>0</v>
      </c>
      <c r="C10" s="131">
        <f>'[3]Shuttle America_Delta'!$FX$27</f>
        <v>0</v>
      </c>
      <c r="D10" s="456">
        <f>[3]Horizon_AS!$FX$27</f>
        <v>79</v>
      </c>
      <c r="E10" s="456">
        <f>[3]PSA!$FX$27</f>
        <v>0</v>
      </c>
      <c r="F10" s="21">
        <f>[3]Compass!$FX$27+[3]Compass!$FX$37</f>
        <v>0</v>
      </c>
      <c r="G10" s="21">
        <f>'[3]Atlantic Southeast'!$FX$27+'[3]Atlantic Southeast'!$FX$37</f>
        <v>0</v>
      </c>
      <c r="H10" s="131">
        <f>'[3]Continental Express'!$FX$27</f>
        <v>0</v>
      </c>
      <c r="I10" s="130">
        <f>'[3]Go Jet_UA'!$FX$27</f>
        <v>0</v>
      </c>
      <c r="J10" s="21">
        <f>'[3]Go Jet'!$FX$27+'[3]Go Jet'!$FX$37</f>
        <v>301</v>
      </c>
      <c r="K10" s="132">
        <f>'[3]Air Wisconsin'!$FX$27</f>
        <v>0</v>
      </c>
      <c r="L10" s="130">
        <f>[3]MESA!$FX$27</f>
        <v>0</v>
      </c>
      <c r="M10" s="110">
        <f>SUM(B10:L10)</f>
        <v>380</v>
      </c>
    </row>
    <row r="11" spans="1:13" x14ac:dyDescent="0.2">
      <c r="A11" s="62" t="s">
        <v>33</v>
      </c>
      <c r="B11" s="131">
        <f>'[3]Shuttle America'!$FX$28</f>
        <v>0</v>
      </c>
      <c r="C11" s="131">
        <f>'[3]Shuttle America_Delta'!$FX$28</f>
        <v>0</v>
      </c>
      <c r="D11" s="456">
        <f>[3]Horizon_AS!$FX$28</f>
        <v>78</v>
      </c>
      <c r="E11" s="456">
        <f>[3]PSA!$FX$28</f>
        <v>0</v>
      </c>
      <c r="F11" s="14">
        <f>[3]Compass!$FX$28+[3]Compass!$FX$38</f>
        <v>0</v>
      </c>
      <c r="G11" s="14">
        <f>'[3]Atlantic Southeast'!$FX$28+'[3]Atlantic Southeast'!$FX$38</f>
        <v>0</v>
      </c>
      <c r="H11" s="131">
        <f>'[3]Continental Express'!$FX$28</f>
        <v>0</v>
      </c>
      <c r="I11" s="130">
        <f>'[3]Go Jet_UA'!$FX$28</f>
        <v>0</v>
      </c>
      <c r="J11" s="14">
        <f>'[3]Go Jet'!$FX$28+'[3]Go Jet'!$FX$38</f>
        <v>278</v>
      </c>
      <c r="K11" s="132">
        <f>'[3]Air Wisconsin'!$FX$28</f>
        <v>0</v>
      </c>
      <c r="L11" s="130">
        <f>[3]MESA!$FX$28</f>
        <v>0</v>
      </c>
      <c r="M11" s="115">
        <f>SUM(B11:L11)</f>
        <v>356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:E12" si="2">SUM(D10:D11)</f>
        <v>157</v>
      </c>
      <c r="E12" s="136">
        <f t="shared" si="2"/>
        <v>0</v>
      </c>
      <c r="F12" s="136">
        <f t="shared" ref="F12:L12" si="3">SUM(F10:F11)</f>
        <v>0</v>
      </c>
      <c r="G12" s="136">
        <f t="shared" si="3"/>
        <v>0</v>
      </c>
      <c r="H12" s="136">
        <f t="shared" si="3"/>
        <v>0</v>
      </c>
      <c r="I12" s="136">
        <f t="shared" si="3"/>
        <v>0</v>
      </c>
      <c r="J12" s="136">
        <f t="shared" ref="J12" si="4">SUM(J10:J11)</f>
        <v>579</v>
      </c>
      <c r="K12" s="136">
        <f t="shared" si="3"/>
        <v>0</v>
      </c>
      <c r="L12" s="136">
        <f t="shared" si="3"/>
        <v>0</v>
      </c>
      <c r="M12" s="137">
        <f>SUM(B12:L12)</f>
        <v>736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America'!$FX$4</f>
        <v>0</v>
      </c>
      <c r="C15" s="106">
        <f>'[3]Shuttle America_Delta'!$FX$4</f>
        <v>0</v>
      </c>
      <c r="D15" s="457">
        <f>[3]Horizon_AS!$FX$4</f>
        <v>33</v>
      </c>
      <c r="E15" s="457">
        <f>[3]PSA!$FX$4</f>
        <v>0</v>
      </c>
      <c r="F15" s="21">
        <f>[3]Compass!$FX$4+[3]Compass!$FX$15</f>
        <v>0</v>
      </c>
      <c r="G15" s="107">
        <f>'[3]Atlantic Southeast'!$FX$4+'[3]Atlantic Southeast'!$FX$15</f>
        <v>0</v>
      </c>
      <c r="H15" s="107">
        <f>'[3]Continental Express'!$FX$4</f>
        <v>0</v>
      </c>
      <c r="I15" s="106">
        <f>'[3]Go Jet_UA'!$FX$4</f>
        <v>0</v>
      </c>
      <c r="J15" s="21">
        <f>'[3]Go Jet'!$FX$4+'[3]Go Jet'!$FX$15</f>
        <v>182</v>
      </c>
      <c r="K15" s="108">
        <f>'[3]Air Wisconsin'!$FX$4</f>
        <v>0</v>
      </c>
      <c r="L15" s="106">
        <f>[3]MESA!$FX$4</f>
        <v>0</v>
      </c>
      <c r="M15" s="110">
        <f t="shared" ref="M15:M21" si="5">SUM(B15:L15)</f>
        <v>215</v>
      </c>
    </row>
    <row r="16" spans="1:13" x14ac:dyDescent="0.2">
      <c r="A16" s="62" t="s">
        <v>54</v>
      </c>
      <c r="B16" s="111">
        <f>'[3]Shuttle America'!$FX$5</f>
        <v>0</v>
      </c>
      <c r="C16" s="111">
        <f>'[3]Shuttle America_Delta'!$FX$5</f>
        <v>0</v>
      </c>
      <c r="D16" s="458">
        <f>[3]Horizon_AS!$FX$5</f>
        <v>33</v>
      </c>
      <c r="E16" s="458">
        <f>[3]PSA!$FX$5</f>
        <v>0</v>
      </c>
      <c r="F16" s="14">
        <f>[3]Compass!$FX$5+[3]Compass!$FX$16</f>
        <v>0</v>
      </c>
      <c r="G16" s="112">
        <f>'[3]Atlantic Southeast'!$FX$5+'[3]Atlantic Southeast'!$FX$16</f>
        <v>0</v>
      </c>
      <c r="H16" s="112">
        <f>'[3]Continental Express'!$FX$5</f>
        <v>0</v>
      </c>
      <c r="I16" s="111">
        <f>'[3]Go Jet_UA'!$FX$5</f>
        <v>0</v>
      </c>
      <c r="J16" s="14">
        <f>'[3]Go Jet'!$FX$5+'[3]Go Jet'!$FX$16</f>
        <v>185</v>
      </c>
      <c r="K16" s="113">
        <f>'[3]Air Wisconsin'!$FX$5</f>
        <v>0</v>
      </c>
      <c r="L16" s="111">
        <f>[3]MESA!$FX$5</f>
        <v>0</v>
      </c>
      <c r="M16" s="115">
        <f t="shared" si="5"/>
        <v>218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0</v>
      </c>
      <c r="D17" s="116">
        <f t="shared" ref="D17:E17" si="6">SUM(D15:D16)</f>
        <v>66</v>
      </c>
      <c r="E17" s="116">
        <f t="shared" si="6"/>
        <v>0</v>
      </c>
      <c r="F17" s="286">
        <f>SUM(F15:F16)</f>
        <v>0</v>
      </c>
      <c r="G17" s="116">
        <f t="shared" ref="G17:L17" si="7">SUM(G15:G16)</f>
        <v>0</v>
      </c>
      <c r="H17" s="116">
        <f t="shared" si="7"/>
        <v>0</v>
      </c>
      <c r="I17" s="116">
        <f t="shared" si="7"/>
        <v>0</v>
      </c>
      <c r="J17" s="286">
        <f>SUM(J15:J16)</f>
        <v>367</v>
      </c>
      <c r="K17" s="116">
        <f t="shared" si="7"/>
        <v>0</v>
      </c>
      <c r="L17" s="116">
        <f t="shared" si="7"/>
        <v>0</v>
      </c>
      <c r="M17" s="117">
        <f t="shared" si="5"/>
        <v>433</v>
      </c>
    </row>
    <row r="18" spans="1:13" x14ac:dyDescent="0.2">
      <c r="A18" s="62" t="s">
        <v>56</v>
      </c>
      <c r="B18" s="118">
        <f>'[3]Shuttle America'!$FX$8</f>
        <v>0</v>
      </c>
      <c r="C18" s="118">
        <f>'[3]Shuttle America_Delta'!$FX$8</f>
        <v>0</v>
      </c>
      <c r="D18" s="118">
        <f>[3]Horizon_AS!$FX$8</f>
        <v>0</v>
      </c>
      <c r="E18" s="118">
        <f>[3]PSA!$FX$8</f>
        <v>0</v>
      </c>
      <c r="F18" s="21">
        <f>[3]Compass!$FX$8</f>
        <v>0</v>
      </c>
      <c r="G18" s="109">
        <f>'[3]Atlantic Southeast'!$FX$8</f>
        <v>0</v>
      </c>
      <c r="H18" s="109">
        <f>'[3]Continental Express'!$FX$8</f>
        <v>0</v>
      </c>
      <c r="I18" s="118">
        <f>'[3]Go Jet_UA'!$FX$8</f>
        <v>0</v>
      </c>
      <c r="J18" s="21">
        <f>'[3]Go Jet'!$FX$8</f>
        <v>0</v>
      </c>
      <c r="K18" s="119">
        <f>'[3]Air Wisconsin'!$FX$8</f>
        <v>0</v>
      </c>
      <c r="L18" s="118">
        <f>[3]MESA!$FX$8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America'!$FX$9</f>
        <v>0</v>
      </c>
      <c r="C19" s="120">
        <f>'[3]Shuttle America_Delta'!$FX$9</f>
        <v>0</v>
      </c>
      <c r="D19" s="120">
        <f>[3]Horizon_AS!$FX$9</f>
        <v>0</v>
      </c>
      <c r="E19" s="120">
        <f>[3]PSA!$FX$9</f>
        <v>0</v>
      </c>
      <c r="F19" s="14">
        <f>[3]Compass!$FX$9</f>
        <v>0</v>
      </c>
      <c r="G19" s="114">
        <f>'[3]Atlantic Southeast'!$FX$9</f>
        <v>0</v>
      </c>
      <c r="H19" s="114">
        <f>'[3]Continental Express'!$FX$9</f>
        <v>0</v>
      </c>
      <c r="I19" s="120">
        <f>'[3]Go Jet_UA'!$FX$9</f>
        <v>0</v>
      </c>
      <c r="J19" s="14">
        <f>'[3]Go Jet'!$FX$9</f>
        <v>0</v>
      </c>
      <c r="K19" s="121">
        <f>'[3]Air Wisconsin'!$FX$9</f>
        <v>0</v>
      </c>
      <c r="L19" s="120">
        <f>[3]MESA!$FX$9</f>
        <v>0</v>
      </c>
      <c r="M19" s="115">
        <f t="shared" si="5"/>
        <v>0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0</v>
      </c>
      <c r="K20" s="116">
        <f t="shared" si="9"/>
        <v>0</v>
      </c>
      <c r="L20" s="116">
        <f t="shared" si="9"/>
        <v>0</v>
      </c>
      <c r="M20" s="117">
        <f t="shared" si="5"/>
        <v>0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0</v>
      </c>
      <c r="D21" s="122">
        <f t="shared" ref="D21:E21" si="10">SUM(D20,D17)</f>
        <v>66</v>
      </c>
      <c r="E21" s="122">
        <f t="shared" si="10"/>
        <v>0</v>
      </c>
      <c r="F21" s="122">
        <f t="shared" ref="F21:L21" si="11">SUM(F20,F17)</f>
        <v>0</v>
      </c>
      <c r="G21" s="122">
        <f t="shared" si="11"/>
        <v>0</v>
      </c>
      <c r="H21" s="122">
        <f t="shared" si="11"/>
        <v>0</v>
      </c>
      <c r="I21" s="122">
        <f t="shared" si="11"/>
        <v>0</v>
      </c>
      <c r="J21" s="122">
        <f t="shared" ref="J21" si="12">SUM(J20,J17)</f>
        <v>367</v>
      </c>
      <c r="K21" s="122">
        <f t="shared" si="11"/>
        <v>0</v>
      </c>
      <c r="L21" s="122">
        <f t="shared" si="11"/>
        <v>0</v>
      </c>
      <c r="M21" s="123">
        <f t="shared" si="5"/>
        <v>433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America'!$FX$47</f>
        <v>0</v>
      </c>
      <c r="C25" s="130">
        <f>'[3]Shuttle America_Delta'!$FX$47</f>
        <v>0</v>
      </c>
      <c r="D25" s="130">
        <f>[3]Horizon_AS!$FX$47</f>
        <v>586</v>
      </c>
      <c r="E25" s="130">
        <f>[3]PSA!$FX$47</f>
        <v>0</v>
      </c>
      <c r="F25" s="130">
        <f>[3]Compass!$FX$47</f>
        <v>0</v>
      </c>
      <c r="G25" s="131">
        <f>'[3]Atlantic Southeast'!$FX$47</f>
        <v>0</v>
      </c>
      <c r="H25" s="131">
        <f>'[3]Continental Express'!$FX$47</f>
        <v>0</v>
      </c>
      <c r="I25" s="130">
        <f>'[3]Go Jet_UA'!$FX$47</f>
        <v>0</v>
      </c>
      <c r="J25" s="130">
        <f>'[3]Go Jet'!$FX$47</f>
        <v>0</v>
      </c>
      <c r="K25" s="132">
        <f>'[3]Air Wisconsin'!$FX$47</f>
        <v>0</v>
      </c>
      <c r="L25" s="130">
        <f>[3]MESA!$FX$47</f>
        <v>0</v>
      </c>
      <c r="M25" s="110">
        <f>SUM(B25:L25)</f>
        <v>586</v>
      </c>
    </row>
    <row r="26" spans="1:13" x14ac:dyDescent="0.2">
      <c r="A26" s="75" t="s">
        <v>38</v>
      </c>
      <c r="B26" s="130">
        <f>'[3]Shuttle America'!$FX$48</f>
        <v>0</v>
      </c>
      <c r="C26" s="130">
        <f>'[3]Shuttle America_Delta'!$FX$48</f>
        <v>0</v>
      </c>
      <c r="D26" s="130">
        <f>[3]Horizon_AS!$FX$48</f>
        <v>464</v>
      </c>
      <c r="E26" s="130">
        <f>[3]PSA!$FX$48</f>
        <v>0</v>
      </c>
      <c r="F26" s="130">
        <f>[3]Compass!$FX$48</f>
        <v>0</v>
      </c>
      <c r="G26" s="131">
        <f>'[3]Atlantic Southeast'!$FX$48</f>
        <v>0</v>
      </c>
      <c r="H26" s="131">
        <f>'[3]Continental Express'!$FX$48</f>
        <v>0</v>
      </c>
      <c r="I26" s="130">
        <f>'[3]Go Jet_UA'!$FX$48</f>
        <v>0</v>
      </c>
      <c r="J26" s="130">
        <f>'[3]Go Jet'!$FX$48</f>
        <v>0</v>
      </c>
      <c r="K26" s="132">
        <f>'[3]Air Wisconsin'!$FX$48</f>
        <v>0</v>
      </c>
      <c r="L26" s="130">
        <f>[3]MESA!$FX$48</f>
        <v>0</v>
      </c>
      <c r="M26" s="110">
        <f>SUM(B26:L26)</f>
        <v>464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1050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0</v>
      </c>
      <c r="K27" s="133">
        <f t="shared" si="14"/>
        <v>0</v>
      </c>
      <c r="L27" s="133">
        <f t="shared" si="14"/>
        <v>0</v>
      </c>
      <c r="M27" s="134">
        <f>SUM(B27:L27)</f>
        <v>1050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America'!$FX$52</f>
        <v>0</v>
      </c>
      <c r="C30" s="130">
        <f>'[3]Shuttle America_Delta'!$FX$52</f>
        <v>0</v>
      </c>
      <c r="D30" s="130">
        <f>[3]Horizon_AS!$FX$52</f>
        <v>0</v>
      </c>
      <c r="E30" s="130">
        <f>[3]PSA!$FX$52</f>
        <v>0</v>
      </c>
      <c r="F30" s="130">
        <f>[3]Compass!$FX$52</f>
        <v>0</v>
      </c>
      <c r="G30" s="131">
        <f>'[3]Atlantic Southeast'!$FX$52</f>
        <v>0</v>
      </c>
      <c r="H30" s="131">
        <f>'[3]Continental Express'!$FX$52</f>
        <v>0</v>
      </c>
      <c r="I30" s="130">
        <f>'[3]Go Jet_UA'!$FX$52</f>
        <v>0</v>
      </c>
      <c r="J30" s="130">
        <f>'[3]Go Jet'!$FX$52</f>
        <v>0</v>
      </c>
      <c r="K30" s="132">
        <f>'[3]Air Wisconsin'!BH$52</f>
        <v>0</v>
      </c>
      <c r="L30" s="130">
        <f>[3]MESA!$FX$52</f>
        <v>0</v>
      </c>
      <c r="M30" s="110">
        <f>SUM(B30:L30)</f>
        <v>0</v>
      </c>
    </row>
    <row r="31" spans="1:13" x14ac:dyDescent="0.2">
      <c r="A31" s="75" t="s">
        <v>60</v>
      </c>
      <c r="B31" s="130">
        <f>'[3]Shuttle America'!$FX$53</f>
        <v>0</v>
      </c>
      <c r="C31" s="130">
        <f>'[3]Shuttle America_Delta'!$FX$53</f>
        <v>0</v>
      </c>
      <c r="D31" s="130">
        <f>[3]Horizon_AS!$FX$53</f>
        <v>4413</v>
      </c>
      <c r="E31" s="130">
        <f>[3]PSA!$FX$53</f>
        <v>0</v>
      </c>
      <c r="F31" s="130">
        <f>[3]Compass!$FX$53</f>
        <v>0</v>
      </c>
      <c r="G31" s="131">
        <f>'[3]Atlantic Southeast'!$FX$53</f>
        <v>0</v>
      </c>
      <c r="H31" s="131">
        <f>'[3]Continental Express'!$FX$53</f>
        <v>0</v>
      </c>
      <c r="I31" s="130">
        <f>'[3]Go Jet_UA'!$FX$53</f>
        <v>0</v>
      </c>
      <c r="J31" s="130">
        <f>'[3]Go Jet'!$FX$53</f>
        <v>0</v>
      </c>
      <c r="K31" s="132">
        <f>'[3]Air Wisconsin'!$FX$53</f>
        <v>0</v>
      </c>
      <c r="L31" s="130">
        <f>[3]MESA!$FX$53</f>
        <v>0</v>
      </c>
      <c r="M31" s="110">
        <f>SUM(B31:L31)</f>
        <v>4413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4413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4413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America'!$FX$57</f>
        <v>0</v>
      </c>
      <c r="C35" s="130">
        <f>'[3]Shuttle America_Delta'!$FX$57</f>
        <v>0</v>
      </c>
      <c r="D35" s="130">
        <f>[3]Horizon_AS!$FX$57</f>
        <v>0</v>
      </c>
      <c r="E35" s="130">
        <f>[3]PSA!$FX$57</f>
        <v>0</v>
      </c>
      <c r="F35" s="130">
        <f>[3]Compass!$FX$57</f>
        <v>0</v>
      </c>
      <c r="G35" s="131">
        <f>'[3]Atlantic Southeast'!$FX$57</f>
        <v>0</v>
      </c>
      <c r="H35" s="131">
        <f>'[3]Continental Express'!$FX$57</f>
        <v>0</v>
      </c>
      <c r="I35" s="130">
        <f>'[3]Go Jet_UA'!$AJ$57</f>
        <v>0</v>
      </c>
      <c r="J35" s="130">
        <f>'[3]Go Jet'!$FX$57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586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0</v>
      </c>
      <c r="K40" s="130">
        <f t="shared" si="20"/>
        <v>0</v>
      </c>
      <c r="L40" s="130">
        <f t="shared" si="20"/>
        <v>0</v>
      </c>
      <c r="M40" s="110">
        <f>SUM(B40:L40)</f>
        <v>586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4877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4877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5463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0</v>
      </c>
      <c r="K42" s="136">
        <f t="shared" si="26"/>
        <v>0</v>
      </c>
      <c r="L42" s="136">
        <f t="shared" si="26"/>
        <v>0</v>
      </c>
      <c r="M42" s="137">
        <f>SUM(B42:L42)</f>
        <v>5463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5" t="s">
        <v>124</v>
      </c>
      <c r="C46" s="322">
        <f>'[3]Shuttle America_Delta'!$FX$70+'[3]Shuttle America_Delta'!$FX$73</f>
        <v>0</v>
      </c>
      <c r="D46" s="5"/>
      <c r="F46" s="322">
        <f>[3]Compass!$FX$70+[3]Compass!$FX$73</f>
        <v>0</v>
      </c>
      <c r="G46" s="322">
        <f>'[3]Atlantic Southeast'!$FX$70+'[3]Atlantic Southeast'!$FX$73</f>
        <v>0</v>
      </c>
      <c r="J46" s="322">
        <f>'[3]Go Jet'!$FX$70+'[3]Go Jet'!$FX$73</f>
        <v>5852</v>
      </c>
      <c r="M46" s="388">
        <f>SUM(B46:L46)</f>
        <v>5852</v>
      </c>
    </row>
    <row r="47" spans="1:13" x14ac:dyDescent="0.2">
      <c r="A47" s="389" t="s">
        <v>125</v>
      </c>
      <c r="C47" s="322">
        <f>'[3]Shuttle America_Delta'!$FX$71+'[3]Shuttle America_Delta'!$FX$74</f>
        <v>0</v>
      </c>
      <c r="D47" s="5"/>
      <c r="F47" s="322">
        <f>[3]Compass!$FX$71+[3]Compass!$FX$74</f>
        <v>0</v>
      </c>
      <c r="G47" s="322">
        <f>'[3]Atlantic Southeast'!$FX$71+'[3]Atlantic Southeast'!$FX$74</f>
        <v>0</v>
      </c>
      <c r="J47" s="322">
        <f>'[3]Go Jet'!$FX$71+'[3]Go Jet'!$FX$74</f>
        <v>5424</v>
      </c>
      <c r="M47" s="388">
        <f>SUM(B47:L47)</f>
        <v>5424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November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11" sqref="E1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8">
        <v>43405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7"/>
      <c r="C4" s="184"/>
      <c r="D4" s="184"/>
      <c r="E4" s="184"/>
      <c r="F4" s="184"/>
      <c r="G4" s="254"/>
    </row>
    <row r="5" spans="1:17" x14ac:dyDescent="0.2">
      <c r="A5" s="62" t="s">
        <v>30</v>
      </c>
      <c r="B5" s="417">
        <f>'[3]Charter Misc'!$FX$22</f>
        <v>241</v>
      </c>
      <c r="C5" s="184">
        <f>[3]Ryan!$FX$22</f>
        <v>0</v>
      </c>
      <c r="D5" s="184">
        <f>'[3]Charter Misc'!$FX$32</f>
        <v>0</v>
      </c>
      <c r="E5" s="184">
        <f>[3]Omni!$FX$32</f>
        <v>0</v>
      </c>
      <c r="F5" s="184">
        <f>[3]Xtra!$FX$32+[3]Xtra!$FX$22</f>
        <v>0</v>
      </c>
      <c r="G5" s="339">
        <f>SUM(B5:F5)</f>
        <v>241</v>
      </c>
    </row>
    <row r="6" spans="1:17" x14ac:dyDescent="0.2">
      <c r="A6" s="62" t="s">
        <v>31</v>
      </c>
      <c r="B6" s="418">
        <f>'[3]Charter Misc'!$FX$23</f>
        <v>147</v>
      </c>
      <c r="C6" s="187">
        <f>[3]Ryan!$FX$23</f>
        <v>0</v>
      </c>
      <c r="D6" s="187">
        <f>'[3]Charter Misc'!$FX$33</f>
        <v>0</v>
      </c>
      <c r="E6" s="187">
        <f>[3]Omni!$FX$33</f>
        <v>0</v>
      </c>
      <c r="F6" s="187">
        <f>[3]Xtra!$FX$33+[3]Xtra!$FX$23</f>
        <v>0</v>
      </c>
      <c r="G6" s="338">
        <f>SUM(B6:F6)</f>
        <v>147</v>
      </c>
    </row>
    <row r="7" spans="1:17" ht="15.75" thickBot="1" x14ac:dyDescent="0.3">
      <c r="A7" s="183" t="s">
        <v>7</v>
      </c>
      <c r="B7" s="419">
        <f>SUM(B5:B6)</f>
        <v>388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388</v>
      </c>
    </row>
    <row r="8" spans="1:17" ht="13.5" thickBot="1" x14ac:dyDescent="0.25"/>
    <row r="9" spans="1:17" x14ac:dyDescent="0.2">
      <c r="A9" s="181" t="s">
        <v>9</v>
      </c>
      <c r="B9" s="420"/>
      <c r="C9" s="45"/>
      <c r="D9" s="45"/>
      <c r="E9" s="45"/>
      <c r="F9" s="45"/>
      <c r="G9" s="57"/>
    </row>
    <row r="10" spans="1:17" x14ac:dyDescent="0.2">
      <c r="A10" s="182" t="s">
        <v>80</v>
      </c>
      <c r="B10" s="417">
        <f>'[3]Charter Misc'!$FX$4</f>
        <v>2</v>
      </c>
      <c r="C10" s="184">
        <f>[3]Ryan!$FX$4</f>
        <v>0</v>
      </c>
      <c r="D10" s="184">
        <f>'[3]Charter Misc'!$FX$15</f>
        <v>0</v>
      </c>
      <c r="E10" s="184">
        <f>[3]Omni!$FX$15+[3]Omni!$FX$8</f>
        <v>1</v>
      </c>
      <c r="F10" s="184">
        <f>[3]Xtra!$FX$15+[3]Xtra!$FX$4</f>
        <v>0</v>
      </c>
      <c r="G10" s="338">
        <f>SUM(B10:F10)</f>
        <v>3</v>
      </c>
    </row>
    <row r="11" spans="1:17" x14ac:dyDescent="0.2">
      <c r="A11" s="182" t="s">
        <v>81</v>
      </c>
      <c r="B11" s="417">
        <f>'[3]Charter Misc'!$FX$5</f>
        <v>1</v>
      </c>
      <c r="C11" s="184">
        <f>[3]Ryan!$FX$5</f>
        <v>0</v>
      </c>
      <c r="D11" s="184">
        <f>'[3]Charter Misc'!$FX$16</f>
        <v>0</v>
      </c>
      <c r="E11" s="184">
        <f>[3]Omni!$FX$16</f>
        <v>0</v>
      </c>
      <c r="F11" s="184">
        <f>[3]Xtra!$FX$16+[3]Xtra!$FX$5</f>
        <v>0</v>
      </c>
      <c r="G11" s="338">
        <f>SUM(B11:F11)</f>
        <v>1</v>
      </c>
    </row>
    <row r="12" spans="1:17" ht="15.75" thickBot="1" x14ac:dyDescent="0.3">
      <c r="A12" s="277" t="s">
        <v>28</v>
      </c>
      <c r="B12" s="421">
        <f>SUM(B10:B11)</f>
        <v>3</v>
      </c>
      <c r="C12" s="300">
        <f>SUM(C10:C11)</f>
        <v>0</v>
      </c>
      <c r="D12" s="300">
        <f>SUM(D10:D11)</f>
        <v>0</v>
      </c>
      <c r="E12" s="300">
        <f>SUM(E10:E11)</f>
        <v>1</v>
      </c>
      <c r="F12" s="300">
        <f>SUM(F10:F11)</f>
        <v>0</v>
      </c>
      <c r="G12" s="301">
        <f>SUM(B12:F12)</f>
        <v>4</v>
      </c>
      <c r="Q12" s="130"/>
    </row>
    <row r="17" spans="1:16" x14ac:dyDescent="0.2">
      <c r="B17" s="523" t="s">
        <v>155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3"/>
      <c r="B19" s="526" t="s">
        <v>121</v>
      </c>
      <c r="C19" s="527"/>
      <c r="D19" s="527"/>
      <c r="E19" s="528"/>
      <c r="G19" s="526" t="s">
        <v>122</v>
      </c>
      <c r="H19" s="529"/>
      <c r="I19" s="529"/>
      <c r="J19" s="530"/>
      <c r="L19" s="531" t="s">
        <v>123</v>
      </c>
      <c r="M19" s="532"/>
      <c r="N19" s="532"/>
      <c r="O19" s="533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0" t="s">
        <v>226</v>
      </c>
      <c r="J20" s="500" t="s">
        <v>190</v>
      </c>
      <c r="K20" s="243" t="s">
        <v>99</v>
      </c>
      <c r="L20" s="242" t="s">
        <v>103</v>
      </c>
      <c r="M20" s="236" t="s">
        <v>104</v>
      </c>
      <c r="N20" s="500" t="s">
        <v>226</v>
      </c>
      <c r="O20" s="500" t="s">
        <v>190</v>
      </c>
      <c r="P20" s="243" t="s">
        <v>99</v>
      </c>
    </row>
    <row r="21" spans="1:16" ht="14.1" customHeight="1" x14ac:dyDescent="0.2">
      <c r="A21" s="246" t="s">
        <v>105</v>
      </c>
      <c r="B21" s="510">
        <f>+[4]Charter!$B$21</f>
        <v>137179</v>
      </c>
      <c r="C21" s="511">
        <f>+[4]Charter!$C$21</f>
        <v>131658</v>
      </c>
      <c r="D21" s="508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0">
        <f>+[4]Charter!$G$21</f>
        <v>1202691</v>
      </c>
      <c r="H21" s="511">
        <f>+[4]Charter!$H$21</f>
        <v>1213282</v>
      </c>
      <c r="I21" s="508">
        <f t="shared" ref="I21:I26" si="2">SUM(G21:H21)</f>
        <v>2415973</v>
      </c>
      <c r="J21" s="335">
        <f>[5]Charter!$I$21</f>
        <v>2435679</v>
      </c>
      <c r="K21" s="247">
        <f t="shared" ref="K21:K32" si="3">(I21-J21)/J21</f>
        <v>-8.0905570890088558E-3</v>
      </c>
      <c r="L21" s="510">
        <f>+[4]Charter!$L$21</f>
        <v>1339870</v>
      </c>
      <c r="M21" s="511">
        <f>+[4]Charter!$M$21</f>
        <v>1344940</v>
      </c>
      <c r="N21" s="508">
        <f t="shared" ref="N21:N32" si="4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07">
        <f t="shared" ref="D22" si="5">SUM(B22:C22)</f>
        <v>285115</v>
      </c>
      <c r="E22" s="336">
        <f>[7]Charter!D22</f>
        <v>272463</v>
      </c>
      <c r="F22" s="334">
        <f t="shared" si="1"/>
        <v>4.6435662823943069E-2</v>
      </c>
      <c r="G22" s="506">
        <f t="shared" ref="G22:G23" si="6">L22-B22</f>
        <v>1192631</v>
      </c>
      <c r="H22" s="507">
        <f t="shared" ref="H22:H23" si="7">M22-C22</f>
        <v>1233627</v>
      </c>
      <c r="I22" s="507">
        <f t="shared" si="2"/>
        <v>2426258</v>
      </c>
      <c r="J22" s="336">
        <f>[7]Charter!I22</f>
        <v>2337959</v>
      </c>
      <c r="K22" s="250">
        <f t="shared" si="3"/>
        <v>3.7767557087185877E-2</v>
      </c>
      <c r="L22" s="331">
        <f>+[6]Charter!$L22</f>
        <v>1334274</v>
      </c>
      <c r="M22" s="333">
        <f>+[6]Charter!$M22</f>
        <v>1377099</v>
      </c>
      <c r="N22" s="507">
        <f t="shared" ref="N22" si="8">SUM(L22:M22)</f>
        <v>2711373</v>
      </c>
      <c r="O22" s="336">
        <f>[7]Charter!N22</f>
        <v>2610422</v>
      </c>
      <c r="P22" s="249">
        <f t="shared" ref="P22:P32" si="9">(N22-O22)/O22</f>
        <v>3.8672291300027355E-2</v>
      </c>
    </row>
    <row r="23" spans="1:16" ht="14.1" customHeight="1" x14ac:dyDescent="0.2">
      <c r="A23" s="248" t="s">
        <v>107</v>
      </c>
      <c r="B23" s="331">
        <f>+[8]Charter!$B23</f>
        <v>183302</v>
      </c>
      <c r="C23" s="333">
        <f>+[8]Charter!$C23</f>
        <v>184526</v>
      </c>
      <c r="D23" s="332">
        <f t="shared" si="0"/>
        <v>367828</v>
      </c>
      <c r="E23" s="336">
        <f>[9]Charter!D23</f>
        <v>348451</v>
      </c>
      <c r="F23" s="249">
        <f t="shared" si="1"/>
        <v>5.5608966540489191E-2</v>
      </c>
      <c r="G23" s="506">
        <f t="shared" si="6"/>
        <v>1511202</v>
      </c>
      <c r="H23" s="507">
        <f t="shared" si="7"/>
        <v>1531837</v>
      </c>
      <c r="I23" s="332">
        <f t="shared" si="2"/>
        <v>3043039</v>
      </c>
      <c r="J23" s="336">
        <f>[9]Charter!I23</f>
        <v>3083230</v>
      </c>
      <c r="K23" s="250">
        <f t="shared" si="3"/>
        <v>-1.3035355779490988E-2</v>
      </c>
      <c r="L23" s="331">
        <f>+[8]Charter!$L23</f>
        <v>1694504</v>
      </c>
      <c r="M23" s="333">
        <f>+[8]Charter!$M23</f>
        <v>1716363</v>
      </c>
      <c r="N23" s="332">
        <f t="shared" si="4"/>
        <v>3410867</v>
      </c>
      <c r="O23" s="336">
        <f>[9]Charter!N23</f>
        <v>3431681</v>
      </c>
      <c r="P23" s="249">
        <f t="shared" si="9"/>
        <v>-6.0652490718105792E-3</v>
      </c>
    </row>
    <row r="24" spans="1:16" ht="14.1" customHeight="1" x14ac:dyDescent="0.2">
      <c r="A24" s="248" t="s">
        <v>108</v>
      </c>
      <c r="B24" s="331">
        <f>+[10]Charter!$B24</f>
        <v>130702</v>
      </c>
      <c r="C24" s="333">
        <f>+[10]Charter!$C24</f>
        <v>111716</v>
      </c>
      <c r="D24" s="332">
        <f t="shared" ref="D24" si="10">SUM(B24:C24)</f>
        <v>242418</v>
      </c>
      <c r="E24" s="336">
        <f>[11]Charter!D24</f>
        <v>251391</v>
      </c>
      <c r="F24" s="249">
        <f t="shared" si="1"/>
        <v>-3.5693401911762949E-2</v>
      </c>
      <c r="G24" s="506">
        <f t="shared" ref="G24:H26" si="11">L24-B24</f>
        <v>1413434</v>
      </c>
      <c r="H24" s="507">
        <f t="shared" si="11"/>
        <v>1337410</v>
      </c>
      <c r="I24" s="332">
        <f t="shared" si="2"/>
        <v>2750844</v>
      </c>
      <c r="J24" s="336">
        <f>[11]Charter!I24</f>
        <v>2843673</v>
      </c>
      <c r="K24" s="250">
        <f t="shared" si="3"/>
        <v>-3.2644048735561371E-2</v>
      </c>
      <c r="L24" s="331">
        <f>+[10]Charter!$L24</f>
        <v>1544136</v>
      </c>
      <c r="M24" s="333">
        <f>+[10]Charter!$M24</f>
        <v>1449126</v>
      </c>
      <c r="N24" s="332">
        <f t="shared" ref="N24" si="12">SUM(L24:M24)</f>
        <v>2993262</v>
      </c>
      <c r="O24" s="336">
        <f>[11]Charter!N24</f>
        <v>3095064</v>
      </c>
      <c r="P24" s="249">
        <f t="shared" si="9"/>
        <v>-3.2891726956211564E-2</v>
      </c>
    </row>
    <row r="25" spans="1:16" ht="14.1" customHeight="1" x14ac:dyDescent="0.2">
      <c r="A25" s="235" t="s">
        <v>76</v>
      </c>
      <c r="B25" s="331">
        <f>+[12]Charter!$B25</f>
        <v>128052</v>
      </c>
      <c r="C25" s="333">
        <f>+[12]Charter!$C25</f>
        <v>118282</v>
      </c>
      <c r="D25" s="332">
        <f t="shared" ref="D25" si="13">SUM(B25:C25)</f>
        <v>246334</v>
      </c>
      <c r="E25" s="336">
        <f>[13]Charter!D25</f>
        <v>225442</v>
      </c>
      <c r="F25" s="238">
        <f t="shared" si="1"/>
        <v>9.2671285740900097E-2</v>
      </c>
      <c r="G25" s="506">
        <f t="shared" si="11"/>
        <v>1504357</v>
      </c>
      <c r="H25" s="507">
        <f t="shared" si="11"/>
        <v>1476799</v>
      </c>
      <c r="I25" s="332">
        <f t="shared" si="2"/>
        <v>2981156</v>
      </c>
      <c r="J25" s="336">
        <f>[13]Charter!I25</f>
        <v>2980236</v>
      </c>
      <c r="K25" s="244">
        <f t="shared" si="3"/>
        <v>3.0870038480174052E-4</v>
      </c>
      <c r="L25" s="331">
        <f>+[12]Charter!$L25</f>
        <v>1632409</v>
      </c>
      <c r="M25" s="333">
        <f>+[12]Charter!$M25</f>
        <v>1595081</v>
      </c>
      <c r="N25" s="332">
        <f t="shared" ref="N25" si="14">SUM(L25:M25)</f>
        <v>3227490</v>
      </c>
      <c r="O25" s="336">
        <f>[13]Charter!N25</f>
        <v>3205678</v>
      </c>
      <c r="P25" s="238">
        <f t="shared" si="9"/>
        <v>6.8041768387217929E-3</v>
      </c>
    </row>
    <row r="26" spans="1:16" ht="14.1" customHeight="1" x14ac:dyDescent="0.2">
      <c r="A26" s="248" t="s">
        <v>109</v>
      </c>
      <c r="B26" s="331">
        <f>+[14]Charter!$B26</f>
        <v>128004</v>
      </c>
      <c r="C26" s="333">
        <f>+[14]Charter!$C26</f>
        <v>132185</v>
      </c>
      <c r="D26" s="332">
        <f t="shared" ref="D26" si="15">SUM(B26:C26)</f>
        <v>260189</v>
      </c>
      <c r="E26" s="336">
        <f>[15]Charter!D26</f>
        <v>248451</v>
      </c>
      <c r="F26" s="249">
        <f t="shared" si="1"/>
        <v>4.7244728336774656E-2</v>
      </c>
      <c r="G26" s="506">
        <f t="shared" si="11"/>
        <v>1634622</v>
      </c>
      <c r="H26" s="507">
        <f t="shared" si="11"/>
        <v>1620854</v>
      </c>
      <c r="I26" s="332">
        <f t="shared" si="2"/>
        <v>3255476</v>
      </c>
      <c r="J26" s="336">
        <f>[15]Charter!I26</f>
        <v>3247151</v>
      </c>
      <c r="K26" s="250">
        <f t="shared" si="3"/>
        <v>2.5637859157150375E-3</v>
      </c>
      <c r="L26" s="331">
        <f>+[14]Charter!$L26</f>
        <v>1762626</v>
      </c>
      <c r="M26" s="333">
        <f>+[14]Charter!$M26</f>
        <v>1753039</v>
      </c>
      <c r="N26" s="332">
        <f t="shared" ref="N26" si="16">SUM(L26:M26)</f>
        <v>3515665</v>
      </c>
      <c r="O26" s="336">
        <f>[15]Charter!N26</f>
        <v>3495602</v>
      </c>
      <c r="P26" s="249">
        <f t="shared" si="9"/>
        <v>5.7394978032396134E-3</v>
      </c>
    </row>
    <row r="27" spans="1:16" ht="14.1" customHeight="1" x14ac:dyDescent="0.2">
      <c r="A27" s="235" t="s">
        <v>110</v>
      </c>
      <c r="B27" s="331">
        <f>+[16]Charter!$B27</f>
        <v>139361</v>
      </c>
      <c r="C27" s="333">
        <f>+[16]Charter!$C27</f>
        <v>126713</v>
      </c>
      <c r="D27" s="332">
        <f t="shared" ref="D27" si="17">SUM(B27:C27)</f>
        <v>266074</v>
      </c>
      <c r="E27" s="336">
        <f>[17]Charter!D27</f>
        <v>263710</v>
      </c>
      <c r="F27" s="238">
        <f t="shared" si="1"/>
        <v>8.9643927041067831E-3</v>
      </c>
      <c r="G27" s="506">
        <f t="shared" ref="G27" si="18">L27-B27</f>
        <v>1694875</v>
      </c>
      <c r="H27" s="507">
        <f t="shared" ref="H27" si="19">M27-C27</f>
        <v>1704059</v>
      </c>
      <c r="I27" s="332">
        <f t="shared" ref="I27" si="20">SUM(G27:H27)</f>
        <v>3398934</v>
      </c>
      <c r="J27" s="336">
        <f>[17]Charter!I27</f>
        <v>3397860</v>
      </c>
      <c r="K27" s="244">
        <f t="shared" si="3"/>
        <v>3.1608129822888523E-4</v>
      </c>
      <c r="L27" s="331">
        <f>+[16]Charter!$L27</f>
        <v>1834236</v>
      </c>
      <c r="M27" s="333">
        <f>+[16]Charter!$M27</f>
        <v>1830772</v>
      </c>
      <c r="N27" s="332">
        <f t="shared" ref="N27" si="21">SUM(L27:M27)</f>
        <v>3665008</v>
      </c>
      <c r="O27" s="336">
        <f>[17]Charter!N27</f>
        <v>3661570</v>
      </c>
      <c r="P27" s="238">
        <f t="shared" si="9"/>
        <v>9.3894149231067551E-4</v>
      </c>
    </row>
    <row r="28" spans="1:16" ht="14.1" customHeight="1" x14ac:dyDescent="0.2">
      <c r="A28" s="248" t="s">
        <v>111</v>
      </c>
      <c r="B28" s="331">
        <f>+[18]Charter!$B28</f>
        <v>139687</v>
      </c>
      <c r="C28" s="333">
        <f>+[18]Charter!$C28</f>
        <v>136180</v>
      </c>
      <c r="D28" s="332">
        <f t="shared" ref="D28" si="22">SUM(B28:C28)</f>
        <v>275867</v>
      </c>
      <c r="E28" s="336">
        <f>[19]Charter!D28</f>
        <v>267158</v>
      </c>
      <c r="F28" s="249">
        <f t="shared" si="1"/>
        <v>3.2598686919351097E-2</v>
      </c>
      <c r="G28" s="506">
        <f t="shared" ref="G28" si="23">L28-B28</f>
        <v>1736320</v>
      </c>
      <c r="H28" s="507">
        <f t="shared" ref="H28" si="24">M28-C28</f>
        <v>1726918</v>
      </c>
      <c r="I28" s="332">
        <f t="shared" ref="I28" si="25">SUM(G28:H28)</f>
        <v>3463238</v>
      </c>
      <c r="J28" s="336">
        <f>[19]Charter!I28</f>
        <v>3401041</v>
      </c>
      <c r="K28" s="250">
        <f t="shared" si="3"/>
        <v>1.8287636050256378E-2</v>
      </c>
      <c r="L28" s="331">
        <f>+[18]Charter!$L28</f>
        <v>1876007</v>
      </c>
      <c r="M28" s="333">
        <f>+[18]Charter!$M28</f>
        <v>1863098</v>
      </c>
      <c r="N28" s="332">
        <f t="shared" ref="N28" si="26">SUM(L28:M28)</f>
        <v>3739105</v>
      </c>
      <c r="O28" s="336">
        <f>[19]Charter!N28</f>
        <v>3668199</v>
      </c>
      <c r="P28" s="249">
        <f t="shared" si="9"/>
        <v>1.932992184993235E-2</v>
      </c>
    </row>
    <row r="29" spans="1:16" ht="14.1" customHeight="1" x14ac:dyDescent="0.2">
      <c r="A29" s="235" t="s">
        <v>112</v>
      </c>
      <c r="B29" s="331">
        <f>+[20]Charter!$B29</f>
        <v>112387</v>
      </c>
      <c r="C29" s="333">
        <f>+[20]Charter!$C29</f>
        <v>113274</v>
      </c>
      <c r="D29" s="332">
        <f t="shared" ref="D29" si="27">SUM(B29:C29)</f>
        <v>225661</v>
      </c>
      <c r="E29" s="336">
        <f>[21]Charter!D29</f>
        <v>219794</v>
      </c>
      <c r="F29" s="238">
        <f t="shared" si="1"/>
        <v>2.6693176337843617E-2</v>
      </c>
      <c r="G29" s="506">
        <f t="shared" ref="G29" si="28">L29-B29</f>
        <v>1404094</v>
      </c>
      <c r="H29" s="507">
        <f t="shared" ref="H29" si="29">M29-C29</f>
        <v>1420459</v>
      </c>
      <c r="I29" s="332">
        <f t="shared" ref="I29" si="30">SUM(G29:H29)</f>
        <v>2824553</v>
      </c>
      <c r="J29" s="336">
        <f>[21]Charter!I29</f>
        <v>2821616</v>
      </c>
      <c r="K29" s="244">
        <f t="shared" si="3"/>
        <v>1.0408928784072674E-3</v>
      </c>
      <c r="L29" s="331">
        <f>+[20]Charter!$L29</f>
        <v>1516481</v>
      </c>
      <c r="M29" s="333">
        <f>+[20]Charter!$M29</f>
        <v>1533733</v>
      </c>
      <c r="N29" s="332">
        <f t="shared" ref="N29" si="31">SUM(L29:M29)</f>
        <v>3050214</v>
      </c>
      <c r="O29" s="336">
        <f>[21]Charter!N29</f>
        <v>3041410</v>
      </c>
      <c r="P29" s="238">
        <f t="shared" si="9"/>
        <v>2.8947100193660179E-3</v>
      </c>
    </row>
    <row r="30" spans="1:16" ht="14.1" customHeight="1" x14ac:dyDescent="0.2">
      <c r="A30" s="248" t="s">
        <v>113</v>
      </c>
      <c r="B30" s="331">
        <f>+[2]Charter!$B30</f>
        <v>108154</v>
      </c>
      <c r="C30" s="333">
        <f>+[2]Charter!$C30</f>
        <v>100391</v>
      </c>
      <c r="D30" s="332">
        <f t="shared" ref="D30" si="32">SUM(B30:C30)</f>
        <v>208545</v>
      </c>
      <c r="E30" s="336">
        <f>[22]Charter!D30</f>
        <v>203624</v>
      </c>
      <c r="F30" s="249">
        <f t="shared" si="1"/>
        <v>2.4167092287746043E-2</v>
      </c>
      <c r="G30" s="506">
        <f t="shared" ref="G30" si="33">L30-B30</f>
        <v>1503026</v>
      </c>
      <c r="H30" s="507">
        <f t="shared" ref="H30" si="34">M30-C30</f>
        <v>1514372</v>
      </c>
      <c r="I30" s="332">
        <f t="shared" ref="I30" si="35">SUM(G30:H30)</f>
        <v>3017398</v>
      </c>
      <c r="J30" s="336">
        <f>[22]Charter!I30</f>
        <v>3047366</v>
      </c>
      <c r="K30" s="250">
        <f t="shared" si="3"/>
        <v>-9.8340665348369705E-3</v>
      </c>
      <c r="L30" s="331">
        <f>+[2]Charter!$L30</f>
        <v>1611180</v>
      </c>
      <c r="M30" s="333">
        <f>+[2]Charter!$M30</f>
        <v>1614763</v>
      </c>
      <c r="N30" s="332">
        <f t="shared" ref="N30" si="36">SUM(L30:M30)</f>
        <v>3225943</v>
      </c>
      <c r="O30" s="336">
        <f>[22]Charter!N30</f>
        <v>3250990</v>
      </c>
      <c r="P30" s="249">
        <f t="shared" si="9"/>
        <v>-7.7044223451933104E-3</v>
      </c>
    </row>
    <row r="31" spans="1:16" ht="14.1" customHeight="1" x14ac:dyDescent="0.2">
      <c r="A31" s="235" t="s">
        <v>114</v>
      </c>
      <c r="B31" s="506">
        <f>'Intl Detail'!$P$4+'Intl Detail'!$P$9</f>
        <v>89321</v>
      </c>
      <c r="C31" s="507">
        <f>'Intl Detail'!$P$5+'Intl Detail'!$P$10</f>
        <v>89501</v>
      </c>
      <c r="D31" s="332">
        <f t="shared" ref="D31" si="37">SUM(B31:C31)</f>
        <v>178822</v>
      </c>
      <c r="E31" s="336">
        <f>[1]Charter!D31</f>
        <v>179608</v>
      </c>
      <c r="F31" s="238">
        <f t="shared" si="1"/>
        <v>-4.3761970513562874E-3</v>
      </c>
      <c r="G31" s="506">
        <f t="shared" ref="G31" si="38">L31-B31</f>
        <v>1359253</v>
      </c>
      <c r="H31" s="507">
        <f t="shared" ref="H31" si="39">M31-C31</f>
        <v>1383846</v>
      </c>
      <c r="I31" s="332">
        <f t="shared" ref="I31" si="40">SUM(G31:H31)</f>
        <v>2743099</v>
      </c>
      <c r="J31" s="336">
        <f>[1]Charter!I31</f>
        <v>2773901</v>
      </c>
      <c r="K31" s="244">
        <f t="shared" si="3"/>
        <v>-1.110421749009788E-2</v>
      </c>
      <c r="L31" s="506">
        <f>'Monthly Summary'!$B$11</f>
        <v>1448574</v>
      </c>
      <c r="M31" s="507">
        <f>'Monthly Summary'!$C$11</f>
        <v>1473347</v>
      </c>
      <c r="N31" s="332">
        <f t="shared" ref="N31" si="41">SUM(L31:M31)</f>
        <v>2921921</v>
      </c>
      <c r="O31" s="336">
        <f>[1]Charter!N31</f>
        <v>2953509</v>
      </c>
      <c r="P31" s="238">
        <f t="shared" si="9"/>
        <v>-1.0695074909201225E-2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ref="I32" si="42">SUM(G32:H32)</f>
        <v>0</v>
      </c>
      <c r="J32" s="336"/>
      <c r="K32" s="252" t="e">
        <f t="shared" si="3"/>
        <v>#DIV/0!</v>
      </c>
      <c r="L32" s="331"/>
      <c r="M32" s="333"/>
      <c r="N32" s="161">
        <f t="shared" si="4"/>
        <v>0</v>
      </c>
      <c r="O32" s="336"/>
      <c r="P32" s="252" t="e">
        <f t="shared" si="9"/>
        <v>#DIV/0!</v>
      </c>
    </row>
    <row r="33" spans="1:16" ht="13.5" thickBot="1" x14ac:dyDescent="0.25">
      <c r="A33" s="245" t="s">
        <v>77</v>
      </c>
      <c r="B33" s="255">
        <f>SUM(B21:B32)</f>
        <v>1437792</v>
      </c>
      <c r="C33" s="256">
        <f>SUM(C21:C32)</f>
        <v>1387898</v>
      </c>
      <c r="D33" s="256">
        <f>SUM(D21:D32)</f>
        <v>2825690</v>
      </c>
      <c r="E33" s="257">
        <f>SUM(E21:E32)</f>
        <v>2736839</v>
      </c>
      <c r="F33" s="240">
        <f>(D33-E33)/E33</f>
        <v>3.2464825296628703E-2</v>
      </c>
      <c r="G33" s="258">
        <f>SUM(G21:G32)</f>
        <v>16156505</v>
      </c>
      <c r="H33" s="256">
        <f>SUM(H21:H32)</f>
        <v>16163463</v>
      </c>
      <c r="I33" s="256">
        <f>SUM(I21:I32)</f>
        <v>32319968</v>
      </c>
      <c r="J33" s="259">
        <f>SUM(J21:J32)</f>
        <v>32369712</v>
      </c>
      <c r="K33" s="241">
        <f>(I33-J33)/J33</f>
        <v>-1.5367452141681088E-3</v>
      </c>
      <c r="L33" s="258">
        <f>SUM(L21:L32)</f>
        <v>17594297</v>
      </c>
      <c r="M33" s="256">
        <f>SUM(M21:M32)</f>
        <v>17551361</v>
      </c>
      <c r="N33" s="256">
        <f>SUM(N21:N32)</f>
        <v>35145658</v>
      </c>
      <c r="O33" s="257">
        <f>SUM(O21:O32)</f>
        <v>35106551</v>
      </c>
      <c r="P33" s="239">
        <f>(N33-O33)/O33</f>
        <v>1.1139516382569167E-3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D37" s="130"/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November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3"/>
  <sheetViews>
    <sheetView zoomScaleNormal="100" workbookViewId="0">
      <selection activeCell="G8" sqref="G8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9" width="11.28515625" customWidth="1"/>
    <col min="11" max="12" width="11.28515625" bestFit="1" customWidth="1"/>
    <col min="14" max="14" width="11.28515625" bestFit="1" customWidth="1"/>
  </cols>
  <sheetData>
    <row r="1" spans="1:21" s="190" customFormat="1" ht="15.75" thickBot="1" x14ac:dyDescent="0.3">
      <c r="B1" s="537"/>
      <c r="C1" s="537"/>
      <c r="D1" s="537"/>
      <c r="E1" s="537"/>
      <c r="F1" s="448"/>
      <c r="G1" s="538" t="s">
        <v>94</v>
      </c>
      <c r="H1" s="539"/>
      <c r="I1" s="539"/>
      <c r="J1" s="539"/>
      <c r="K1" s="539"/>
      <c r="L1" s="539"/>
      <c r="M1" s="540"/>
    </row>
    <row r="2" spans="1:21" s="191" customFormat="1" ht="30.75" customHeight="1" thickBot="1" x14ac:dyDescent="0.25">
      <c r="A2" s="378">
        <v>43405</v>
      </c>
      <c r="B2" s="437" t="s">
        <v>186</v>
      </c>
      <c r="C2" s="516" t="s">
        <v>230</v>
      </c>
      <c r="D2" s="8" t="s">
        <v>82</v>
      </c>
      <c r="E2" s="8" t="s">
        <v>83</v>
      </c>
      <c r="F2" s="199"/>
      <c r="G2" s="180" t="s">
        <v>84</v>
      </c>
      <c r="H2" s="180" t="s">
        <v>187</v>
      </c>
      <c r="I2" s="180" t="s">
        <v>167</v>
      </c>
      <c r="J2" s="102" t="s">
        <v>85</v>
      </c>
      <c r="K2" s="8" t="s">
        <v>86</v>
      </c>
      <c r="L2" s="180" t="s">
        <v>87</v>
      </c>
      <c r="M2" s="180" t="s">
        <v>130</v>
      </c>
      <c r="N2" s="180" t="s">
        <v>21</v>
      </c>
    </row>
    <row r="3" spans="1:21" ht="15" x14ac:dyDescent="0.25">
      <c r="A3" s="200" t="s">
        <v>9</v>
      </c>
      <c r="B3" s="201"/>
      <c r="C3" s="201"/>
      <c r="D3" s="201"/>
      <c r="E3" s="201"/>
      <c r="F3" s="202"/>
      <c r="G3" s="45"/>
      <c r="H3" s="45"/>
      <c r="I3" s="45"/>
      <c r="J3" s="45"/>
      <c r="K3" s="56"/>
      <c r="L3" s="45"/>
      <c r="M3" s="45"/>
      <c r="N3" s="203"/>
    </row>
    <row r="4" spans="1:21" x14ac:dyDescent="0.2">
      <c r="A4" s="53" t="s">
        <v>53</v>
      </c>
      <c r="B4" s="161">
        <f>[3]DHL!$FX$4</f>
        <v>24</v>
      </c>
      <c r="C4" s="161">
        <f>'[3]Atlas Air'!$FX$4</f>
        <v>30</v>
      </c>
      <c r="D4" s="161">
        <f>[3]FedEx!$FX$4+[3]FedEx!$FX$15</f>
        <v>142</v>
      </c>
      <c r="E4" s="161">
        <f>[3]UPS!$FX$4+[3]UPS!$FX$15</f>
        <v>128</v>
      </c>
      <c r="F4" s="192"/>
      <c r="G4" s="118">
        <f>[3]ATI_BAX!$FX$4</f>
        <v>0</v>
      </c>
      <c r="H4" s="161">
        <f>[3]IFL!$FX$4+[3]IFL!$FX$15</f>
        <v>16</v>
      </c>
      <c r="I4" s="118">
        <f>'[3]Suburban Air Freight'!$FX$15</f>
        <v>0</v>
      </c>
      <c r="J4" s="118">
        <f>[3]Bemidji!$FX$4</f>
        <v>229</v>
      </c>
      <c r="K4" s="118">
        <f>'[3]CSA Air'!$FX$4</f>
        <v>0</v>
      </c>
      <c r="L4" s="118">
        <f>'[3]Mountain Cargo'!$FX$4</f>
        <v>21</v>
      </c>
      <c r="M4" s="118">
        <f>'[3]Misc Cargo'!$FX$4</f>
        <v>43</v>
      </c>
      <c r="N4" s="204">
        <f>SUM(B4:M4)</f>
        <v>633</v>
      </c>
    </row>
    <row r="5" spans="1:21" x14ac:dyDescent="0.2">
      <c r="A5" s="53" t="s">
        <v>54</v>
      </c>
      <c r="B5" s="198">
        <f>[3]DHL!$FX$5</f>
        <v>24</v>
      </c>
      <c r="C5" s="198">
        <f>'[3]Atlas Air'!$FX$5</f>
        <v>30</v>
      </c>
      <c r="D5" s="198">
        <f>[3]FedEx!$FX$5</f>
        <v>142</v>
      </c>
      <c r="E5" s="198">
        <f>[3]UPS!$FX$5+[3]UPS!$FX$16</f>
        <v>128</v>
      </c>
      <c r="F5" s="192"/>
      <c r="G5" s="120">
        <f>[3]ATI_BAX!$FX$5</f>
        <v>0</v>
      </c>
      <c r="H5" s="198">
        <f>[3]IFL!$FX$5</f>
        <v>16</v>
      </c>
      <c r="I5" s="120">
        <f>'[3]Suburban Air Freight'!$FX$16</f>
        <v>0</v>
      </c>
      <c r="J5" s="120">
        <f>[3]Bemidji!$FX$5</f>
        <v>229</v>
      </c>
      <c r="K5" s="120">
        <f>'[3]CSA Air'!$FX$5</f>
        <v>8</v>
      </c>
      <c r="L5" s="120">
        <f>'[3]Mountain Cargo'!$FX$5</f>
        <v>21</v>
      </c>
      <c r="M5" s="120">
        <f>'[3]Misc Cargo'!$FX$5</f>
        <v>42</v>
      </c>
      <c r="N5" s="208">
        <f>SUM(B5:M5)</f>
        <v>640</v>
      </c>
    </row>
    <row r="6" spans="1:21" s="189" customFormat="1" x14ac:dyDescent="0.2">
      <c r="A6" s="205" t="s">
        <v>55</v>
      </c>
      <c r="B6" s="206">
        <f>SUM(B4:B5)</f>
        <v>48</v>
      </c>
      <c r="C6" s="206">
        <f>SUM(C4:C5)</f>
        <v>60</v>
      </c>
      <c r="D6" s="206">
        <f>SUM(D4:D5)</f>
        <v>284</v>
      </c>
      <c r="E6" s="206">
        <f>SUM(E4:E5)</f>
        <v>256</v>
      </c>
      <c r="F6" s="193"/>
      <c r="G6" s="188">
        <f t="shared" ref="G6:M6" si="0">SUM(G4:G5)</f>
        <v>0</v>
      </c>
      <c r="H6" s="206">
        <f>SUM(H4:H5)</f>
        <v>32</v>
      </c>
      <c r="I6" s="188">
        <f t="shared" si="0"/>
        <v>0</v>
      </c>
      <c r="J6" s="188">
        <f t="shared" si="0"/>
        <v>458</v>
      </c>
      <c r="K6" s="188">
        <f t="shared" si="0"/>
        <v>8</v>
      </c>
      <c r="L6" s="188">
        <f t="shared" si="0"/>
        <v>42</v>
      </c>
      <c r="M6" s="188">
        <f t="shared" si="0"/>
        <v>85</v>
      </c>
      <c r="N6" s="207">
        <f>SUM(B6:M6)</f>
        <v>1273</v>
      </c>
    </row>
    <row r="7" spans="1:21" x14ac:dyDescent="0.2">
      <c r="A7" s="53"/>
      <c r="B7" s="161"/>
      <c r="C7" s="161"/>
      <c r="D7" s="161"/>
      <c r="E7" s="161"/>
      <c r="F7" s="192"/>
      <c r="G7" s="118"/>
      <c r="H7" s="161"/>
      <c r="I7" s="118"/>
      <c r="J7" s="118"/>
      <c r="K7" s="118"/>
      <c r="L7" s="118"/>
      <c r="M7" s="118"/>
      <c r="N7" s="204"/>
    </row>
    <row r="8" spans="1:21" x14ac:dyDescent="0.2">
      <c r="A8" s="53" t="s">
        <v>56</v>
      </c>
      <c r="B8" s="161"/>
      <c r="C8" s="161"/>
      <c r="D8" s="161"/>
      <c r="E8" s="161"/>
      <c r="F8" s="192"/>
      <c r="G8" s="118"/>
      <c r="H8" s="161"/>
      <c r="I8" s="118"/>
      <c r="J8" s="118"/>
      <c r="K8" s="118"/>
      <c r="L8" s="118"/>
      <c r="M8" s="118">
        <f>'[3]Misc Cargo'!$FX$8</f>
        <v>0</v>
      </c>
      <c r="N8" s="204">
        <f>SUM(B8:M8)</f>
        <v>0</v>
      </c>
    </row>
    <row r="9" spans="1:21" ht="15" x14ac:dyDescent="0.25">
      <c r="A9" s="53" t="s">
        <v>57</v>
      </c>
      <c r="B9" s="198"/>
      <c r="C9" s="198"/>
      <c r="D9" s="198"/>
      <c r="E9" s="198"/>
      <c r="F9" s="192"/>
      <c r="G9" s="120"/>
      <c r="H9" s="198"/>
      <c r="I9" s="120"/>
      <c r="J9" s="120"/>
      <c r="K9" s="120"/>
      <c r="L9" s="120"/>
      <c r="M9" s="120">
        <f>'[3]Misc Cargo'!$FX$9</f>
        <v>0</v>
      </c>
      <c r="N9" s="208">
        <f>SUM(B9:M9)</f>
        <v>0</v>
      </c>
      <c r="Q9" s="15"/>
      <c r="R9" s="327"/>
      <c r="S9" s="327"/>
      <c r="T9" s="327"/>
      <c r="U9" s="327"/>
    </row>
    <row r="10" spans="1:21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206">
        <f>SUM(E8:E9)</f>
        <v>0</v>
      </c>
      <c r="F10" s="193"/>
      <c r="G10" s="188">
        <f t="shared" ref="G10:M10" si="1">SUM(G8:G9)</f>
        <v>0</v>
      </c>
      <c r="H10" s="206">
        <f>SUM(H8:H9)</f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188">
        <f t="shared" si="1"/>
        <v>0</v>
      </c>
      <c r="N10" s="207">
        <f>SUM(B10:M10)</f>
        <v>0</v>
      </c>
    </row>
    <row r="11" spans="1:21" x14ac:dyDescent="0.2">
      <c r="A11" s="53"/>
      <c r="B11" s="161"/>
      <c r="C11" s="161"/>
      <c r="D11" s="161"/>
      <c r="E11" s="161"/>
      <c r="F11" s="192"/>
      <c r="G11" s="118"/>
      <c r="H11" s="161"/>
      <c r="I11" s="118"/>
      <c r="J11" s="118"/>
      <c r="K11" s="118"/>
      <c r="L11" s="118"/>
      <c r="M11" s="118"/>
      <c r="N11" s="170"/>
    </row>
    <row r="12" spans="1:21" ht="18" customHeight="1" thickBot="1" x14ac:dyDescent="0.25">
      <c r="A12" s="209" t="s">
        <v>28</v>
      </c>
      <c r="B12" s="210">
        <f>B6+B10</f>
        <v>48</v>
      </c>
      <c r="C12" s="210">
        <f>C6+C10</f>
        <v>60</v>
      </c>
      <c r="D12" s="210">
        <f>D6+D10</f>
        <v>284</v>
      </c>
      <c r="E12" s="210">
        <f>E6+E10</f>
        <v>256</v>
      </c>
      <c r="F12" s="211"/>
      <c r="G12" s="212">
        <f t="shared" ref="G12:M12" si="2">G6+G10</f>
        <v>0</v>
      </c>
      <c r="H12" s="210">
        <f>H6+H10</f>
        <v>32</v>
      </c>
      <c r="I12" s="212">
        <f t="shared" si="2"/>
        <v>0</v>
      </c>
      <c r="J12" s="212">
        <f t="shared" si="2"/>
        <v>458</v>
      </c>
      <c r="K12" s="212">
        <f t="shared" si="2"/>
        <v>8</v>
      </c>
      <c r="L12" s="212">
        <f t="shared" si="2"/>
        <v>42</v>
      </c>
      <c r="M12" s="212">
        <f t="shared" si="2"/>
        <v>85</v>
      </c>
      <c r="N12" s="213">
        <f>SUM(B12:M12)</f>
        <v>1273</v>
      </c>
    </row>
    <row r="13" spans="1:21" ht="18" customHeight="1" thickBot="1" x14ac:dyDescent="0.25">
      <c r="A13" s="177"/>
      <c r="B13" s="194"/>
      <c r="C13" s="194"/>
      <c r="D13" s="194"/>
      <c r="E13" s="194"/>
      <c r="F13" s="195"/>
      <c r="G13" s="196"/>
      <c r="H13" s="194"/>
      <c r="I13" s="196"/>
      <c r="J13" s="178"/>
      <c r="K13" s="178"/>
      <c r="L13" s="178"/>
      <c r="M13" s="178"/>
      <c r="N13" s="5"/>
    </row>
    <row r="14" spans="1:21" ht="15" x14ac:dyDescent="0.25">
      <c r="A14" s="214" t="s">
        <v>95</v>
      </c>
      <c r="B14" s="215"/>
      <c r="C14" s="215"/>
      <c r="D14" s="215"/>
      <c r="E14" s="215"/>
      <c r="F14" s="216"/>
      <c r="G14" s="175"/>
      <c r="H14" s="215"/>
      <c r="I14" s="175"/>
      <c r="J14" s="81"/>
      <c r="K14" s="81"/>
      <c r="L14" s="81"/>
      <c r="M14" s="81"/>
      <c r="N14" s="217"/>
    </row>
    <row r="15" spans="1:21" x14ac:dyDescent="0.2">
      <c r="A15" s="218" t="s">
        <v>96</v>
      </c>
      <c r="B15" s="161"/>
      <c r="C15" s="161"/>
      <c r="D15" s="161"/>
      <c r="E15" s="161"/>
      <c r="F15" s="192"/>
      <c r="G15" s="118"/>
      <c r="H15" s="161"/>
      <c r="I15" s="118"/>
      <c r="J15" s="5"/>
      <c r="K15" s="5"/>
      <c r="L15" s="5"/>
      <c r="M15" s="5"/>
      <c r="N15" s="179"/>
    </row>
    <row r="16" spans="1:21" x14ac:dyDescent="0.2">
      <c r="A16" s="53" t="s">
        <v>37</v>
      </c>
      <c r="B16" s="161">
        <f>[3]DHL!$FX$47</f>
        <v>921653</v>
      </c>
      <c r="C16" s="161">
        <f>'[3]Atlas Air'!$FX$47</f>
        <v>1288872</v>
      </c>
      <c r="D16" s="161">
        <f>[3]FedEx!$FX$47</f>
        <v>8845921</v>
      </c>
      <c r="E16" s="161">
        <f>[3]UPS!$FX$47</f>
        <v>6220905</v>
      </c>
      <c r="F16" s="192"/>
      <c r="G16" s="118">
        <f>[3]ATI_BAX!$FX$47</f>
        <v>0</v>
      </c>
      <c r="H16" s="161">
        <f>[3]IFL!$FX$47</f>
        <v>16033</v>
      </c>
      <c r="I16" s="118">
        <f>'[3]Suburban Air Freight'!$FX$47</f>
        <v>0</v>
      </c>
      <c r="J16" s="534" t="s">
        <v>88</v>
      </c>
      <c r="K16" s="118">
        <f>'[3]CSA Air'!$FX$47</f>
        <v>0</v>
      </c>
      <c r="L16" s="118">
        <f>'[3]Mountain Cargo'!$FX$47</f>
        <v>199140</v>
      </c>
      <c r="M16" s="118">
        <f>'[3]Misc Cargo'!$FX$47</f>
        <v>68813</v>
      </c>
      <c r="N16" s="204">
        <f>SUM(B16:I16)+SUM(K16:M16)</f>
        <v>17561337</v>
      </c>
    </row>
    <row r="17" spans="1:15" x14ac:dyDescent="0.2">
      <c r="A17" s="53" t="s">
        <v>38</v>
      </c>
      <c r="B17" s="161">
        <f>[3]DHL!$FX$48</f>
        <v>0</v>
      </c>
      <c r="C17" s="161">
        <f>'[3]Atlas Air'!$FX$48</f>
        <v>0</v>
      </c>
      <c r="D17" s="161">
        <f>[3]FedEx!$FX$48</f>
        <v>0</v>
      </c>
      <c r="E17" s="161">
        <f>[3]UPS!$FX$48</f>
        <v>700</v>
      </c>
      <c r="F17" s="192"/>
      <c r="G17" s="118">
        <f>[3]ATI_BAX!$FX$48</f>
        <v>0</v>
      </c>
      <c r="H17" s="161">
        <f>[3]IFL!$FX$48</f>
        <v>0</v>
      </c>
      <c r="I17" s="118">
        <f>'[3]Suburban Air Freight'!$FX$48</f>
        <v>0</v>
      </c>
      <c r="J17" s="535"/>
      <c r="K17" s="118">
        <f>'[3]CSA Air'!$FX$48</f>
        <v>0</v>
      </c>
      <c r="L17" s="118">
        <f>'[3]Mountain Cargo'!$FX$48</f>
        <v>0</v>
      </c>
      <c r="M17" s="118">
        <f>'[3]Misc Cargo'!$FX$48</f>
        <v>0</v>
      </c>
      <c r="N17" s="204">
        <f>SUM(B17:I17)+SUM(K17:M17)</f>
        <v>700</v>
      </c>
    </row>
    <row r="18" spans="1:15" ht="18" customHeight="1" x14ac:dyDescent="0.2">
      <c r="A18" s="219" t="s">
        <v>39</v>
      </c>
      <c r="B18" s="302">
        <f>SUM(B16:B17)</f>
        <v>921653</v>
      </c>
      <c r="C18" s="302">
        <f>SUM(C16:C17)</f>
        <v>1288872</v>
      </c>
      <c r="D18" s="302">
        <f>SUM(D16:D17)</f>
        <v>8845921</v>
      </c>
      <c r="E18" s="302">
        <f>SUM(E16:E17)</f>
        <v>6221605</v>
      </c>
      <c r="F18" s="197"/>
      <c r="G18" s="303">
        <f>SUM(G16:G17)</f>
        <v>0</v>
      </c>
      <c r="H18" s="302">
        <f>SUM(H16:H17)</f>
        <v>16033</v>
      </c>
      <c r="I18" s="303">
        <f>SUM(I16:I17)</f>
        <v>0</v>
      </c>
      <c r="J18" s="535"/>
      <c r="K18" s="303">
        <f>SUM(K16:K17)</f>
        <v>0</v>
      </c>
      <c r="L18" s="303">
        <f>SUM(L16:L17)</f>
        <v>199140</v>
      </c>
      <c r="M18" s="303">
        <f>SUM(M16:M17)</f>
        <v>68813</v>
      </c>
      <c r="N18" s="220">
        <f>SUM(B18:I18)+SUM(K18:M18)</f>
        <v>17562037</v>
      </c>
      <c r="O18" s="7"/>
    </row>
    <row r="19" spans="1:15" x14ac:dyDescent="0.2">
      <c r="A19" s="53"/>
      <c r="B19" s="161"/>
      <c r="C19" s="161"/>
      <c r="D19" s="161"/>
      <c r="E19" s="161"/>
      <c r="F19" s="192"/>
      <c r="G19" s="118"/>
      <c r="H19" s="161"/>
      <c r="I19" s="118"/>
      <c r="J19" s="535"/>
      <c r="K19" s="118"/>
      <c r="L19" s="118"/>
      <c r="M19" s="118"/>
      <c r="N19" s="204"/>
    </row>
    <row r="20" spans="1:15" x14ac:dyDescent="0.2">
      <c r="A20" s="221" t="s">
        <v>89</v>
      </c>
      <c r="B20" s="161"/>
      <c r="C20" s="161"/>
      <c r="D20" s="161"/>
      <c r="E20" s="161"/>
      <c r="F20" s="192"/>
      <c r="G20" s="118"/>
      <c r="H20" s="161"/>
      <c r="I20" s="118"/>
      <c r="J20" s="535"/>
      <c r="K20" s="118"/>
      <c r="L20" s="118"/>
      <c r="M20" s="118"/>
      <c r="N20" s="204"/>
    </row>
    <row r="21" spans="1:15" x14ac:dyDescent="0.2">
      <c r="A21" s="53" t="s">
        <v>59</v>
      </c>
      <c r="B21" s="161">
        <f>[3]DHL!$FX$52</f>
        <v>530658</v>
      </c>
      <c r="C21" s="161">
        <f>'[3]Atlas Air'!$FX$52</f>
        <v>736107</v>
      </c>
      <c r="D21" s="161">
        <f>[3]FedEx!$FX$52</f>
        <v>8416263</v>
      </c>
      <c r="E21" s="161">
        <f>[3]UPS!$FX$52</f>
        <v>5179827</v>
      </c>
      <c r="F21" s="192"/>
      <c r="G21" s="118">
        <f>[3]ATI_BAX!$FX$52</f>
        <v>0</v>
      </c>
      <c r="H21" s="161">
        <f>[3]IFL!$FX$52</f>
        <v>0</v>
      </c>
      <c r="I21" s="118">
        <f>'[3]Suburban Air Freight'!$FX$52</f>
        <v>0</v>
      </c>
      <c r="J21" s="535"/>
      <c r="K21" s="118">
        <f>'[3]CSA Air'!$FX$52</f>
        <v>12022</v>
      </c>
      <c r="L21" s="118">
        <f>'[3]Mountain Cargo'!$FX$52</f>
        <v>115877</v>
      </c>
      <c r="M21" s="118">
        <f>'[3]Misc Cargo'!$FX$52</f>
        <v>33105</v>
      </c>
      <c r="N21" s="204">
        <f>SUM(B21:I21)+SUM(K21:M21)</f>
        <v>15023859</v>
      </c>
    </row>
    <row r="22" spans="1:15" x14ac:dyDescent="0.2">
      <c r="A22" s="53" t="s">
        <v>60</v>
      </c>
      <c r="B22" s="161">
        <f>[3]DHL!$FX$53</f>
        <v>0</v>
      </c>
      <c r="C22" s="161">
        <f>'[3]Atlas Air'!$FX$53</f>
        <v>0</v>
      </c>
      <c r="D22" s="161">
        <f>[3]FedEx!$FX$53</f>
        <v>0</v>
      </c>
      <c r="E22" s="161">
        <f>[3]UPS!$FX$53</f>
        <v>388264</v>
      </c>
      <c r="F22" s="192"/>
      <c r="G22" s="118">
        <f>[3]ATI_BAX!$FX$53</f>
        <v>0</v>
      </c>
      <c r="H22" s="161">
        <f>[3]IFL!$FX$53</f>
        <v>0</v>
      </c>
      <c r="I22" s="118">
        <f>'[3]Suburban Air Freight'!$FX$53</f>
        <v>0</v>
      </c>
      <c r="J22" s="535"/>
      <c r="K22" s="118">
        <f>'[3]CSA Air'!$FX$53</f>
        <v>0</v>
      </c>
      <c r="L22" s="118">
        <f>'[3]Mountain Cargo'!$FX$53</f>
        <v>0</v>
      </c>
      <c r="M22" s="118">
        <f>'[3]Misc Cargo'!$FX$53</f>
        <v>0</v>
      </c>
      <c r="N22" s="204">
        <f>SUM(B22:I22)+SUM(K22:M22)</f>
        <v>388264</v>
      </c>
    </row>
    <row r="23" spans="1:15" ht="18" customHeight="1" x14ac:dyDescent="0.2">
      <c r="A23" s="219" t="s">
        <v>41</v>
      </c>
      <c r="B23" s="302">
        <f>SUM(B21:B22)</f>
        <v>530658</v>
      </c>
      <c r="C23" s="302">
        <f>SUM(C21:C22)</f>
        <v>736107</v>
      </c>
      <c r="D23" s="302">
        <f>SUM(D21:D22)</f>
        <v>8416263</v>
      </c>
      <c r="E23" s="302">
        <f>SUM(E21:E22)</f>
        <v>5568091</v>
      </c>
      <c r="F23" s="197"/>
      <c r="G23" s="303">
        <f>SUM(G21:G22)</f>
        <v>0</v>
      </c>
      <c r="H23" s="302">
        <f>SUM(H21:H22)</f>
        <v>0</v>
      </c>
      <c r="I23" s="303">
        <f>SUM(I21:I22)</f>
        <v>0</v>
      </c>
      <c r="J23" s="535"/>
      <c r="K23" s="303">
        <f>SUM(K21:K22)</f>
        <v>12022</v>
      </c>
      <c r="L23" s="303">
        <f>SUM(L21:L22)</f>
        <v>115877</v>
      </c>
      <c r="M23" s="303">
        <f>SUM(M21:M22)</f>
        <v>33105</v>
      </c>
      <c r="N23" s="220">
        <f>SUM(B23:I23)+SUM(K23:M23)</f>
        <v>15412123</v>
      </c>
    </row>
    <row r="24" spans="1:15" x14ac:dyDescent="0.2">
      <c r="A24" s="53"/>
      <c r="B24" s="161"/>
      <c r="C24" s="161"/>
      <c r="D24" s="161"/>
      <c r="E24" s="161"/>
      <c r="F24" s="192"/>
      <c r="G24" s="118"/>
      <c r="H24" s="161"/>
      <c r="I24" s="118"/>
      <c r="J24" s="535"/>
      <c r="K24" s="118"/>
      <c r="L24" s="118"/>
      <c r="M24" s="118"/>
      <c r="N24" s="204"/>
    </row>
    <row r="25" spans="1:15" x14ac:dyDescent="0.2">
      <c r="A25" s="221" t="s">
        <v>97</v>
      </c>
      <c r="B25" s="161"/>
      <c r="C25" s="161"/>
      <c r="D25" s="161"/>
      <c r="E25" s="161"/>
      <c r="F25" s="192"/>
      <c r="G25" s="118"/>
      <c r="H25" s="161"/>
      <c r="I25" s="118"/>
      <c r="J25" s="535"/>
      <c r="K25" s="118"/>
      <c r="L25" s="118"/>
      <c r="M25" s="118"/>
      <c r="N25" s="204"/>
    </row>
    <row r="26" spans="1:15" x14ac:dyDescent="0.2">
      <c r="A26" s="53" t="s">
        <v>59</v>
      </c>
      <c r="B26" s="161">
        <f>[3]DHL!$FX$57</f>
        <v>0</v>
      </c>
      <c r="C26" s="161">
        <f>'[3]Atlas Air'!$FX$57</f>
        <v>0</v>
      </c>
      <c r="D26" s="161">
        <f>[3]FedEx!$FX$57</f>
        <v>0</v>
      </c>
      <c r="E26" s="161">
        <f>[3]UPS!$FX$57</f>
        <v>0</v>
      </c>
      <c r="F26" s="192"/>
      <c r="G26" s="118">
        <f>[3]ATI_BAX!$FX$57</f>
        <v>0</v>
      </c>
      <c r="H26" s="161">
        <f>[3]IFL!$FX$57</f>
        <v>0</v>
      </c>
      <c r="I26" s="118">
        <f>'[3]Suburban Air Freight'!$FX$57</f>
        <v>0</v>
      </c>
      <c r="J26" s="535"/>
      <c r="K26" s="118">
        <f>'[3]CSA Air'!$FX$57</f>
        <v>0</v>
      </c>
      <c r="L26" s="118">
        <f>'[3]Mountain Cargo'!$FX$57</f>
        <v>0</v>
      </c>
      <c r="M26" s="118">
        <f>'[3]Misc Cargo'!$FX$57</f>
        <v>0</v>
      </c>
      <c r="N26" s="204">
        <f>SUM(B26:I26)+SUM(K26:M26)</f>
        <v>0</v>
      </c>
    </row>
    <row r="27" spans="1:15" x14ac:dyDescent="0.2">
      <c r="A27" s="53" t="s">
        <v>60</v>
      </c>
      <c r="B27" s="161">
        <f>[3]DHL!$FX$58</f>
        <v>0</v>
      </c>
      <c r="C27" s="161">
        <f>'[3]Atlas Air'!$FX$58</f>
        <v>0</v>
      </c>
      <c r="D27" s="161">
        <f>[3]FedEx!$FX$58</f>
        <v>0</v>
      </c>
      <c r="E27" s="161">
        <f>[3]UPS!$FX$58</f>
        <v>0</v>
      </c>
      <c r="F27" s="192"/>
      <c r="G27" s="118">
        <f>[3]ATI_BAX!$FX$58</f>
        <v>0</v>
      </c>
      <c r="H27" s="161">
        <f>[3]IFL!$FX$58</f>
        <v>0</v>
      </c>
      <c r="I27" s="118">
        <f>'[3]Suburban Air Freight'!$FX$58</f>
        <v>0</v>
      </c>
      <c r="J27" s="535"/>
      <c r="K27" s="118">
        <f>'[3]CSA Air'!$FX$58</f>
        <v>0</v>
      </c>
      <c r="L27" s="118">
        <f>'[3]Mountain Cargo'!$FX$58</f>
        <v>0</v>
      </c>
      <c r="M27" s="118">
        <f>'[3]Misc Cargo'!$FX$58</f>
        <v>0</v>
      </c>
      <c r="N27" s="204">
        <f>SUM(B27:I27)+SUM(K27:M27)</f>
        <v>0</v>
      </c>
    </row>
    <row r="28" spans="1:15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302">
        <f>SUM(E26:E27)</f>
        <v>0</v>
      </c>
      <c r="F28" s="197"/>
      <c r="G28" s="303">
        <f>SUM(G26:G27)</f>
        <v>0</v>
      </c>
      <c r="H28" s="302">
        <f>SUM(H26:H27)</f>
        <v>0</v>
      </c>
      <c r="I28" s="303">
        <f>SUM(I26:I27)</f>
        <v>0</v>
      </c>
      <c r="J28" s="535"/>
      <c r="K28" s="303">
        <f>SUM(K26:K27)</f>
        <v>0</v>
      </c>
      <c r="L28" s="303">
        <f>SUM(L26:L27)</f>
        <v>0</v>
      </c>
      <c r="M28" s="303">
        <f>SUM(M26:M27)</f>
        <v>0</v>
      </c>
      <c r="N28" s="220">
        <f>SUM(B28:I28)+SUM(K28:M28)</f>
        <v>0</v>
      </c>
    </row>
    <row r="29" spans="1:15" x14ac:dyDescent="0.2">
      <c r="A29" s="53"/>
      <c r="B29" s="161"/>
      <c r="C29" s="161"/>
      <c r="D29" s="161"/>
      <c r="E29" s="161"/>
      <c r="F29" s="192"/>
      <c r="G29" s="118"/>
      <c r="H29" s="161"/>
      <c r="I29" s="118"/>
      <c r="J29" s="535"/>
      <c r="K29" s="118"/>
      <c r="L29" s="118"/>
      <c r="M29" s="118"/>
      <c r="N29" s="204"/>
    </row>
    <row r="30" spans="1:15" x14ac:dyDescent="0.2">
      <c r="A30" s="222" t="s">
        <v>44</v>
      </c>
      <c r="B30" s="161"/>
      <c r="C30" s="161"/>
      <c r="D30" s="161"/>
      <c r="E30" s="161"/>
      <c r="F30" s="192"/>
      <c r="G30" s="118"/>
      <c r="H30" s="161"/>
      <c r="I30" s="118"/>
      <c r="J30" s="535"/>
      <c r="K30" s="118"/>
      <c r="L30" s="118"/>
      <c r="M30" s="118"/>
      <c r="N30" s="204"/>
    </row>
    <row r="31" spans="1:15" x14ac:dyDescent="0.2">
      <c r="A31" s="53" t="s">
        <v>90</v>
      </c>
      <c r="B31" s="161">
        <f t="shared" ref="B31:E33" si="3">B26+B21+B16</f>
        <v>1452311</v>
      </c>
      <c r="C31" s="161">
        <f t="shared" ref="C31" si="4">C26+C21+C16</f>
        <v>2024979</v>
      </c>
      <c r="D31" s="161">
        <f t="shared" si="3"/>
        <v>17262184</v>
      </c>
      <c r="E31" s="161">
        <f t="shared" si="3"/>
        <v>11400732</v>
      </c>
      <c r="F31" s="192"/>
      <c r="G31" s="118">
        <f t="shared" ref="G31:I33" si="5">G26+G21+G16</f>
        <v>0</v>
      </c>
      <c r="H31" s="161">
        <f t="shared" si="5"/>
        <v>16033</v>
      </c>
      <c r="I31" s="118">
        <f t="shared" si="5"/>
        <v>0</v>
      </c>
      <c r="J31" s="535"/>
      <c r="K31" s="118">
        <f t="shared" ref="K31:M33" si="6">K26+K21+K16</f>
        <v>12022</v>
      </c>
      <c r="L31" s="118">
        <f t="shared" si="6"/>
        <v>315017</v>
      </c>
      <c r="M31" s="118">
        <f>M26+M21+M16</f>
        <v>101918</v>
      </c>
      <c r="N31" s="204">
        <f>SUM(B31:I31)+SUM(K31:M31)</f>
        <v>32585196</v>
      </c>
    </row>
    <row r="32" spans="1:15" x14ac:dyDescent="0.2">
      <c r="A32" s="53" t="s">
        <v>60</v>
      </c>
      <c r="B32" s="161">
        <f t="shared" si="3"/>
        <v>0</v>
      </c>
      <c r="C32" s="161">
        <f t="shared" ref="C32" si="7">C27+C22+C17</f>
        <v>0</v>
      </c>
      <c r="D32" s="161">
        <f t="shared" si="3"/>
        <v>0</v>
      </c>
      <c r="E32" s="161">
        <f t="shared" si="3"/>
        <v>388964</v>
      </c>
      <c r="F32" s="192"/>
      <c r="G32" s="118">
        <f t="shared" si="5"/>
        <v>0</v>
      </c>
      <c r="H32" s="161">
        <f t="shared" si="5"/>
        <v>0</v>
      </c>
      <c r="I32" s="118">
        <f t="shared" si="5"/>
        <v>0</v>
      </c>
      <c r="J32" s="536"/>
      <c r="K32" s="118">
        <f t="shared" si="6"/>
        <v>0</v>
      </c>
      <c r="L32" s="118">
        <f t="shared" si="6"/>
        <v>0</v>
      </c>
      <c r="M32" s="118">
        <f>M27+M22+M17</f>
        <v>0</v>
      </c>
      <c r="N32" s="208">
        <f>SUM(B32:I32)+SUM(K32:M32)</f>
        <v>388964</v>
      </c>
    </row>
    <row r="33" spans="1:14" ht="18" customHeight="1" thickBot="1" x14ac:dyDescent="0.25">
      <c r="A33" s="209" t="s">
        <v>46</v>
      </c>
      <c r="B33" s="210">
        <f t="shared" si="3"/>
        <v>1452311</v>
      </c>
      <c r="C33" s="210">
        <f t="shared" ref="C33" si="8">C28+C23+C18</f>
        <v>2024979</v>
      </c>
      <c r="D33" s="210">
        <f t="shared" si="3"/>
        <v>17262184</v>
      </c>
      <c r="E33" s="210">
        <f t="shared" si="3"/>
        <v>11789696</v>
      </c>
      <c r="F33" s="223"/>
      <c r="G33" s="212">
        <f t="shared" si="5"/>
        <v>0</v>
      </c>
      <c r="H33" s="210">
        <f t="shared" si="5"/>
        <v>16033</v>
      </c>
      <c r="I33" s="212">
        <f t="shared" si="5"/>
        <v>0</v>
      </c>
      <c r="J33" s="304">
        <f>J28+J23+J18</f>
        <v>0</v>
      </c>
      <c r="K33" s="212">
        <f t="shared" si="6"/>
        <v>12022</v>
      </c>
      <c r="L33" s="212">
        <f t="shared" si="6"/>
        <v>315017</v>
      </c>
      <c r="M33" s="212">
        <f t="shared" si="6"/>
        <v>101918</v>
      </c>
      <c r="N33" s="213">
        <f>SUM(B33:I33)+SUM(K33:M33)</f>
        <v>32974160</v>
      </c>
    </row>
    <row r="34" spans="1:14" x14ac:dyDescent="0.2"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</row>
    <row r="35" spans="1:14" x14ac:dyDescent="0.2">
      <c r="A35" t="s">
        <v>91</v>
      </c>
      <c r="B35" s="2"/>
      <c r="C35" s="2"/>
      <c r="D35" s="2"/>
      <c r="E35" s="2"/>
      <c r="F35" s="2"/>
    </row>
    <row r="36" spans="1:14" x14ac:dyDescent="0.2">
      <c r="A36" t="s">
        <v>92</v>
      </c>
    </row>
    <row r="37" spans="1:14" x14ac:dyDescent="0.2">
      <c r="A37" t="s">
        <v>93</v>
      </c>
    </row>
    <row r="43" spans="1:14" ht="15" x14ac:dyDescent="0.25">
      <c r="J43" s="190"/>
    </row>
  </sheetData>
  <mergeCells count="3">
    <mergeCell ref="J16:J32"/>
    <mergeCell ref="B1:E1"/>
    <mergeCell ref="G1:M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November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K40" sqref="K4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8">
        <v>43405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Stats'!K28</f>
        <v>4716985</v>
      </c>
      <c r="C5" s="118">
        <f>'Regional Major'!M25</f>
        <v>1665</v>
      </c>
      <c r="D5" s="118">
        <f>Cargo!N16</f>
        <v>17561337</v>
      </c>
      <c r="E5" s="118">
        <f>SUM(B5:D5)</f>
        <v>22279987</v>
      </c>
      <c r="F5" s="118">
        <f>E5*0.00045359237</f>
        <v>10106.032106899189</v>
      </c>
      <c r="G5" s="146">
        <f>'[1]Cargo Summary'!F5</f>
        <v>9133.8521162018897</v>
      </c>
      <c r="H5" s="98">
        <f>(F5-G5)/G5</f>
        <v>0.10643701894109041</v>
      </c>
      <c r="I5" s="146">
        <f>+F5+'[2]Cargo Summary'!I5</f>
        <v>109795.21646975265</v>
      </c>
      <c r="J5" s="146">
        <f>'[1]Cargo Summary'!I5</f>
        <v>100179.55581658255</v>
      </c>
      <c r="K5" s="85">
        <f>(I5-J5)/J5</f>
        <v>9.5984261207698748E-2</v>
      </c>
      <c r="M5" s="35"/>
    </row>
    <row r="6" spans="1:18" x14ac:dyDescent="0.2">
      <c r="A6" s="62" t="s">
        <v>16</v>
      </c>
      <c r="B6" s="169">
        <f>'Major Airline Stats'!K29</f>
        <v>2055769</v>
      </c>
      <c r="C6" s="118">
        <f>'Regional Major'!M26</f>
        <v>464</v>
      </c>
      <c r="D6" s="118">
        <f>Cargo!N17</f>
        <v>700</v>
      </c>
      <c r="E6" s="118">
        <f>SUM(B6:D6)</f>
        <v>2056933</v>
      </c>
      <c r="F6" s="118">
        <f>E6*0.00045359237</f>
        <v>933.00911440121001</v>
      </c>
      <c r="G6" s="146">
        <f>'[1]Cargo Summary'!F6</f>
        <v>925.13339008089997</v>
      </c>
      <c r="H6" s="37">
        <f>(F6-G6)/G6</f>
        <v>8.513068931196327E-3</v>
      </c>
      <c r="I6" s="146">
        <f>+F6+'[2]Cargo Summary'!I6</f>
        <v>9476.2866864173211</v>
      </c>
      <c r="J6" s="146">
        <f>'[1]Cargo Summary'!I6</f>
        <v>9980.8183867530588</v>
      </c>
      <c r="K6" s="85">
        <f>(I6-J6)/J6</f>
        <v>-5.0550133344312964E-2</v>
      </c>
      <c r="M6" s="35"/>
    </row>
    <row r="7" spans="1:18" ht="18" customHeight="1" thickBot="1" x14ac:dyDescent="0.25">
      <c r="A7" s="73" t="s">
        <v>72</v>
      </c>
      <c r="B7" s="171">
        <f>SUM(B5:B6)</f>
        <v>6772754</v>
      </c>
      <c r="C7" s="133">
        <f t="shared" ref="C7:J7" si="0">SUM(C5:C6)</f>
        <v>2129</v>
      </c>
      <c r="D7" s="133">
        <f t="shared" si="0"/>
        <v>17562037</v>
      </c>
      <c r="E7" s="133">
        <f t="shared" si="0"/>
        <v>24336920</v>
      </c>
      <c r="F7" s="133">
        <f t="shared" si="0"/>
        <v>11039.041221300398</v>
      </c>
      <c r="G7" s="133">
        <f t="shared" si="0"/>
        <v>10058.98550628279</v>
      </c>
      <c r="H7" s="44">
        <f>(F7-G7)/G7</f>
        <v>9.7430870578893922E-2</v>
      </c>
      <c r="I7" s="133">
        <f t="shared" si="0"/>
        <v>119271.50315616997</v>
      </c>
      <c r="J7" s="133">
        <f t="shared" si="0"/>
        <v>110160.37420333561</v>
      </c>
      <c r="K7" s="318">
        <f>(I7-J7)/J7</f>
        <v>8.27078613224108E-2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Stats'!K33</f>
        <v>2417761</v>
      </c>
      <c r="C10" s="118">
        <f>'Regional Major'!M30</f>
        <v>1369</v>
      </c>
      <c r="D10" s="118">
        <f>Cargo!N21</f>
        <v>15023859</v>
      </c>
      <c r="E10" s="118">
        <f>SUM(B10:D10)</f>
        <v>17442989</v>
      </c>
      <c r="F10" s="118">
        <f>E10*0.00045359237</f>
        <v>7912.0067203939298</v>
      </c>
      <c r="G10" s="146">
        <f>'[1]Cargo Summary'!F10</f>
        <v>7431.6233706522498</v>
      </c>
      <c r="H10" s="37">
        <f>(F10-G10)/G10</f>
        <v>6.4640432619167867E-2</v>
      </c>
      <c r="I10" s="146">
        <f>+F10+'[2]Cargo Summary'!I10</f>
        <v>86021.346293256211</v>
      </c>
      <c r="J10" s="146">
        <f>'[1]Cargo Summary'!I10</f>
        <v>84878.42642342062</v>
      </c>
      <c r="K10" s="85">
        <f>(I10-J10)/J10</f>
        <v>1.3465375337356901E-2</v>
      </c>
      <c r="M10" s="35"/>
    </row>
    <row r="11" spans="1:18" x14ac:dyDescent="0.2">
      <c r="A11" s="62" t="s">
        <v>16</v>
      </c>
      <c r="B11" s="169">
        <f>'Major Airline Stats'!K34</f>
        <v>2603525</v>
      </c>
      <c r="C11" s="118">
        <f>'Regional Major'!M31</f>
        <v>4413</v>
      </c>
      <c r="D11" s="118">
        <f>Cargo!N22</f>
        <v>388264</v>
      </c>
      <c r="E11" s="118">
        <f>SUM(B11:D11)</f>
        <v>2996202</v>
      </c>
      <c r="F11" s="118">
        <f>E11*0.00045359237</f>
        <v>1359.0543661787399</v>
      </c>
      <c r="G11" s="146">
        <f>'[1]Cargo Summary'!F11</f>
        <v>1440.8524926303201</v>
      </c>
      <c r="H11" s="35">
        <f>(F11-G11)/G11</f>
        <v>-5.6770645760035578E-2</v>
      </c>
      <c r="I11" s="146">
        <f>+F11+'[2]Cargo Summary'!I11</f>
        <v>13750.591007987679</v>
      </c>
      <c r="J11" s="146">
        <f>'[1]Cargo Summary'!I11</f>
        <v>12957.728328145369</v>
      </c>
      <c r="K11" s="85">
        <f>(I11-J11)/J11</f>
        <v>6.1188401219999342E-2</v>
      </c>
      <c r="M11" s="35"/>
    </row>
    <row r="12" spans="1:18" ht="18" customHeight="1" thickBot="1" x14ac:dyDescent="0.25">
      <c r="A12" s="73" t="s">
        <v>73</v>
      </c>
      <c r="B12" s="171">
        <f>SUM(B10:B11)</f>
        <v>5021286</v>
      </c>
      <c r="C12" s="133">
        <f t="shared" ref="C12:J12" si="1">SUM(C10:C11)</f>
        <v>5782</v>
      </c>
      <c r="D12" s="133">
        <f t="shared" si="1"/>
        <v>15412123</v>
      </c>
      <c r="E12" s="133">
        <f t="shared" si="1"/>
        <v>20439191</v>
      </c>
      <c r="F12" s="133">
        <f t="shared" si="1"/>
        <v>9271.0610865726703</v>
      </c>
      <c r="G12" s="133">
        <f t="shared" si="1"/>
        <v>8872.4758632825706</v>
      </c>
      <c r="H12" s="44">
        <f>(F12-G12)/G12</f>
        <v>4.4923787839151609E-2</v>
      </c>
      <c r="I12" s="133">
        <f t="shared" si="1"/>
        <v>99771.937301243888</v>
      </c>
      <c r="J12" s="133">
        <f t="shared" si="1"/>
        <v>97836.154751565991</v>
      </c>
      <c r="K12" s="318">
        <f>(I12-J12)/J12</f>
        <v>1.9785963119599324E-2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Stats'!K38</f>
        <v>0</v>
      </c>
      <c r="C15" s="118">
        <f>'Regional Major'!M35</f>
        <v>0</v>
      </c>
      <c r="D15" s="118">
        <f>Cargo!N26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2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Stats'!K39</f>
        <v>0</v>
      </c>
      <c r="C16" s="118">
        <f>'Regional Major'!M36</f>
        <v>0</v>
      </c>
      <c r="D16" s="118">
        <f>Cargo!N27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7134746</v>
      </c>
      <c r="C20" s="118">
        <f t="shared" si="3"/>
        <v>3034</v>
      </c>
      <c r="D20" s="118">
        <f t="shared" si="3"/>
        <v>32585196</v>
      </c>
      <c r="E20" s="118">
        <f>SUM(B20:D20)</f>
        <v>39722976</v>
      </c>
      <c r="F20" s="118">
        <f>E20*0.00045359237</f>
        <v>18018.03882729312</v>
      </c>
      <c r="G20" s="146">
        <f>'[1]Cargo Summary'!F20</f>
        <v>16565.475486854139</v>
      </c>
      <c r="H20" s="37">
        <f>(F20-G20)/G20</f>
        <v>8.768618453431605E-2</v>
      </c>
      <c r="I20" s="146">
        <f>+F20+'[2]Cargo Summary'!I20</f>
        <v>195816.5627630089</v>
      </c>
      <c r="J20" s="146">
        <f>+J5+J10+J15</f>
        <v>185057.98224000318</v>
      </c>
      <c r="K20" s="85">
        <f>(I20-J20)/J20</f>
        <v>5.8136268388860018E-2</v>
      </c>
      <c r="M20" s="35"/>
    </row>
    <row r="21" spans="1:13" x14ac:dyDescent="0.2">
      <c r="A21" s="62" t="s">
        <v>16</v>
      </c>
      <c r="B21" s="169">
        <f t="shared" si="3"/>
        <v>4659294</v>
      </c>
      <c r="C21" s="120">
        <f t="shared" si="3"/>
        <v>4877</v>
      </c>
      <c r="D21" s="120">
        <f t="shared" si="3"/>
        <v>388964</v>
      </c>
      <c r="E21" s="118">
        <f>SUM(B21:D21)</f>
        <v>5053135</v>
      </c>
      <c r="F21" s="118">
        <f>E21*0.00045359237</f>
        <v>2292.06348057995</v>
      </c>
      <c r="G21" s="146">
        <f>'[1]Cargo Summary'!F21</f>
        <v>2365.9858827112198</v>
      </c>
      <c r="H21" s="37">
        <f>(F21-G21)/G21</f>
        <v>-3.1243805244755292E-2</v>
      </c>
      <c r="I21" s="146">
        <f>+F21+'[2]Cargo Summary'!I21</f>
        <v>23226.877694404997</v>
      </c>
      <c r="J21" s="146">
        <f>+J6+J11+J16</f>
        <v>22938.546714898428</v>
      </c>
      <c r="K21" s="85">
        <f>(I21-J21)/J21</f>
        <v>1.2569714336754379E-2</v>
      </c>
      <c r="M21" s="35"/>
    </row>
    <row r="22" spans="1:13" ht="18" customHeight="1" thickBot="1" x14ac:dyDescent="0.25">
      <c r="A22" s="88" t="s">
        <v>62</v>
      </c>
      <c r="B22" s="172">
        <f>SUM(B20:B21)</f>
        <v>11794040</v>
      </c>
      <c r="C22" s="173">
        <f t="shared" ref="C22:J22" si="4">SUM(C20:C21)</f>
        <v>7911</v>
      </c>
      <c r="D22" s="173">
        <f t="shared" si="4"/>
        <v>32974160</v>
      </c>
      <c r="E22" s="173">
        <f t="shared" si="4"/>
        <v>44776111</v>
      </c>
      <c r="F22" s="173">
        <f t="shared" si="4"/>
        <v>20310.102307873069</v>
      </c>
      <c r="G22" s="173">
        <f t="shared" si="4"/>
        <v>18931.461369565357</v>
      </c>
      <c r="H22" s="324">
        <f>(F22-G22)/G22</f>
        <v>7.2822742597359436E-2</v>
      </c>
      <c r="I22" s="173">
        <f t="shared" si="4"/>
        <v>219043.4404574139</v>
      </c>
      <c r="J22" s="173">
        <f t="shared" si="4"/>
        <v>207996.52895490162</v>
      </c>
      <c r="K22" s="325">
        <f>(I22-J22)/J22</f>
        <v>5.311103775634405E-2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November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1"/>
  <sheetViews>
    <sheetView zoomScaleNormal="100" workbookViewId="0">
      <selection activeCell="K9" sqref="K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7" t="s">
        <v>206</v>
      </c>
      <c r="B2" s="548"/>
      <c r="C2" s="459" t="s">
        <v>217</v>
      </c>
      <c r="D2" s="461" t="s">
        <v>192</v>
      </c>
      <c r="E2" s="462" t="s">
        <v>98</v>
      </c>
      <c r="F2" s="463" t="s">
        <v>218</v>
      </c>
      <c r="G2" s="461" t="s">
        <v>193</v>
      </c>
      <c r="H2" s="460" t="s">
        <v>99</v>
      </c>
      <c r="I2" s="462" t="s">
        <v>140</v>
      </c>
      <c r="J2" s="547" t="s">
        <v>201</v>
      </c>
      <c r="K2" s="548"/>
      <c r="L2" s="459" t="s">
        <v>219</v>
      </c>
      <c r="M2" s="461" t="s">
        <v>194</v>
      </c>
      <c r="N2" s="464" t="s">
        <v>99</v>
      </c>
      <c r="O2" s="465" t="s">
        <v>220</v>
      </c>
      <c r="P2" s="465" t="s">
        <v>195</v>
      </c>
      <c r="Q2" s="498" t="s">
        <v>99</v>
      </c>
      <c r="R2" s="462" t="s">
        <v>224</v>
      </c>
    </row>
    <row r="3" spans="1:19" s="224" customFormat="1" ht="13.5" customHeight="1" thickBot="1" x14ac:dyDescent="0.25">
      <c r="A3" s="549">
        <v>43405</v>
      </c>
      <c r="B3" s="550"/>
      <c r="C3" s="551" t="s">
        <v>9</v>
      </c>
      <c r="D3" s="552"/>
      <c r="E3" s="552"/>
      <c r="F3" s="552"/>
      <c r="G3" s="552"/>
      <c r="H3" s="553"/>
      <c r="I3" s="466"/>
      <c r="J3" s="549">
        <f>+A3</f>
        <v>43405</v>
      </c>
      <c r="K3" s="550"/>
      <c r="L3" s="541" t="s">
        <v>202</v>
      </c>
      <c r="M3" s="542"/>
      <c r="N3" s="542"/>
      <c r="O3" s="542"/>
      <c r="P3" s="542"/>
      <c r="Q3" s="542"/>
      <c r="R3" s="543"/>
    </row>
    <row r="4" spans="1:19" x14ac:dyDescent="0.2">
      <c r="A4" s="342"/>
      <c r="B4" s="343"/>
      <c r="C4" s="344"/>
      <c r="D4" s="345"/>
      <c r="E4" s="346"/>
      <c r="F4" s="467"/>
      <c r="G4" s="412"/>
      <c r="H4" s="484"/>
      <c r="I4" s="346"/>
      <c r="J4" s="347"/>
      <c r="K4" s="343"/>
      <c r="L4" s="493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+[3]DHL!$FX$12</f>
        <v>48</v>
      </c>
      <c r="D5" s="352">
        <f>+[3]DHL!$FJ$12</f>
        <v>50</v>
      </c>
      <c r="E5" s="353">
        <f>(C5-D5)/D5</f>
        <v>-0.04</v>
      </c>
      <c r="F5" s="350">
        <f>+SUM([3]DHL!$FN$12:$FX$12)</f>
        <v>460</v>
      </c>
      <c r="G5" s="352">
        <f>+SUM([3]DHL!$EZ$12:$FJ$12)</f>
        <v>482</v>
      </c>
      <c r="H5" s="351">
        <f>(F5-G5)/G5</f>
        <v>-4.5643153526970952E-2</v>
      </c>
      <c r="I5" s="353">
        <f>+F5/$F$24</f>
        <v>3.45086271567892E-2</v>
      </c>
      <c r="J5" s="349" t="s">
        <v>203</v>
      </c>
      <c r="K5" s="55"/>
      <c r="L5" s="350">
        <f>+[3]DHL!$FX$64</f>
        <v>1452311</v>
      </c>
      <c r="M5" s="352">
        <f>+[3]DHL!$FJ$64</f>
        <v>1315598</v>
      </c>
      <c r="N5" s="353">
        <f>(L5-M5)/M5</f>
        <v>0.10391700200213135</v>
      </c>
      <c r="O5" s="350">
        <f>+SUM([3]DHL!$FN$64:$FX$64)</f>
        <v>14150322</v>
      </c>
      <c r="P5" s="352">
        <f>+SUM([3]DHL!$EZ$64:$FJ$64)</f>
        <v>14008702</v>
      </c>
      <c r="Q5" s="351">
        <f>(O5-P5)/P5</f>
        <v>1.010943055252371E-2</v>
      </c>
      <c r="R5" s="353">
        <f>O5/$O$24</f>
        <v>4.270421398883794E-2</v>
      </c>
      <c r="S5" s="20"/>
    </row>
    <row r="6" spans="1:19" ht="14.1" customHeight="1" x14ac:dyDescent="0.2">
      <c r="A6" s="349"/>
      <c r="B6" s="362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2"/>
      <c r="C7" s="350">
        <f>+[3]FedEx!$FX$12</f>
        <v>284</v>
      </c>
      <c r="D7" s="352">
        <f>+[3]FedEx!$FJ$12</f>
        <v>264</v>
      </c>
      <c r="E7" s="353">
        <f>(C7-D7)/D7</f>
        <v>7.575757575757576E-2</v>
      </c>
      <c r="F7" s="350">
        <f>+SUM([3]FedEx!$FN$12:$FX$12)</f>
        <v>2738</v>
      </c>
      <c r="G7" s="352">
        <f>+SUM([3]FedEx!$EZ$12:$FJ$12)</f>
        <v>2243</v>
      </c>
      <c r="H7" s="351">
        <f t="shared" ref="H7" si="0">(F7-G7)/G7</f>
        <v>0.22068658047258136</v>
      </c>
      <c r="I7" s="353">
        <f>+F7/$F$24</f>
        <v>0.20540135033758439</v>
      </c>
      <c r="J7" s="349" t="s">
        <v>204</v>
      </c>
      <c r="K7" s="55"/>
      <c r="L7" s="350">
        <f>+[3]FedEx!$FX$64</f>
        <v>17262184</v>
      </c>
      <c r="M7" s="352">
        <f>+[3]FedEx!$FJ$64</f>
        <v>17525940</v>
      </c>
      <c r="N7" s="353">
        <f>(L7-M7)/M7</f>
        <v>-1.5049463823338435E-2</v>
      </c>
      <c r="O7" s="350">
        <f>+SUM([3]FedEx!$FN$64:$FX$64)</f>
        <v>187026264</v>
      </c>
      <c r="P7" s="352">
        <f>+SUM([3]FedEx!$EZ$64:$FJ$64)</f>
        <v>185720240</v>
      </c>
      <c r="Q7" s="351">
        <f t="shared" ref="Q7" si="1">(O7-P7)/P7</f>
        <v>7.0322114595587426E-3</v>
      </c>
      <c r="R7" s="353">
        <f>O7/$O$24</f>
        <v>0.56442599676451866</v>
      </c>
      <c r="S7" s="20"/>
    </row>
    <row r="8" spans="1:19" ht="14.1" customHeight="1" x14ac:dyDescent="0.2">
      <c r="A8" s="349"/>
      <c r="B8" s="362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2"/>
      <c r="C9" s="350">
        <f>+[3]UPS!$FX$12</f>
        <v>256</v>
      </c>
      <c r="D9" s="352">
        <f>+[3]UPS!$FJ$12</f>
        <v>200</v>
      </c>
      <c r="E9" s="353">
        <f>(C9-D9)/D9</f>
        <v>0.28000000000000003</v>
      </c>
      <c r="F9" s="350">
        <f>+SUM([3]UPS!$FN$12:$FX$12)</f>
        <v>2352</v>
      </c>
      <c r="G9" s="352">
        <f>+SUM([3]UPS!$EZ$12:$FJ$12)</f>
        <v>2102</v>
      </c>
      <c r="H9" s="351">
        <f>(F9-G9)/G9</f>
        <v>0.11893434823977164</v>
      </c>
      <c r="I9" s="353">
        <f>+F9/$F$24</f>
        <v>0.17644411102775695</v>
      </c>
      <c r="J9" s="349" t="s">
        <v>83</v>
      </c>
      <c r="K9" s="55"/>
      <c r="L9" s="350">
        <f>+[3]UPS!$FX$64</f>
        <v>11789696</v>
      </c>
      <c r="M9" s="352">
        <f>+[3]UPS!$FJ$64</f>
        <v>10069854</v>
      </c>
      <c r="N9" s="353">
        <f>(L9-M9)/M9</f>
        <v>0.17079115546263132</v>
      </c>
      <c r="O9" s="350">
        <f>+SUM([3]UPS!$FN$64:$FX$64)</f>
        <v>126944986</v>
      </c>
      <c r="P9" s="352">
        <f>+SUM([3]UPS!$EZ$64:$FJ$64)</f>
        <v>113957748</v>
      </c>
      <c r="Q9" s="351">
        <f>(O9-P9)/P9</f>
        <v>0.11396537951943382</v>
      </c>
      <c r="R9" s="353">
        <f>O9/$O$24</f>
        <v>0.38310688950781729</v>
      </c>
      <c r="S9" s="20"/>
    </row>
    <row r="10" spans="1:19" ht="14.1" customHeight="1" x14ac:dyDescent="0.2">
      <c r="A10" s="349"/>
      <c r="B10" s="362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187</v>
      </c>
      <c r="B11" s="362"/>
      <c r="C11" s="350">
        <f>+[3]IFL!$FX$12</f>
        <v>32</v>
      </c>
      <c r="D11" s="352">
        <f>+[3]IFL!$FJ$12</f>
        <v>32</v>
      </c>
      <c r="E11" s="353">
        <f>(C11-D11)/D11</f>
        <v>0</v>
      </c>
      <c r="F11" s="350">
        <f>+SUM([3]IFL!$FN$12:$FX$12)</f>
        <v>464</v>
      </c>
      <c r="G11" s="352">
        <f>+SUM([3]IFL!$EZ$12:$FJ$12)</f>
        <v>542</v>
      </c>
      <c r="H11" s="351">
        <f>(F11-G11)/G11</f>
        <v>-0.14391143911439114</v>
      </c>
      <c r="I11" s="353">
        <f>+F11/$F$24</f>
        <v>3.4808702175543889E-2</v>
      </c>
      <c r="J11" s="349" t="s">
        <v>187</v>
      </c>
      <c r="K11" s="55"/>
      <c r="L11" s="350">
        <f>+[3]IFL!$FX$64</f>
        <v>16033</v>
      </c>
      <c r="M11" s="352">
        <f>+[3]IFL!$FJ$64</f>
        <v>16454</v>
      </c>
      <c r="N11" s="353">
        <f>(L11-M11)/M11</f>
        <v>-2.5586483529840769E-2</v>
      </c>
      <c r="O11" s="350">
        <f>+SUM([3]IFL!$FN$64:$FX$64)</f>
        <v>236996</v>
      </c>
      <c r="P11" s="352">
        <f>+SUM([3]IFL!$EZ$64:$FJ$64)</f>
        <v>560298</v>
      </c>
      <c r="Q11" s="351">
        <f>(O11-P11)/P11</f>
        <v>-0.57701794402264506</v>
      </c>
      <c r="R11" s="353">
        <f>O11/$O$24</f>
        <v>7.1522951198556728E-4</v>
      </c>
      <c r="S11" s="20"/>
    </row>
    <row r="12" spans="1:19" ht="14.1" customHeight="1" x14ac:dyDescent="0.2">
      <c r="A12" s="349"/>
      <c r="B12" s="362"/>
      <c r="C12" s="350"/>
      <c r="D12" s="355"/>
      <c r="E12" s="353"/>
      <c r="F12" s="468"/>
      <c r="G12" s="355"/>
      <c r="H12" s="351"/>
      <c r="I12" s="353"/>
      <c r="J12" s="349"/>
      <c r="K12" s="55"/>
      <c r="L12" s="356"/>
      <c r="M12" s="146"/>
      <c r="N12" s="86"/>
      <c r="O12" s="356"/>
      <c r="P12" s="146"/>
      <c r="Q12" s="39"/>
      <c r="R12" s="86"/>
      <c r="S12" s="20"/>
    </row>
    <row r="13" spans="1:19" ht="14.1" customHeight="1" x14ac:dyDescent="0.2">
      <c r="A13" s="349" t="s">
        <v>167</v>
      </c>
      <c r="B13" s="361"/>
      <c r="C13" s="350">
        <f>+'[3]Suburban Air Freight'!$FX$12</f>
        <v>0</v>
      </c>
      <c r="D13" s="352">
        <f>+'[3]Suburban Air Freight'!$FJ$12</f>
        <v>0</v>
      </c>
      <c r="E13" s="353" t="e">
        <f>(C13-D13)/D13</f>
        <v>#DIV/0!</v>
      </c>
      <c r="F13" s="350">
        <f>+SUM('[3]Suburban Air Freight'!$FN$12:$FX$12)</f>
        <v>0</v>
      </c>
      <c r="G13" s="352">
        <f>+SUM('[3]Suburban Air Freight'!$EZ$12:$FJ$12)</f>
        <v>0</v>
      </c>
      <c r="H13" s="351" t="e">
        <f t="shared" ref="H13" si="2">(F13-G13)/G13</f>
        <v>#DIV/0!</v>
      </c>
      <c r="I13" s="353">
        <f>+F13/$F$24</f>
        <v>0</v>
      </c>
      <c r="J13" s="349" t="s">
        <v>167</v>
      </c>
      <c r="K13" s="357"/>
      <c r="L13" s="350">
        <f>+'[3]Suburban Air Freight'!$FX$64</f>
        <v>0</v>
      </c>
      <c r="M13" s="352">
        <f>+'[3]Suburban Air Freight'!$FJ$64</f>
        <v>0</v>
      </c>
      <c r="N13" s="353" t="e">
        <f>(L13-M13)/M13</f>
        <v>#DIV/0!</v>
      </c>
      <c r="O13" s="350">
        <f>+SUM('[3]Suburban Air Freight'!$FN$64:$FX$64)</f>
        <v>0</v>
      </c>
      <c r="P13" s="352">
        <f>+SUM('[3]Suburban Air Freight'!$EZ$64:$FJ$64)</f>
        <v>779480</v>
      </c>
      <c r="Q13" s="351">
        <f t="shared" ref="Q13" si="3">(O13-P13)/P13</f>
        <v>-1</v>
      </c>
      <c r="R13" s="353">
        <f>O13/$O$24</f>
        <v>0</v>
      </c>
      <c r="S13" s="20"/>
    </row>
    <row r="14" spans="1:19" ht="14.1" customHeight="1" x14ac:dyDescent="0.2">
      <c r="A14" s="53"/>
      <c r="B14" s="359"/>
      <c r="C14" s="350"/>
      <c r="D14" s="9"/>
      <c r="E14" s="86"/>
      <c r="F14" s="354"/>
      <c r="G14" s="9"/>
      <c r="H14" s="39"/>
      <c r="I14" s="86"/>
      <c r="J14" s="53"/>
      <c r="K14" s="359"/>
      <c r="L14" s="354"/>
      <c r="M14" s="9"/>
      <c r="N14" s="86"/>
      <c r="O14" s="354"/>
      <c r="P14" s="9"/>
      <c r="Q14" s="39"/>
      <c r="R14" s="86"/>
      <c r="S14" s="20"/>
    </row>
    <row r="15" spans="1:19" ht="14.1" customHeight="1" x14ac:dyDescent="0.2">
      <c r="A15" s="349" t="s">
        <v>85</v>
      </c>
      <c r="B15" s="359"/>
      <c r="C15" s="350">
        <f>+[3]Bemidji!$FX$12</f>
        <v>458</v>
      </c>
      <c r="D15" s="352">
        <f>+[3]Bemidji!$FJ$12</f>
        <v>590</v>
      </c>
      <c r="E15" s="353">
        <f>(C15-D15)/D15</f>
        <v>-0.22372881355932203</v>
      </c>
      <c r="F15" s="350">
        <f>+SUM([3]Bemidji!$FN$12:$FX$12)</f>
        <v>6006</v>
      </c>
      <c r="G15" s="352">
        <f>+SUM([3]Bemidji!$EZ$12:$FJ$12)</f>
        <v>6036</v>
      </c>
      <c r="H15" s="351">
        <f t="shared" ref="H15" si="4">(F15-G15)/G15</f>
        <v>-4.970178926441352E-3</v>
      </c>
      <c r="I15" s="353">
        <f>+F15/$F$24</f>
        <v>0.45056264066016505</v>
      </c>
      <c r="J15" s="349" t="s">
        <v>85</v>
      </c>
      <c r="K15" s="359"/>
      <c r="L15" s="544" t="s">
        <v>207</v>
      </c>
      <c r="M15" s="545"/>
      <c r="N15" s="545"/>
      <c r="O15" s="545"/>
      <c r="P15" s="545"/>
      <c r="Q15" s="545"/>
      <c r="R15" s="546"/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86</v>
      </c>
      <c r="B17" s="359"/>
      <c r="C17" s="350">
        <f>+'[3]CSA Air'!$FX$12</f>
        <v>8</v>
      </c>
      <c r="D17" s="352">
        <f>+'[3]CSA Air'!$FJ$12</f>
        <v>6</v>
      </c>
      <c r="E17" s="353">
        <f>(C17-D17)/D17</f>
        <v>0.33333333333333331</v>
      </c>
      <c r="F17" s="350">
        <f>+SUM('[3]CSA Air'!$FN$12:$FX$12)</f>
        <v>15</v>
      </c>
      <c r="G17" s="352">
        <f>+SUM('[3]CSA Air'!$EZ$12:$FJ$12)</f>
        <v>228</v>
      </c>
      <c r="H17" s="351">
        <f t="shared" ref="H17" si="5">(F17-G17)/G17</f>
        <v>-0.93421052631578949</v>
      </c>
      <c r="I17" s="353">
        <f>+F17/$F$24</f>
        <v>1.1252813203300824E-3</v>
      </c>
      <c r="J17" s="349" t="s">
        <v>86</v>
      </c>
      <c r="K17" s="359"/>
      <c r="L17" s="350">
        <f>+'[3]CSA Air'!$FX$64</f>
        <v>12022</v>
      </c>
      <c r="M17" s="352">
        <f>+'[3]CSA Air'!$FJ$64</f>
        <v>8840</v>
      </c>
      <c r="N17" s="353">
        <f>(L17-M17)/M17</f>
        <v>0.35995475113122172</v>
      </c>
      <c r="O17" s="350">
        <f>+SUM('[3]CSA Air'!$FN$64:$FX$64)</f>
        <v>16807</v>
      </c>
      <c r="P17" s="352">
        <f>+SUM('[3]CSA Air'!$EZ$64:$FJ$64)</f>
        <v>325284</v>
      </c>
      <c r="Q17" s="351">
        <f t="shared" ref="Q17" si="6">(O17-P17)/P17</f>
        <v>-0.94833130433713309</v>
      </c>
      <c r="R17" s="353">
        <f>O17/$O$24</f>
        <v>5.0721794494174712E-5</v>
      </c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87</v>
      </c>
      <c r="B19" s="361"/>
      <c r="C19" s="350">
        <f>+'[3]Mountain Cargo'!$FX$12</f>
        <v>42</v>
      </c>
      <c r="D19" s="352">
        <f>+'[3]Mountain Cargo'!$FJ$12</f>
        <v>40</v>
      </c>
      <c r="E19" s="353">
        <f>(C19-D19)/D19</f>
        <v>0.05</v>
      </c>
      <c r="F19" s="350">
        <f>+SUM('[3]Mountain Cargo'!$FN$12:$FX$12)</f>
        <v>452</v>
      </c>
      <c r="G19" s="352">
        <f>+SUM('[3]Mountain Cargo'!$EZ$12:$FJ$12)</f>
        <v>458</v>
      </c>
      <c r="H19" s="351">
        <f>(F19-G19)/G19</f>
        <v>-1.3100436681222707E-2</v>
      </c>
      <c r="I19" s="353">
        <f>+F19/$F$24</f>
        <v>3.3908477119279821E-2</v>
      </c>
      <c r="J19" s="349" t="s">
        <v>87</v>
      </c>
      <c r="K19" s="361"/>
      <c r="L19" s="350">
        <f>+'[3]Mountain Cargo'!$FX$64</f>
        <v>315017</v>
      </c>
      <c r="M19" s="352">
        <f>+'[3]Mountain Cargo'!$FJ$64</f>
        <v>158106</v>
      </c>
      <c r="N19" s="353">
        <f>(L19-M19)/M19</f>
        <v>0.99244177956560786</v>
      </c>
      <c r="O19" s="350">
        <f>+SUM('[3]Mountain Cargo'!$FN$64:$FX$64)</f>
        <v>1816878</v>
      </c>
      <c r="P19" s="352">
        <f>+SUM('[3]Mountain Cargo'!$EZ$64:$FJ$64)</f>
        <v>1998112</v>
      </c>
      <c r="Q19" s="351">
        <f t="shared" ref="Q19" si="7">(O19-P19)/P19</f>
        <v>-9.0702623276372893E-2</v>
      </c>
      <c r="R19" s="353">
        <f>O19/$O$24</f>
        <v>5.4831506239654401E-3</v>
      </c>
      <c r="S19" s="414"/>
    </row>
    <row r="20" spans="1:19" ht="14.1" customHeight="1" x14ac:dyDescent="0.2">
      <c r="A20" s="53"/>
      <c r="B20" s="426"/>
      <c r="C20" s="350"/>
      <c r="D20" s="9"/>
      <c r="E20" s="86"/>
      <c r="F20" s="354"/>
      <c r="G20" s="9"/>
      <c r="H20" s="39"/>
      <c r="I20" s="86"/>
      <c r="J20" s="53"/>
      <c r="K20" s="426"/>
      <c r="L20" s="354"/>
      <c r="M20" s="9"/>
      <c r="N20" s="86"/>
      <c r="O20" s="354"/>
      <c r="P20" s="9"/>
      <c r="Q20" s="39"/>
      <c r="R20" s="86"/>
      <c r="S20" s="328"/>
    </row>
    <row r="21" spans="1:19" s="7" customFormat="1" ht="14.1" customHeight="1" x14ac:dyDescent="0.2">
      <c r="A21" s="349" t="s">
        <v>130</v>
      </c>
      <c r="B21" s="362"/>
      <c r="C21" s="350">
        <f>+'[3]Misc Cargo'!$FX$12</f>
        <v>85</v>
      </c>
      <c r="D21" s="352">
        <f>+'[3]Misc Cargo'!$FJ$12</f>
        <v>72</v>
      </c>
      <c r="E21" s="353">
        <f>(C21-D21)/D21</f>
        <v>0.18055555555555555</v>
      </c>
      <c r="F21" s="350">
        <f>+SUM('[3]Misc Cargo'!$FN$12:$FX$12)</f>
        <v>843</v>
      </c>
      <c r="G21" s="352">
        <f>+SUM('[3]Misc Cargo'!$EZ$12:$FJ$12)</f>
        <v>508</v>
      </c>
      <c r="H21" s="351">
        <f>(F21-G21)/G21</f>
        <v>0.65944881889763785</v>
      </c>
      <c r="I21" s="353">
        <f>+F21/$F$24</f>
        <v>6.3240810202550637E-2</v>
      </c>
      <c r="J21" s="349" t="s">
        <v>130</v>
      </c>
      <c r="K21" s="362"/>
      <c r="L21" s="350">
        <f>+'[3]Misc Cargo'!$FX$64</f>
        <v>101918</v>
      </c>
      <c r="M21" s="352">
        <f>+'[3]Misc Cargo'!$FJ$64</f>
        <v>97344</v>
      </c>
      <c r="N21" s="353">
        <f>(L21-M21)/M21</f>
        <v>4.6988001314924394E-2</v>
      </c>
      <c r="O21" s="350">
        <f>+SUM('[3]Misc Cargo'!$FN$64:$FX$64)</f>
        <v>1164320</v>
      </c>
      <c r="P21" s="352">
        <f>+SUM('[3]Misc Cargo'!$EZ$64:$FJ$64)</f>
        <v>996993</v>
      </c>
      <c r="Q21" s="351">
        <f>(O21-P21)/P21</f>
        <v>0.16783166983118236</v>
      </c>
      <c r="R21" s="353">
        <f>O21/$O$24</f>
        <v>3.513797808380883E-3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9"/>
      <c r="K22" s="362"/>
      <c r="L22" s="364"/>
      <c r="M22" s="368"/>
      <c r="N22" s="367"/>
      <c r="O22" s="364"/>
      <c r="P22" s="368"/>
      <c r="Q22" s="365"/>
      <c r="R22" s="471"/>
      <c r="S22" s="469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205</v>
      </c>
      <c r="C24" s="478">
        <f>+SUM(C5:C21)</f>
        <v>1213</v>
      </c>
      <c r="D24" s="479">
        <f>SUM(D5:D22)</f>
        <v>1254</v>
      </c>
      <c r="E24" s="480">
        <f>(C24-D24)/D24</f>
        <v>-3.2695374800637958E-2</v>
      </c>
      <c r="F24" s="478">
        <f>+SUM(F5:F21)</f>
        <v>13330</v>
      </c>
      <c r="G24" s="478">
        <f>+SUM(G5:G21)</f>
        <v>12599</v>
      </c>
      <c r="H24" s="481">
        <f>(F24-G24)/G24</f>
        <v>5.8020477815699661E-2</v>
      </c>
      <c r="I24" s="497"/>
      <c r="K24" s="477" t="s">
        <v>205</v>
      </c>
      <c r="L24" s="478">
        <f>+SUM(L5:L21)</f>
        <v>30949181</v>
      </c>
      <c r="M24" s="482">
        <f>SUM(M5:M22)</f>
        <v>29192136</v>
      </c>
      <c r="N24" s="483">
        <f>(L24-M24)/M24</f>
        <v>6.0188983772890066E-2</v>
      </c>
      <c r="O24" s="478">
        <f>+SUM(O5:O21)</f>
        <v>331356573</v>
      </c>
      <c r="P24" s="478">
        <f>+SUM(P5:P21)</f>
        <v>318346857</v>
      </c>
      <c r="Q24" s="481">
        <f t="shared" ref="Q24" si="8">(O24-P24)/P24</f>
        <v>4.086648168164575E-2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November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2018-12-12T16:01:33Z</cp:lastPrinted>
  <dcterms:created xsi:type="dcterms:W3CDTF">2007-09-24T12:26:24Z</dcterms:created>
  <dcterms:modified xsi:type="dcterms:W3CDTF">2019-09-26T20:22:00Z</dcterms:modified>
</cp:coreProperties>
</file>