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21" i="1" l="1"/>
  <c r="B21" i="1"/>
  <c r="H27" i="8" l="1"/>
  <c r="H26" i="8"/>
  <c r="H22" i="8"/>
  <c r="H21" i="8"/>
  <c r="H17" i="8"/>
  <c r="H16" i="8"/>
  <c r="H5" i="8"/>
  <c r="H4" i="8"/>
  <c r="H10" i="8"/>
  <c r="H28" i="8"/>
  <c r="H32" i="8" l="1"/>
  <c r="H6" i="8"/>
  <c r="H12" i="8" s="1"/>
  <c r="H23" i="8"/>
  <c r="H18" i="8"/>
  <c r="H31" i="8"/>
  <c r="O25" i="7"/>
  <c r="J25" i="7"/>
  <c r="E25" i="7"/>
  <c r="M25" i="7"/>
  <c r="L25" i="7"/>
  <c r="H25" i="7"/>
  <c r="G25" i="7"/>
  <c r="C25" i="7"/>
  <c r="B25" i="7"/>
  <c r="H33" i="8" l="1"/>
  <c r="J29" i="7"/>
  <c r="H29" i="7"/>
  <c r="G29" i="7"/>
  <c r="J28" i="7"/>
  <c r="O29" i="7"/>
  <c r="M29" i="7"/>
  <c r="L29" i="7"/>
  <c r="O28" i="7"/>
  <c r="E30" i="7"/>
  <c r="J30" i="7"/>
  <c r="O30" i="7"/>
  <c r="E29" i="7"/>
  <c r="C29" i="7"/>
  <c r="B29" i="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D37" i="1"/>
  <c r="B37" i="1"/>
  <c r="D36" i="1"/>
  <c r="B36" i="1"/>
  <c r="H28" i="1"/>
  <c r="E28" i="1"/>
  <c r="H27" i="1"/>
  <c r="E27" i="1"/>
  <c r="E21" i="1"/>
  <c r="H21" i="1" s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Q52" i="9"/>
  <c r="N52" i="9"/>
  <c r="H52" i="9"/>
  <c r="E52" i="9"/>
  <c r="Q51" i="9"/>
  <c r="N51" i="9"/>
  <c r="H51" i="9"/>
  <c r="E51" i="9"/>
  <c r="Q50" i="9"/>
  <c r="N50" i="9"/>
  <c r="H50" i="9"/>
  <c r="E50" i="9"/>
  <c r="Q49" i="9"/>
  <c r="N49" i="9"/>
  <c r="H49" i="9"/>
  <c r="E49" i="9"/>
  <c r="Q46" i="9"/>
  <c r="N46" i="9"/>
  <c r="H46" i="9"/>
  <c r="E46" i="9"/>
  <c r="Q45" i="9"/>
  <c r="N45" i="9"/>
  <c r="H45" i="9"/>
  <c r="E45" i="9"/>
  <c r="Q44" i="9"/>
  <c r="N44" i="9"/>
  <c r="H44" i="9"/>
  <c r="E44" i="9"/>
  <c r="Q43" i="9"/>
  <c r="N43" i="9"/>
  <c r="H43" i="9"/>
  <c r="E43" i="9"/>
  <c r="Q42" i="9"/>
  <c r="N42" i="9"/>
  <c r="H42" i="9"/>
  <c r="E42" i="9"/>
  <c r="Q41" i="9"/>
  <c r="N41" i="9"/>
  <c r="H41" i="9"/>
  <c r="E41" i="9"/>
  <c r="Q40" i="9"/>
  <c r="N40" i="9"/>
  <c r="H40" i="9"/>
  <c r="E40" i="9"/>
  <c r="Q37" i="9"/>
  <c r="N37" i="9"/>
  <c r="H37" i="9"/>
  <c r="E37" i="9"/>
  <c r="Q35" i="9"/>
  <c r="N35" i="9"/>
  <c r="H35" i="9"/>
  <c r="E35" i="9"/>
  <c r="Q33" i="9"/>
  <c r="N33" i="9"/>
  <c r="H33" i="9"/>
  <c r="E33" i="9"/>
  <c r="Q32" i="9"/>
  <c r="N32" i="9"/>
  <c r="H32" i="9"/>
  <c r="E32" i="9"/>
  <c r="Q29" i="9"/>
  <c r="N29" i="9"/>
  <c r="H29" i="9"/>
  <c r="E29" i="9"/>
  <c r="Q27" i="9"/>
  <c r="N27" i="9"/>
  <c r="H27" i="9"/>
  <c r="E27" i="9"/>
  <c r="Q25" i="9"/>
  <c r="N25" i="9"/>
  <c r="H25" i="9"/>
  <c r="E25" i="9"/>
  <c r="Q23" i="9"/>
  <c r="N23" i="9"/>
  <c r="H23" i="9"/>
  <c r="E23" i="9"/>
  <c r="Q22" i="9"/>
  <c r="N22" i="9"/>
  <c r="H22" i="9"/>
  <c r="E22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7" i="9"/>
  <c r="N17" i="9"/>
  <c r="H17" i="9"/>
  <c r="E17" i="9"/>
  <c r="Q14" i="9"/>
  <c r="N14" i="9"/>
  <c r="H14" i="9"/>
  <c r="E14" i="9"/>
  <c r="Q12" i="9"/>
  <c r="N12" i="9"/>
  <c r="H12" i="9"/>
  <c r="E12" i="9"/>
  <c r="Q11" i="9"/>
  <c r="N11" i="9"/>
  <c r="H11" i="9"/>
  <c r="E11" i="9"/>
  <c r="Q8" i="9"/>
  <c r="N8" i="9"/>
  <c r="H8" i="9"/>
  <c r="E8" i="9"/>
  <c r="Q6" i="9"/>
  <c r="N6" i="9"/>
  <c r="H6" i="9"/>
  <c r="E6" i="9"/>
  <c r="Q4" i="9"/>
  <c r="N4" i="9"/>
  <c r="H4" i="9"/>
  <c r="E4" i="9"/>
  <c r="P52" i="9"/>
  <c r="L52" i="9"/>
  <c r="G52" i="9"/>
  <c r="C52" i="9"/>
  <c r="P51" i="9"/>
  <c r="L51" i="9"/>
  <c r="G51" i="9"/>
  <c r="C51" i="9"/>
  <c r="P50" i="9"/>
  <c r="L50" i="9"/>
  <c r="G50" i="9"/>
  <c r="C50" i="9"/>
  <c r="P49" i="9"/>
  <c r="L49" i="9"/>
  <c r="G49" i="9"/>
  <c r="C49" i="9"/>
  <c r="P46" i="9"/>
  <c r="L46" i="9"/>
  <c r="G46" i="9"/>
  <c r="C46" i="9"/>
  <c r="P45" i="9"/>
  <c r="L45" i="9"/>
  <c r="G45" i="9"/>
  <c r="C45" i="9"/>
  <c r="P44" i="9"/>
  <c r="L44" i="9"/>
  <c r="G44" i="9"/>
  <c r="C44" i="9"/>
  <c r="P43" i="9"/>
  <c r="L43" i="9"/>
  <c r="G43" i="9"/>
  <c r="C43" i="9"/>
  <c r="P42" i="9"/>
  <c r="L42" i="9"/>
  <c r="G42" i="9"/>
  <c r="C42" i="9"/>
  <c r="P41" i="9"/>
  <c r="L41" i="9"/>
  <c r="G41" i="9"/>
  <c r="C41" i="9"/>
  <c r="P40" i="9"/>
  <c r="L40" i="9"/>
  <c r="G40" i="9"/>
  <c r="C40" i="9"/>
  <c r="P37" i="9"/>
  <c r="L37" i="9"/>
  <c r="G37" i="9"/>
  <c r="C37" i="9"/>
  <c r="P35" i="9"/>
  <c r="L35" i="9"/>
  <c r="G35" i="9"/>
  <c r="C35" i="9"/>
  <c r="P33" i="9"/>
  <c r="L33" i="9"/>
  <c r="G33" i="9"/>
  <c r="C33" i="9"/>
  <c r="P32" i="9"/>
  <c r="L32" i="9"/>
  <c r="G32" i="9"/>
  <c r="C32" i="9"/>
  <c r="P29" i="9"/>
  <c r="L29" i="9"/>
  <c r="G29" i="9"/>
  <c r="C29" i="9"/>
  <c r="P27" i="9"/>
  <c r="L27" i="9"/>
  <c r="G27" i="9"/>
  <c r="C27" i="9"/>
  <c r="P25" i="9"/>
  <c r="L25" i="9"/>
  <c r="G25" i="9"/>
  <c r="C25" i="9"/>
  <c r="P23" i="9"/>
  <c r="L23" i="9"/>
  <c r="G23" i="9"/>
  <c r="C23" i="9"/>
  <c r="P22" i="9"/>
  <c r="L22" i="9"/>
  <c r="G22" i="9"/>
  <c r="C22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7" i="9"/>
  <c r="L17" i="9"/>
  <c r="G17" i="9"/>
  <c r="C17" i="9"/>
  <c r="P14" i="9"/>
  <c r="L14" i="9"/>
  <c r="G14" i="9"/>
  <c r="C14" i="9"/>
  <c r="P12" i="9"/>
  <c r="L12" i="9"/>
  <c r="G12" i="9"/>
  <c r="C12" i="9"/>
  <c r="P11" i="9"/>
  <c r="L11" i="9"/>
  <c r="G11" i="9"/>
  <c r="C11" i="9"/>
  <c r="P8" i="9"/>
  <c r="L8" i="9"/>
  <c r="G8" i="9"/>
  <c r="C8" i="9"/>
  <c r="P6" i="9"/>
  <c r="L6" i="9"/>
  <c r="G6" i="9"/>
  <c r="C6" i="9"/>
  <c r="P4" i="9"/>
  <c r="L4" i="9"/>
  <c r="G4" i="9"/>
  <c r="C4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G16" i="16"/>
  <c r="F16" i="16"/>
  <c r="E16" i="16"/>
  <c r="D16" i="16"/>
  <c r="C16" i="16"/>
  <c r="B16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J4" i="16"/>
  <c r="I4" i="16"/>
  <c r="H4" i="16"/>
  <c r="G4" i="16"/>
  <c r="F4" i="16"/>
  <c r="E4" i="16"/>
  <c r="D4" i="16"/>
  <c r="C4" i="16"/>
  <c r="B4" i="16"/>
  <c r="L27" i="8"/>
  <c r="K27" i="8"/>
  <c r="J27" i="8"/>
  <c r="G27" i="8"/>
  <c r="E27" i="8"/>
  <c r="D27" i="8"/>
  <c r="C27" i="8"/>
  <c r="B27" i="8"/>
  <c r="L26" i="8"/>
  <c r="K26" i="8"/>
  <c r="J26" i="8"/>
  <c r="G26" i="8"/>
  <c r="E26" i="8"/>
  <c r="D26" i="8"/>
  <c r="C26" i="8"/>
  <c r="B26" i="8"/>
  <c r="L22" i="8"/>
  <c r="K22" i="8"/>
  <c r="J22" i="8"/>
  <c r="G22" i="8"/>
  <c r="E22" i="8"/>
  <c r="D22" i="8"/>
  <c r="C22" i="8"/>
  <c r="B22" i="8"/>
  <c r="L21" i="8"/>
  <c r="K21" i="8"/>
  <c r="J21" i="8"/>
  <c r="G21" i="8"/>
  <c r="E21" i="8"/>
  <c r="D21" i="8"/>
  <c r="C21" i="8"/>
  <c r="B21" i="8"/>
  <c r="L17" i="8"/>
  <c r="K17" i="8"/>
  <c r="J17" i="8"/>
  <c r="G17" i="8"/>
  <c r="E17" i="8"/>
  <c r="D17" i="8"/>
  <c r="C17" i="8"/>
  <c r="B17" i="8"/>
  <c r="L16" i="8"/>
  <c r="K16" i="8"/>
  <c r="J16" i="8"/>
  <c r="G16" i="8"/>
  <c r="E16" i="8"/>
  <c r="D16" i="8"/>
  <c r="C16" i="8"/>
  <c r="B16" i="8"/>
  <c r="L9" i="8"/>
  <c r="B9" i="8"/>
  <c r="L8" i="8"/>
  <c r="B8" i="8"/>
  <c r="L5" i="8"/>
  <c r="K5" i="8"/>
  <c r="J5" i="8"/>
  <c r="I5" i="8"/>
  <c r="G5" i="8"/>
  <c r="E5" i="8"/>
  <c r="D5" i="8"/>
  <c r="C5" i="8"/>
  <c r="B5" i="8"/>
  <c r="L4" i="8"/>
  <c r="K4" i="8"/>
  <c r="J4" i="8"/>
  <c r="I4" i="8"/>
  <c r="G4" i="8"/>
  <c r="E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F47" i="15"/>
  <c r="E47" i="15"/>
  <c r="C47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H45" i="4"/>
  <c r="F45" i="4"/>
  <c r="B45" i="4"/>
  <c r="H44" i="4"/>
  <c r="F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G49" i="3"/>
  <c r="F49" i="3"/>
  <c r="G48" i="3"/>
  <c r="F48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C51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C20" i="1"/>
  <c r="B20" i="1"/>
  <c r="M16" i="8" l="1"/>
  <c r="M17" i="8"/>
  <c r="M21" i="8"/>
  <c r="M22" i="8"/>
  <c r="M26" i="8"/>
  <c r="M27" i="8"/>
  <c r="I29" i="7"/>
  <c r="D29" i="7"/>
  <c r="N29" i="7"/>
  <c r="E28" i="7" l="1"/>
  <c r="Q48" i="9"/>
  <c r="H48" i="9"/>
  <c r="E39" i="9"/>
  <c r="E31" i="9"/>
  <c r="G12" i="5"/>
  <c r="J21" i="5"/>
  <c r="J20" i="5"/>
  <c r="E29" i="1"/>
  <c r="H8" i="1"/>
  <c r="H11" i="1" s="1"/>
  <c r="R52" i="9"/>
  <c r="P48" i="9"/>
  <c r="C31" i="9"/>
  <c r="L10" i="9"/>
  <c r="G10" i="9"/>
  <c r="K37" i="16"/>
  <c r="J37" i="16"/>
  <c r="I37" i="16"/>
  <c r="H37" i="16"/>
  <c r="K30" i="16"/>
  <c r="J30" i="16"/>
  <c r="I30" i="16"/>
  <c r="H30" i="16"/>
  <c r="B30" i="16"/>
  <c r="K23" i="16"/>
  <c r="J23" i="16"/>
  <c r="H23" i="16"/>
  <c r="G23" i="16"/>
  <c r="C23" i="16"/>
  <c r="K18" i="16"/>
  <c r="J18" i="16"/>
  <c r="H16" i="16"/>
  <c r="H18" i="16" s="1"/>
  <c r="C18" i="16"/>
  <c r="B18" i="16"/>
  <c r="K11" i="16"/>
  <c r="J11" i="16"/>
  <c r="I11" i="16"/>
  <c r="H11" i="16"/>
  <c r="B11" i="16"/>
  <c r="K6" i="16"/>
  <c r="J6" i="16"/>
  <c r="I6" i="16"/>
  <c r="H6" i="16"/>
  <c r="B6" i="16"/>
  <c r="K28" i="8"/>
  <c r="G28" i="8"/>
  <c r="D28" i="8"/>
  <c r="C28" i="8"/>
  <c r="L23" i="8"/>
  <c r="K23" i="8"/>
  <c r="J23" i="8"/>
  <c r="G23" i="8"/>
  <c r="E23" i="8"/>
  <c r="D23" i="8"/>
  <c r="C23" i="8"/>
  <c r="L18" i="8"/>
  <c r="K18" i="8"/>
  <c r="J18" i="8"/>
  <c r="G18" i="8"/>
  <c r="D18" i="8"/>
  <c r="C18" i="8"/>
  <c r="I49" i="3"/>
  <c r="I51" i="2" s="1"/>
  <c r="I48" i="3"/>
  <c r="I50" i="2" s="1"/>
  <c r="J48" i="2"/>
  <c r="J47" i="2"/>
  <c r="O27" i="7"/>
  <c r="J27" i="7"/>
  <c r="E27" i="7"/>
  <c r="R17" i="9"/>
  <c r="E18" i="8"/>
  <c r="B36" i="15"/>
  <c r="C36" i="15"/>
  <c r="D36" i="15"/>
  <c r="E36" i="15"/>
  <c r="E37" i="15" s="1"/>
  <c r="F36" i="15"/>
  <c r="G36" i="15"/>
  <c r="H36" i="15"/>
  <c r="I36" i="15"/>
  <c r="J36" i="15"/>
  <c r="K36" i="15"/>
  <c r="H35" i="15"/>
  <c r="I35" i="15"/>
  <c r="J35" i="15"/>
  <c r="K35" i="15"/>
  <c r="J30" i="15"/>
  <c r="O26" i="7"/>
  <c r="J26" i="7"/>
  <c r="E26" i="7"/>
  <c r="O24" i="7"/>
  <c r="E24" i="7"/>
  <c r="J24" i="7"/>
  <c r="J23" i="7"/>
  <c r="E23" i="7"/>
  <c r="O23" i="7"/>
  <c r="O22" i="7"/>
  <c r="J22" i="7"/>
  <c r="J21" i="7"/>
  <c r="E22" i="7"/>
  <c r="O21" i="7"/>
  <c r="E21" i="7"/>
  <c r="N31" i="7"/>
  <c r="P31" i="7"/>
  <c r="D31" i="7"/>
  <c r="F31" i="7"/>
  <c r="N32" i="7"/>
  <c r="P32" i="7"/>
  <c r="I32" i="7"/>
  <c r="K32" i="7"/>
  <c r="D32" i="7"/>
  <c r="F32" i="7"/>
  <c r="I31" i="7"/>
  <c r="K31" i="7"/>
  <c r="E45" i="15"/>
  <c r="L45" i="15" s="1"/>
  <c r="E44" i="15"/>
  <c r="L44" i="15" s="1"/>
  <c r="N20" i="16"/>
  <c r="N8" i="16"/>
  <c r="J42" i="2"/>
  <c r="J37" i="2"/>
  <c r="J36" i="2"/>
  <c r="J32" i="2"/>
  <c r="J8" i="2"/>
  <c r="L34" i="4"/>
  <c r="L33" i="4"/>
  <c r="L14" i="4"/>
  <c r="C10" i="8"/>
  <c r="D10" i="8"/>
  <c r="E10" i="8"/>
  <c r="G10" i="8"/>
  <c r="I10" i="8"/>
  <c r="J10" i="8"/>
  <c r="K10" i="8"/>
  <c r="I33" i="8"/>
  <c r="J28" i="8"/>
  <c r="J7" i="5"/>
  <c r="F12" i="15"/>
  <c r="E28" i="8"/>
  <c r="E16" i="9"/>
  <c r="C31" i="8"/>
  <c r="D25" i="7" l="1"/>
  <c r="F25" i="7" s="1"/>
  <c r="H29" i="1"/>
  <c r="J12" i="5"/>
  <c r="J17" i="5"/>
  <c r="E32" i="4"/>
  <c r="C37" i="4"/>
  <c r="B20" i="15"/>
  <c r="G18" i="16"/>
  <c r="B7" i="15"/>
  <c r="F20" i="15"/>
  <c r="J31" i="8"/>
  <c r="C32" i="8"/>
  <c r="I17" i="9"/>
  <c r="I19" i="9"/>
  <c r="C6" i="16"/>
  <c r="E11" i="2"/>
  <c r="G35" i="3"/>
  <c r="E44" i="2"/>
  <c r="B12" i="15"/>
  <c r="J12" i="15"/>
  <c r="F17" i="15"/>
  <c r="D17" i="15"/>
  <c r="J20" i="15"/>
  <c r="H20" i="15"/>
  <c r="B27" i="15"/>
  <c r="J27" i="15"/>
  <c r="D27" i="15"/>
  <c r="K32" i="15"/>
  <c r="H40" i="15"/>
  <c r="G17" i="2"/>
  <c r="E35" i="2"/>
  <c r="E7" i="3"/>
  <c r="G12" i="3"/>
  <c r="E30" i="3"/>
  <c r="D17" i="4"/>
  <c r="B20" i="4"/>
  <c r="D37" i="4"/>
  <c r="E7" i="7"/>
  <c r="C17" i="4"/>
  <c r="F6" i="9"/>
  <c r="F8" i="9"/>
  <c r="F12" i="9"/>
  <c r="F17" i="9"/>
  <c r="F18" i="9"/>
  <c r="F19" i="9"/>
  <c r="F20" i="9"/>
  <c r="F22" i="9"/>
  <c r="F23" i="9"/>
  <c r="F25" i="9"/>
  <c r="F27" i="9"/>
  <c r="F29" i="9"/>
  <c r="F33" i="9"/>
  <c r="F35" i="9"/>
  <c r="F37" i="9"/>
  <c r="F41" i="9"/>
  <c r="F42" i="9"/>
  <c r="F43" i="9"/>
  <c r="F46" i="9"/>
  <c r="F49" i="9"/>
  <c r="F50" i="9"/>
  <c r="F51" i="9"/>
  <c r="F52" i="9"/>
  <c r="R4" i="9"/>
  <c r="R42" i="9"/>
  <c r="R46" i="9"/>
  <c r="Q55" i="9"/>
  <c r="B18" i="3"/>
  <c r="B30" i="3"/>
  <c r="E7" i="15"/>
  <c r="I27" i="15"/>
  <c r="I40" i="15"/>
  <c r="I11" i="9"/>
  <c r="I25" i="9"/>
  <c r="I33" i="9"/>
  <c r="I37" i="9"/>
  <c r="I41" i="9"/>
  <c r="Q16" i="9"/>
  <c r="Q39" i="9"/>
  <c r="D21" i="1"/>
  <c r="G35" i="2"/>
  <c r="E22" i="3"/>
  <c r="E35" i="3"/>
  <c r="D12" i="4"/>
  <c r="J27" i="4"/>
  <c r="I6" i="8"/>
  <c r="I12" i="8" s="1"/>
  <c r="E18" i="16"/>
  <c r="E30" i="16"/>
  <c r="R6" i="9"/>
  <c r="R8" i="9"/>
  <c r="R11" i="9"/>
  <c r="R14" i="9"/>
  <c r="R18" i="9"/>
  <c r="R19" i="9"/>
  <c r="R20" i="9"/>
  <c r="R21" i="9"/>
  <c r="R22" i="9"/>
  <c r="R23" i="9"/>
  <c r="R25" i="9"/>
  <c r="R27" i="9"/>
  <c r="R29" i="9"/>
  <c r="R33" i="9"/>
  <c r="R35" i="9"/>
  <c r="R37" i="9"/>
  <c r="R41" i="9"/>
  <c r="R43" i="9"/>
  <c r="R44" i="9"/>
  <c r="R45" i="9"/>
  <c r="R50" i="9"/>
  <c r="R51" i="9"/>
  <c r="G22" i="5"/>
  <c r="H30" i="3"/>
  <c r="E40" i="3"/>
  <c r="J12" i="4"/>
  <c r="H40" i="4"/>
  <c r="H7" i="15"/>
  <c r="E48" i="9"/>
  <c r="C41" i="15"/>
  <c r="B32" i="8"/>
  <c r="C48" i="9"/>
  <c r="C55" i="9"/>
  <c r="D44" i="9" s="1"/>
  <c r="E21" i="2"/>
  <c r="D27" i="4"/>
  <c r="J32" i="4"/>
  <c r="D11" i="16"/>
  <c r="L18" i="16"/>
  <c r="D37" i="16"/>
  <c r="H16" i="9"/>
  <c r="I42" i="9"/>
  <c r="I46" i="9"/>
  <c r="C41" i="4"/>
  <c r="H17" i="15"/>
  <c r="D20" i="15"/>
  <c r="H27" i="15"/>
  <c r="E11" i="16"/>
  <c r="M11" i="16"/>
  <c r="M18" i="16"/>
  <c r="M30" i="16"/>
  <c r="E37" i="16"/>
  <c r="M37" i="16"/>
  <c r="P16" i="9"/>
  <c r="P31" i="9"/>
  <c r="N16" i="9"/>
  <c r="N31" i="9"/>
  <c r="B21" i="2"/>
  <c r="K31" i="8"/>
  <c r="K41" i="15"/>
  <c r="G22" i="3"/>
  <c r="H17" i="4"/>
  <c r="B32" i="4"/>
  <c r="D6" i="16"/>
  <c r="L11" i="16"/>
  <c r="L30" i="16"/>
  <c r="L16" i="9"/>
  <c r="L39" i="9"/>
  <c r="H39" i="9"/>
  <c r="F32" i="9"/>
  <c r="F6" i="16"/>
  <c r="F11" i="16"/>
  <c r="F18" i="16"/>
  <c r="F23" i="16"/>
  <c r="F30" i="16"/>
  <c r="C10" i="9"/>
  <c r="C35" i="3"/>
  <c r="D7" i="4"/>
  <c r="F20" i="4"/>
  <c r="D32" i="15"/>
  <c r="D23" i="16"/>
  <c r="D30" i="16"/>
  <c r="L37" i="16"/>
  <c r="L31" i="9"/>
  <c r="I4" i="9"/>
  <c r="I23" i="9"/>
  <c r="H31" i="9"/>
  <c r="K37" i="15"/>
  <c r="G41" i="15"/>
  <c r="G6" i="16"/>
  <c r="G11" i="16"/>
  <c r="G30" i="16"/>
  <c r="G37" i="16"/>
  <c r="I40" i="9"/>
  <c r="I49" i="9"/>
  <c r="B11" i="2"/>
  <c r="F7" i="3"/>
  <c r="F18" i="3"/>
  <c r="D22" i="3"/>
  <c r="C44" i="3"/>
  <c r="E17" i="4"/>
  <c r="G32" i="4"/>
  <c r="F40" i="4"/>
  <c r="J40" i="4"/>
  <c r="E41" i="4"/>
  <c r="I41" i="4"/>
  <c r="B40" i="15"/>
  <c r="G5" i="7"/>
  <c r="B7" i="1" s="1"/>
  <c r="B7" i="7"/>
  <c r="B6" i="8"/>
  <c r="E31" i="8"/>
  <c r="L31" i="8"/>
  <c r="E32" i="8"/>
  <c r="L32" i="8"/>
  <c r="O12" i="9"/>
  <c r="O33" i="9"/>
  <c r="O35" i="9"/>
  <c r="O45" i="9"/>
  <c r="I32" i="9"/>
  <c r="F37" i="15"/>
  <c r="G43" i="3"/>
  <c r="C43" i="3"/>
  <c r="G41" i="4"/>
  <c r="J33" i="8"/>
  <c r="E33" i="7"/>
  <c r="F37" i="4"/>
  <c r="R32" i="9"/>
  <c r="D6" i="2"/>
  <c r="H6" i="2"/>
  <c r="H17" i="2"/>
  <c r="F21" i="2"/>
  <c r="H40" i="2"/>
  <c r="I6" i="3"/>
  <c r="I5" i="2" s="1"/>
  <c r="J5" i="2" s="1"/>
  <c r="C5" i="1" s="1"/>
  <c r="D12" i="3"/>
  <c r="D44" i="3"/>
  <c r="H35" i="3"/>
  <c r="B44" i="3"/>
  <c r="F40" i="3"/>
  <c r="E7" i="4"/>
  <c r="I7" i="4"/>
  <c r="I17" i="4"/>
  <c r="G20" i="4"/>
  <c r="E27" i="4"/>
  <c r="C32" i="4"/>
  <c r="E37" i="4"/>
  <c r="L5" i="15"/>
  <c r="K5" i="4" s="1"/>
  <c r="L5" i="4" s="1"/>
  <c r="B6" i="1" s="1"/>
  <c r="C17" i="15"/>
  <c r="K17" i="15"/>
  <c r="K27" i="15"/>
  <c r="E32" i="15"/>
  <c r="I32" i="15"/>
  <c r="F7" i="7"/>
  <c r="D12" i="7"/>
  <c r="G11" i="7"/>
  <c r="C18" i="1" s="1"/>
  <c r="G6" i="8"/>
  <c r="G12" i="8" s="1"/>
  <c r="L6" i="8"/>
  <c r="M9" i="8"/>
  <c r="O6" i="9"/>
  <c r="O11" i="9"/>
  <c r="O20" i="9"/>
  <c r="O41" i="9"/>
  <c r="O42" i="9"/>
  <c r="H22" i="1"/>
  <c r="I6" i="9"/>
  <c r="I8" i="9"/>
  <c r="I12" i="9"/>
  <c r="I14" i="9"/>
  <c r="I20" i="9"/>
  <c r="I21" i="9"/>
  <c r="I22" i="9"/>
  <c r="I43" i="9"/>
  <c r="I44" i="9"/>
  <c r="I51" i="9"/>
  <c r="I52" i="9"/>
  <c r="L28" i="8"/>
  <c r="L33" i="8" s="1"/>
  <c r="G6" i="7"/>
  <c r="C7" i="1" s="1"/>
  <c r="D38" i="1"/>
  <c r="G11" i="2"/>
  <c r="E17" i="2"/>
  <c r="C21" i="2"/>
  <c r="C49" i="2"/>
  <c r="J49" i="2" s="1"/>
  <c r="C7" i="3"/>
  <c r="G7" i="3"/>
  <c r="C18" i="3"/>
  <c r="G18" i="3"/>
  <c r="C30" i="3"/>
  <c r="G30" i="3"/>
  <c r="C40" i="3"/>
  <c r="G40" i="3"/>
  <c r="B7" i="4"/>
  <c r="F7" i="4"/>
  <c r="J7" i="4"/>
  <c r="B17" i="4"/>
  <c r="F17" i="4"/>
  <c r="D20" i="4"/>
  <c r="B27" i="4"/>
  <c r="F27" i="4"/>
  <c r="B32" i="15"/>
  <c r="C7" i="7"/>
  <c r="E12" i="7"/>
  <c r="C6" i="8"/>
  <c r="C12" i="8" s="1"/>
  <c r="J22" i="5"/>
  <c r="J33" i="7"/>
  <c r="C37" i="15"/>
  <c r="F6" i="2"/>
  <c r="D21" i="2"/>
  <c r="B43" i="2"/>
  <c r="F30" i="2"/>
  <c r="C44" i="2"/>
  <c r="G44" i="2"/>
  <c r="H43" i="2"/>
  <c r="H7" i="3"/>
  <c r="B12" i="3"/>
  <c r="F12" i="3"/>
  <c r="H18" i="3"/>
  <c r="G44" i="3"/>
  <c r="E12" i="4"/>
  <c r="G17" i="4"/>
  <c r="D40" i="4"/>
  <c r="F7" i="15"/>
  <c r="J7" i="15"/>
  <c r="D12" i="15"/>
  <c r="H12" i="15"/>
  <c r="B17" i="15"/>
  <c r="F27" i="15"/>
  <c r="G7" i="5"/>
  <c r="G43" i="2"/>
  <c r="G30" i="2"/>
  <c r="J51" i="2"/>
  <c r="K32" i="8"/>
  <c r="B30" i="2"/>
  <c r="F44" i="3"/>
  <c r="E43" i="3"/>
  <c r="D41" i="15"/>
  <c r="C12" i="7"/>
  <c r="C6" i="2"/>
  <c r="G6" i="2"/>
  <c r="C40" i="2"/>
  <c r="G40" i="2"/>
  <c r="C12" i="3"/>
  <c r="C22" i="3"/>
  <c r="D43" i="3"/>
  <c r="D30" i="3"/>
  <c r="H7" i="4"/>
  <c r="J20" i="4"/>
  <c r="O4" i="9"/>
  <c r="O8" i="9"/>
  <c r="O19" i="9"/>
  <c r="O23" i="9"/>
  <c r="O25" i="9"/>
  <c r="O27" i="9"/>
  <c r="O29" i="9"/>
  <c r="O40" i="9"/>
  <c r="O43" i="9"/>
  <c r="O44" i="9"/>
  <c r="O46" i="9"/>
  <c r="O50" i="9"/>
  <c r="O51" i="9"/>
  <c r="O52" i="9"/>
  <c r="H41" i="15"/>
  <c r="E33" i="8"/>
  <c r="I25" i="7"/>
  <c r="K25" i="7" s="1"/>
  <c r="H11" i="2"/>
  <c r="B44" i="2"/>
  <c r="F44" i="2"/>
  <c r="H44" i="2"/>
  <c r="I11" i="3"/>
  <c r="I10" i="2" s="1"/>
  <c r="J10" i="2" s="1"/>
  <c r="I17" i="3"/>
  <c r="I16" i="2" s="1"/>
  <c r="J16" i="2" s="1"/>
  <c r="F22" i="3"/>
  <c r="I29" i="3"/>
  <c r="I29" i="2" s="1"/>
  <c r="J29" i="2" s="1"/>
  <c r="B6" i="5" s="1"/>
  <c r="I34" i="3"/>
  <c r="I34" i="2" s="1"/>
  <c r="J34" i="2" s="1"/>
  <c r="F35" i="3"/>
  <c r="D40" i="3"/>
  <c r="H40" i="3"/>
  <c r="C7" i="4"/>
  <c r="I12" i="4"/>
  <c r="E20" i="4"/>
  <c r="I20" i="4"/>
  <c r="C27" i="4"/>
  <c r="G27" i="4"/>
  <c r="E40" i="4"/>
  <c r="I32" i="4"/>
  <c r="D41" i="4"/>
  <c r="H41" i="4"/>
  <c r="G40" i="4"/>
  <c r="J41" i="4"/>
  <c r="C7" i="15"/>
  <c r="L6" i="15"/>
  <c r="K6" i="4" s="1"/>
  <c r="L6" i="4" s="1"/>
  <c r="C6" i="1" s="1"/>
  <c r="I7" i="15"/>
  <c r="L10" i="15"/>
  <c r="K10" i="4" s="1"/>
  <c r="L10" i="4" s="1"/>
  <c r="G12" i="15"/>
  <c r="K12" i="15"/>
  <c r="L11" i="15"/>
  <c r="K11" i="4" s="1"/>
  <c r="L11" i="4" s="1"/>
  <c r="I12" i="15"/>
  <c r="L15" i="15"/>
  <c r="K15" i="4" s="1"/>
  <c r="L15" i="4" s="1"/>
  <c r="G17" i="15"/>
  <c r="L16" i="15"/>
  <c r="K16" i="4" s="1"/>
  <c r="L16" i="4" s="1"/>
  <c r="C20" i="15"/>
  <c r="G20" i="15"/>
  <c r="K20" i="15"/>
  <c r="L19" i="15"/>
  <c r="K19" i="4" s="1"/>
  <c r="L19" i="4" s="1"/>
  <c r="I20" i="15"/>
  <c r="L25" i="15"/>
  <c r="K25" i="4" s="1"/>
  <c r="L25" i="4" s="1"/>
  <c r="C5" i="5" s="1"/>
  <c r="E41" i="15"/>
  <c r="C32" i="15"/>
  <c r="G32" i="15"/>
  <c r="D40" i="15"/>
  <c r="D7" i="7"/>
  <c r="G10" i="7"/>
  <c r="B18" i="1" s="1"/>
  <c r="F12" i="7"/>
  <c r="M4" i="8"/>
  <c r="B19" i="1" s="1"/>
  <c r="B10" i="8"/>
  <c r="D10" i="5"/>
  <c r="D11" i="5"/>
  <c r="D15" i="5"/>
  <c r="D16" i="5"/>
  <c r="G32" i="8"/>
  <c r="N10" i="16"/>
  <c r="F31" i="9"/>
  <c r="E8" i="1"/>
  <c r="E11" i="1" s="1"/>
  <c r="E22" i="1"/>
  <c r="H37" i="4"/>
  <c r="H32" i="15"/>
  <c r="J32" i="8"/>
  <c r="G17" i="5"/>
  <c r="C40" i="4"/>
  <c r="F44" i="9"/>
  <c r="I38" i="3"/>
  <c r="I38" i="2" s="1"/>
  <c r="J38" i="2" s="1"/>
  <c r="B15" i="5" s="1"/>
  <c r="J37" i="4"/>
  <c r="G37" i="4"/>
  <c r="E27" i="15"/>
  <c r="F17" i="2"/>
  <c r="D7" i="3"/>
  <c r="D37" i="15"/>
  <c r="D32" i="4"/>
  <c r="G37" i="15"/>
  <c r="B41" i="15"/>
  <c r="E17" i="15"/>
  <c r="F11" i="9"/>
  <c r="N39" i="9"/>
  <c r="C17" i="2"/>
  <c r="C30" i="2"/>
  <c r="E18" i="3"/>
  <c r="E20" i="15"/>
  <c r="D31" i="8"/>
  <c r="D18" i="3"/>
  <c r="I28" i="3"/>
  <c r="I28" i="2" s="1"/>
  <c r="J28" i="2" s="1"/>
  <c r="B5" i="5" s="1"/>
  <c r="L31" i="15"/>
  <c r="K31" i="4" s="1"/>
  <c r="L31" i="4" s="1"/>
  <c r="C11" i="5" s="1"/>
  <c r="L26" i="15"/>
  <c r="K26" i="4" s="1"/>
  <c r="L26" i="4" s="1"/>
  <c r="C6" i="5" s="1"/>
  <c r="H44" i="3"/>
  <c r="E12" i="15"/>
  <c r="O17" i="9"/>
  <c r="H35" i="2"/>
  <c r="H21" i="2"/>
  <c r="D35" i="2"/>
  <c r="D43" i="2"/>
  <c r="B22" i="3"/>
  <c r="H37" i="15"/>
  <c r="B46" i="4"/>
  <c r="B47" i="4" s="1"/>
  <c r="N25" i="7"/>
  <c r="P25" i="7" s="1"/>
  <c r="J37" i="15"/>
  <c r="D6" i="8"/>
  <c r="D12" i="8" s="1"/>
  <c r="B37" i="15"/>
  <c r="J41" i="15"/>
  <c r="L18" i="15"/>
  <c r="K18" i="4" s="1"/>
  <c r="L18" i="4" s="1"/>
  <c r="I5" i="3"/>
  <c r="I4" i="2" s="1"/>
  <c r="J4" i="2" s="1"/>
  <c r="B5" i="1" s="1"/>
  <c r="C12" i="15"/>
  <c r="N5" i="16"/>
  <c r="N9" i="16"/>
  <c r="N22" i="16"/>
  <c r="N35" i="16"/>
  <c r="O33" i="7"/>
  <c r="J32" i="15"/>
  <c r="I41" i="15"/>
  <c r="E6" i="2"/>
  <c r="F11" i="2"/>
  <c r="C11" i="2"/>
  <c r="G21" i="2"/>
  <c r="D30" i="2"/>
  <c r="H30" i="2"/>
  <c r="B35" i="2"/>
  <c r="F35" i="2"/>
  <c r="C35" i="2"/>
  <c r="D40" i="2"/>
  <c r="E40" i="2"/>
  <c r="G33" i="8"/>
  <c r="K33" i="8"/>
  <c r="R48" i="9"/>
  <c r="G55" i="9"/>
  <c r="N27" i="16"/>
  <c r="B23" i="16"/>
  <c r="L36" i="15"/>
  <c r="K36" i="4" s="1"/>
  <c r="L36" i="4" s="1"/>
  <c r="C16" i="5" s="1"/>
  <c r="P55" i="9"/>
  <c r="R49" i="9"/>
  <c r="P39" i="9"/>
  <c r="E10" i="9"/>
  <c r="D11" i="2"/>
  <c r="D44" i="2"/>
  <c r="L55" i="9"/>
  <c r="I37" i="15"/>
  <c r="F41" i="15"/>
  <c r="J50" i="2"/>
  <c r="G12" i="4"/>
  <c r="B41" i="4"/>
  <c r="B37" i="4"/>
  <c r="F41" i="4"/>
  <c r="F32" i="15"/>
  <c r="F40" i="15"/>
  <c r="D32" i="8"/>
  <c r="D33" i="8"/>
  <c r="C37" i="16"/>
  <c r="N34" i="16"/>
  <c r="F4" i="9"/>
  <c r="F21" i="9"/>
  <c r="O37" i="9"/>
  <c r="L48" i="9"/>
  <c r="O49" i="9"/>
  <c r="Q10" i="9"/>
  <c r="D20" i="1"/>
  <c r="E43" i="2"/>
  <c r="E30" i="2"/>
  <c r="N21" i="16"/>
  <c r="L30" i="15"/>
  <c r="K30" i="4" s="1"/>
  <c r="L30" i="4" s="1"/>
  <c r="C10" i="5" s="1"/>
  <c r="J40" i="15"/>
  <c r="B6" i="2"/>
  <c r="B17" i="2"/>
  <c r="B7" i="3"/>
  <c r="E12" i="3"/>
  <c r="H12" i="3"/>
  <c r="I20" i="3"/>
  <c r="I19" i="2" s="1"/>
  <c r="J19" i="2" s="1"/>
  <c r="I21" i="3"/>
  <c r="I20" i="2" s="1"/>
  <c r="B43" i="3"/>
  <c r="B40" i="3"/>
  <c r="I39" i="3"/>
  <c r="I39" i="2" s="1"/>
  <c r="J39" i="2" s="1"/>
  <c r="B16" i="5" s="1"/>
  <c r="G7" i="4"/>
  <c r="J17" i="4"/>
  <c r="H20" i="4"/>
  <c r="H27" i="4"/>
  <c r="B40" i="4"/>
  <c r="I37" i="4"/>
  <c r="I40" i="4"/>
  <c r="D7" i="15"/>
  <c r="J17" i="15"/>
  <c r="L35" i="15"/>
  <c r="K35" i="4" s="1"/>
  <c r="L35" i="4" s="1"/>
  <c r="C15" i="5" s="1"/>
  <c r="L46" i="15"/>
  <c r="K44" i="4" s="1"/>
  <c r="L44" i="4" s="1"/>
  <c r="B12" i="7"/>
  <c r="J6" i="8"/>
  <c r="J12" i="8" s="1"/>
  <c r="M5" i="8"/>
  <c r="C19" i="1" s="1"/>
  <c r="D5" i="5"/>
  <c r="B18" i="8"/>
  <c r="M18" i="8" s="1"/>
  <c r="B23" i="8"/>
  <c r="M23" i="8" s="1"/>
  <c r="B31" i="8"/>
  <c r="G31" i="8"/>
  <c r="B28" i="8"/>
  <c r="M28" i="8" s="1"/>
  <c r="E6" i="16"/>
  <c r="L6" i="16"/>
  <c r="C11" i="16"/>
  <c r="F14" i="9"/>
  <c r="O22" i="9"/>
  <c r="F40" i="9"/>
  <c r="C39" i="9"/>
  <c r="F45" i="9"/>
  <c r="N16" i="16"/>
  <c r="G16" i="9"/>
  <c r="O32" i="9"/>
  <c r="Q31" i="9"/>
  <c r="R40" i="9"/>
  <c r="G48" i="9"/>
  <c r="K40" i="15"/>
  <c r="B40" i="2"/>
  <c r="I10" i="3"/>
  <c r="I9" i="2" s="1"/>
  <c r="I16" i="3"/>
  <c r="I15" i="2" s="1"/>
  <c r="H22" i="3"/>
  <c r="B35" i="3"/>
  <c r="I33" i="3"/>
  <c r="I33" i="2" s="1"/>
  <c r="B12" i="4"/>
  <c r="F12" i="4"/>
  <c r="I27" i="4"/>
  <c r="F32" i="4"/>
  <c r="E40" i="15"/>
  <c r="E6" i="8"/>
  <c r="E12" i="8" s="1"/>
  <c r="L10" i="8"/>
  <c r="M8" i="8"/>
  <c r="D6" i="5"/>
  <c r="N4" i="16"/>
  <c r="M6" i="16"/>
  <c r="I18" i="16"/>
  <c r="C16" i="9"/>
  <c r="I45" i="9"/>
  <c r="G39" i="9"/>
  <c r="N10" i="9"/>
  <c r="O10" i="9" s="1"/>
  <c r="H55" i="9"/>
  <c r="H43" i="3"/>
  <c r="E44" i="3"/>
  <c r="H12" i="4"/>
  <c r="C20" i="4"/>
  <c r="G40" i="15"/>
  <c r="L47" i="15"/>
  <c r="K45" i="4" s="1"/>
  <c r="L45" i="4" s="1"/>
  <c r="D18" i="16"/>
  <c r="N17" i="16"/>
  <c r="E23" i="16"/>
  <c r="I23" i="16"/>
  <c r="M23" i="16"/>
  <c r="C30" i="16"/>
  <c r="N28" i="16"/>
  <c r="B37" i="16"/>
  <c r="F37" i="16"/>
  <c r="R12" i="9"/>
  <c r="O18" i="9"/>
  <c r="I27" i="9"/>
  <c r="I29" i="9"/>
  <c r="I35" i="9"/>
  <c r="H10" i="9"/>
  <c r="I10" i="9" s="1"/>
  <c r="E55" i="9"/>
  <c r="C43" i="2"/>
  <c r="F43" i="3"/>
  <c r="D35" i="3"/>
  <c r="C12" i="4"/>
  <c r="H32" i="4"/>
  <c r="G7" i="15"/>
  <c r="K7" i="15"/>
  <c r="I17" i="15"/>
  <c r="C27" i="15"/>
  <c r="G27" i="15"/>
  <c r="K6" i="8"/>
  <c r="K12" i="8" s="1"/>
  <c r="L23" i="16"/>
  <c r="P10" i="9"/>
  <c r="O14" i="9"/>
  <c r="I18" i="9"/>
  <c r="O21" i="9"/>
  <c r="G31" i="9"/>
  <c r="I50" i="9"/>
  <c r="N48" i="9"/>
  <c r="N55" i="9"/>
  <c r="B38" i="1"/>
  <c r="C37" i="1" s="1"/>
  <c r="C33" i="8"/>
  <c r="D17" i="2"/>
  <c r="F40" i="2"/>
  <c r="F43" i="2"/>
  <c r="C40" i="15"/>
  <c r="F30" i="3"/>
  <c r="B33" i="1" l="1"/>
  <c r="B21" i="15"/>
  <c r="H21" i="15"/>
  <c r="M31" i="8"/>
  <c r="M32" i="8"/>
  <c r="C30" i="7"/>
  <c r="J21" i="15"/>
  <c r="R39" i="9"/>
  <c r="B7" i="5"/>
  <c r="F29" i="7"/>
  <c r="B30" i="7"/>
  <c r="F48" i="9"/>
  <c r="B45" i="2"/>
  <c r="O39" i="9"/>
  <c r="H45" i="2"/>
  <c r="F20" i="1"/>
  <c r="F21" i="15"/>
  <c r="C21" i="4"/>
  <c r="D21" i="4"/>
  <c r="E45" i="2"/>
  <c r="D42" i="4"/>
  <c r="I42" i="15"/>
  <c r="B23" i="3"/>
  <c r="H42" i="15"/>
  <c r="G42" i="15"/>
  <c r="J42" i="4"/>
  <c r="C42" i="4"/>
  <c r="B21" i="4"/>
  <c r="E23" i="3"/>
  <c r="R16" i="9"/>
  <c r="D21" i="15"/>
  <c r="E23" i="2"/>
  <c r="F45" i="3"/>
  <c r="N30" i="16"/>
  <c r="R55" i="9"/>
  <c r="G23" i="2"/>
  <c r="D45" i="3"/>
  <c r="G45" i="2"/>
  <c r="G7" i="7"/>
  <c r="F21" i="1"/>
  <c r="D17" i="5"/>
  <c r="F21" i="4"/>
  <c r="C45" i="3"/>
  <c r="D23" i="3"/>
  <c r="C17" i="1"/>
  <c r="B42" i="15"/>
  <c r="F23" i="3"/>
  <c r="E42" i="4"/>
  <c r="O31" i="9"/>
  <c r="B12" i="8"/>
  <c r="L12" i="15"/>
  <c r="F55" i="9"/>
  <c r="I39" i="9"/>
  <c r="G42" i="4"/>
  <c r="G21" i="4"/>
  <c r="O16" i="9"/>
  <c r="L20" i="15"/>
  <c r="K42" i="15"/>
  <c r="G23" i="3"/>
  <c r="H23" i="3"/>
  <c r="N11" i="16"/>
  <c r="B23" i="2"/>
  <c r="F10" i="9"/>
  <c r="D7" i="1"/>
  <c r="I31" i="9"/>
  <c r="K21" i="15"/>
  <c r="E21" i="4"/>
  <c r="C23" i="3"/>
  <c r="I16" i="9"/>
  <c r="I21" i="4"/>
  <c r="D18" i="1"/>
  <c r="I21" i="15"/>
  <c r="H21" i="4"/>
  <c r="G21" i="15"/>
  <c r="I30" i="3"/>
  <c r="L12" i="8"/>
  <c r="R31" i="9"/>
  <c r="E42" i="15"/>
  <c r="I18" i="3"/>
  <c r="C10" i="1"/>
  <c r="I17" i="2"/>
  <c r="J17" i="2" s="1"/>
  <c r="J42" i="15"/>
  <c r="F23" i="2"/>
  <c r="C21" i="15"/>
  <c r="G45" i="3"/>
  <c r="H45" i="3"/>
  <c r="D19" i="1"/>
  <c r="I7" i="3"/>
  <c r="D45" i="2"/>
  <c r="C23" i="2"/>
  <c r="C45" i="2"/>
  <c r="D21" i="5"/>
  <c r="I21" i="2"/>
  <c r="J21" i="2" s="1"/>
  <c r="C12" i="5"/>
  <c r="B42" i="4"/>
  <c r="B8" i="1"/>
  <c r="H23" i="2"/>
  <c r="B17" i="5"/>
  <c r="E36" i="1"/>
  <c r="E37" i="1"/>
  <c r="K7" i="4"/>
  <c r="L7" i="4" s="1"/>
  <c r="F42" i="4"/>
  <c r="G12" i="7"/>
  <c r="I40" i="3"/>
  <c r="D20" i="5"/>
  <c r="L32" i="15"/>
  <c r="K12" i="4"/>
  <c r="L12" i="4" s="1"/>
  <c r="D6" i="1"/>
  <c r="L7" i="15"/>
  <c r="L37" i="15"/>
  <c r="I44" i="2"/>
  <c r="J44" i="2" s="1"/>
  <c r="D12" i="5"/>
  <c r="I30" i="2"/>
  <c r="J30" i="2" s="1"/>
  <c r="K20" i="4"/>
  <c r="L20" i="4" s="1"/>
  <c r="E45" i="3"/>
  <c r="K17" i="4"/>
  <c r="L17" i="4" s="1"/>
  <c r="D42" i="15"/>
  <c r="K40" i="4"/>
  <c r="L40" i="4" s="1"/>
  <c r="I43" i="2"/>
  <c r="J43" i="2" s="1"/>
  <c r="I12" i="3"/>
  <c r="I6" i="2"/>
  <c r="J6" i="2" s="1"/>
  <c r="D5" i="1" s="1"/>
  <c r="K27" i="4"/>
  <c r="L27" i="4" s="1"/>
  <c r="K37" i="4"/>
  <c r="H42" i="4"/>
  <c r="N18" i="16"/>
  <c r="E21" i="15"/>
  <c r="B27" i="1"/>
  <c r="L41" i="15"/>
  <c r="N56" i="9"/>
  <c r="N54" i="9" s="1"/>
  <c r="E56" i="9"/>
  <c r="E54" i="9" s="1"/>
  <c r="Q56" i="9"/>
  <c r="Q54" i="9" s="1"/>
  <c r="N6" i="16"/>
  <c r="N37" i="16"/>
  <c r="B28" i="1"/>
  <c r="E6" i="5"/>
  <c r="F6" i="5" s="1"/>
  <c r="L27" i="15"/>
  <c r="I42" i="4"/>
  <c r="C8" i="1"/>
  <c r="I44" i="3"/>
  <c r="I22" i="3"/>
  <c r="J33" i="2"/>
  <c r="B10" i="5" s="1"/>
  <c r="E10" i="5" s="1"/>
  <c r="E16" i="5"/>
  <c r="F16" i="5" s="1"/>
  <c r="E15" i="5"/>
  <c r="I48" i="9"/>
  <c r="G56" i="9"/>
  <c r="F39" i="9"/>
  <c r="B45" i="3"/>
  <c r="I43" i="3"/>
  <c r="J21" i="4"/>
  <c r="M10" i="8"/>
  <c r="L17" i="15"/>
  <c r="H56" i="9"/>
  <c r="H54" i="9" s="1"/>
  <c r="B17" i="1"/>
  <c r="K41" i="4"/>
  <c r="L41" i="4" s="1"/>
  <c r="J15" i="2"/>
  <c r="B16" i="1" s="1"/>
  <c r="C7" i="5"/>
  <c r="J20" i="2"/>
  <c r="C16" i="1" s="1"/>
  <c r="I35" i="2"/>
  <c r="J35" i="2" s="1"/>
  <c r="I35" i="3"/>
  <c r="B33" i="8"/>
  <c r="M33" i="8" s="1"/>
  <c r="F42" i="15"/>
  <c r="M6" i="8"/>
  <c r="P56" i="9"/>
  <c r="I40" i="2"/>
  <c r="J40" i="2" s="1"/>
  <c r="I11" i="2"/>
  <c r="J11" i="2" s="1"/>
  <c r="J9" i="2"/>
  <c r="B10" i="1" s="1"/>
  <c r="C21" i="5"/>
  <c r="R10" i="9"/>
  <c r="F16" i="9"/>
  <c r="K32" i="4"/>
  <c r="L32" i="4" s="1"/>
  <c r="D7" i="5"/>
  <c r="C56" i="9"/>
  <c r="D39" i="9" s="1"/>
  <c r="O48" i="9"/>
  <c r="L56" i="9"/>
  <c r="M48" i="9" s="1"/>
  <c r="O55" i="9"/>
  <c r="N23" i="16"/>
  <c r="I55" i="9"/>
  <c r="C36" i="1"/>
  <c r="C42" i="15"/>
  <c r="L40" i="15"/>
  <c r="E5" i="5"/>
  <c r="C17" i="5"/>
  <c r="C20" i="5"/>
  <c r="B11" i="5"/>
  <c r="C28" i="1"/>
  <c r="F45" i="2"/>
  <c r="D23" i="2"/>
  <c r="D30" i="7" l="1"/>
  <c r="F30" i="7" s="1"/>
  <c r="D17" i="1"/>
  <c r="C22" i="1"/>
  <c r="F18" i="1"/>
  <c r="E17" i="5"/>
  <c r="I23" i="3"/>
  <c r="F19" i="1"/>
  <c r="L21" i="15"/>
  <c r="K21" i="4"/>
  <c r="L21" i="4" s="1"/>
  <c r="M12" i="8"/>
  <c r="D28" i="1"/>
  <c r="F7" i="1"/>
  <c r="C11" i="1"/>
  <c r="M30" i="7" s="1"/>
  <c r="H30" i="7" s="1"/>
  <c r="K42" i="4"/>
  <c r="L42" i="4" s="1"/>
  <c r="I23" i="2"/>
  <c r="J23" i="2" s="1"/>
  <c r="D8" i="1"/>
  <c r="F8" i="1" s="1"/>
  <c r="B11" i="1"/>
  <c r="L30" i="7" s="1"/>
  <c r="I45" i="3"/>
  <c r="L37" i="4"/>
  <c r="F5" i="1"/>
  <c r="F6" i="1"/>
  <c r="O56" i="9"/>
  <c r="D22" i="5"/>
  <c r="B29" i="1"/>
  <c r="C33" i="1"/>
  <c r="D10" i="1"/>
  <c r="B32" i="1"/>
  <c r="B20" i="5"/>
  <c r="E20" i="5" s="1"/>
  <c r="I45" i="2"/>
  <c r="J45" i="2" s="1"/>
  <c r="H6" i="5"/>
  <c r="C27" i="1"/>
  <c r="C29" i="1" s="1"/>
  <c r="H16" i="5"/>
  <c r="F15" i="5"/>
  <c r="C22" i="5"/>
  <c r="B22" i="1"/>
  <c r="D16" i="1"/>
  <c r="D16" i="9"/>
  <c r="L42" i="15"/>
  <c r="D12" i="9"/>
  <c r="D51" i="9"/>
  <c r="D6" i="9"/>
  <c r="D31" i="9"/>
  <c r="D20" i="9"/>
  <c r="D11" i="9"/>
  <c r="D50" i="9"/>
  <c r="D22" i="9"/>
  <c r="D55" i="9"/>
  <c r="D33" i="9"/>
  <c r="D19" i="9"/>
  <c r="D23" i="9"/>
  <c r="D4" i="9"/>
  <c r="D40" i="9"/>
  <c r="D41" i="9"/>
  <c r="C54" i="9"/>
  <c r="D49" i="9"/>
  <c r="D17" i="9"/>
  <c r="D18" i="9"/>
  <c r="D56" i="9"/>
  <c r="D25" i="9"/>
  <c r="D46" i="9"/>
  <c r="D29" i="9"/>
  <c r="D10" i="9"/>
  <c r="D35" i="9"/>
  <c r="D21" i="9"/>
  <c r="D32" i="9"/>
  <c r="D42" i="9"/>
  <c r="D45" i="9"/>
  <c r="D27" i="9"/>
  <c r="D8" i="9"/>
  <c r="D48" i="9"/>
  <c r="D14" i="9"/>
  <c r="D43" i="9"/>
  <c r="D52" i="9"/>
  <c r="F56" i="9"/>
  <c r="D37" i="9"/>
  <c r="M39" i="9"/>
  <c r="M18" i="9"/>
  <c r="M12" i="9"/>
  <c r="M41" i="9"/>
  <c r="M19" i="9"/>
  <c r="M6" i="9"/>
  <c r="M50" i="9"/>
  <c r="M49" i="9"/>
  <c r="M56" i="9"/>
  <c r="M44" i="9"/>
  <c r="M52" i="9"/>
  <c r="M21" i="9"/>
  <c r="M45" i="9"/>
  <c r="M14" i="9"/>
  <c r="M42" i="9"/>
  <c r="M40" i="9"/>
  <c r="M20" i="9"/>
  <c r="M4" i="9"/>
  <c r="M25" i="9"/>
  <c r="L54" i="9"/>
  <c r="M54" i="9" s="1"/>
  <c r="M8" i="9"/>
  <c r="M43" i="9"/>
  <c r="M10" i="9"/>
  <c r="M31" i="9"/>
  <c r="M27" i="9"/>
  <c r="M35" i="9"/>
  <c r="M23" i="9"/>
  <c r="M17" i="9"/>
  <c r="M11" i="9"/>
  <c r="M32" i="9"/>
  <c r="M46" i="9"/>
  <c r="M51" i="9"/>
  <c r="M37" i="9"/>
  <c r="M16" i="9"/>
  <c r="M29" i="9"/>
  <c r="M22" i="9"/>
  <c r="M33" i="9"/>
  <c r="M55" i="9"/>
  <c r="P54" i="9"/>
  <c r="R54" i="9" s="1"/>
  <c r="R56" i="9"/>
  <c r="I56" i="9"/>
  <c r="G54" i="9"/>
  <c r="I54" i="9" s="1"/>
  <c r="E11" i="5"/>
  <c r="F11" i="5" s="1"/>
  <c r="B21" i="5"/>
  <c r="E21" i="5" s="1"/>
  <c r="F21" i="5" s="1"/>
  <c r="H21" i="5" s="1"/>
  <c r="B12" i="5"/>
  <c r="E7" i="5"/>
  <c r="F5" i="5"/>
  <c r="F10" i="5"/>
  <c r="N30" i="7" l="1"/>
  <c r="P30" i="7" s="1"/>
  <c r="G30" i="7"/>
  <c r="I30" i="7" s="1"/>
  <c r="K30" i="7" s="1"/>
  <c r="F17" i="1"/>
  <c r="F28" i="1"/>
  <c r="F17" i="5"/>
  <c r="H17" i="5" s="1"/>
  <c r="D27" i="1"/>
  <c r="H15" i="5"/>
  <c r="C32" i="1"/>
  <c r="D22" i="1"/>
  <c r="F22" i="1" s="1"/>
  <c r="D11" i="1"/>
  <c r="F11" i="1" s="1"/>
  <c r="F16" i="1"/>
  <c r="E12" i="5"/>
  <c r="F10" i="1"/>
  <c r="D54" i="9"/>
  <c r="F54" i="9"/>
  <c r="B22" i="5"/>
  <c r="O54" i="9"/>
  <c r="F12" i="5"/>
  <c r="H12" i="5" s="1"/>
  <c r="H10" i="5"/>
  <c r="F20" i="5"/>
  <c r="E22" i="5"/>
  <c r="H5" i="5"/>
  <c r="F7" i="5"/>
  <c r="H7" i="5" s="1"/>
  <c r="H11" i="5"/>
  <c r="K29" i="7" l="1"/>
  <c r="P29" i="7"/>
  <c r="F27" i="1"/>
  <c r="D29" i="1"/>
  <c r="F29" i="1" s="1"/>
  <c r="H20" i="5"/>
  <c r="F22" i="5"/>
  <c r="H22" i="5" s="1"/>
  <c r="C23" i="7" l="1"/>
  <c r="B23" i="7"/>
  <c r="D23" i="7" s="1"/>
  <c r="F23" i="7" s="1"/>
  <c r="L23" i="7" l="1"/>
  <c r="G23" i="7" l="1"/>
  <c r="M23" i="7" l="1"/>
  <c r="N23" i="7" s="1"/>
  <c r="P23" i="7" s="1"/>
  <c r="H23" i="7" l="1"/>
  <c r="I23" i="7" s="1"/>
  <c r="K23" i="7" s="1"/>
  <c r="C21" i="7" l="1"/>
  <c r="B21" i="7"/>
  <c r="D21" i="7" l="1"/>
  <c r="F21" i="7" s="1"/>
  <c r="M21" i="7"/>
  <c r="H21" i="7" l="1"/>
  <c r="G21" i="7"/>
  <c r="L21" i="7"/>
  <c r="I21" i="7" l="1"/>
  <c r="N21" i="7"/>
  <c r="P21" i="7" l="1"/>
  <c r="K21" i="7"/>
  <c r="C26" i="7" l="1"/>
  <c r="M26" i="7"/>
  <c r="B26" i="7"/>
  <c r="D26" i="7" l="1"/>
  <c r="F26" i="7" s="1"/>
  <c r="H26" i="7"/>
  <c r="L26" i="7" l="1"/>
  <c r="N26" i="7" s="1"/>
  <c r="P26" i="7" s="1"/>
  <c r="G26" i="7" l="1"/>
  <c r="I26" i="7" s="1"/>
  <c r="K26" i="7" s="1"/>
  <c r="B27" i="7" l="1"/>
  <c r="C27" i="7"/>
  <c r="D27" i="7" l="1"/>
  <c r="F27" i="7" s="1"/>
  <c r="L27" i="7"/>
  <c r="G27" i="7" l="1"/>
  <c r="M27" i="7"/>
  <c r="N27" i="7" s="1"/>
  <c r="P27" i="7" s="1"/>
  <c r="H27" i="7" l="1"/>
  <c r="I27" i="7" s="1"/>
  <c r="K27" i="7" s="1"/>
  <c r="C22" i="7" l="1"/>
  <c r="B22" i="7"/>
  <c r="M22" i="7"/>
  <c r="H22" i="7" l="1"/>
  <c r="L22" i="7"/>
  <c r="D22" i="7"/>
  <c r="G22" i="7" l="1"/>
  <c r="N22" i="7"/>
  <c r="F22" i="7"/>
  <c r="I22" i="7" l="1"/>
  <c r="P22" i="7"/>
  <c r="K22" i="7" l="1"/>
  <c r="C28" i="7" l="1"/>
  <c r="B28" i="7"/>
  <c r="D28" i="7" s="1"/>
  <c r="F28" i="7" s="1"/>
  <c r="L28" i="7" l="1"/>
  <c r="M28" i="7"/>
  <c r="N28" i="7" l="1"/>
  <c r="P28" i="7" s="1"/>
  <c r="G28" i="7"/>
  <c r="H28" i="7"/>
  <c r="I28" i="7" l="1"/>
  <c r="K28" i="7" s="1"/>
  <c r="C24" i="7"/>
  <c r="C33" i="7" s="1"/>
  <c r="B24" i="7"/>
  <c r="M24" i="7" l="1"/>
  <c r="M33" i="7" s="1"/>
  <c r="D24" i="7"/>
  <c r="B33" i="7"/>
  <c r="G24" i="7" l="1"/>
  <c r="H24" i="7"/>
  <c r="H33" i="7" s="1"/>
  <c r="L24" i="7"/>
  <c r="F24" i="7"/>
  <c r="D33" i="7"/>
  <c r="F33" i="7" s="1"/>
  <c r="I24" i="7" l="1"/>
  <c r="G33" i="7"/>
  <c r="N24" i="7"/>
  <c r="L33" i="7"/>
  <c r="K24" i="7"/>
  <c r="I33" i="7"/>
  <c r="K33" i="7" s="1"/>
  <c r="P24" i="7" l="1"/>
  <c r="N33" i="7"/>
  <c r="P33" i="7" s="1"/>
  <c r="D33" i="1" l="1"/>
  <c r="G20" i="1" l="1"/>
  <c r="G21" i="1"/>
  <c r="G18" i="1" l="1"/>
  <c r="I21" i="1"/>
  <c r="G5" i="1"/>
  <c r="I20" i="1"/>
  <c r="G7" i="1"/>
  <c r="I16" i="5"/>
  <c r="G19" i="1" l="1"/>
  <c r="I7" i="1"/>
  <c r="G16" i="1"/>
  <c r="I18" i="1"/>
  <c r="I5" i="1"/>
  <c r="D32" i="1"/>
  <c r="G17" i="1" l="1"/>
  <c r="G22" i="1" s="1"/>
  <c r="I22" i="1" s="1"/>
  <c r="I16" i="1"/>
  <c r="I19" i="1"/>
  <c r="G10" i="1"/>
  <c r="D34" i="1"/>
  <c r="E33" i="1" s="1"/>
  <c r="G6" i="1"/>
  <c r="E32" i="1" l="1"/>
  <c r="I6" i="1"/>
  <c r="G8" i="1"/>
  <c r="I10" i="1"/>
  <c r="I17" i="1"/>
  <c r="G28" i="1" l="1"/>
  <c r="I15" i="5"/>
  <c r="G11" i="1"/>
  <c r="I11" i="1" s="1"/>
  <c r="I8" i="1"/>
  <c r="G27" i="1"/>
  <c r="I11" i="5"/>
  <c r="I6" i="5"/>
  <c r="I5" i="5"/>
  <c r="I10" i="5" l="1"/>
  <c r="I27" i="1"/>
  <c r="G29" i="1"/>
  <c r="I29" i="1" s="1"/>
  <c r="K6" i="5"/>
  <c r="I21" i="5"/>
  <c r="K21" i="5" s="1"/>
  <c r="K11" i="5"/>
  <c r="I28" i="1"/>
  <c r="I7" i="5"/>
  <c r="K7" i="5" s="1"/>
  <c r="K5" i="5"/>
  <c r="I17" i="5"/>
  <c r="K17" i="5" s="1"/>
  <c r="K15" i="5"/>
  <c r="K10" i="5" l="1"/>
  <c r="I12" i="5"/>
  <c r="K12" i="5" s="1"/>
  <c r="I20" i="5"/>
  <c r="K20" i="5" l="1"/>
  <c r="I22" i="5"/>
  <c r="K22" i="5" s="1"/>
</calcChain>
</file>

<file path=xl/sharedStrings.xml><?xml version="1.0" encoding="utf-8"?>
<sst xmlns="http://schemas.openxmlformats.org/spreadsheetml/2006/main" count="533" uniqueCount="218">
  <si>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</si>
  <si>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</si>
  <si>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</si>
  <si>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</si>
  <si>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</si>
  <si>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</si>
  <si>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</si>
  <si>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</si>
  <si>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</si>
  <si>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</si>
  <si>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</si>
  <si>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</si>
  <si>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</si>
  <si>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</si>
  <si>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</si>
  <si>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</si>
  <si>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</si>
  <si>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</si>
  <si>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</si>
  <si>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</si>
  <si>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</si>
  <si>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</si>
  <si>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</si>
  <si>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</si>
  <si>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</si>
  <si>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</si>
  <si>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</si>
  <si>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</si>
  <si>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</si>
  <si>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</si>
  <si>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</si>
  <si>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</si>
  <si>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</si>
  <si>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</si>
  <si>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</si>
  <si>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</si>
  <si>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</si>
  <si>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</si>
  <si>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</si>
  <si>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</si>
  <si>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</si>
  <si>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</si>
  <si>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</si>
  <si>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</si>
  <si>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</si>
  <si>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</si>
  <si>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</si>
  <si>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</si>
  <si>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</si>
  <si>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</si>
  <si>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</si>
  <si>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</si>
  <si>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</si>
  <si>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</si>
  <si>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</si>
  <si>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</si>
  <si>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</si>
  <si>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</si>
  <si>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</si>
  <si>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</si>
  <si>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</si>
  <si>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</si>
  <si>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</si>
  <si>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</si>
  <si>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</si>
  <si>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</si>
  <si>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</si>
  <si>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</si>
  <si>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</si>
  <si>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</si>
  <si>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</si>
  <si>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</si>
  <si>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</si>
  <si>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</si>
  <si>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</si>
  <si>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</si>
  <si>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</si>
  <si>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</si>
  <si>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</si>
  <si>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</si>
  <si>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</si>
  <si>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</si>
  <si>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</si>
  <si>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</si>
  <si>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</si>
  <si>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</si>
  <si>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</si>
  <si>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</si>
  <si>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</si>
  <si>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</si>
  <si>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</si>
  <si>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</si>
  <si>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</si>
  <si>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</si>
  <si>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</si>
  <si>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</si>
  <si>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</si>
  <si>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</si>
  <si>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</si>
  <si>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</si>
  <si>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</si>
  <si>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</si>
  <si>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</si>
  <si>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</si>
  <si>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</si>
  <si>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</si>
  <si>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</si>
  <si>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</si>
  <si>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</si>
  <si>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</si>
  <si>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</si>
  <si>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</si>
  <si>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</si>
  <si>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</si>
  <si>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</si>
  <si>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</si>
  <si>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</si>
  <si>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</si>
  <si>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</si>
  <si>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</si>
  <si>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</si>
  <si>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</si>
  <si>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</si>
  <si>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</si>
  <si>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</si>
  <si>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</si>
  <si>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</si>
  <si>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</si>
  <si>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</si>
  <si>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</si>
  <si>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</si>
  <si>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</si>
  <si>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</si>
  <si>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</si>
  <si>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</si>
  <si>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</si>
  <si>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</si>
  <si>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</si>
  <si>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</si>
  <si>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</si>
  <si>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</si>
  <si>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</si>
  <si>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</si>
  <si>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</si>
  <si>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</si>
  <si>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</si>
  <si>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</si>
  <si>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</si>
  <si>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</si>
  <si>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</si>
  <si>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</si>
  <si>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</si>
  <si>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</si>
  <si>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</si>
  <si>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</si>
  <si>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</si>
  <si>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Chautauqua American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</si>
  <si>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</si>
  <si>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</si>
  <si>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</si>
  <si>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</si>
  <si>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</si>
  <si>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</si>
  <si>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</si>
  <si>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</si>
  <si>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</si>
  <si>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</si>
  <si>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</si>
  <si>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</si>
  <si>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</si>
  <si>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</si>
  <si>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</si>
  <si>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</si>
  <si>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</si>
  <si>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</si>
  <si>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</si>
  <si>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</si>
  <si>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United Express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</si>
  <si>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</si>
  <si>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</si>
  <si>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</si>
  <si>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</si>
  <si>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</si>
  <si>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</si>
  <si>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</si>
  <si>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</si>
  <si>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</si>
  <si>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</si>
  <si>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</si>
  <si>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</si>
  <si>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</si>
  <si>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</si>
  <si>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</si>
  <si>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</si>
  <si>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</si>
  <si>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</si>
  <si>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</si>
  <si>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</si>
  <si>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</si>
  <si>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</si>
  <si>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</si>
  <si>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</si>
  <si>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</si>
  <si>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</si>
  <si>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</si>
  <si>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</si>
  <si>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Mesa - United</t>
  </si>
  <si>
    <t>Chautauqua - United</t>
  </si>
  <si>
    <t>Go Jet - United</t>
  </si>
  <si>
    <t>Atlantic Southeast - Delta</t>
  </si>
  <si>
    <t>Sky West - Delta</t>
  </si>
  <si>
    <t>Comair - Delta</t>
  </si>
  <si>
    <t>Compass - Delta</t>
  </si>
  <si>
    <t>Comair for Delta</t>
  </si>
  <si>
    <t>Go Jet - Delta</t>
  </si>
  <si>
    <t>Condor</t>
  </si>
  <si>
    <t>October 2013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</si>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</sst>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0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4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5" xfId="0" applyFont="1" applyFill="1" applyBorder="1"/>
    <xf numFmtId="3" fontId="4" fillId="2" borderId="56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2" xfId="0" applyNumberFormat="1" applyFont="1" applyBorder="1"/>
    <xf numFmtId="10" fontId="13" fillId="0" borderId="63" xfId="0" applyNumberFormat="1" applyFont="1" applyBorder="1"/>
    <xf numFmtId="10" fontId="13" fillId="0" borderId="64" xfId="0" applyNumberFormat="1" applyFont="1" applyBorder="1"/>
    <xf numFmtId="10" fontId="13" fillId="0" borderId="65" xfId="0" applyNumberFormat="1" applyFont="1" applyFill="1" applyBorder="1"/>
    <xf numFmtId="3" fontId="13" fillId="0" borderId="66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67" xfId="0" applyNumberFormat="1" applyFont="1" applyBorder="1"/>
    <xf numFmtId="10" fontId="13" fillId="0" borderId="68" xfId="0" applyNumberFormat="1" applyFont="1" applyFill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1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2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65" xfId="0" applyNumberFormat="1" applyFont="1" applyBorder="1"/>
    <xf numFmtId="10" fontId="13" fillId="0" borderId="43" xfId="0" applyNumberFormat="1" applyFont="1" applyBorder="1"/>
    <xf numFmtId="10" fontId="13" fillId="0" borderId="68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0" fontId="1" fillId="0" borderId="73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1" fillId="0" borderId="75" xfId="3" applyNumberFormat="1" applyBorder="1" applyAlignment="1">
      <alignment horizontal="center"/>
    </xf>
    <xf numFmtId="164" fontId="1" fillId="0" borderId="76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0" fontId="1" fillId="0" borderId="77" xfId="3" applyNumberFormat="1" applyBorder="1" applyAlignment="1">
      <alignment horizontal="center"/>
    </xf>
    <xf numFmtId="10" fontId="1" fillId="0" borderId="78" xfId="3" applyNumberFormat="1" applyBorder="1" applyAlignment="1">
      <alignment horizontal="center"/>
    </xf>
    <xf numFmtId="10" fontId="1" fillId="0" borderId="76" xfId="3" applyNumberForma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0" fontId="4" fillId="0" borderId="81" xfId="0" applyFont="1" applyBorder="1" applyAlignment="1">
      <alignment horizontal="center"/>
    </xf>
    <xf numFmtId="10" fontId="4" fillId="3" borderId="82" xfId="3" applyNumberFormat="1" applyFont="1" applyFill="1" applyBorder="1" applyAlignment="1">
      <alignment horizontal="center"/>
    </xf>
    <xf numFmtId="10" fontId="4" fillId="3" borderId="54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wrapText="1"/>
    </xf>
    <xf numFmtId="17" fontId="4" fillId="0" borderId="56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3" xfId="0" applyFont="1" applyFill="1" applyBorder="1" applyAlignment="1">
      <alignment horizontal="center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56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56" xfId="0" applyFon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5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15" xfId="0" applyFont="1" applyFill="1" applyBorder="1" applyAlignment="1">
      <alignment horizontal="center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56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56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56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October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pril%20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y%20201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ne%20201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ly%20201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ugust%20201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September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February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rch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1913869</v>
          </cell>
          <cell r="G5">
            <v>19470145</v>
          </cell>
        </row>
        <row r="6">
          <cell r="D6">
            <v>840309</v>
          </cell>
          <cell r="G6">
            <v>8200646</v>
          </cell>
        </row>
        <row r="7">
          <cell r="D7">
            <v>407</v>
          </cell>
          <cell r="G7">
            <v>7400</v>
          </cell>
        </row>
        <row r="10">
          <cell r="D10">
            <v>94168</v>
          </cell>
          <cell r="G10">
            <v>954447</v>
          </cell>
        </row>
        <row r="16">
          <cell r="D16">
            <v>16337</v>
          </cell>
          <cell r="G16">
            <v>162288</v>
          </cell>
        </row>
        <row r="17">
          <cell r="D17">
            <v>17442</v>
          </cell>
          <cell r="G17">
            <v>172008</v>
          </cell>
        </row>
        <row r="18">
          <cell r="D18">
            <v>7</v>
          </cell>
          <cell r="G18">
            <v>77</v>
          </cell>
        </row>
        <row r="19">
          <cell r="D19">
            <v>1031</v>
          </cell>
          <cell r="G19">
            <v>9504</v>
          </cell>
        </row>
        <row r="20">
          <cell r="D20">
            <v>2000</v>
          </cell>
          <cell r="G20">
            <v>18184</v>
          </cell>
        </row>
        <row r="21">
          <cell r="D21">
            <v>55</v>
          </cell>
          <cell r="G21">
            <v>1013</v>
          </cell>
        </row>
        <row r="27">
          <cell r="D27">
            <v>16774.538931741361</v>
          </cell>
          <cell r="G27">
            <v>151605.015156615</v>
          </cell>
        </row>
        <row r="28">
          <cell r="D28">
            <v>960.35665198087997</v>
          </cell>
          <cell r="G28">
            <v>11624.568643185188</v>
          </cell>
        </row>
        <row r="32">
          <cell r="B32">
            <v>780278</v>
          </cell>
          <cell r="D32">
            <v>7501035</v>
          </cell>
        </row>
        <row r="33">
          <cell r="B33">
            <v>600569</v>
          </cell>
          <cell r="D33">
            <v>6313656</v>
          </cell>
        </row>
      </sheetData>
      <sheetData sheetId="1"/>
      <sheetData sheetId="2"/>
      <sheetData sheetId="3"/>
      <sheetData sheetId="4"/>
      <sheetData sheetId="5">
        <row r="30">
          <cell r="D30">
            <v>170256</v>
          </cell>
          <cell r="I30">
            <v>2678497</v>
          </cell>
          <cell r="N30">
            <v>2848753</v>
          </cell>
        </row>
      </sheetData>
      <sheetData sheetId="6"/>
      <sheetData sheetId="7">
        <row r="5">
          <cell r="F5">
            <v>9026.488163</v>
          </cell>
          <cell r="I5">
            <v>75319.294265769408</v>
          </cell>
        </row>
        <row r="6">
          <cell r="F6">
            <v>617.18771571842001</v>
          </cell>
          <cell r="I6">
            <v>4875.96466327894</v>
          </cell>
        </row>
        <row r="10">
          <cell r="F10">
            <v>7748.0507687413601</v>
          </cell>
          <cell r="I10">
            <v>76285.720890845638</v>
          </cell>
        </row>
        <row r="11">
          <cell r="F11">
            <v>343.16893626245997</v>
          </cell>
          <cell r="I11">
            <v>6748.603979906251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16774.538931741361</v>
          </cell>
        </row>
        <row r="21">
          <cell r="F21">
            <v>960.35665198087997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96003</v>
          </cell>
          <cell r="C24">
            <v>84563</v>
          </cell>
          <cell r="G24">
            <v>1355032</v>
          </cell>
          <cell r="H24">
            <v>1280528</v>
          </cell>
          <cell r="L24">
            <v>1451035</v>
          </cell>
          <cell r="M24">
            <v>1365091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pril 2013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163833</v>
          </cell>
          <cell r="I24">
            <v>2509733</v>
          </cell>
          <cell r="N24">
            <v>2673566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3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177686</v>
          </cell>
          <cell r="I25">
            <v>2673501</v>
          </cell>
          <cell r="N25">
            <v>2851187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105898</v>
          </cell>
          <cell r="C26">
            <v>106467</v>
          </cell>
          <cell r="G26">
            <v>1525905</v>
          </cell>
          <cell r="H26">
            <v>1503083</v>
          </cell>
          <cell r="L26">
            <v>1631803</v>
          </cell>
          <cell r="M26">
            <v>1609550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une 2013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206661</v>
          </cell>
          <cell r="I26">
            <v>2922734</v>
          </cell>
          <cell r="N26">
            <v>3129395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117493</v>
          </cell>
          <cell r="C27">
            <v>106705</v>
          </cell>
          <cell r="G27">
            <v>1603453</v>
          </cell>
          <cell r="H27">
            <v>1609153</v>
          </cell>
          <cell r="L27">
            <v>1720946</v>
          </cell>
          <cell r="M27">
            <v>1715858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216883</v>
          </cell>
          <cell r="I27">
            <v>3096738</v>
          </cell>
          <cell r="N27">
            <v>3313621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115517</v>
          </cell>
          <cell r="C28">
            <v>112775</v>
          </cell>
          <cell r="G28">
            <v>1595845</v>
          </cell>
          <cell r="H28">
            <v>1576867</v>
          </cell>
          <cell r="L28">
            <v>1711362</v>
          </cell>
          <cell r="M28">
            <v>1689642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ugust 2013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224271</v>
          </cell>
          <cell r="I28">
            <v>3099231</v>
          </cell>
          <cell r="N28">
            <v>3323502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September 2013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181115</v>
          </cell>
          <cell r="I29">
            <v>2541709</v>
          </cell>
          <cell r="N29">
            <v>2722824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18864403</v>
          </cell>
        </row>
        <row r="6">
          <cell r="G6">
            <v>7226103</v>
          </cell>
        </row>
        <row r="7">
          <cell r="G7">
            <v>3709</v>
          </cell>
        </row>
        <row r="10">
          <cell r="G10">
            <v>806758</v>
          </cell>
        </row>
        <row r="16">
          <cell r="G16">
            <v>143239</v>
          </cell>
        </row>
        <row r="17">
          <cell r="G17">
            <v>142168</v>
          </cell>
        </row>
        <row r="18">
          <cell r="G18">
            <v>61</v>
          </cell>
        </row>
        <row r="19">
          <cell r="G19">
            <v>8932</v>
          </cell>
        </row>
        <row r="20">
          <cell r="G20">
            <v>18282</v>
          </cell>
        </row>
        <row r="21">
          <cell r="G21">
            <v>968</v>
          </cell>
        </row>
        <row r="27">
          <cell r="G27">
            <v>136752.37295132875</v>
          </cell>
        </row>
        <row r="28">
          <cell r="G28">
            <v>10146.49617504215</v>
          </cell>
        </row>
        <row r="32">
          <cell r="D32">
            <v>7074712</v>
          </cell>
        </row>
        <row r="33">
          <cell r="D33">
            <v>5919086</v>
          </cell>
        </row>
      </sheetData>
      <sheetData sheetId="1"/>
      <sheetData sheetId="2"/>
      <sheetData sheetId="3"/>
      <sheetData sheetId="4"/>
      <sheetData sheetId="5">
        <row r="29">
          <cell r="B29">
            <v>89956</v>
          </cell>
          <cell r="C29">
            <v>90244</v>
          </cell>
          <cell r="G29">
            <v>1321782</v>
          </cell>
          <cell r="H29">
            <v>1321100</v>
          </cell>
          <cell r="L29">
            <v>1411738</v>
          </cell>
          <cell r="M29">
            <v>1411344</v>
          </cell>
        </row>
      </sheetData>
      <sheetData sheetId="6"/>
      <sheetData sheetId="7">
        <row r="5">
          <cell r="I5">
            <v>64448.483650616443</v>
          </cell>
        </row>
        <row r="6">
          <cell r="I6">
            <v>4793.5528263507495</v>
          </cell>
        </row>
        <row r="10">
          <cell r="I10">
            <v>72303.889300712297</v>
          </cell>
        </row>
        <row r="11">
          <cell r="I11">
            <v>5352.9433486914013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15">
          <cell r="DO15">
            <v>29</v>
          </cell>
          <cell r="DP15">
            <v>31</v>
          </cell>
          <cell r="DQ15">
            <v>31</v>
          </cell>
        </row>
        <row r="16">
          <cell r="DO16">
            <v>29</v>
          </cell>
          <cell r="DP16">
            <v>31</v>
          </cell>
          <cell r="DQ16">
            <v>31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18</v>
          </cell>
          <cell r="DA19">
            <v>50</v>
          </cell>
          <cell r="DB19">
            <v>62</v>
          </cell>
          <cell r="DC19">
            <v>62</v>
          </cell>
          <cell r="DD19">
            <v>2</v>
          </cell>
          <cell r="DE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Q19">
            <v>62</v>
          </cell>
          <cell r="DR19">
            <v>0</v>
          </cell>
          <cell r="DS19">
            <v>0</v>
          </cell>
        </row>
        <row r="32">
          <cell r="DO32">
            <v>7177</v>
          </cell>
          <cell r="DP32">
            <v>7992</v>
          </cell>
          <cell r="DQ32">
            <v>7623</v>
          </cell>
        </row>
        <row r="33">
          <cell r="DO33">
            <v>6962</v>
          </cell>
          <cell r="DP33">
            <v>5379</v>
          </cell>
          <cell r="DQ33">
            <v>6824</v>
          </cell>
        </row>
        <row r="37">
          <cell r="DO37">
            <v>30</v>
          </cell>
          <cell r="DP37">
            <v>41</v>
          </cell>
          <cell r="DQ37">
            <v>51</v>
          </cell>
        </row>
        <row r="38">
          <cell r="DO38">
            <v>20</v>
          </cell>
          <cell r="DP38">
            <v>37</v>
          </cell>
          <cell r="DQ38">
            <v>45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4217</v>
          </cell>
          <cell r="DA41">
            <v>12570</v>
          </cell>
          <cell r="DB41">
            <v>13668</v>
          </cell>
          <cell r="DC41">
            <v>14757</v>
          </cell>
          <cell r="DD41">
            <v>527</v>
          </cell>
          <cell r="DE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Q41">
            <v>14447</v>
          </cell>
          <cell r="DR41">
            <v>0</v>
          </cell>
          <cell r="DS41">
            <v>0</v>
          </cell>
        </row>
      </sheetData>
      <sheetData sheetId="3">
        <row r="4">
          <cell r="DS4">
            <v>32</v>
          </cell>
        </row>
        <row r="5">
          <cell r="DS5">
            <v>32</v>
          </cell>
        </row>
        <row r="19">
          <cell r="CV19">
            <v>248</v>
          </cell>
          <cell r="CW19">
            <v>224</v>
          </cell>
          <cell r="CX19">
            <v>266</v>
          </cell>
          <cell r="CY19">
            <v>284</v>
          </cell>
          <cell r="CZ19">
            <v>300</v>
          </cell>
          <cell r="DA19">
            <v>296</v>
          </cell>
          <cell r="DB19">
            <v>310</v>
          </cell>
          <cell r="DC19">
            <v>297</v>
          </cell>
          <cell r="DD19">
            <v>238</v>
          </cell>
          <cell r="DE19">
            <v>260</v>
          </cell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Q19">
            <v>186</v>
          </cell>
          <cell r="DR19">
            <v>118</v>
          </cell>
          <cell r="DS19">
            <v>64</v>
          </cell>
        </row>
        <row r="22">
          <cell r="DS22">
            <v>3298</v>
          </cell>
        </row>
        <row r="23">
          <cell r="DS23">
            <v>3327</v>
          </cell>
        </row>
        <row r="27">
          <cell r="DS27">
            <v>30</v>
          </cell>
        </row>
        <row r="28">
          <cell r="DS28">
            <v>27</v>
          </cell>
        </row>
        <row r="41">
          <cell r="CV41">
            <v>23053</v>
          </cell>
          <cell r="CW41">
            <v>22052</v>
          </cell>
          <cell r="CX41">
            <v>28874</v>
          </cell>
          <cell r="CY41">
            <v>27949</v>
          </cell>
          <cell r="CZ41">
            <v>29887</v>
          </cell>
          <cell r="DA41">
            <v>31872</v>
          </cell>
          <cell r="DB41">
            <v>30215</v>
          </cell>
          <cell r="DC41">
            <v>30648</v>
          </cell>
          <cell r="DD41">
            <v>23390</v>
          </cell>
          <cell r="DE41">
            <v>26855</v>
          </cell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Q41">
            <v>20274</v>
          </cell>
          <cell r="DR41">
            <v>12640</v>
          </cell>
          <cell r="DS41">
            <v>6625</v>
          </cell>
        </row>
      </sheetData>
      <sheetData sheetId="4">
        <row r="4">
          <cell r="DS4">
            <v>58</v>
          </cell>
        </row>
        <row r="5">
          <cell r="DS5">
            <v>58</v>
          </cell>
        </row>
        <row r="19">
          <cell r="CV19">
            <v>122</v>
          </cell>
          <cell r="CW19">
            <v>114</v>
          </cell>
          <cell r="CX19">
            <v>124</v>
          </cell>
          <cell r="CY19">
            <v>120</v>
          </cell>
          <cell r="CZ19">
            <v>124</v>
          </cell>
          <cell r="DA19">
            <v>118</v>
          </cell>
          <cell r="DB19">
            <v>124</v>
          </cell>
          <cell r="DC19">
            <v>124</v>
          </cell>
          <cell r="DD19">
            <v>120</v>
          </cell>
          <cell r="DE19">
            <v>126</v>
          </cell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Q19">
            <v>122</v>
          </cell>
          <cell r="DR19">
            <v>114</v>
          </cell>
          <cell r="DS19">
            <v>116</v>
          </cell>
        </row>
        <row r="22">
          <cell r="DS22">
            <v>8000</v>
          </cell>
        </row>
        <row r="23">
          <cell r="DS23">
            <v>7677</v>
          </cell>
        </row>
        <row r="27">
          <cell r="DS27">
            <v>380</v>
          </cell>
        </row>
        <row r="28">
          <cell r="DS28">
            <v>405</v>
          </cell>
        </row>
        <row r="41">
          <cell r="CV41">
            <v>14658</v>
          </cell>
          <cell r="CW41">
            <v>14094</v>
          </cell>
          <cell r="CX41">
            <v>15439</v>
          </cell>
          <cell r="CY41">
            <v>15240</v>
          </cell>
          <cell r="CZ41">
            <v>17525</v>
          </cell>
          <cell r="DA41">
            <v>17472</v>
          </cell>
          <cell r="DB41">
            <v>16759</v>
          </cell>
          <cell r="DC41">
            <v>18625</v>
          </cell>
          <cell r="DD41">
            <v>14387</v>
          </cell>
          <cell r="DE41">
            <v>15228</v>
          </cell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Q41">
            <v>18077</v>
          </cell>
          <cell r="DR41">
            <v>15579</v>
          </cell>
          <cell r="DS41">
            <v>15677</v>
          </cell>
        </row>
        <row r="47">
          <cell r="DS47">
            <v>12694</v>
          </cell>
        </row>
        <row r="52">
          <cell r="DS52">
            <v>14994</v>
          </cell>
        </row>
      </sheetData>
      <sheetData sheetId="5"/>
      <sheetData sheetId="6">
        <row r="4">
          <cell r="DS4">
            <v>32</v>
          </cell>
        </row>
        <row r="5">
          <cell r="DS5">
            <v>320</v>
          </cell>
        </row>
        <row r="19">
          <cell r="CV19">
            <v>518</v>
          </cell>
          <cell r="CW19">
            <v>490</v>
          </cell>
          <cell r="CX19">
            <v>526</v>
          </cell>
          <cell r="CY19">
            <v>664</v>
          </cell>
          <cell r="CZ19">
            <v>702</v>
          </cell>
          <cell r="DA19">
            <v>638</v>
          </cell>
          <cell r="DB19">
            <v>640</v>
          </cell>
          <cell r="DC19">
            <v>659</v>
          </cell>
          <cell r="DD19">
            <v>608</v>
          </cell>
          <cell r="DE19">
            <v>642</v>
          </cell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Q19">
            <v>412</v>
          </cell>
          <cell r="DR19">
            <v>396</v>
          </cell>
          <cell r="DS19">
            <v>352</v>
          </cell>
        </row>
        <row r="22">
          <cell r="DS22">
            <v>36406</v>
          </cell>
        </row>
        <row r="23">
          <cell r="DS23">
            <v>38109</v>
          </cell>
        </row>
        <row r="27">
          <cell r="DS27">
            <v>1687</v>
          </cell>
        </row>
        <row r="28">
          <cell r="DS28">
            <v>1532</v>
          </cell>
        </row>
        <row r="41">
          <cell r="CV41">
            <v>52666</v>
          </cell>
          <cell r="CW41">
            <v>53215</v>
          </cell>
          <cell r="CX41">
            <v>60503</v>
          </cell>
          <cell r="CY41">
            <v>70768</v>
          </cell>
          <cell r="CZ41">
            <v>73804</v>
          </cell>
          <cell r="DA41">
            <v>70339</v>
          </cell>
          <cell r="DB41">
            <v>66905</v>
          </cell>
          <cell r="DC41">
            <v>67726</v>
          </cell>
          <cell r="DD41">
            <v>59229</v>
          </cell>
          <cell r="DE41">
            <v>72017</v>
          </cell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Q41">
            <v>53091</v>
          </cell>
          <cell r="DR41">
            <v>46269</v>
          </cell>
          <cell r="DS41">
            <v>74515</v>
          </cell>
        </row>
        <row r="47">
          <cell r="DS47">
            <v>11796</v>
          </cell>
        </row>
        <row r="52">
          <cell r="DS52">
            <v>12571</v>
          </cell>
        </row>
      </sheetData>
      <sheetData sheetId="7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</row>
      </sheetData>
      <sheetData sheetId="8">
        <row r="15">
          <cell r="DO15">
            <v>2</v>
          </cell>
          <cell r="DP15">
            <v>9</v>
          </cell>
          <cell r="DQ15">
            <v>8</v>
          </cell>
          <cell r="DR15">
            <v>4</v>
          </cell>
        </row>
        <row r="16">
          <cell r="DO16">
            <v>2</v>
          </cell>
          <cell r="DP16">
            <v>9</v>
          </cell>
          <cell r="DQ16">
            <v>8</v>
          </cell>
          <cell r="DR16">
            <v>4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Q19">
            <v>16</v>
          </cell>
          <cell r="DR19">
            <v>8</v>
          </cell>
          <cell r="DS19">
            <v>0</v>
          </cell>
        </row>
        <row r="32">
          <cell r="DO32">
            <v>442</v>
          </cell>
          <cell r="DP32">
            <v>2251</v>
          </cell>
          <cell r="DQ32">
            <v>2023</v>
          </cell>
          <cell r="DR32">
            <v>593</v>
          </cell>
        </row>
        <row r="33">
          <cell r="DO33">
            <v>468</v>
          </cell>
          <cell r="DP33">
            <v>1968</v>
          </cell>
          <cell r="DQ33">
            <v>1522</v>
          </cell>
          <cell r="DR33">
            <v>558</v>
          </cell>
        </row>
        <row r="37">
          <cell r="DO37">
            <v>5</v>
          </cell>
          <cell r="DP37">
            <v>11</v>
          </cell>
          <cell r="DQ37">
            <v>10</v>
          </cell>
          <cell r="DR37">
            <v>7</v>
          </cell>
        </row>
        <row r="38">
          <cell r="DO38">
            <v>3</v>
          </cell>
          <cell r="DP38">
            <v>18</v>
          </cell>
          <cell r="DQ38">
            <v>22</v>
          </cell>
          <cell r="DR38">
            <v>10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Q41">
            <v>3545</v>
          </cell>
          <cell r="DR41">
            <v>1151</v>
          </cell>
          <cell r="DS41">
            <v>0</v>
          </cell>
        </row>
      </sheetData>
      <sheetData sheetId="9">
        <row r="4">
          <cell r="DS4">
            <v>5029</v>
          </cell>
        </row>
        <row r="5">
          <cell r="DS5">
            <v>5028</v>
          </cell>
        </row>
        <row r="8">
          <cell r="DS8">
            <v>4</v>
          </cell>
        </row>
        <row r="9">
          <cell r="DS9">
            <v>4</v>
          </cell>
        </row>
        <row r="15">
          <cell r="DJ15">
            <v>358</v>
          </cell>
          <cell r="DK15">
            <v>371</v>
          </cell>
          <cell r="DL15">
            <v>501</v>
          </cell>
          <cell r="DM15">
            <v>263</v>
          </cell>
          <cell r="DN15">
            <v>220</v>
          </cell>
          <cell r="DO15">
            <v>319</v>
          </cell>
          <cell r="DP15">
            <v>348</v>
          </cell>
          <cell r="DQ15">
            <v>341</v>
          </cell>
          <cell r="DR15">
            <v>298</v>
          </cell>
          <cell r="DS15">
            <v>232</v>
          </cell>
        </row>
        <row r="16">
          <cell r="DJ16">
            <v>357</v>
          </cell>
          <cell r="DK16">
            <v>371</v>
          </cell>
          <cell r="DL16">
            <v>502</v>
          </cell>
          <cell r="DM16">
            <v>266</v>
          </cell>
          <cell r="DN16">
            <v>222</v>
          </cell>
          <cell r="DO16">
            <v>323</v>
          </cell>
          <cell r="DP16">
            <v>349</v>
          </cell>
          <cell r="DQ16">
            <v>343</v>
          </cell>
          <cell r="DR16">
            <v>299</v>
          </cell>
          <cell r="DS16">
            <v>233</v>
          </cell>
        </row>
        <row r="19">
          <cell r="CV19">
            <v>8666</v>
          </cell>
          <cell r="CW19">
            <v>8060</v>
          </cell>
          <cell r="CX19">
            <v>10251</v>
          </cell>
          <cell r="CY19">
            <v>9640</v>
          </cell>
          <cell r="CZ19">
            <v>9872</v>
          </cell>
          <cell r="DA19">
            <v>10706</v>
          </cell>
          <cell r="DB19">
            <v>11453</v>
          </cell>
          <cell r="DC19">
            <v>11475</v>
          </cell>
          <cell r="DD19">
            <v>10037</v>
          </cell>
          <cell r="DE19">
            <v>9968</v>
          </cell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Q19">
            <v>12001</v>
          </cell>
          <cell r="DR19">
            <v>10331</v>
          </cell>
          <cell r="DS19">
            <v>10530</v>
          </cell>
        </row>
        <row r="22">
          <cell r="DS22">
            <v>663319</v>
          </cell>
        </row>
        <row r="23">
          <cell r="DS23">
            <v>668797</v>
          </cell>
        </row>
        <row r="27">
          <cell r="DS27">
            <v>25875</v>
          </cell>
        </row>
        <row r="28">
          <cell r="DS28">
            <v>25809</v>
          </cell>
        </row>
        <row r="32">
          <cell r="DJ32">
            <v>61206</v>
          </cell>
          <cell r="DK32">
            <v>57351</v>
          </cell>
          <cell r="DL32">
            <v>82174</v>
          </cell>
          <cell r="DM32">
            <v>47581</v>
          </cell>
          <cell r="DN32">
            <v>46203</v>
          </cell>
          <cell r="DO32">
            <v>62049</v>
          </cell>
          <cell r="DP32">
            <v>68814</v>
          </cell>
          <cell r="DQ32">
            <v>66942</v>
          </cell>
          <cell r="DR32">
            <v>55019</v>
          </cell>
          <cell r="DS32">
            <v>45760</v>
          </cell>
        </row>
        <row r="33">
          <cell r="DJ33">
            <v>57984</v>
          </cell>
          <cell r="DK33">
            <v>57794</v>
          </cell>
          <cell r="DL33">
            <v>79789</v>
          </cell>
          <cell r="DM33">
            <v>43902</v>
          </cell>
          <cell r="DN33">
            <v>48182</v>
          </cell>
          <cell r="DO33">
            <v>61682</v>
          </cell>
          <cell r="DP33">
            <v>61781</v>
          </cell>
          <cell r="DQ33">
            <v>65703</v>
          </cell>
          <cell r="DR33">
            <v>55291</v>
          </cell>
          <cell r="DS33">
            <v>43576</v>
          </cell>
        </row>
        <row r="37">
          <cell r="DJ37">
            <v>1579</v>
          </cell>
          <cell r="DK37">
            <v>1668</v>
          </cell>
          <cell r="DL37">
            <v>1953</v>
          </cell>
          <cell r="DM37">
            <v>1401</v>
          </cell>
          <cell r="DN37">
            <v>1099</v>
          </cell>
          <cell r="DO37">
            <v>1310</v>
          </cell>
          <cell r="DP37">
            <v>1348</v>
          </cell>
          <cell r="DQ37">
            <v>1316</v>
          </cell>
          <cell r="DR37">
            <v>1165</v>
          </cell>
          <cell r="DS37">
            <v>1328</v>
          </cell>
        </row>
        <row r="38">
          <cell r="DJ38">
            <v>1560</v>
          </cell>
          <cell r="DK38">
            <v>1675</v>
          </cell>
          <cell r="DL38">
            <v>1926</v>
          </cell>
          <cell r="DM38">
            <v>1264</v>
          </cell>
          <cell r="DN38">
            <v>1026</v>
          </cell>
          <cell r="DO38">
            <v>1289</v>
          </cell>
          <cell r="DP38">
            <v>1483</v>
          </cell>
          <cell r="DQ38">
            <v>1195</v>
          </cell>
          <cell r="DR38">
            <v>872</v>
          </cell>
          <cell r="DS38">
            <v>1269</v>
          </cell>
        </row>
        <row r="41">
          <cell r="CV41">
            <v>1100415</v>
          </cell>
          <cell r="CW41">
            <v>1058220</v>
          </cell>
          <cell r="CX41">
            <v>1425320</v>
          </cell>
          <cell r="CY41">
            <v>1269469</v>
          </cell>
          <cell r="CZ41">
            <v>1354226</v>
          </cell>
          <cell r="DA41">
            <v>1530019</v>
          </cell>
          <cell r="DB41">
            <v>1639008</v>
          </cell>
          <cell r="DC41">
            <v>1634820</v>
          </cell>
          <cell r="DD41">
            <v>1340393</v>
          </cell>
          <cell r="DE41">
            <v>1328236</v>
          </cell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Q41">
            <v>1731205</v>
          </cell>
          <cell r="DR41">
            <v>1407727</v>
          </cell>
          <cell r="DS41">
            <v>1421452</v>
          </cell>
        </row>
        <row r="47">
          <cell r="DS47">
            <v>4313841</v>
          </cell>
        </row>
        <row r="48">
          <cell r="DS48">
            <v>887987</v>
          </cell>
        </row>
        <row r="52">
          <cell r="DS52">
            <v>3726062</v>
          </cell>
        </row>
        <row r="53">
          <cell r="DS53">
            <v>109735</v>
          </cell>
        </row>
        <row r="70">
          <cell r="DS70">
            <v>289589</v>
          </cell>
        </row>
        <row r="71">
          <cell r="DS71">
            <v>379208</v>
          </cell>
        </row>
        <row r="73">
          <cell r="DS73">
            <v>18868</v>
          </cell>
        </row>
        <row r="74">
          <cell r="DS74">
            <v>24708</v>
          </cell>
        </row>
      </sheetData>
      <sheetData sheetId="10">
        <row r="4">
          <cell r="DS4">
            <v>181</v>
          </cell>
        </row>
        <row r="5">
          <cell r="DS5">
            <v>181</v>
          </cell>
        </row>
        <row r="19">
          <cell r="CV19">
            <v>178</v>
          </cell>
          <cell r="CW19">
            <v>158</v>
          </cell>
          <cell r="CX19">
            <v>188</v>
          </cell>
          <cell r="CY19">
            <v>206</v>
          </cell>
          <cell r="CZ19">
            <v>232</v>
          </cell>
          <cell r="DA19">
            <v>232</v>
          </cell>
          <cell r="DB19">
            <v>224</v>
          </cell>
          <cell r="DC19">
            <v>232</v>
          </cell>
          <cell r="DD19">
            <v>226</v>
          </cell>
          <cell r="DE19">
            <v>230</v>
          </cell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Q19">
            <v>322</v>
          </cell>
          <cell r="DR19">
            <v>364</v>
          </cell>
          <cell r="DS19">
            <v>362</v>
          </cell>
        </row>
        <row r="22">
          <cell r="DS22">
            <v>22648</v>
          </cell>
        </row>
        <row r="23">
          <cell r="DS23">
            <v>23119</v>
          </cell>
        </row>
        <row r="27">
          <cell r="DS27">
            <v>294</v>
          </cell>
        </row>
        <row r="28">
          <cell r="DS28">
            <v>310</v>
          </cell>
        </row>
        <row r="41">
          <cell r="CV41">
            <v>25011</v>
          </cell>
          <cell r="CW41">
            <v>23766</v>
          </cell>
          <cell r="CX41">
            <v>28249</v>
          </cell>
          <cell r="CY41">
            <v>28640</v>
          </cell>
          <cell r="CZ41">
            <v>32803</v>
          </cell>
          <cell r="DA41">
            <v>33596</v>
          </cell>
          <cell r="DB41">
            <v>30607</v>
          </cell>
          <cell r="DC41">
            <v>30629</v>
          </cell>
          <cell r="DD41">
            <v>31510</v>
          </cell>
          <cell r="DE41">
            <v>31455</v>
          </cell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Q41">
            <v>48062</v>
          </cell>
          <cell r="DR41">
            <v>49938</v>
          </cell>
          <cell r="DS41">
            <v>45767</v>
          </cell>
        </row>
      </sheetData>
      <sheetData sheetId="11">
        <row r="4">
          <cell r="DS4">
            <v>123</v>
          </cell>
        </row>
        <row r="5">
          <cell r="DS5">
            <v>123</v>
          </cell>
        </row>
        <row r="19">
          <cell r="CV19">
            <v>1132</v>
          </cell>
          <cell r="CW19">
            <v>990</v>
          </cell>
          <cell r="CX19">
            <v>1170</v>
          </cell>
          <cell r="CY19">
            <v>1136</v>
          </cell>
          <cell r="CZ19">
            <v>1180</v>
          </cell>
          <cell r="DA19">
            <v>1152</v>
          </cell>
          <cell r="DB19">
            <v>1230</v>
          </cell>
          <cell r="DC19">
            <v>1138</v>
          </cell>
          <cell r="DD19">
            <v>1096</v>
          </cell>
          <cell r="DE19">
            <v>1074</v>
          </cell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Q19">
            <v>124</v>
          </cell>
          <cell r="DR19">
            <v>122</v>
          </cell>
          <cell r="DS19">
            <v>246</v>
          </cell>
        </row>
        <row r="22">
          <cell r="DS22">
            <v>432</v>
          </cell>
        </row>
        <row r="23">
          <cell r="DS23">
            <v>451</v>
          </cell>
        </row>
        <row r="27">
          <cell r="DS27">
            <v>43</v>
          </cell>
        </row>
        <row r="28">
          <cell r="DS28">
            <v>33</v>
          </cell>
        </row>
        <row r="41">
          <cell r="CV41">
            <v>3718</v>
          </cell>
          <cell r="CW41">
            <v>3680</v>
          </cell>
          <cell r="CX41">
            <v>4150</v>
          </cell>
          <cell r="CY41">
            <v>3648</v>
          </cell>
          <cell r="CZ41">
            <v>4150</v>
          </cell>
          <cell r="DA41">
            <v>4436</v>
          </cell>
          <cell r="DB41">
            <v>4846</v>
          </cell>
          <cell r="DC41">
            <v>4525</v>
          </cell>
          <cell r="DD41">
            <v>4361</v>
          </cell>
          <cell r="DE41">
            <v>4424</v>
          </cell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Q41">
            <v>704</v>
          </cell>
          <cell r="DR41">
            <v>696</v>
          </cell>
          <cell r="DS41">
            <v>883</v>
          </cell>
        </row>
        <row r="47">
          <cell r="DS47">
            <v>72</v>
          </cell>
        </row>
      </sheetData>
      <sheetData sheetId="12">
        <row r="15">
          <cell r="DN15">
            <v>13</v>
          </cell>
          <cell r="DO15">
            <v>29</v>
          </cell>
          <cell r="DP15">
            <v>31</v>
          </cell>
          <cell r="DQ15">
            <v>31</v>
          </cell>
          <cell r="DR15">
            <v>18</v>
          </cell>
          <cell r="DS15">
            <v>8</v>
          </cell>
        </row>
        <row r="16">
          <cell r="DN16">
            <v>13</v>
          </cell>
          <cell r="DO16">
            <v>29</v>
          </cell>
          <cell r="DP16">
            <v>31</v>
          </cell>
          <cell r="DQ16">
            <v>31</v>
          </cell>
          <cell r="DR16">
            <v>18</v>
          </cell>
          <cell r="DS16">
            <v>8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24</v>
          </cell>
          <cell r="DA19">
            <v>60</v>
          </cell>
          <cell r="DB19">
            <v>72</v>
          </cell>
          <cell r="DC19">
            <v>62</v>
          </cell>
          <cell r="DD19">
            <v>38</v>
          </cell>
          <cell r="DE19">
            <v>18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Q19">
            <v>62</v>
          </cell>
          <cell r="DR19">
            <v>36</v>
          </cell>
          <cell r="DS19">
            <v>16</v>
          </cell>
        </row>
        <row r="32">
          <cell r="DN32">
            <v>1353</v>
          </cell>
          <cell r="DO32">
            <v>4569</v>
          </cell>
          <cell r="DP32">
            <v>5120</v>
          </cell>
          <cell r="DQ32">
            <v>4978</v>
          </cell>
          <cell r="DS32">
            <v>1137</v>
          </cell>
        </row>
        <row r="33">
          <cell r="DN33">
            <v>2209</v>
          </cell>
          <cell r="DO33">
            <v>4774</v>
          </cell>
          <cell r="DP33">
            <v>4911</v>
          </cell>
          <cell r="DQ33">
            <v>4762</v>
          </cell>
          <cell r="DR33">
            <v>2626</v>
          </cell>
          <cell r="DS33">
            <v>1041</v>
          </cell>
        </row>
        <row r="37">
          <cell r="DN37">
            <v>48</v>
          </cell>
          <cell r="DO37">
            <v>29</v>
          </cell>
          <cell r="DP37">
            <v>71</v>
          </cell>
          <cell r="DQ37">
            <v>48</v>
          </cell>
          <cell r="DR37">
            <v>93</v>
          </cell>
          <cell r="DS37">
            <v>74</v>
          </cell>
        </row>
        <row r="38">
          <cell r="DN38">
            <v>42</v>
          </cell>
          <cell r="DO38">
            <v>35</v>
          </cell>
          <cell r="DP38">
            <v>75</v>
          </cell>
          <cell r="DQ38">
            <v>79</v>
          </cell>
          <cell r="DR38">
            <v>107</v>
          </cell>
          <cell r="DS38">
            <v>75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3099</v>
          </cell>
          <cell r="DA41">
            <v>9707</v>
          </cell>
          <cell r="DB41">
            <v>9972</v>
          </cell>
          <cell r="DC41">
            <v>9962</v>
          </cell>
          <cell r="DD41">
            <v>5432</v>
          </cell>
          <cell r="DE41">
            <v>2485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Q41">
            <v>9740</v>
          </cell>
          <cell r="DR41">
            <v>5409</v>
          </cell>
          <cell r="DS41">
            <v>2178</v>
          </cell>
        </row>
        <row r="47">
          <cell r="DS47">
            <v>165</v>
          </cell>
        </row>
        <row r="52">
          <cell r="DS52">
            <v>891</v>
          </cell>
        </row>
      </sheetData>
      <sheetData sheetId="13"/>
      <sheetData sheetId="14">
        <row r="4">
          <cell r="DS4">
            <v>695</v>
          </cell>
        </row>
        <row r="5">
          <cell r="DS5">
            <v>696</v>
          </cell>
        </row>
        <row r="19">
          <cell r="CV19">
            <v>1112</v>
          </cell>
          <cell r="CW19">
            <v>1083</v>
          </cell>
          <cell r="CX19">
            <v>1320</v>
          </cell>
          <cell r="CY19">
            <v>1238</v>
          </cell>
          <cell r="CZ19">
            <v>1265</v>
          </cell>
          <cell r="DA19">
            <v>1245</v>
          </cell>
          <cell r="DB19">
            <v>1286</v>
          </cell>
          <cell r="DC19">
            <v>1281</v>
          </cell>
          <cell r="DD19">
            <v>1235</v>
          </cell>
          <cell r="DE19">
            <v>1314</v>
          </cell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Q19">
            <v>1274</v>
          </cell>
          <cell r="DR19">
            <v>1266</v>
          </cell>
          <cell r="DS19">
            <v>1391</v>
          </cell>
        </row>
        <row r="22">
          <cell r="DS22">
            <v>76803</v>
          </cell>
        </row>
        <row r="23">
          <cell r="DS23">
            <v>80558</v>
          </cell>
        </row>
        <row r="27">
          <cell r="DS27">
            <v>1235</v>
          </cell>
        </row>
        <row r="28">
          <cell r="DS28">
            <v>1208</v>
          </cell>
        </row>
        <row r="41">
          <cell r="CV41">
            <v>96054</v>
          </cell>
          <cell r="CW41">
            <v>101765</v>
          </cell>
          <cell r="CX41">
            <v>131587</v>
          </cell>
          <cell r="CY41">
            <v>116601</v>
          </cell>
          <cell r="CZ41">
            <v>125779</v>
          </cell>
          <cell r="DA41">
            <v>137113</v>
          </cell>
          <cell r="DB41">
            <v>139785</v>
          </cell>
          <cell r="DC41">
            <v>145578</v>
          </cell>
          <cell r="DD41">
            <v>124863</v>
          </cell>
          <cell r="DE41">
            <v>133894</v>
          </cell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Q41">
            <v>165846</v>
          </cell>
          <cell r="DR41">
            <v>145579</v>
          </cell>
          <cell r="DS41">
            <v>157361</v>
          </cell>
        </row>
        <row r="47">
          <cell r="DS47">
            <v>249105</v>
          </cell>
        </row>
        <row r="52">
          <cell r="DS52">
            <v>161273</v>
          </cell>
        </row>
        <row r="70">
          <cell r="DS70">
            <v>79296</v>
          </cell>
        </row>
        <row r="71">
          <cell r="DS71">
            <v>1262</v>
          </cell>
        </row>
      </sheetData>
      <sheetData sheetId="15">
        <row r="4">
          <cell r="DS4">
            <v>337</v>
          </cell>
        </row>
        <row r="5">
          <cell r="DS5">
            <v>337</v>
          </cell>
        </row>
        <row r="19">
          <cell r="CV19">
            <v>310</v>
          </cell>
          <cell r="CW19">
            <v>274</v>
          </cell>
          <cell r="CX19">
            <v>308</v>
          </cell>
          <cell r="CY19">
            <v>350</v>
          </cell>
          <cell r="CZ19">
            <v>366</v>
          </cell>
          <cell r="DA19">
            <v>344</v>
          </cell>
          <cell r="DB19">
            <v>370</v>
          </cell>
          <cell r="DC19">
            <v>370</v>
          </cell>
          <cell r="DD19">
            <v>414</v>
          </cell>
          <cell r="DE19">
            <v>434</v>
          </cell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Q19">
            <v>596</v>
          </cell>
          <cell r="DR19">
            <v>652</v>
          </cell>
          <cell r="DS19">
            <v>674</v>
          </cell>
        </row>
        <row r="22">
          <cell r="DS22">
            <v>40666</v>
          </cell>
        </row>
        <row r="23">
          <cell r="DS23">
            <v>40891</v>
          </cell>
        </row>
        <row r="27">
          <cell r="DS27">
            <v>338</v>
          </cell>
        </row>
        <row r="28">
          <cell r="DS28">
            <v>258</v>
          </cell>
        </row>
        <row r="41">
          <cell r="CV41">
            <v>39201</v>
          </cell>
          <cell r="CW41">
            <v>37076</v>
          </cell>
          <cell r="CX41">
            <v>45855</v>
          </cell>
          <cell r="CY41">
            <v>44449</v>
          </cell>
          <cell r="CZ41">
            <v>46200</v>
          </cell>
          <cell r="DA41">
            <v>44425</v>
          </cell>
          <cell r="DB41">
            <v>49976</v>
          </cell>
          <cell r="DC41">
            <v>50879</v>
          </cell>
          <cell r="DD41">
            <v>49557</v>
          </cell>
          <cell r="DE41">
            <v>52334</v>
          </cell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Q41">
            <v>86377</v>
          </cell>
          <cell r="DR41">
            <v>71517</v>
          </cell>
          <cell r="DS41">
            <v>81557</v>
          </cell>
        </row>
      </sheetData>
      <sheetData sheetId="16">
        <row r="4">
          <cell r="DS4">
            <v>546</v>
          </cell>
        </row>
        <row r="5">
          <cell r="DS5">
            <v>548</v>
          </cell>
        </row>
        <row r="8">
          <cell r="DS8">
            <v>54</v>
          </cell>
        </row>
        <row r="9">
          <cell r="DS9">
            <v>56</v>
          </cell>
        </row>
        <row r="15">
          <cell r="DJ15">
            <v>140</v>
          </cell>
          <cell r="DK15">
            <v>174</v>
          </cell>
          <cell r="DL15">
            <v>219</v>
          </cell>
          <cell r="DM15">
            <v>97</v>
          </cell>
          <cell r="DN15">
            <v>18</v>
          </cell>
          <cell r="DO15">
            <v>9</v>
          </cell>
          <cell r="DP15">
            <v>8</v>
          </cell>
          <cell r="DQ15">
            <v>10</v>
          </cell>
          <cell r="DR15">
            <v>4</v>
          </cell>
          <cell r="DS15">
            <v>11</v>
          </cell>
        </row>
        <row r="16">
          <cell r="DJ16">
            <v>141</v>
          </cell>
          <cell r="DK16">
            <v>180</v>
          </cell>
          <cell r="DL16">
            <v>225</v>
          </cell>
          <cell r="DM16">
            <v>97</v>
          </cell>
          <cell r="DN16">
            <v>17</v>
          </cell>
          <cell r="DO16">
            <v>11</v>
          </cell>
          <cell r="DP16">
            <v>8</v>
          </cell>
          <cell r="DQ16">
            <v>8</v>
          </cell>
          <cell r="DR16">
            <v>4</v>
          </cell>
          <cell r="DS16">
            <v>11</v>
          </cell>
        </row>
        <row r="19">
          <cell r="CV19">
            <v>963</v>
          </cell>
          <cell r="CW19">
            <v>1219</v>
          </cell>
          <cell r="CX19">
            <v>1507</v>
          </cell>
          <cell r="CY19">
            <v>1149</v>
          </cell>
          <cell r="CZ19">
            <v>1098</v>
          </cell>
          <cell r="DA19">
            <v>1137</v>
          </cell>
          <cell r="DB19">
            <v>1281</v>
          </cell>
          <cell r="DC19">
            <v>1289</v>
          </cell>
          <cell r="DD19">
            <v>1194</v>
          </cell>
          <cell r="DE19">
            <v>1225</v>
          </cell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Q19">
            <v>1411</v>
          </cell>
          <cell r="DR19">
            <v>1083</v>
          </cell>
          <cell r="DS19">
            <v>1226</v>
          </cell>
        </row>
        <row r="22">
          <cell r="DS22">
            <v>59286</v>
          </cell>
        </row>
        <row r="23">
          <cell r="DS23">
            <v>58243</v>
          </cell>
        </row>
        <row r="27">
          <cell r="DS27">
            <v>1389</v>
          </cell>
        </row>
        <row r="28">
          <cell r="DS28">
            <v>1341</v>
          </cell>
        </row>
        <row r="32">
          <cell r="DJ32">
            <v>16529</v>
          </cell>
          <cell r="DK32">
            <v>22209</v>
          </cell>
          <cell r="DL32">
            <v>31066</v>
          </cell>
          <cell r="DM32">
            <v>13681</v>
          </cell>
          <cell r="DN32">
            <v>2345</v>
          </cell>
          <cell r="DO32">
            <v>1732</v>
          </cell>
          <cell r="DP32">
            <v>1283</v>
          </cell>
          <cell r="DQ32">
            <v>1237</v>
          </cell>
          <cell r="DR32">
            <v>398</v>
          </cell>
          <cell r="DS32">
            <v>1543</v>
          </cell>
        </row>
        <row r="33">
          <cell r="DJ33">
            <v>17265</v>
          </cell>
          <cell r="DK33">
            <v>23879</v>
          </cell>
          <cell r="DL33">
            <v>30933</v>
          </cell>
          <cell r="DM33">
            <v>7246</v>
          </cell>
          <cell r="DN33">
            <v>2709</v>
          </cell>
          <cell r="DO33">
            <v>1779</v>
          </cell>
          <cell r="DP33">
            <v>1093</v>
          </cell>
          <cell r="DQ33">
            <v>1106</v>
          </cell>
          <cell r="DR33">
            <v>480</v>
          </cell>
          <cell r="DS33">
            <v>1704</v>
          </cell>
        </row>
        <row r="37">
          <cell r="DJ37">
            <v>121</v>
          </cell>
          <cell r="DK37">
            <v>169</v>
          </cell>
          <cell r="DL37">
            <v>186</v>
          </cell>
          <cell r="DM37">
            <v>81</v>
          </cell>
          <cell r="DN37">
            <v>14</v>
          </cell>
          <cell r="DO37">
            <v>18</v>
          </cell>
          <cell r="DP37">
            <v>6</v>
          </cell>
          <cell r="DQ37">
            <v>2</v>
          </cell>
          <cell r="DR37">
            <v>4</v>
          </cell>
          <cell r="DS37">
            <v>12</v>
          </cell>
        </row>
        <row r="38">
          <cell r="DJ38">
            <v>194</v>
          </cell>
          <cell r="DK38">
            <v>220</v>
          </cell>
          <cell r="DL38">
            <v>184</v>
          </cell>
          <cell r="DM38">
            <v>66</v>
          </cell>
          <cell r="DN38">
            <v>17</v>
          </cell>
          <cell r="DO38">
            <v>18</v>
          </cell>
          <cell r="DP38">
            <v>4</v>
          </cell>
          <cell r="DQ38">
            <v>5</v>
          </cell>
          <cell r="DR38">
            <v>6</v>
          </cell>
          <cell r="DS38">
            <v>9</v>
          </cell>
        </row>
        <row r="41">
          <cell r="CV41">
            <v>120906</v>
          </cell>
          <cell r="CW41">
            <v>135800</v>
          </cell>
          <cell r="CX41">
            <v>178496</v>
          </cell>
          <cell r="CY41">
            <v>111437</v>
          </cell>
          <cell r="CZ41">
            <v>103806</v>
          </cell>
          <cell r="DA41">
            <v>116480</v>
          </cell>
          <cell r="DB41">
            <v>136962</v>
          </cell>
          <cell r="DC41">
            <v>130510</v>
          </cell>
          <cell r="DD41">
            <v>92101</v>
          </cell>
          <cell r="DE41">
            <v>112986</v>
          </cell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Q41">
            <v>150277</v>
          </cell>
          <cell r="DR41">
            <v>99744</v>
          </cell>
          <cell r="DS41">
            <v>120776</v>
          </cell>
        </row>
        <row r="47">
          <cell r="DS47">
            <v>40761</v>
          </cell>
        </row>
        <row r="48">
          <cell r="DS48">
            <v>103715</v>
          </cell>
        </row>
        <row r="52">
          <cell r="DS52">
            <v>11660</v>
          </cell>
        </row>
        <row r="53">
          <cell r="DS53">
            <v>325924</v>
          </cell>
        </row>
        <row r="70">
          <cell r="DS70">
            <v>54340</v>
          </cell>
        </row>
        <row r="71">
          <cell r="DS71">
            <v>3903</v>
          </cell>
        </row>
        <row r="73">
          <cell r="DS73">
            <v>1704</v>
          </cell>
        </row>
        <row r="74">
          <cell r="DS74">
            <v>0</v>
          </cell>
        </row>
      </sheetData>
      <sheetData sheetId="17">
        <row r="4">
          <cell r="DS4">
            <v>169</v>
          </cell>
        </row>
        <row r="5">
          <cell r="DS5">
            <v>169</v>
          </cell>
        </row>
        <row r="19">
          <cell r="CV19">
            <v>512</v>
          </cell>
          <cell r="CW19">
            <v>482</v>
          </cell>
          <cell r="CX19">
            <v>412</v>
          </cell>
          <cell r="CY19">
            <v>316</v>
          </cell>
          <cell r="CZ19">
            <v>338</v>
          </cell>
          <cell r="DA19">
            <v>134</v>
          </cell>
          <cell r="DB19">
            <v>168</v>
          </cell>
          <cell r="DC19">
            <v>228</v>
          </cell>
          <cell r="DD19">
            <v>358</v>
          </cell>
          <cell r="DE19">
            <v>334</v>
          </cell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Q19">
            <v>234</v>
          </cell>
          <cell r="DR19">
            <v>332</v>
          </cell>
          <cell r="DS19">
            <v>338</v>
          </cell>
        </row>
        <row r="22">
          <cell r="DS22">
            <v>19348</v>
          </cell>
        </row>
        <row r="23">
          <cell r="DS23">
            <v>20054</v>
          </cell>
        </row>
        <row r="27">
          <cell r="DS27">
            <v>540</v>
          </cell>
        </row>
        <row r="28">
          <cell r="DS28">
            <v>696</v>
          </cell>
        </row>
        <row r="41">
          <cell r="CV41">
            <v>50828</v>
          </cell>
          <cell r="CW41">
            <v>49451</v>
          </cell>
          <cell r="CX41">
            <v>45753</v>
          </cell>
          <cell r="CY41">
            <v>30829</v>
          </cell>
          <cell r="CZ41">
            <v>33372</v>
          </cell>
          <cell r="DA41">
            <v>12802</v>
          </cell>
          <cell r="DB41">
            <v>17997</v>
          </cell>
          <cell r="DC41">
            <v>23237</v>
          </cell>
          <cell r="DD41">
            <v>36808</v>
          </cell>
          <cell r="DE41">
            <v>35146</v>
          </cell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Q41">
            <v>28471</v>
          </cell>
          <cell r="DR41">
            <v>37517</v>
          </cell>
          <cell r="DS41">
            <v>39402</v>
          </cell>
        </row>
        <row r="47">
          <cell r="DS47">
            <v>43513</v>
          </cell>
        </row>
        <row r="48">
          <cell r="DS48">
            <v>189497</v>
          </cell>
        </row>
        <row r="52">
          <cell r="DS52">
            <v>24469</v>
          </cell>
        </row>
        <row r="53">
          <cell r="DS53">
            <v>299317</v>
          </cell>
        </row>
      </sheetData>
      <sheetData sheetId="18">
        <row r="4">
          <cell r="DS4">
            <v>387</v>
          </cell>
        </row>
        <row r="5">
          <cell r="DS5">
            <v>387</v>
          </cell>
        </row>
        <row r="19">
          <cell r="CV19">
            <v>674</v>
          </cell>
          <cell r="CW19">
            <v>623</v>
          </cell>
          <cell r="CX19">
            <v>766</v>
          </cell>
          <cell r="CY19">
            <v>681</v>
          </cell>
          <cell r="CZ19">
            <v>720</v>
          </cell>
          <cell r="DA19">
            <v>714</v>
          </cell>
          <cell r="DB19">
            <v>720</v>
          </cell>
          <cell r="DC19">
            <v>726</v>
          </cell>
          <cell r="DD19">
            <v>663</v>
          </cell>
          <cell r="DE19">
            <v>712</v>
          </cell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Q19">
            <v>709</v>
          </cell>
          <cell r="DR19">
            <v>671</v>
          </cell>
          <cell r="DS19">
            <v>774</v>
          </cell>
        </row>
        <row r="22">
          <cell r="DS22">
            <v>47292</v>
          </cell>
        </row>
        <row r="23">
          <cell r="DS23">
            <v>49824</v>
          </cell>
        </row>
        <row r="27">
          <cell r="DS27">
            <v>1519</v>
          </cell>
        </row>
        <row r="28">
          <cell r="DS28">
            <v>1645</v>
          </cell>
        </row>
        <row r="41">
          <cell r="CV41">
            <v>87311</v>
          </cell>
          <cell r="CW41">
            <v>85751</v>
          </cell>
          <cell r="CX41">
            <v>110912</v>
          </cell>
          <cell r="CY41">
            <v>99208</v>
          </cell>
          <cell r="CZ41">
            <v>101818</v>
          </cell>
          <cell r="DA41">
            <v>105047</v>
          </cell>
          <cell r="DB41">
            <v>106850</v>
          </cell>
          <cell r="DC41">
            <v>104609</v>
          </cell>
          <cell r="DD41">
            <v>95032</v>
          </cell>
          <cell r="DE41">
            <v>98809</v>
          </cell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Q41">
            <v>103600</v>
          </cell>
          <cell r="DR41">
            <v>85592</v>
          </cell>
          <cell r="DS41">
            <v>97116</v>
          </cell>
        </row>
        <row r="47">
          <cell r="DS47">
            <v>34257</v>
          </cell>
        </row>
        <row r="48">
          <cell r="DS48">
            <v>35097</v>
          </cell>
        </row>
        <row r="52">
          <cell r="DS52">
            <v>15612</v>
          </cell>
        </row>
        <row r="53">
          <cell r="DS53">
            <v>91059</v>
          </cell>
        </row>
      </sheetData>
      <sheetData sheetId="19">
        <row r="15">
          <cell r="DJ15">
            <v>80</v>
          </cell>
          <cell r="DK15">
            <v>76</v>
          </cell>
          <cell r="DL15">
            <v>88</v>
          </cell>
          <cell r="DM15">
            <v>81</v>
          </cell>
          <cell r="DN15">
            <v>88</v>
          </cell>
          <cell r="DO15">
            <v>89</v>
          </cell>
          <cell r="DP15">
            <v>90</v>
          </cell>
          <cell r="DQ15">
            <v>92</v>
          </cell>
          <cell r="DR15">
            <v>87</v>
          </cell>
          <cell r="DS15">
            <v>88</v>
          </cell>
        </row>
        <row r="16">
          <cell r="DJ16">
            <v>79</v>
          </cell>
          <cell r="DK16">
            <v>76</v>
          </cell>
          <cell r="DL16">
            <v>88</v>
          </cell>
          <cell r="DM16">
            <v>81</v>
          </cell>
          <cell r="DN16">
            <v>88</v>
          </cell>
          <cell r="DO16">
            <v>89</v>
          </cell>
          <cell r="DP16">
            <v>91</v>
          </cell>
          <cell r="DQ16">
            <v>92</v>
          </cell>
          <cell r="DR16">
            <v>86</v>
          </cell>
          <cell r="DS16">
            <v>88</v>
          </cell>
        </row>
        <row r="19">
          <cell r="CV19">
            <v>198</v>
          </cell>
          <cell r="CW19">
            <v>172</v>
          </cell>
          <cell r="CX19">
            <v>194</v>
          </cell>
          <cell r="CY19">
            <v>170</v>
          </cell>
          <cell r="CZ19">
            <v>174</v>
          </cell>
          <cell r="DA19">
            <v>176</v>
          </cell>
          <cell r="DB19">
            <v>178</v>
          </cell>
          <cell r="DC19">
            <v>182</v>
          </cell>
          <cell r="DD19">
            <v>170</v>
          </cell>
          <cell r="DE19">
            <v>180</v>
          </cell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Q19">
            <v>184</v>
          </cell>
          <cell r="DR19">
            <v>173</v>
          </cell>
          <cell r="DS19">
            <v>176</v>
          </cell>
        </row>
        <row r="32">
          <cell r="DJ32">
            <v>2209</v>
          </cell>
          <cell r="DK32">
            <v>1994</v>
          </cell>
          <cell r="DL32">
            <v>2490</v>
          </cell>
          <cell r="DM32">
            <v>2643</v>
          </cell>
          <cell r="DN32">
            <v>3763</v>
          </cell>
          <cell r="DO32">
            <v>4647</v>
          </cell>
          <cell r="DP32">
            <v>4258</v>
          </cell>
          <cell r="DQ32">
            <v>4081</v>
          </cell>
          <cell r="DR32">
            <v>4188</v>
          </cell>
          <cell r="DS32">
            <v>4188</v>
          </cell>
        </row>
        <row r="33">
          <cell r="DJ33">
            <v>1908</v>
          </cell>
          <cell r="DK33">
            <v>1903</v>
          </cell>
          <cell r="DL33">
            <v>2390</v>
          </cell>
          <cell r="DM33">
            <v>2298</v>
          </cell>
          <cell r="DN33">
            <v>4119</v>
          </cell>
          <cell r="DO33">
            <v>4656</v>
          </cell>
          <cell r="DP33">
            <v>3829</v>
          </cell>
          <cell r="DQ33">
            <v>3911</v>
          </cell>
          <cell r="DR33">
            <v>3746</v>
          </cell>
          <cell r="DS33">
            <v>3666</v>
          </cell>
        </row>
        <row r="37">
          <cell r="DJ37">
            <v>38</v>
          </cell>
          <cell r="DK37">
            <v>22</v>
          </cell>
          <cell r="DL37">
            <v>41</v>
          </cell>
          <cell r="DM37">
            <v>38</v>
          </cell>
          <cell r="DN37">
            <v>40</v>
          </cell>
          <cell r="DO37">
            <v>42</v>
          </cell>
          <cell r="DP37">
            <v>49</v>
          </cell>
          <cell r="DQ37">
            <v>49</v>
          </cell>
          <cell r="DR37">
            <v>45</v>
          </cell>
          <cell r="DS37">
            <v>51</v>
          </cell>
        </row>
        <row r="38">
          <cell r="DJ38">
            <v>30</v>
          </cell>
          <cell r="DK38">
            <v>22</v>
          </cell>
          <cell r="DL38">
            <v>37</v>
          </cell>
          <cell r="DM38">
            <v>35</v>
          </cell>
          <cell r="DN38">
            <v>36</v>
          </cell>
          <cell r="DO38">
            <v>48</v>
          </cell>
          <cell r="DP38">
            <v>52</v>
          </cell>
          <cell r="DQ38">
            <v>52</v>
          </cell>
          <cell r="DR38">
            <v>48</v>
          </cell>
          <cell r="DS38">
            <v>54</v>
          </cell>
        </row>
        <row r="41">
          <cell r="CV41">
            <v>4684</v>
          </cell>
          <cell r="CW41">
            <v>4092</v>
          </cell>
          <cell r="CX41">
            <v>4916</v>
          </cell>
          <cell r="CY41">
            <v>5157</v>
          </cell>
          <cell r="CZ41">
            <v>6323</v>
          </cell>
          <cell r="DA41">
            <v>8052</v>
          </cell>
          <cell r="DB41">
            <v>7287</v>
          </cell>
          <cell r="DC41">
            <v>7639</v>
          </cell>
          <cell r="DD41">
            <v>6605</v>
          </cell>
          <cell r="DE41">
            <v>6574</v>
          </cell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Q41">
            <v>7992</v>
          </cell>
          <cell r="DR41">
            <v>7934</v>
          </cell>
          <cell r="DS41">
            <v>7854</v>
          </cell>
        </row>
      </sheetData>
      <sheetData sheetId="20">
        <row r="19">
          <cell r="CV19">
            <v>0</v>
          </cell>
          <cell r="CW19">
            <v>6</v>
          </cell>
          <cell r="CX19">
            <v>10</v>
          </cell>
          <cell r="CY19">
            <v>8</v>
          </cell>
          <cell r="CZ19">
            <v>6</v>
          </cell>
          <cell r="DA19">
            <v>10</v>
          </cell>
          <cell r="DB19">
            <v>10</v>
          </cell>
          <cell r="DC19">
            <v>6</v>
          </cell>
          <cell r="DD19">
            <v>0</v>
          </cell>
          <cell r="DE19">
            <v>0</v>
          </cell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</row>
        <row r="41">
          <cell r="CV41">
            <v>0</v>
          </cell>
          <cell r="CW41">
            <v>0</v>
          </cell>
          <cell r="CX41">
            <v>485</v>
          </cell>
          <cell r="CY41">
            <v>383</v>
          </cell>
          <cell r="CZ41">
            <v>283</v>
          </cell>
          <cell r="DA41">
            <v>484</v>
          </cell>
          <cell r="DB41">
            <v>478</v>
          </cell>
          <cell r="DC41">
            <v>278</v>
          </cell>
          <cell r="DD41">
            <v>0</v>
          </cell>
          <cell r="DE41">
            <v>0</v>
          </cell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</row>
      </sheetData>
      <sheetData sheetId="21">
        <row r="4">
          <cell r="DS4">
            <v>114</v>
          </cell>
        </row>
        <row r="5">
          <cell r="DS5">
            <v>115</v>
          </cell>
        </row>
        <row r="19">
          <cell r="CV19">
            <v>578</v>
          </cell>
          <cell r="CW19">
            <v>496</v>
          </cell>
          <cell r="CX19">
            <v>570</v>
          </cell>
          <cell r="CY19">
            <v>348</v>
          </cell>
          <cell r="CZ19">
            <v>378</v>
          </cell>
          <cell r="DA19">
            <v>392</v>
          </cell>
          <cell r="DB19">
            <v>440</v>
          </cell>
          <cell r="DC19">
            <v>435</v>
          </cell>
          <cell r="DD19">
            <v>296</v>
          </cell>
          <cell r="DE19">
            <v>450</v>
          </cell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Q19">
            <v>436</v>
          </cell>
          <cell r="DR19">
            <v>416</v>
          </cell>
          <cell r="DS19">
            <v>229</v>
          </cell>
        </row>
        <row r="22">
          <cell r="DS22">
            <v>7480</v>
          </cell>
        </row>
        <row r="23">
          <cell r="DS23">
            <v>6821</v>
          </cell>
        </row>
        <row r="27">
          <cell r="DS27">
            <v>48</v>
          </cell>
        </row>
        <row r="28">
          <cell r="DS28">
            <v>50</v>
          </cell>
        </row>
        <row r="41">
          <cell r="CV41">
            <v>25096</v>
          </cell>
          <cell r="CW41">
            <v>22136</v>
          </cell>
          <cell r="CX41">
            <v>25653</v>
          </cell>
          <cell r="CY41">
            <v>14461</v>
          </cell>
          <cell r="CZ41">
            <v>16206</v>
          </cell>
          <cell r="DA41">
            <v>19230</v>
          </cell>
          <cell r="DB41">
            <v>20307</v>
          </cell>
          <cell r="DC41">
            <v>21663</v>
          </cell>
          <cell r="DD41">
            <v>12936</v>
          </cell>
          <cell r="DE41">
            <v>26195</v>
          </cell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Q41">
            <v>30065</v>
          </cell>
          <cell r="DR41">
            <v>26885</v>
          </cell>
          <cell r="DS41">
            <v>14301</v>
          </cell>
        </row>
      </sheetData>
      <sheetData sheetId="22">
        <row r="4">
          <cell r="DS4">
            <v>387</v>
          </cell>
        </row>
        <row r="5">
          <cell r="DS5">
            <v>385</v>
          </cell>
        </row>
        <row r="9">
          <cell r="DS9">
            <v>1</v>
          </cell>
        </row>
        <row r="15">
          <cell r="DN15">
            <v>1</v>
          </cell>
          <cell r="DP15">
            <v>2</v>
          </cell>
          <cell r="DR15">
            <v>22</v>
          </cell>
          <cell r="DS15">
            <v>1</v>
          </cell>
        </row>
        <row r="16">
          <cell r="DN16">
            <v>2</v>
          </cell>
          <cell r="DR16">
            <v>23</v>
          </cell>
        </row>
        <row r="19">
          <cell r="CV19">
            <v>919</v>
          </cell>
          <cell r="CW19">
            <v>591</v>
          </cell>
          <cell r="CX19">
            <v>656</v>
          </cell>
          <cell r="CY19">
            <v>661</v>
          </cell>
          <cell r="CZ19">
            <v>714</v>
          </cell>
          <cell r="DA19">
            <v>905</v>
          </cell>
          <cell r="DB19">
            <v>957</v>
          </cell>
          <cell r="DC19">
            <v>895</v>
          </cell>
          <cell r="DD19">
            <v>802</v>
          </cell>
          <cell r="DE19">
            <v>931</v>
          </cell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Q19">
            <v>1005</v>
          </cell>
          <cell r="DR19">
            <v>1111</v>
          </cell>
          <cell r="DS19">
            <v>774</v>
          </cell>
        </row>
        <row r="22">
          <cell r="DS22">
            <v>21580</v>
          </cell>
        </row>
        <row r="23">
          <cell r="DS23">
            <v>22436</v>
          </cell>
        </row>
        <row r="27">
          <cell r="DS27">
            <v>574</v>
          </cell>
        </row>
        <row r="28">
          <cell r="DS28">
            <v>562</v>
          </cell>
        </row>
        <row r="32">
          <cell r="DR32">
            <v>1157</v>
          </cell>
        </row>
        <row r="33">
          <cell r="DN33">
            <v>96</v>
          </cell>
          <cell r="DR33">
            <v>1366</v>
          </cell>
          <cell r="DS33">
            <v>57</v>
          </cell>
        </row>
        <row r="37">
          <cell r="DR37">
            <v>23</v>
          </cell>
        </row>
        <row r="38">
          <cell r="DN38">
            <v>4</v>
          </cell>
          <cell r="DR38">
            <v>21</v>
          </cell>
        </row>
        <row r="41">
          <cell r="CV41">
            <v>42512</v>
          </cell>
          <cell r="CW41">
            <v>28246</v>
          </cell>
          <cell r="CX41">
            <v>34693</v>
          </cell>
          <cell r="CY41">
            <v>33007</v>
          </cell>
          <cell r="CZ41">
            <v>38090</v>
          </cell>
          <cell r="DA41">
            <v>52838</v>
          </cell>
          <cell r="DB41">
            <v>54310</v>
          </cell>
          <cell r="DC41">
            <v>50261</v>
          </cell>
          <cell r="DD41">
            <v>42543</v>
          </cell>
          <cell r="DE41">
            <v>52992</v>
          </cell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Q41">
            <v>59279</v>
          </cell>
          <cell r="DR41">
            <v>61488</v>
          </cell>
          <cell r="DS41">
            <v>44073</v>
          </cell>
        </row>
        <row r="70">
          <cell r="DS70">
            <v>6484</v>
          </cell>
        </row>
        <row r="71">
          <cell r="DS71">
            <v>15952</v>
          </cell>
        </row>
        <row r="73">
          <cell r="DS73">
            <v>16</v>
          </cell>
        </row>
        <row r="74">
          <cell r="DS74">
            <v>41</v>
          </cell>
        </row>
      </sheetData>
      <sheetData sheetId="23"/>
      <sheetData sheetId="24">
        <row r="19">
          <cell r="CV19">
            <v>53</v>
          </cell>
          <cell r="CW19">
            <v>64</v>
          </cell>
          <cell r="CX19">
            <v>106</v>
          </cell>
          <cell r="CY19">
            <v>74</v>
          </cell>
          <cell r="CZ19">
            <v>140</v>
          </cell>
          <cell r="DA19">
            <v>70</v>
          </cell>
          <cell r="DB19">
            <v>84</v>
          </cell>
          <cell r="DC19">
            <v>88</v>
          </cell>
          <cell r="DD19">
            <v>37</v>
          </cell>
          <cell r="DE19">
            <v>46</v>
          </cell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</row>
        <row r="41">
          <cell r="CV41">
            <v>2003</v>
          </cell>
          <cell r="CW41">
            <v>2348</v>
          </cell>
          <cell r="CX41">
            <v>4324</v>
          </cell>
          <cell r="CY41">
            <v>2551</v>
          </cell>
          <cell r="CZ41">
            <v>4715</v>
          </cell>
          <cell r="DA41">
            <v>2545</v>
          </cell>
          <cell r="DB41">
            <v>3207</v>
          </cell>
          <cell r="DC41">
            <v>3554</v>
          </cell>
          <cell r="DD41">
            <v>1245</v>
          </cell>
          <cell r="DE41">
            <v>1422</v>
          </cell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</row>
      </sheetData>
      <sheetData sheetId="25"/>
      <sheetData sheetId="26">
        <row r="4">
          <cell r="DS4">
            <v>995</v>
          </cell>
        </row>
        <row r="5">
          <cell r="DS5">
            <v>993</v>
          </cell>
        </row>
        <row r="15">
          <cell r="DJ15">
            <v>234</v>
          </cell>
          <cell r="DK15">
            <v>234</v>
          </cell>
          <cell r="DL15">
            <v>289</v>
          </cell>
          <cell r="DM15">
            <v>238</v>
          </cell>
          <cell r="DN15">
            <v>211</v>
          </cell>
          <cell r="DO15">
            <v>110</v>
          </cell>
          <cell r="DP15">
            <v>146</v>
          </cell>
          <cell r="DQ15">
            <v>176</v>
          </cell>
          <cell r="DR15">
            <v>224</v>
          </cell>
          <cell r="DS15">
            <v>246</v>
          </cell>
        </row>
        <row r="16">
          <cell r="DJ16">
            <v>232</v>
          </cell>
          <cell r="DK16">
            <v>235</v>
          </cell>
          <cell r="DL16">
            <v>288</v>
          </cell>
          <cell r="DM16">
            <v>233</v>
          </cell>
          <cell r="DN16">
            <v>210</v>
          </cell>
          <cell r="DO16">
            <v>108</v>
          </cell>
          <cell r="DP16">
            <v>146</v>
          </cell>
          <cell r="DQ16">
            <v>177</v>
          </cell>
          <cell r="DR16">
            <v>225</v>
          </cell>
          <cell r="DS16">
            <v>247</v>
          </cell>
        </row>
        <row r="19">
          <cell r="CV19">
            <v>3496</v>
          </cell>
          <cell r="CW19">
            <v>3304</v>
          </cell>
          <cell r="CX19">
            <v>4068</v>
          </cell>
          <cell r="CY19">
            <v>3720</v>
          </cell>
          <cell r="CZ19">
            <v>3699</v>
          </cell>
          <cell r="DA19">
            <v>3583</v>
          </cell>
          <cell r="DB19">
            <v>3683</v>
          </cell>
          <cell r="DC19">
            <v>3693</v>
          </cell>
          <cell r="DD19">
            <v>2828</v>
          </cell>
          <cell r="DE19">
            <v>2924</v>
          </cell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Q19">
            <v>2361</v>
          </cell>
          <cell r="DR19">
            <v>2298</v>
          </cell>
          <cell r="DS19">
            <v>2481</v>
          </cell>
        </row>
        <row r="22">
          <cell r="DS22">
            <v>60335</v>
          </cell>
        </row>
        <row r="23">
          <cell r="DS23">
            <v>62457</v>
          </cell>
        </row>
        <row r="27">
          <cell r="DS27">
            <v>1756</v>
          </cell>
        </row>
        <row r="28">
          <cell r="DS28">
            <v>1870</v>
          </cell>
        </row>
        <row r="32">
          <cell r="DJ32">
            <v>14146</v>
          </cell>
          <cell r="DK32">
            <v>14549</v>
          </cell>
          <cell r="DL32">
            <v>17112</v>
          </cell>
          <cell r="DM32">
            <v>14506</v>
          </cell>
          <cell r="DN32">
            <v>12524</v>
          </cell>
          <cell r="DO32">
            <v>6279</v>
          </cell>
          <cell r="DP32">
            <v>9399</v>
          </cell>
          <cell r="DQ32">
            <v>11430</v>
          </cell>
          <cell r="DR32">
            <v>13779</v>
          </cell>
          <cell r="DS32">
            <v>15402</v>
          </cell>
        </row>
        <row r="33">
          <cell r="DJ33">
            <v>14199</v>
          </cell>
          <cell r="DK33">
            <v>14860</v>
          </cell>
          <cell r="DL33">
            <v>17267</v>
          </cell>
          <cell r="DM33">
            <v>14114</v>
          </cell>
          <cell r="DN33">
            <v>13396</v>
          </cell>
          <cell r="DO33">
            <v>6412</v>
          </cell>
          <cell r="DP33">
            <v>9414</v>
          </cell>
          <cell r="DQ33">
            <v>11646</v>
          </cell>
          <cell r="DR33">
            <v>13864</v>
          </cell>
          <cell r="DS33">
            <v>15470</v>
          </cell>
        </row>
        <row r="37">
          <cell r="DJ37">
            <v>188</v>
          </cell>
          <cell r="DK37">
            <v>189</v>
          </cell>
          <cell r="DL37">
            <v>222</v>
          </cell>
          <cell r="DM37">
            <v>175</v>
          </cell>
          <cell r="DN37">
            <v>217</v>
          </cell>
          <cell r="DO37">
            <v>79</v>
          </cell>
          <cell r="DP37">
            <v>91</v>
          </cell>
          <cell r="DQ37">
            <v>96</v>
          </cell>
          <cell r="DR37">
            <v>155</v>
          </cell>
          <cell r="DS37">
            <v>278</v>
          </cell>
        </row>
        <row r="38">
          <cell r="DJ38">
            <v>187</v>
          </cell>
          <cell r="DK38">
            <v>169</v>
          </cell>
          <cell r="DL38">
            <v>201</v>
          </cell>
          <cell r="DM38">
            <v>173</v>
          </cell>
          <cell r="DN38">
            <v>196</v>
          </cell>
          <cell r="DO38">
            <v>65</v>
          </cell>
          <cell r="DP38">
            <v>92</v>
          </cell>
          <cell r="DQ38">
            <v>74</v>
          </cell>
          <cell r="DR38">
            <v>105</v>
          </cell>
          <cell r="DS38">
            <v>250</v>
          </cell>
        </row>
        <row r="41">
          <cell r="CV41">
            <v>188321</v>
          </cell>
          <cell r="CW41">
            <v>188798</v>
          </cell>
          <cell r="CX41">
            <v>238914</v>
          </cell>
          <cell r="CY41">
            <v>212789</v>
          </cell>
          <cell r="CZ41">
            <v>216986</v>
          </cell>
          <cell r="DA41">
            <v>220230</v>
          </cell>
          <cell r="DB41">
            <v>225966</v>
          </cell>
          <cell r="DC41">
            <v>224331</v>
          </cell>
          <cell r="DD41">
            <v>161427</v>
          </cell>
          <cell r="DE41">
            <v>173153</v>
          </cell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Q41">
            <v>150608</v>
          </cell>
          <cell r="DR41">
            <v>138496</v>
          </cell>
          <cell r="DS41">
            <v>153664</v>
          </cell>
        </row>
        <row r="70">
          <cell r="BG70">
            <v>26242</v>
          </cell>
          <cell r="DS70">
            <v>20423</v>
          </cell>
        </row>
        <row r="71">
          <cell r="BG71">
            <v>44562</v>
          </cell>
          <cell r="DS71">
            <v>42034</v>
          </cell>
        </row>
        <row r="73">
          <cell r="BG73">
            <v>1540</v>
          </cell>
          <cell r="DS73">
            <v>5059</v>
          </cell>
        </row>
        <row r="74">
          <cell r="BG74">
            <v>2614</v>
          </cell>
          <cell r="DS74">
            <v>10411</v>
          </cell>
        </row>
      </sheetData>
      <sheetData sheetId="27"/>
      <sheetData sheetId="28">
        <row r="4">
          <cell r="DS4">
            <v>230</v>
          </cell>
        </row>
        <row r="5">
          <cell r="DS5">
            <v>230</v>
          </cell>
        </row>
        <row r="19">
          <cell r="CV19">
            <v>418</v>
          </cell>
          <cell r="CW19">
            <v>384</v>
          </cell>
          <cell r="CX19">
            <v>482</v>
          </cell>
          <cell r="CY19">
            <v>532</v>
          </cell>
          <cell r="CZ19">
            <v>484</v>
          </cell>
          <cell r="DA19">
            <v>616</v>
          </cell>
          <cell r="DB19">
            <v>574</v>
          </cell>
          <cell r="DC19">
            <v>550</v>
          </cell>
          <cell r="DD19">
            <v>518</v>
          </cell>
          <cell r="DE19">
            <v>548</v>
          </cell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Q19">
            <v>442</v>
          </cell>
          <cell r="DR19">
            <v>446</v>
          </cell>
          <cell r="DS19">
            <v>460</v>
          </cell>
        </row>
        <row r="22">
          <cell r="DS22">
            <v>8672</v>
          </cell>
        </row>
        <row r="23">
          <cell r="DS23">
            <v>8864</v>
          </cell>
        </row>
        <row r="27">
          <cell r="DS27">
            <v>338</v>
          </cell>
        </row>
        <row r="28">
          <cell r="DS28">
            <v>331</v>
          </cell>
        </row>
        <row r="41">
          <cell r="CV41">
            <v>15027</v>
          </cell>
          <cell r="CW41">
            <v>13602</v>
          </cell>
          <cell r="CX41">
            <v>18496</v>
          </cell>
          <cell r="CY41">
            <v>19260</v>
          </cell>
          <cell r="CZ41">
            <v>18602</v>
          </cell>
          <cell r="DA41">
            <v>26230</v>
          </cell>
          <cell r="DB41">
            <v>23673</v>
          </cell>
          <cell r="DC41">
            <v>23319</v>
          </cell>
          <cell r="DD41">
            <v>19536</v>
          </cell>
          <cell r="DE41">
            <v>20226</v>
          </cell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Q41">
            <v>19225</v>
          </cell>
          <cell r="DR41">
            <v>17994</v>
          </cell>
          <cell r="DS41">
            <v>17536</v>
          </cell>
        </row>
      </sheetData>
      <sheetData sheetId="29"/>
      <sheetData sheetId="30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</row>
      </sheetData>
      <sheetData sheetId="31">
        <row r="4">
          <cell r="DS4">
            <v>95</v>
          </cell>
        </row>
        <row r="5">
          <cell r="DS5">
            <v>95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116</v>
          </cell>
          <cell r="DB19">
            <v>414</v>
          </cell>
          <cell r="DC19">
            <v>342</v>
          </cell>
          <cell r="DD19">
            <v>130</v>
          </cell>
          <cell r="DE19">
            <v>90</v>
          </cell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Q19">
            <v>256</v>
          </cell>
          <cell r="DR19">
            <v>184</v>
          </cell>
          <cell r="DS19">
            <v>190</v>
          </cell>
        </row>
        <row r="22">
          <cell r="DS22">
            <v>6014</v>
          </cell>
        </row>
        <row r="23">
          <cell r="DS23">
            <v>5633</v>
          </cell>
        </row>
        <row r="27">
          <cell r="DS27">
            <v>211</v>
          </cell>
        </row>
        <row r="28">
          <cell r="DS28">
            <v>138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6719</v>
          </cell>
          <cell r="DB41">
            <v>22312</v>
          </cell>
          <cell r="DC41">
            <v>19404</v>
          </cell>
          <cell r="DD41">
            <v>7611</v>
          </cell>
          <cell r="DE41">
            <v>5072</v>
          </cell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Q41">
            <v>16159</v>
          </cell>
          <cell r="DR41">
            <v>11476</v>
          </cell>
          <cell r="DS41">
            <v>11647</v>
          </cell>
        </row>
      </sheetData>
      <sheetData sheetId="32">
        <row r="4">
          <cell r="DS4">
            <v>74</v>
          </cell>
        </row>
        <row r="5">
          <cell r="DS5">
            <v>74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Q19">
            <v>142</v>
          </cell>
          <cell r="DR19">
            <v>182</v>
          </cell>
          <cell r="DS19">
            <v>148</v>
          </cell>
        </row>
        <row r="22">
          <cell r="DS22">
            <v>4016</v>
          </cell>
        </row>
        <row r="23">
          <cell r="DS23">
            <v>4190</v>
          </cell>
        </row>
        <row r="27">
          <cell r="DS27">
            <v>199</v>
          </cell>
        </row>
        <row r="28">
          <cell r="DS28">
            <v>205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Q41">
            <v>5898</v>
          </cell>
          <cell r="DR41">
            <v>10900</v>
          </cell>
          <cell r="DS41">
            <v>8206</v>
          </cell>
        </row>
      </sheetData>
      <sheetData sheetId="33">
        <row r="4">
          <cell r="DS4">
            <v>5</v>
          </cell>
        </row>
        <row r="5">
          <cell r="DS5">
            <v>5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Q19">
            <v>0</v>
          </cell>
          <cell r="DR19">
            <v>0</v>
          </cell>
          <cell r="DS19">
            <v>10</v>
          </cell>
        </row>
        <row r="22">
          <cell r="DS22">
            <v>257</v>
          </cell>
        </row>
        <row r="23">
          <cell r="DS23">
            <v>277</v>
          </cell>
        </row>
        <row r="27">
          <cell r="DS27">
            <v>5</v>
          </cell>
        </row>
        <row r="28">
          <cell r="DS28">
            <v>7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Q41">
            <v>0</v>
          </cell>
          <cell r="DR41">
            <v>2759</v>
          </cell>
          <cell r="DS41">
            <v>534</v>
          </cell>
        </row>
      </sheetData>
      <sheetData sheetId="34"/>
      <sheetData sheetId="35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</row>
      </sheetData>
      <sheetData sheetId="36">
        <row r="4">
          <cell r="DS4">
            <v>3257</v>
          </cell>
        </row>
        <row r="5">
          <cell r="DS5">
            <v>3256</v>
          </cell>
        </row>
        <row r="8">
          <cell r="DS8">
            <v>2</v>
          </cell>
        </row>
        <row r="9">
          <cell r="DS9">
            <v>3</v>
          </cell>
        </row>
        <row r="15">
          <cell r="DJ15">
            <v>167</v>
          </cell>
          <cell r="DK15">
            <v>169</v>
          </cell>
          <cell r="DL15">
            <v>238</v>
          </cell>
          <cell r="DM15">
            <v>255</v>
          </cell>
          <cell r="DN15">
            <v>309</v>
          </cell>
          <cell r="DO15">
            <v>269</v>
          </cell>
          <cell r="DP15">
            <v>266</v>
          </cell>
          <cell r="DQ15">
            <v>240</v>
          </cell>
          <cell r="DR15">
            <v>168</v>
          </cell>
          <cell r="DS15">
            <v>227</v>
          </cell>
        </row>
        <row r="16">
          <cell r="DJ16">
            <v>167</v>
          </cell>
          <cell r="DK16">
            <v>168</v>
          </cell>
          <cell r="DL16">
            <v>238</v>
          </cell>
          <cell r="DM16">
            <v>250</v>
          </cell>
          <cell r="DN16">
            <v>307</v>
          </cell>
          <cell r="DO16">
            <v>266</v>
          </cell>
          <cell r="DP16">
            <v>266</v>
          </cell>
          <cell r="DQ16">
            <v>236</v>
          </cell>
          <cell r="DR16">
            <v>165</v>
          </cell>
          <cell r="DS16">
            <v>223</v>
          </cell>
        </row>
        <row r="19">
          <cell r="CV19">
            <v>4794</v>
          </cell>
          <cell r="CW19">
            <v>4646</v>
          </cell>
          <cell r="CX19">
            <v>5965</v>
          </cell>
          <cell r="CY19">
            <v>5513</v>
          </cell>
          <cell r="CZ19">
            <v>5435</v>
          </cell>
          <cell r="DA19">
            <v>5988</v>
          </cell>
          <cell r="DB19">
            <v>6456</v>
          </cell>
          <cell r="DC19">
            <v>6752</v>
          </cell>
          <cell r="DD19">
            <v>6410</v>
          </cell>
          <cell r="DE19">
            <v>7581</v>
          </cell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Q19">
            <v>6476</v>
          </cell>
          <cell r="DR19">
            <v>6369</v>
          </cell>
          <cell r="DS19">
            <v>6968</v>
          </cell>
        </row>
        <row r="22">
          <cell r="DS22">
            <v>169893</v>
          </cell>
        </row>
        <row r="23">
          <cell r="DS23">
            <v>166793</v>
          </cell>
        </row>
        <row r="27">
          <cell r="DS27">
            <v>5688</v>
          </cell>
        </row>
        <row r="28">
          <cell r="DS28">
            <v>5901</v>
          </cell>
        </row>
        <row r="32">
          <cell r="DJ32">
            <v>6802</v>
          </cell>
          <cell r="DK32">
            <v>7192</v>
          </cell>
          <cell r="DL32">
            <v>10017</v>
          </cell>
          <cell r="DM32">
            <v>11747</v>
          </cell>
          <cell r="DN32">
            <v>14297</v>
          </cell>
          <cell r="DO32">
            <v>13835</v>
          </cell>
          <cell r="DP32">
            <v>13800</v>
          </cell>
          <cell r="DQ32">
            <v>12771</v>
          </cell>
          <cell r="DR32">
            <v>8568</v>
          </cell>
          <cell r="DS32">
            <v>11543</v>
          </cell>
        </row>
        <row r="33">
          <cell r="DJ33">
            <v>6614</v>
          </cell>
          <cell r="DK33">
            <v>6677</v>
          </cell>
          <cell r="DL33">
            <v>9825</v>
          </cell>
          <cell r="DM33">
            <v>11032</v>
          </cell>
          <cell r="DN33">
            <v>16029</v>
          </cell>
          <cell r="DO33">
            <v>14417</v>
          </cell>
          <cell r="DP33">
            <v>13626</v>
          </cell>
          <cell r="DQ33">
            <v>12934</v>
          </cell>
          <cell r="DR33">
            <v>8986</v>
          </cell>
          <cell r="DS33">
            <v>11051</v>
          </cell>
        </row>
        <row r="37">
          <cell r="DJ37">
            <v>170</v>
          </cell>
          <cell r="DK37">
            <v>158</v>
          </cell>
          <cell r="DL37">
            <v>186</v>
          </cell>
          <cell r="DM37">
            <v>167</v>
          </cell>
          <cell r="DN37">
            <v>202</v>
          </cell>
          <cell r="DO37">
            <v>244</v>
          </cell>
          <cell r="DP37">
            <v>192</v>
          </cell>
          <cell r="DQ37">
            <v>194</v>
          </cell>
          <cell r="DR37">
            <v>191</v>
          </cell>
          <cell r="DS37">
            <v>207</v>
          </cell>
        </row>
        <row r="38">
          <cell r="DJ38">
            <v>141</v>
          </cell>
          <cell r="DK38">
            <v>98</v>
          </cell>
          <cell r="DL38">
            <v>173</v>
          </cell>
          <cell r="DM38">
            <v>174</v>
          </cell>
          <cell r="DN38">
            <v>287</v>
          </cell>
          <cell r="DO38">
            <v>280</v>
          </cell>
          <cell r="DP38">
            <v>192</v>
          </cell>
          <cell r="DQ38">
            <v>186</v>
          </cell>
          <cell r="DR38">
            <v>167</v>
          </cell>
          <cell r="DS38">
            <v>214</v>
          </cell>
        </row>
        <row r="41">
          <cell r="CV41">
            <v>196795</v>
          </cell>
          <cell r="CW41">
            <v>206107</v>
          </cell>
          <cell r="CX41">
            <v>266032</v>
          </cell>
          <cell r="CY41">
            <v>244493</v>
          </cell>
          <cell r="CZ41">
            <v>250218</v>
          </cell>
          <cell r="DA41">
            <v>281273</v>
          </cell>
          <cell r="DB41">
            <v>294799</v>
          </cell>
          <cell r="DC41">
            <v>308851</v>
          </cell>
          <cell r="DD41">
            <v>280658</v>
          </cell>
          <cell r="DE41">
            <v>338684</v>
          </cell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Q41">
            <v>334750</v>
          </cell>
          <cell r="DR41">
            <v>317245</v>
          </cell>
          <cell r="DS41">
            <v>359280</v>
          </cell>
        </row>
        <row r="70">
          <cell r="DS70">
            <v>43961</v>
          </cell>
        </row>
        <row r="71">
          <cell r="DS71">
            <v>122832</v>
          </cell>
        </row>
        <row r="73">
          <cell r="DS73">
            <v>2917</v>
          </cell>
        </row>
        <row r="74">
          <cell r="DS74">
            <v>8134</v>
          </cell>
        </row>
      </sheetData>
      <sheetData sheetId="37"/>
      <sheetData sheetId="38">
        <row r="4">
          <cell r="DS4">
            <v>9</v>
          </cell>
        </row>
        <row r="5">
          <cell r="DS5">
            <v>9</v>
          </cell>
        </row>
        <row r="19">
          <cell r="CV19">
            <v>221</v>
          </cell>
          <cell r="CW19">
            <v>187</v>
          </cell>
          <cell r="CX19">
            <v>202</v>
          </cell>
          <cell r="CY19">
            <v>191</v>
          </cell>
          <cell r="CZ19">
            <v>196</v>
          </cell>
          <cell r="DA19">
            <v>196</v>
          </cell>
          <cell r="DB19">
            <v>196</v>
          </cell>
          <cell r="DC19">
            <v>198</v>
          </cell>
          <cell r="DD19">
            <v>173</v>
          </cell>
          <cell r="DE19">
            <v>179</v>
          </cell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Q19">
            <v>80</v>
          </cell>
          <cell r="DR19">
            <v>64</v>
          </cell>
          <cell r="DS19">
            <v>18</v>
          </cell>
        </row>
        <row r="22">
          <cell r="DS22">
            <v>445</v>
          </cell>
        </row>
        <row r="23">
          <cell r="DS23">
            <v>471</v>
          </cell>
        </row>
        <row r="41">
          <cell r="CV41">
            <v>11360</v>
          </cell>
          <cell r="CW41">
            <v>10044</v>
          </cell>
          <cell r="CX41">
            <v>12902</v>
          </cell>
          <cell r="CY41">
            <v>12348</v>
          </cell>
          <cell r="CZ41">
            <v>12873</v>
          </cell>
          <cell r="DA41">
            <v>13313</v>
          </cell>
          <cell r="DB41">
            <v>13160</v>
          </cell>
          <cell r="DC41">
            <v>13694</v>
          </cell>
          <cell r="DD41">
            <v>11901</v>
          </cell>
          <cell r="DE41">
            <v>12106</v>
          </cell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Q41">
            <v>5520</v>
          </cell>
          <cell r="DR41">
            <v>3601</v>
          </cell>
          <cell r="DS41">
            <v>916</v>
          </cell>
        </row>
      </sheetData>
      <sheetData sheetId="39">
        <row r="4">
          <cell r="DS4">
            <v>236</v>
          </cell>
        </row>
        <row r="5">
          <cell r="DS5">
            <v>236</v>
          </cell>
        </row>
        <row r="19">
          <cell r="CV19">
            <v>188</v>
          </cell>
          <cell r="CW19">
            <v>98</v>
          </cell>
          <cell r="CX19">
            <v>214</v>
          </cell>
          <cell r="CY19">
            <v>386</v>
          </cell>
          <cell r="CZ19">
            <v>268</v>
          </cell>
          <cell r="DA19">
            <v>402</v>
          </cell>
          <cell r="DB19">
            <v>310</v>
          </cell>
          <cell r="DC19">
            <v>324</v>
          </cell>
          <cell r="DD19">
            <v>248</v>
          </cell>
          <cell r="DE19">
            <v>364</v>
          </cell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Q19">
            <v>412</v>
          </cell>
          <cell r="DR19">
            <v>392</v>
          </cell>
          <cell r="DS19">
            <v>472</v>
          </cell>
        </row>
        <row r="22">
          <cell r="DS22">
            <v>14059</v>
          </cell>
        </row>
        <row r="23">
          <cell r="DS23">
            <v>14276</v>
          </cell>
        </row>
        <row r="27">
          <cell r="DS27">
            <v>383</v>
          </cell>
        </row>
        <row r="28">
          <cell r="DS28">
            <v>374</v>
          </cell>
        </row>
        <row r="41">
          <cell r="CV41">
            <v>10668</v>
          </cell>
          <cell r="CW41">
            <v>5712</v>
          </cell>
          <cell r="CX41">
            <v>12395</v>
          </cell>
          <cell r="CY41">
            <v>22133</v>
          </cell>
          <cell r="CZ41">
            <v>15357</v>
          </cell>
          <cell r="DA41">
            <v>13231</v>
          </cell>
          <cell r="DB41">
            <v>17558</v>
          </cell>
          <cell r="DC41">
            <v>19213</v>
          </cell>
          <cell r="DD41">
            <v>13747</v>
          </cell>
          <cell r="DE41">
            <v>19936</v>
          </cell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Q41">
            <v>26699</v>
          </cell>
          <cell r="DR41">
            <v>24111</v>
          </cell>
          <cell r="DS41">
            <v>28335</v>
          </cell>
        </row>
      </sheetData>
      <sheetData sheetId="40">
        <row r="4">
          <cell r="DS4">
            <v>1378</v>
          </cell>
        </row>
        <row r="5">
          <cell r="DS5">
            <v>1379</v>
          </cell>
        </row>
        <row r="15">
          <cell r="DJ15">
            <v>146</v>
          </cell>
          <cell r="DK15">
            <v>101</v>
          </cell>
          <cell r="DL15">
            <v>59</v>
          </cell>
          <cell r="DM15">
            <v>85</v>
          </cell>
          <cell r="DN15">
            <v>85</v>
          </cell>
          <cell r="DO15">
            <v>87</v>
          </cell>
          <cell r="DP15">
            <v>64</v>
          </cell>
          <cell r="DQ15">
            <v>64</v>
          </cell>
          <cell r="DR15">
            <v>48</v>
          </cell>
          <cell r="DS15">
            <v>88</v>
          </cell>
        </row>
        <row r="16">
          <cell r="DJ16">
            <v>147</v>
          </cell>
          <cell r="DK16">
            <v>98</v>
          </cell>
          <cell r="DL16">
            <v>58</v>
          </cell>
          <cell r="DM16">
            <v>89</v>
          </cell>
          <cell r="DN16">
            <v>85</v>
          </cell>
          <cell r="DO16">
            <v>89</v>
          </cell>
          <cell r="DP16">
            <v>63</v>
          </cell>
          <cell r="DQ16">
            <v>64</v>
          </cell>
          <cell r="DR16">
            <v>48</v>
          </cell>
          <cell r="DS16">
            <v>89</v>
          </cell>
        </row>
        <row r="19">
          <cell r="CV19">
            <v>4500</v>
          </cell>
          <cell r="CW19">
            <v>4099</v>
          </cell>
          <cell r="CX19">
            <v>4823</v>
          </cell>
          <cell r="CY19">
            <v>4390</v>
          </cell>
          <cell r="CZ19">
            <v>4937</v>
          </cell>
          <cell r="DA19">
            <v>5080</v>
          </cell>
          <cell r="DB19">
            <v>5212</v>
          </cell>
          <cell r="DC19">
            <v>5052</v>
          </cell>
          <cell r="DD19">
            <v>3629</v>
          </cell>
          <cell r="DE19">
            <v>3379</v>
          </cell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Q19">
            <v>3789</v>
          </cell>
          <cell r="DR19">
            <v>2791</v>
          </cell>
          <cell r="DS19">
            <v>2934</v>
          </cell>
        </row>
        <row r="22">
          <cell r="DS22">
            <v>57743</v>
          </cell>
        </row>
        <row r="23">
          <cell r="DS23">
            <v>56854</v>
          </cell>
        </row>
        <row r="27">
          <cell r="DS27">
            <v>2480</v>
          </cell>
        </row>
        <row r="28">
          <cell r="DS28">
            <v>2295</v>
          </cell>
        </row>
        <row r="32">
          <cell r="DJ32">
            <v>6645</v>
          </cell>
          <cell r="DK32">
            <v>4443</v>
          </cell>
          <cell r="DL32">
            <v>1991</v>
          </cell>
          <cell r="DM32">
            <v>3953</v>
          </cell>
          <cell r="DN32">
            <v>3780</v>
          </cell>
          <cell r="DO32">
            <v>3385</v>
          </cell>
          <cell r="DP32">
            <v>2741</v>
          </cell>
          <cell r="DQ32">
            <v>2649</v>
          </cell>
          <cell r="DR32">
            <v>1763</v>
          </cell>
          <cell r="DS32">
            <v>4565</v>
          </cell>
        </row>
        <row r="33">
          <cell r="DJ33">
            <v>6595</v>
          </cell>
          <cell r="DK33">
            <v>4292</v>
          </cell>
          <cell r="DL33">
            <v>2207</v>
          </cell>
          <cell r="DM33">
            <v>4214</v>
          </cell>
          <cell r="DN33">
            <v>4281</v>
          </cell>
          <cell r="DO33">
            <v>3531</v>
          </cell>
          <cell r="DP33">
            <v>2718</v>
          </cell>
          <cell r="DQ33">
            <v>2695</v>
          </cell>
          <cell r="DR33">
            <v>1972</v>
          </cell>
          <cell r="DS33">
            <v>4408</v>
          </cell>
        </row>
        <row r="37">
          <cell r="DJ37">
            <v>73</v>
          </cell>
          <cell r="DK37">
            <v>28</v>
          </cell>
          <cell r="DL37">
            <v>8</v>
          </cell>
          <cell r="DM37">
            <v>30</v>
          </cell>
          <cell r="DN37">
            <v>35</v>
          </cell>
          <cell r="DO37">
            <v>26</v>
          </cell>
          <cell r="DP37">
            <v>26</v>
          </cell>
          <cell r="DQ37">
            <v>17</v>
          </cell>
          <cell r="DR37">
            <v>25</v>
          </cell>
          <cell r="DS37">
            <v>41</v>
          </cell>
        </row>
        <row r="38">
          <cell r="DJ38">
            <v>84</v>
          </cell>
          <cell r="DK38">
            <v>29</v>
          </cell>
          <cell r="DL38">
            <v>11</v>
          </cell>
          <cell r="DM38">
            <v>45</v>
          </cell>
          <cell r="DN38">
            <v>38</v>
          </cell>
          <cell r="DO38">
            <v>28</v>
          </cell>
          <cell r="DP38">
            <v>33</v>
          </cell>
          <cell r="DQ38">
            <v>14</v>
          </cell>
          <cell r="DR38">
            <v>19</v>
          </cell>
          <cell r="DS38">
            <v>56</v>
          </cell>
        </row>
        <row r="41">
          <cell r="CV41">
            <v>173681</v>
          </cell>
          <cell r="CW41">
            <v>164854</v>
          </cell>
          <cell r="CX41">
            <v>194290</v>
          </cell>
          <cell r="CY41">
            <v>167556</v>
          </cell>
          <cell r="CZ41">
            <v>202632</v>
          </cell>
          <cell r="DA41">
            <v>218320</v>
          </cell>
          <cell r="DB41">
            <v>226811</v>
          </cell>
          <cell r="DC41">
            <v>221057</v>
          </cell>
          <cell r="DD41">
            <v>153346</v>
          </cell>
          <cell r="DE41">
            <v>140995</v>
          </cell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Q41">
            <v>165829</v>
          </cell>
          <cell r="DR41">
            <v>113962</v>
          </cell>
          <cell r="DS41">
            <v>123570</v>
          </cell>
        </row>
        <row r="70">
          <cell r="DS70">
            <v>12280</v>
          </cell>
        </row>
        <row r="71">
          <cell r="DS71">
            <v>44574</v>
          </cell>
        </row>
        <row r="73">
          <cell r="DS73">
            <v>952</v>
          </cell>
        </row>
        <row r="74">
          <cell r="DS74">
            <v>3456</v>
          </cell>
        </row>
      </sheetData>
      <sheetData sheetId="41">
        <row r="4">
          <cell r="DS4">
            <v>125</v>
          </cell>
        </row>
        <row r="5">
          <cell r="DS5">
            <v>125</v>
          </cell>
        </row>
        <row r="19">
          <cell r="CV19">
            <v>177</v>
          </cell>
          <cell r="CW19">
            <v>148</v>
          </cell>
          <cell r="CX19">
            <v>70</v>
          </cell>
          <cell r="CY19">
            <v>70</v>
          </cell>
          <cell r="CZ19">
            <v>66</v>
          </cell>
          <cell r="DA19">
            <v>80</v>
          </cell>
          <cell r="DB19">
            <v>100</v>
          </cell>
          <cell r="DC19">
            <v>137</v>
          </cell>
          <cell r="DD19">
            <v>232</v>
          </cell>
          <cell r="DE19">
            <v>246</v>
          </cell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Q19">
            <v>295</v>
          </cell>
          <cell r="DR19">
            <v>163</v>
          </cell>
          <cell r="DS19">
            <v>250</v>
          </cell>
        </row>
        <row r="22">
          <cell r="DS22">
            <v>7636</v>
          </cell>
        </row>
        <row r="23">
          <cell r="DS23">
            <v>7622</v>
          </cell>
        </row>
        <row r="27">
          <cell r="DS27">
            <v>407</v>
          </cell>
        </row>
        <row r="28">
          <cell r="DS28">
            <v>365</v>
          </cell>
        </row>
        <row r="41">
          <cell r="CV41">
            <v>9147</v>
          </cell>
          <cell r="CW41">
            <v>7934</v>
          </cell>
          <cell r="CX41">
            <v>4383</v>
          </cell>
          <cell r="CY41">
            <v>4181</v>
          </cell>
          <cell r="CZ41">
            <v>4232</v>
          </cell>
          <cell r="DA41">
            <v>4968</v>
          </cell>
          <cell r="DB41">
            <v>5896</v>
          </cell>
          <cell r="DC41">
            <v>7316</v>
          </cell>
          <cell r="DD41">
            <v>13169</v>
          </cell>
          <cell r="DE41">
            <v>14411</v>
          </cell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Q41">
            <v>19262</v>
          </cell>
          <cell r="DR41">
            <v>10782</v>
          </cell>
          <cell r="DS41">
            <v>15258</v>
          </cell>
        </row>
        <row r="70">
          <cell r="DS70">
            <v>3338</v>
          </cell>
        </row>
        <row r="71">
          <cell r="DS71">
            <v>4284</v>
          </cell>
        </row>
      </sheetData>
      <sheetData sheetId="42">
        <row r="4">
          <cell r="DS4">
            <v>165</v>
          </cell>
        </row>
        <row r="5">
          <cell r="DS5">
            <v>165</v>
          </cell>
        </row>
        <row r="19">
          <cell r="CV19">
            <v>500</v>
          </cell>
          <cell r="CW19">
            <v>495</v>
          </cell>
          <cell r="CX19">
            <v>548</v>
          </cell>
          <cell r="CY19">
            <v>467</v>
          </cell>
          <cell r="CZ19">
            <v>670</v>
          </cell>
          <cell r="DA19">
            <v>546</v>
          </cell>
          <cell r="DB19">
            <v>370</v>
          </cell>
          <cell r="DC19">
            <v>424</v>
          </cell>
          <cell r="DD19">
            <v>534</v>
          </cell>
          <cell r="DE19">
            <v>524</v>
          </cell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Q19">
            <v>452</v>
          </cell>
          <cell r="DR19">
            <v>250</v>
          </cell>
          <cell r="DS19">
            <v>330</v>
          </cell>
        </row>
        <row r="22">
          <cell r="DS22">
            <v>9607</v>
          </cell>
        </row>
        <row r="23">
          <cell r="DS23">
            <v>9736</v>
          </cell>
        </row>
        <row r="41">
          <cell r="CV41">
            <v>24063</v>
          </cell>
          <cell r="CW41">
            <v>25090</v>
          </cell>
          <cell r="CX41">
            <v>32014</v>
          </cell>
          <cell r="CY41">
            <v>25865</v>
          </cell>
          <cell r="CZ41">
            <v>38313</v>
          </cell>
          <cell r="DA41">
            <v>33474</v>
          </cell>
          <cell r="DB41">
            <v>22230</v>
          </cell>
          <cell r="DC41">
            <v>26626</v>
          </cell>
          <cell r="DD41">
            <v>28675</v>
          </cell>
          <cell r="DE41">
            <v>28543</v>
          </cell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Q41">
            <v>29047</v>
          </cell>
          <cell r="DR41">
            <v>14680</v>
          </cell>
          <cell r="DS41">
            <v>19343</v>
          </cell>
        </row>
      </sheetData>
      <sheetData sheetId="43"/>
      <sheetData sheetId="44"/>
      <sheetData sheetId="45"/>
      <sheetData sheetId="46"/>
      <sheetData sheetId="47"/>
      <sheetData sheetId="48"/>
      <sheetData sheetId="49">
        <row r="4">
          <cell r="DS4">
            <v>2</v>
          </cell>
        </row>
        <row r="5">
          <cell r="DS5">
            <v>2</v>
          </cell>
        </row>
        <row r="22">
          <cell r="DS22">
            <v>92</v>
          </cell>
        </row>
        <row r="23">
          <cell r="DS23">
            <v>93</v>
          </cell>
        </row>
      </sheetData>
      <sheetData sheetId="50"/>
      <sheetData sheetId="51">
        <row r="4">
          <cell r="DS4">
            <v>23</v>
          </cell>
        </row>
        <row r="5">
          <cell r="DS5">
            <v>23</v>
          </cell>
        </row>
        <row r="47">
          <cell r="DS47">
            <v>673283</v>
          </cell>
        </row>
        <row r="52">
          <cell r="DS52">
            <v>495127</v>
          </cell>
        </row>
      </sheetData>
      <sheetData sheetId="52">
        <row r="15">
          <cell r="DS15">
            <v>22</v>
          </cell>
        </row>
        <row r="16">
          <cell r="DS16">
            <v>22</v>
          </cell>
        </row>
        <row r="47">
          <cell r="DS47">
            <v>16929</v>
          </cell>
        </row>
        <row r="52">
          <cell r="DS52">
            <v>57602</v>
          </cell>
        </row>
      </sheetData>
      <sheetData sheetId="53">
        <row r="4">
          <cell r="DS4">
            <v>103</v>
          </cell>
        </row>
        <row r="5">
          <cell r="DS5">
            <v>103</v>
          </cell>
        </row>
        <row r="47">
          <cell r="DS47">
            <v>6513535</v>
          </cell>
        </row>
        <row r="52">
          <cell r="DS52">
            <v>9778211</v>
          </cell>
        </row>
      </sheetData>
      <sheetData sheetId="54">
        <row r="4">
          <cell r="DS4">
            <v>84</v>
          </cell>
        </row>
        <row r="5">
          <cell r="DS5">
            <v>84</v>
          </cell>
        </row>
        <row r="47">
          <cell r="DS47">
            <v>5100259</v>
          </cell>
        </row>
        <row r="48">
          <cell r="DS48">
            <v>6468</v>
          </cell>
        </row>
        <row r="52">
          <cell r="DS52">
            <v>4958123</v>
          </cell>
        </row>
        <row r="53">
          <cell r="DS53">
            <v>145238</v>
          </cell>
        </row>
      </sheetData>
      <sheetData sheetId="55"/>
      <sheetData sheetId="56"/>
      <sheetData sheetId="57"/>
      <sheetData sheetId="58">
        <row r="4">
          <cell r="DS4">
            <v>248</v>
          </cell>
        </row>
        <row r="5">
          <cell r="DS5">
            <v>248</v>
          </cell>
        </row>
      </sheetData>
      <sheetData sheetId="59"/>
      <sheetData sheetId="60">
        <row r="4">
          <cell r="DS4">
            <v>21</v>
          </cell>
        </row>
        <row r="5">
          <cell r="DS5">
            <v>21</v>
          </cell>
        </row>
        <row r="47">
          <cell r="DS47">
            <v>49173</v>
          </cell>
        </row>
        <row r="52">
          <cell r="DS52">
            <v>154018</v>
          </cell>
        </row>
      </sheetData>
      <sheetData sheetId="61">
        <row r="4">
          <cell r="DS4">
            <v>27</v>
          </cell>
        </row>
        <row r="5">
          <cell r="DS5">
            <v>27</v>
          </cell>
        </row>
        <row r="47">
          <cell r="DS47">
            <v>34534</v>
          </cell>
        </row>
        <row r="52">
          <cell r="DS52">
            <v>2030</v>
          </cell>
        </row>
      </sheetData>
      <sheetData sheetId="62">
        <row r="4">
          <cell r="DS4">
            <v>24</v>
          </cell>
        </row>
        <row r="5">
          <cell r="DS5">
            <v>24</v>
          </cell>
        </row>
      </sheetData>
      <sheetData sheetId="63">
        <row r="4">
          <cell r="DS4">
            <v>1087</v>
          </cell>
        </row>
        <row r="5">
          <cell r="DS5">
            <v>1087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109706</v>
          </cell>
          <cell r="C21">
            <v>106761</v>
          </cell>
          <cell r="G21">
            <v>1158780</v>
          </cell>
          <cell r="H21">
            <v>1183104</v>
          </cell>
          <cell r="L21">
            <v>1268486</v>
          </cell>
          <cell r="M21">
            <v>1289865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109972</v>
          </cell>
          <cell r="C22">
            <v>111618</v>
          </cell>
          <cell r="G22">
            <v>1106888</v>
          </cell>
          <cell r="H22">
            <v>1123416</v>
          </cell>
          <cell r="L22">
            <v>1216860</v>
          </cell>
          <cell r="M22">
            <v>1235034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3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206738</v>
          </cell>
          <cell r="I22">
            <v>2137287</v>
          </cell>
          <cell r="N22">
            <v>2344025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147446</v>
          </cell>
          <cell r="C23">
            <v>144943</v>
          </cell>
          <cell r="G23">
            <v>1458223</v>
          </cell>
          <cell r="H23">
            <v>1470796</v>
          </cell>
          <cell r="L23">
            <v>1605669</v>
          </cell>
          <cell r="M23">
            <v>1615739</v>
          </cell>
        </row>
        <row r="25">
          <cell r="B25"/>
          <cell r="C25"/>
          <cell r="G25"/>
          <cell r="H25"/>
          <cell r="L25"/>
          <cell r="M25"/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rch 2013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270939</v>
          </cell>
          <cell r="I23">
            <v>2750397</v>
          </cell>
          <cell r="N23">
            <v>3021336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B33" sqref="B3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9">
        <v>41913</v>
      </c>
      <c r="B2" s="17"/>
      <c r="C2" s="17"/>
      <c r="D2" s="482" t="s">
        <v>193</v>
      </c>
      <c r="E2" s="482" t="s">
        <v>187</v>
      </c>
      <c r="F2" s="8"/>
      <c r="G2" s="8"/>
      <c r="H2" s="8"/>
      <c r="I2" s="8"/>
      <c r="J2" s="25"/>
    </row>
    <row r="3" spans="1:14" ht="13.5" thickBot="1" x14ac:dyDescent="0.25">
      <c r="A3" s="405"/>
      <c r="B3" s="8" t="s">
        <v>0</v>
      </c>
      <c r="C3" s="8" t="s">
        <v>1</v>
      </c>
      <c r="D3" s="483"/>
      <c r="E3" s="484"/>
      <c r="F3" s="8" t="s">
        <v>2</v>
      </c>
      <c r="G3" s="8" t="s">
        <v>194</v>
      </c>
      <c r="H3" s="8" t="s">
        <v>188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0">
        <f>'Major Airline Stats'!J4</f>
        <v>1025938</v>
      </c>
      <c r="C5" s="302">
        <f>'Major Airline Stats'!J5</f>
        <v>1037371</v>
      </c>
      <c r="D5" s="5">
        <f>'Major Airline Stats'!J6</f>
        <v>2063309</v>
      </c>
      <c r="E5" s="9">
        <f>'[1]Monthly Summary'!D5</f>
        <v>1913869</v>
      </c>
      <c r="F5" s="41">
        <f>(D5-E5)/E5</f>
        <v>7.8082669190002035E-2</v>
      </c>
      <c r="G5" s="9">
        <f>+D5+'[2]Monthly Summary'!G5</f>
        <v>20927712</v>
      </c>
      <c r="H5" s="9">
        <f>'[1]Monthly Summary'!G5</f>
        <v>19470145</v>
      </c>
      <c r="I5" s="88">
        <f>(G5-H5)/H5</f>
        <v>7.4861640732516374E-2</v>
      </c>
      <c r="J5" s="9"/>
    </row>
    <row r="6" spans="1:14" x14ac:dyDescent="0.2">
      <c r="A6" s="70" t="s">
        <v>5</v>
      </c>
      <c r="B6" s="300">
        <f>'Regional Major'!L5</f>
        <v>403435</v>
      </c>
      <c r="C6" s="300">
        <f>'Regional Major'!L6</f>
        <v>401082</v>
      </c>
      <c r="D6" s="5">
        <f>B6+C6</f>
        <v>804517</v>
      </c>
      <c r="E6" s="9">
        <f>'[1]Monthly Summary'!D6</f>
        <v>840309</v>
      </c>
      <c r="F6" s="41">
        <f>(D6-E6)/E6</f>
        <v>-4.2593855355589433E-2</v>
      </c>
      <c r="G6" s="9">
        <f>+D6+'[2]Monthly Summary'!G6</f>
        <v>8030620</v>
      </c>
      <c r="H6" s="9">
        <f>'[1]Monthly Summary'!G6</f>
        <v>8200646</v>
      </c>
      <c r="I6" s="88">
        <f>(G6-H6)/H6</f>
        <v>-2.073324467365132E-2</v>
      </c>
      <c r="J6" s="21"/>
      <c r="K6" s="2"/>
    </row>
    <row r="7" spans="1:14" x14ac:dyDescent="0.2">
      <c r="A7" s="70" t="s">
        <v>6</v>
      </c>
      <c r="B7" s="9">
        <f>Charter!G5</f>
        <v>92</v>
      </c>
      <c r="C7" s="301">
        <f>Charter!G6</f>
        <v>93</v>
      </c>
      <c r="D7" s="5">
        <f>B7+C7</f>
        <v>185</v>
      </c>
      <c r="E7" s="9">
        <f>'[1]Monthly Summary'!D7</f>
        <v>407</v>
      </c>
      <c r="F7" s="41">
        <f>(D7-E7)/E7</f>
        <v>-0.54545454545454541</v>
      </c>
      <c r="G7" s="9">
        <f>+D7+'[2]Monthly Summary'!G7</f>
        <v>3894</v>
      </c>
      <c r="H7" s="9">
        <f>'[1]Monthly Summary'!G7</f>
        <v>7400</v>
      </c>
      <c r="I7" s="88">
        <f>(G7-H7)/H7</f>
        <v>-0.47378378378378377</v>
      </c>
      <c r="J7" s="21"/>
      <c r="K7" s="2"/>
    </row>
    <row r="8" spans="1:14" x14ac:dyDescent="0.2">
      <c r="A8" s="73" t="s">
        <v>7</v>
      </c>
      <c r="B8" s="152">
        <f>SUM(B5:B7)</f>
        <v>1429465</v>
      </c>
      <c r="C8" s="152">
        <f>SUM(C5:C7)</f>
        <v>1438546</v>
      </c>
      <c r="D8" s="152">
        <f>SUM(D5:D7)</f>
        <v>2868011</v>
      </c>
      <c r="E8" s="152">
        <f>SUM(E5:E7)</f>
        <v>2754585</v>
      </c>
      <c r="F8" s="95">
        <f>(D8-E8)/E8</f>
        <v>4.1177164618263734E-2</v>
      </c>
      <c r="G8" s="152">
        <f>SUM(G5:G7)</f>
        <v>28962226</v>
      </c>
      <c r="H8" s="152">
        <f>SUM(H5:H7)</f>
        <v>27678191</v>
      </c>
      <c r="I8" s="94">
        <f>(G8-H8)/H8</f>
        <v>4.6391579565297457E-2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3">
        <f>'Major Airline Stats'!J9+'Regional Major'!L10</f>
        <v>47410</v>
      </c>
      <c r="C10" s="303">
        <f>'Major Airline Stats'!J10+'Regional Major'!L11</f>
        <v>47289</v>
      </c>
      <c r="D10" s="124">
        <f>SUM(B10:C10)</f>
        <v>94699</v>
      </c>
      <c r="E10" s="124">
        <f>'[1]Monthly Summary'!D10</f>
        <v>94168</v>
      </c>
      <c r="F10" s="96">
        <f>(D10-E10)/E10</f>
        <v>5.6388582108571911E-3</v>
      </c>
      <c r="G10" s="118">
        <f>+D10+'[2]Monthly Summary'!G10</f>
        <v>901457</v>
      </c>
      <c r="H10" s="124">
        <f>'[1]Monthly Summary'!G10</f>
        <v>954447</v>
      </c>
      <c r="I10" s="99">
        <f>(G10-H10)/H10</f>
        <v>-5.5519059727779541E-2</v>
      </c>
      <c r="J10" s="263"/>
    </row>
    <row r="11" spans="1:14" ht="15.75" thickBot="1" x14ac:dyDescent="0.3">
      <c r="A11" s="72" t="s">
        <v>15</v>
      </c>
      <c r="B11" s="278">
        <f>B10+B8</f>
        <v>1476875</v>
      </c>
      <c r="C11" s="278">
        <f>C10+C8</f>
        <v>1485835</v>
      </c>
      <c r="D11" s="278">
        <f>D10+D8</f>
        <v>2962710</v>
      </c>
      <c r="E11" s="278">
        <f>E10+E8</f>
        <v>2848753</v>
      </c>
      <c r="F11" s="97">
        <f>(D11-E11)/E11</f>
        <v>4.0002415091796306E-2</v>
      </c>
      <c r="G11" s="278">
        <f>G8+G10</f>
        <v>29863683</v>
      </c>
      <c r="H11" s="278">
        <f>H8+H10</f>
        <v>28632638</v>
      </c>
      <c r="I11" s="100">
        <f>(G11-H11)/H11</f>
        <v>4.2994466664231221E-2</v>
      </c>
      <c r="J11" s="7"/>
    </row>
    <row r="12" spans="1:14" ht="15" x14ac:dyDescent="0.25">
      <c r="A12" s="15"/>
      <c r="B12" s="128"/>
      <c r="C12" s="128"/>
      <c r="D12" s="128"/>
      <c r="E12" s="128"/>
      <c r="F12" s="280"/>
      <c r="G12" s="128"/>
      <c r="H12" s="128"/>
      <c r="I12" s="281"/>
      <c r="J12" s="7"/>
      <c r="K12" s="134"/>
    </row>
    <row r="13" spans="1:14" ht="16.5" customHeight="1" x14ac:dyDescent="0.2">
      <c r="B13" s="8"/>
      <c r="C13" s="8"/>
      <c r="D13" s="482" t="s">
        <v>193</v>
      </c>
      <c r="E13" s="482" t="s">
        <v>187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3"/>
      <c r="E14" s="484"/>
      <c r="F14" s="8" t="s">
        <v>2</v>
      </c>
      <c r="G14" s="8" t="s">
        <v>194</v>
      </c>
      <c r="H14" s="8" t="s">
        <v>188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1">
        <f>'Major Airline Stats'!J15+'Major Airline Stats'!J19</f>
        <v>7898</v>
      </c>
      <c r="C16" s="311">
        <f>'Major Airline Stats'!J16+'Major Airline Stats'!J20</f>
        <v>8191</v>
      </c>
      <c r="D16" s="49">
        <f t="shared" ref="D16:D21" si="0">SUM(B16:C16)</f>
        <v>16089</v>
      </c>
      <c r="E16" s="9">
        <f>'[1]Monthly Summary'!D16</f>
        <v>16337</v>
      </c>
      <c r="F16" s="98">
        <f t="shared" ref="F16:F22" si="1">(D16-E16)/E16</f>
        <v>-1.5180265654648957E-2</v>
      </c>
      <c r="G16" s="49">
        <f>+D16+'[2]Monthly Summary'!G16</f>
        <v>159328</v>
      </c>
      <c r="H16" s="9">
        <f>'[1]Monthly Summary'!G16</f>
        <v>162288</v>
      </c>
      <c r="I16" s="261">
        <f t="shared" ref="I16:I22" si="2">(G16-H16)/H16</f>
        <v>-1.8239179729862959E-2</v>
      </c>
      <c r="N16" s="134"/>
    </row>
    <row r="17" spans="1:12" x14ac:dyDescent="0.2">
      <c r="A17" s="71" t="s">
        <v>5</v>
      </c>
      <c r="B17" s="49">
        <f>'Regional Major'!L15+'Regional Major'!L18</f>
        <v>7722</v>
      </c>
      <c r="C17" s="49">
        <f>'Regional Major'!L16+'Regional Major'!L19</f>
        <v>7718</v>
      </c>
      <c r="D17" s="49">
        <f>SUM(B17:C17)</f>
        <v>15440</v>
      </c>
      <c r="E17" s="9">
        <f>'[1]Monthly Summary'!D17</f>
        <v>17442</v>
      </c>
      <c r="F17" s="98">
        <f t="shared" si="1"/>
        <v>-0.11478041509001262</v>
      </c>
      <c r="G17" s="49">
        <f>+D17+'[2]Monthly Summary'!G17</f>
        <v>157608</v>
      </c>
      <c r="H17" s="9">
        <f>'[1]Monthly Summary'!G17</f>
        <v>172008</v>
      </c>
      <c r="I17" s="261">
        <f t="shared" si="2"/>
        <v>-8.3717036416910848E-2</v>
      </c>
    </row>
    <row r="18" spans="1:12" x14ac:dyDescent="0.2">
      <c r="A18" s="71" t="s">
        <v>10</v>
      </c>
      <c r="B18" s="49">
        <f>Charter!G10</f>
        <v>2</v>
      </c>
      <c r="C18" s="49">
        <f>Charter!G11</f>
        <v>2</v>
      </c>
      <c r="D18" s="49">
        <f t="shared" si="0"/>
        <v>4</v>
      </c>
      <c r="E18" s="9">
        <f>'[1]Monthly Summary'!D18</f>
        <v>7</v>
      </c>
      <c r="F18" s="98">
        <f t="shared" si="1"/>
        <v>-0.42857142857142855</v>
      </c>
      <c r="G18" s="49">
        <f>+D18+'[2]Monthly Summary'!G18</f>
        <v>65</v>
      </c>
      <c r="H18" s="9">
        <f>'[1]Monthly Summary'!G18</f>
        <v>77</v>
      </c>
      <c r="I18" s="261">
        <f t="shared" si="2"/>
        <v>-0.15584415584415584</v>
      </c>
    </row>
    <row r="19" spans="1:12" x14ac:dyDescent="0.2">
      <c r="A19" s="71" t="s">
        <v>11</v>
      </c>
      <c r="B19" s="49">
        <f>Cargo!M4</f>
        <v>528</v>
      </c>
      <c r="C19" s="49">
        <f>Cargo!M5</f>
        <v>528</v>
      </c>
      <c r="D19" s="49">
        <f t="shared" si="0"/>
        <v>1056</v>
      </c>
      <c r="E19" s="9">
        <f>'[1]Monthly Summary'!D19</f>
        <v>1031</v>
      </c>
      <c r="F19" s="98">
        <f t="shared" si="1"/>
        <v>2.4248302618816681E-2</v>
      </c>
      <c r="G19" s="49">
        <f>+D19+'[2]Monthly Summary'!G19</f>
        <v>9988</v>
      </c>
      <c r="H19" s="9">
        <f>'[1]Monthly Summary'!G19</f>
        <v>9504</v>
      </c>
      <c r="I19" s="261">
        <f t="shared" si="2"/>
        <v>5.0925925925925923E-2</v>
      </c>
    </row>
    <row r="20" spans="1:12" x14ac:dyDescent="0.2">
      <c r="A20" s="71" t="s">
        <v>172</v>
      </c>
      <c r="B20" s="49">
        <f>'[3]General Avation'!$DS$4</f>
        <v>1087</v>
      </c>
      <c r="C20" s="49">
        <f>'[3]General Avation'!$DS$5</f>
        <v>1087</v>
      </c>
      <c r="D20" s="49">
        <f t="shared" si="0"/>
        <v>2174</v>
      </c>
      <c r="E20" s="9">
        <f>'[1]Monthly Summary'!D20</f>
        <v>2000</v>
      </c>
      <c r="F20" s="98">
        <f t="shared" si="1"/>
        <v>8.6999999999999994E-2</v>
      </c>
      <c r="G20" s="49">
        <f>+D20+'[2]Monthly Summary'!G20</f>
        <v>20456</v>
      </c>
      <c r="H20" s="9">
        <f>'[1]Monthly Summary'!G20</f>
        <v>18184</v>
      </c>
      <c r="I20" s="261">
        <f t="shared" si="2"/>
        <v>0.1249450065992081</v>
      </c>
    </row>
    <row r="21" spans="1:12" ht="12.75" customHeight="1" x14ac:dyDescent="0.2">
      <c r="A21" s="71" t="s">
        <v>12</v>
      </c>
      <c r="B21" s="18">
        <f>'[3]Military '!$DS$4</f>
        <v>24</v>
      </c>
      <c r="C21" s="18">
        <f>'[3]Military '!$DS$5</f>
        <v>24</v>
      </c>
      <c r="D21" s="18">
        <f t="shared" si="0"/>
        <v>48</v>
      </c>
      <c r="E21" s="124">
        <f>'[1]Monthly Summary'!D21</f>
        <v>55</v>
      </c>
      <c r="F21" s="259">
        <f t="shared" si="1"/>
        <v>-0.12727272727272726</v>
      </c>
      <c r="G21" s="124">
        <f>+D21+'[2]Monthly Summary'!G21</f>
        <v>1016</v>
      </c>
      <c r="H21" s="124">
        <f>'[1]Monthly Summary'!G21+E21</f>
        <v>1068</v>
      </c>
      <c r="I21" s="262">
        <f t="shared" si="2"/>
        <v>-4.8689138576779027E-2</v>
      </c>
    </row>
    <row r="22" spans="1:12" ht="15.75" thickBot="1" x14ac:dyDescent="0.3">
      <c r="A22" s="72" t="s">
        <v>31</v>
      </c>
      <c r="B22" s="279">
        <f>SUM(B16:B21)</f>
        <v>17261</v>
      </c>
      <c r="C22" s="279">
        <f>SUM(C16:C21)</f>
        <v>17550</v>
      </c>
      <c r="D22" s="279">
        <f>SUM(D16:D21)</f>
        <v>34811</v>
      </c>
      <c r="E22" s="279">
        <f>SUM(E16:E21)</f>
        <v>36872</v>
      </c>
      <c r="F22" s="275">
        <f t="shared" si="1"/>
        <v>-5.5896072900846173E-2</v>
      </c>
      <c r="G22" s="279">
        <f>SUM(G16:G21)</f>
        <v>348461</v>
      </c>
      <c r="H22" s="279">
        <f>SUM(H16:H21)</f>
        <v>363129</v>
      </c>
      <c r="I22" s="276">
        <f t="shared" si="2"/>
        <v>-4.0393358833913019E-2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2" t="s">
        <v>193</v>
      </c>
      <c r="E24" s="482" t="s">
        <v>187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3"/>
      <c r="E25" s="484"/>
      <c r="F25" s="8" t="s">
        <v>2</v>
      </c>
      <c r="G25" s="8" t="s">
        <v>194</v>
      </c>
      <c r="H25" s="8" t="s">
        <v>188</v>
      </c>
      <c r="I25" s="8" t="s">
        <v>2</v>
      </c>
    </row>
    <row r="26" spans="1:12" ht="15" x14ac:dyDescent="0.25">
      <c r="A26" s="68" t="s">
        <v>140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Major'!L25)*0.00045359237</f>
        <v>7753.6703246132902</v>
      </c>
      <c r="C27" s="23">
        <f>(Cargo!M21+'Major Airline Stats'!J33+'Regional Major'!L30)*0.00045359237</f>
        <v>8805.4267463339093</v>
      </c>
      <c r="D27" s="23">
        <f>(SUM(B27:C27)+('Cargo Summary'!E17*0.00045359237))</f>
        <v>16559.097070947199</v>
      </c>
      <c r="E27" s="9">
        <f>'[1]Monthly Summary'!D27</f>
        <v>16774.538931741361</v>
      </c>
      <c r="F27" s="101">
        <f>(D27-E27)/E27</f>
        <v>-1.2843384946127847E-2</v>
      </c>
      <c r="G27" s="56">
        <f>+D27+'[2]Monthly Summary'!G27</f>
        <v>153311.47002227596</v>
      </c>
      <c r="H27" s="9">
        <f>'[1]Monthly Summary'!G27</f>
        <v>151605.015156615</v>
      </c>
      <c r="I27" s="103">
        <f>(G27-H27)/H27</f>
        <v>1.1255926223140495E-2</v>
      </c>
    </row>
    <row r="28" spans="1:12" x14ac:dyDescent="0.2">
      <c r="A28" s="65" t="s">
        <v>18</v>
      </c>
      <c r="B28" s="23">
        <f>(Cargo!M17+'Major Airline Stats'!J29+'Regional Major'!L26)*0.00045359237</f>
        <v>554.63642071068</v>
      </c>
      <c r="C28" s="23">
        <f>(Cargo!M22+'Major Airline Stats'!J34+'Regional Major'!L31)*0.00045359237</f>
        <v>440.56202198700998</v>
      </c>
      <c r="D28" s="23">
        <f>SUM(B28:C28)</f>
        <v>995.19844269768998</v>
      </c>
      <c r="E28" s="9">
        <f>'[1]Monthly Summary'!D28</f>
        <v>960.35665198087997</v>
      </c>
      <c r="F28" s="101">
        <f>(D28-E28)/E28</f>
        <v>3.6280053504022261E-2</v>
      </c>
      <c r="G28" s="23">
        <f>+D28+'[2]Monthly Summary'!G28</f>
        <v>11141.69461773984</v>
      </c>
      <c r="H28" s="9">
        <f>'[1]Monthly Summary'!G28</f>
        <v>11624.568643185188</v>
      </c>
      <c r="I28" s="103">
        <f>(G28-H28)/H28</f>
        <v>-4.1539091923933791E-2</v>
      </c>
    </row>
    <row r="29" spans="1:12" ht="15.75" thickBot="1" x14ac:dyDescent="0.3">
      <c r="A29" s="66" t="s">
        <v>67</v>
      </c>
      <c r="B29" s="57">
        <f>SUM(B27:B28)</f>
        <v>8308.306745323971</v>
      </c>
      <c r="C29" s="57">
        <f>SUM(C27:C28)</f>
        <v>9245.9887683209199</v>
      </c>
      <c r="D29" s="57">
        <f>SUM(D27:D28)</f>
        <v>17554.295513644887</v>
      </c>
      <c r="E29" s="57">
        <f>SUM(E27:E28)</f>
        <v>17734.895583722242</v>
      </c>
      <c r="F29" s="102">
        <f>(D29-E29)/E29</f>
        <v>-1.0183317360104242E-2</v>
      </c>
      <c r="G29" s="57">
        <f>SUM(G27:G28)</f>
        <v>164453.16464001581</v>
      </c>
      <c r="H29" s="57">
        <f>SUM(H27:H28)</f>
        <v>163229.5837998002</v>
      </c>
      <c r="I29" s="104">
        <f>(G29-H29)/H29</f>
        <v>7.4960727812448695E-3</v>
      </c>
    </row>
    <row r="30" spans="1:12" s="7" customFormat="1" ht="4.5" customHeight="1" thickBot="1" x14ac:dyDescent="0.3">
      <c r="A30" s="62"/>
      <c r="B30" s="407"/>
      <c r="C30" s="407"/>
      <c r="D30" s="407"/>
      <c r="E30" s="407"/>
      <c r="F30" s="280"/>
      <c r="G30" s="407"/>
      <c r="H30" s="407"/>
      <c r="I30" s="280"/>
    </row>
    <row r="31" spans="1:12" ht="13.5" thickBot="1" x14ac:dyDescent="0.25">
      <c r="B31" s="481" t="s">
        <v>164</v>
      </c>
      <c r="C31" s="480"/>
      <c r="D31" s="481" t="s">
        <v>176</v>
      </c>
      <c r="E31" s="480"/>
      <c r="F31" s="436"/>
      <c r="G31" s="437"/>
      <c r="H31" s="435"/>
      <c r="I31" s="435"/>
    </row>
    <row r="32" spans="1:12" x14ac:dyDescent="0.2">
      <c r="A32" s="411" t="s">
        <v>165</v>
      </c>
      <c r="B32" s="412">
        <f>C8-B33</f>
        <v>777747</v>
      </c>
      <c r="C32" s="413">
        <f>B32/C8</f>
        <v>0.54064798762083377</v>
      </c>
      <c r="D32" s="414">
        <f>+B32+'[2]Monthly Summary'!$D$32</f>
        <v>7852459</v>
      </c>
      <c r="E32" s="415">
        <f>+D32/D34</f>
        <v>0.54408757163770483</v>
      </c>
      <c r="G32" s="444"/>
      <c r="H32" s="435"/>
      <c r="I32" s="434"/>
    </row>
    <row r="33" spans="1:14" ht="13.5" thickBot="1" x14ac:dyDescent="0.25">
      <c r="A33" s="416" t="s">
        <v>166</v>
      </c>
      <c r="B33" s="417">
        <f>'Major Airline Stats'!J51+'Regional Major'!L45</f>
        <v>660799</v>
      </c>
      <c r="C33" s="418">
        <f>+B33/C8</f>
        <v>0.45935201237916617</v>
      </c>
      <c r="D33" s="419">
        <f>+B33+'[2]Monthly Summary'!$D$33</f>
        <v>6579885</v>
      </c>
      <c r="E33" s="420">
        <f>+D33/D34</f>
        <v>0.45591242836229512</v>
      </c>
      <c r="G33" s="435"/>
      <c r="H33" s="435"/>
      <c r="I33" s="434"/>
    </row>
    <row r="34" spans="1:14" ht="13.5" thickBot="1" x14ac:dyDescent="0.25">
      <c r="B34" s="315"/>
      <c r="D34" s="421">
        <f>SUM(D32:D33)</f>
        <v>14432344</v>
      </c>
    </row>
    <row r="35" spans="1:14" ht="13.5" thickBot="1" x14ac:dyDescent="0.25">
      <c r="B35" s="479" t="s">
        <v>216</v>
      </c>
      <c r="C35" s="480"/>
      <c r="D35" s="481" t="s">
        <v>195</v>
      </c>
      <c r="E35" s="480"/>
    </row>
    <row r="36" spans="1:14" x14ac:dyDescent="0.2">
      <c r="A36" s="411" t="s">
        <v>165</v>
      </c>
      <c r="B36" s="412">
        <f>'[1]Monthly Summary'!$B$32</f>
        <v>780278</v>
      </c>
      <c r="C36" s="413">
        <f>+B36/B38</f>
        <v>0.56507201739222379</v>
      </c>
      <c r="D36" s="414">
        <f>'[1]Monthly Summary'!$D$32</f>
        <v>7501035</v>
      </c>
      <c r="E36" s="415">
        <f>+D36/D38</f>
        <v>0.5429752283275826</v>
      </c>
    </row>
    <row r="37" spans="1:14" ht="13.5" thickBot="1" x14ac:dyDescent="0.25">
      <c r="A37" s="416" t="s">
        <v>166</v>
      </c>
      <c r="B37" s="417">
        <f>'[1]Monthly Summary'!$B$33</f>
        <v>600569</v>
      </c>
      <c r="C37" s="420">
        <f>+B37/B38</f>
        <v>0.43492798260777626</v>
      </c>
      <c r="D37" s="419">
        <f>'[1]Monthly Summary'!$D$33</f>
        <v>6313656</v>
      </c>
      <c r="E37" s="420">
        <f>+D37/D38</f>
        <v>0.45702477167241745</v>
      </c>
    </row>
    <row r="38" spans="1:14" x14ac:dyDescent="0.2">
      <c r="B38" s="443">
        <f>+SUM(B36:B37)</f>
        <v>1380847</v>
      </c>
      <c r="D38" s="421">
        <f>SUM(D36:D37)</f>
        <v>13814691</v>
      </c>
    </row>
    <row r="39" spans="1:14" x14ac:dyDescent="0.2">
      <c r="A39" s="431" t="s">
        <v>167</v>
      </c>
    </row>
    <row r="40" spans="1:14" x14ac:dyDescent="0.2">
      <c r="A40" s="233" t="s">
        <v>173</v>
      </c>
      <c r="I40" s="2"/>
    </row>
    <row r="41" spans="1:14" x14ac:dyDescent="0.2">
      <c r="N41" s="432"/>
    </row>
    <row r="42" spans="1:14" x14ac:dyDescent="0.2">
      <c r="G42" s="2"/>
      <c r="N42" s="432"/>
    </row>
    <row r="43" spans="1:14" x14ac:dyDescent="0.2">
      <c r="J43" s="2"/>
      <c r="N43" s="432"/>
    </row>
    <row r="44" spans="1:14" x14ac:dyDescent="0.2">
      <c r="N44" s="432"/>
    </row>
    <row r="45" spans="1:14" x14ac:dyDescent="0.2">
      <c r="J45" s="2"/>
      <c r="N45" s="432"/>
    </row>
    <row r="46" spans="1:14" x14ac:dyDescent="0.2">
      <c r="B46" s="2"/>
      <c r="F46" s="315"/>
    </row>
    <row r="47" spans="1:14" x14ac:dyDescent="0.2">
      <c r="N47" s="432"/>
    </row>
    <row r="51" spans="12:12" x14ac:dyDescent="0.2">
      <c r="L51" s="43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D15:I22 B24:C30 F24:I25 D24:D25 F2:I14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October 2014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00"/>
  <sheetViews>
    <sheetView topLeftCell="A40" zoomScaleNormal="100" zoomScaleSheetLayoutView="85" workbookViewId="0">
      <selection activeCell="I25" sqref="I25"/>
    </sheetView>
  </sheetViews>
  <sheetFormatPr defaultRowHeight="12.75" x14ac:dyDescent="0.2"/>
  <cols>
    <col min="1" max="1" width="3.42578125" customWidth="1"/>
    <col min="2" max="2" width="16.42578125" bestFit="1" customWidth="1"/>
    <col min="3" max="3" width="12.7109375" style="2" bestFit="1" customWidth="1"/>
    <col min="4" max="4" width="8.7109375" style="3" bestFit="1" customWidth="1"/>
    <col min="5" max="5" width="9.42578125" style="2" bestFit="1" customWidth="1"/>
    <col min="6" max="6" width="8.85546875" style="3" bestFit="1" customWidth="1"/>
    <col min="7" max="7" width="8.85546875" style="229" bestFit="1" customWidth="1"/>
    <col min="8" max="8" width="8.85546875" style="2" bestFit="1" customWidth="1"/>
    <col min="9" max="9" width="9.42578125" style="3" bestFit="1" customWidth="1"/>
    <col min="10" max="10" width="4.140625" style="39" customWidth="1"/>
    <col min="11" max="11" width="16.42578125" style="236" bestFit="1" customWidth="1"/>
    <col min="12" max="12" width="15" style="2" bestFit="1" customWidth="1"/>
    <col min="13" max="13" width="8.7109375" style="3" bestFit="1" customWidth="1"/>
    <col min="14" max="14" width="15" style="2" bestFit="1" customWidth="1"/>
    <col min="15" max="15" width="8.85546875" style="3" bestFit="1" customWidth="1"/>
    <col min="16" max="17" width="10.85546875" bestFit="1" customWidth="1"/>
    <col min="18" max="18" width="8.85546875" bestFit="1" customWidth="1"/>
    <col min="19" max="19" width="3" customWidth="1"/>
    <col min="20" max="20" width="11.140625" customWidth="1"/>
  </cols>
  <sheetData>
    <row r="1" spans="1:23" s="228" customFormat="1" ht="26.25" thickBot="1" x14ac:dyDescent="0.25">
      <c r="A1" s="521" t="s">
        <v>148</v>
      </c>
      <c r="B1" s="522"/>
      <c r="C1" s="265" t="s">
        <v>199</v>
      </c>
      <c r="D1" s="266" t="s">
        <v>153</v>
      </c>
      <c r="E1" s="267" t="s">
        <v>183</v>
      </c>
      <c r="F1" s="269" t="s">
        <v>106</v>
      </c>
      <c r="G1" s="268" t="s">
        <v>200</v>
      </c>
      <c r="H1" s="267" t="s">
        <v>184</v>
      </c>
      <c r="I1" s="269" t="s">
        <v>107</v>
      </c>
      <c r="J1" s="528" t="s">
        <v>152</v>
      </c>
      <c r="K1" s="529"/>
      <c r="L1" s="270" t="s">
        <v>201</v>
      </c>
      <c r="M1" s="397" t="s">
        <v>155</v>
      </c>
      <c r="N1" s="271" t="s">
        <v>185</v>
      </c>
      <c r="O1" s="342" t="s">
        <v>107</v>
      </c>
      <c r="P1" s="272" t="s">
        <v>202</v>
      </c>
      <c r="Q1" s="272" t="s">
        <v>186</v>
      </c>
      <c r="R1" s="273" t="s">
        <v>107</v>
      </c>
    </row>
    <row r="2" spans="1:23" s="228" customFormat="1" ht="13.5" thickBot="1" x14ac:dyDescent="0.25">
      <c r="A2" s="523">
        <v>41913</v>
      </c>
      <c r="B2" s="524"/>
      <c r="C2" s="525" t="s">
        <v>9</v>
      </c>
      <c r="D2" s="526"/>
      <c r="E2" s="526"/>
      <c r="F2" s="526"/>
      <c r="G2" s="526"/>
      <c r="H2" s="526"/>
      <c r="I2" s="527"/>
      <c r="J2" s="523">
        <v>41913</v>
      </c>
      <c r="K2" s="524"/>
      <c r="L2" s="518" t="s">
        <v>154</v>
      </c>
      <c r="M2" s="519"/>
      <c r="N2" s="519"/>
      <c r="O2" s="519"/>
      <c r="P2" s="519"/>
      <c r="Q2" s="519"/>
      <c r="R2" s="520"/>
    </row>
    <row r="3" spans="1:23" x14ac:dyDescent="0.2">
      <c r="A3" s="343"/>
      <c r="B3" s="344"/>
      <c r="C3" s="345"/>
      <c r="D3" s="346"/>
      <c r="E3" s="347"/>
      <c r="F3" s="348"/>
      <c r="G3" s="438"/>
      <c r="H3" s="439"/>
      <c r="I3" s="348"/>
      <c r="J3" s="349"/>
      <c r="K3" s="344"/>
      <c r="L3" s="345"/>
      <c r="M3" s="346"/>
      <c r="N3" s="347"/>
      <c r="O3" s="348"/>
      <c r="P3" s="350"/>
      <c r="Q3" s="350"/>
      <c r="R3" s="344"/>
    </row>
    <row r="4" spans="1:23" ht="14.1" customHeight="1" x14ac:dyDescent="0.2">
      <c r="A4" s="351" t="s">
        <v>110</v>
      </c>
      <c r="B4" s="58"/>
      <c r="C4" s="352">
        <f>[3]AirCanada!$DS$19</f>
        <v>176</v>
      </c>
      <c r="D4" s="353">
        <f>C4/$C$56</f>
        <v>5.5821624536141331E-3</v>
      </c>
      <c r="E4" s="354">
        <f>[3]AirCanada!$DE$19</f>
        <v>180</v>
      </c>
      <c r="F4" s="355">
        <f>(C4-E4)/E4</f>
        <v>-2.2222222222222223E-2</v>
      </c>
      <c r="G4" s="354">
        <f>SUM([3]AirCanada!$DJ$19:$DS$19)</f>
        <v>1717</v>
      </c>
      <c r="H4" s="354">
        <f>SUM([3]AirCanada!$CV$19:$DE$19)</f>
        <v>1794</v>
      </c>
      <c r="I4" s="355">
        <f>(G4-H4)/H4</f>
        <v>-4.2920847268673352E-2</v>
      </c>
      <c r="J4" s="351" t="s">
        <v>110</v>
      </c>
      <c r="K4" s="58"/>
      <c r="L4" s="352">
        <f>[3]AirCanada!$DS$41</f>
        <v>7854</v>
      </c>
      <c r="M4" s="353">
        <f>L4/$L$56</f>
        <v>2.7386598768544537E-3</v>
      </c>
      <c r="N4" s="354">
        <f>[3]AirCanada!$DE$41</f>
        <v>6574</v>
      </c>
      <c r="O4" s="355">
        <f>(L4-N4)/N4</f>
        <v>0.1947064192272589</v>
      </c>
      <c r="P4" s="354">
        <f>SUM([3]AirCanada!$DJ$41:$DS$41)</f>
        <v>66887</v>
      </c>
      <c r="Q4" s="354">
        <f>SUM([3]AirCanada!$CV$41:$DE$41)</f>
        <v>61329</v>
      </c>
      <c r="R4" s="355">
        <f>(P4-Q4)/Q4</f>
        <v>9.0625968139053298E-2</v>
      </c>
      <c r="T4" s="21"/>
    </row>
    <row r="5" spans="1:23" ht="14.1" customHeight="1" x14ac:dyDescent="0.2">
      <c r="A5" s="351"/>
      <c r="B5" s="58"/>
      <c r="C5" s="352"/>
      <c r="D5" s="353"/>
      <c r="E5" s="354"/>
      <c r="F5" s="355"/>
      <c r="G5" s="354"/>
      <c r="H5" s="354"/>
      <c r="I5" s="355"/>
      <c r="J5" s="351"/>
      <c r="K5" s="58"/>
      <c r="L5" s="356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51" t="s">
        <v>198</v>
      </c>
      <c r="B6" s="58"/>
      <c r="C6" s="352">
        <f>'[3]Air France'!$DS$19</f>
        <v>0</v>
      </c>
      <c r="D6" s="353">
        <f>C6/$C$56</f>
        <v>0</v>
      </c>
      <c r="E6" s="354">
        <f>'[3]Air France'!$DE$19</f>
        <v>0</v>
      </c>
      <c r="F6" s="355" t="e">
        <f>(C6-E6)/E6</f>
        <v>#DIV/0!</v>
      </c>
      <c r="G6" s="354">
        <f>SUM('[3]Air France'!$DJ$19:$DS$19)</f>
        <v>182</v>
      </c>
      <c r="H6" s="354">
        <f>SUM('[3]Air France'!$CV$19:$DE$19)</f>
        <v>194</v>
      </c>
      <c r="I6" s="355">
        <f>(G6-H6)/H6</f>
        <v>-6.1855670103092786E-2</v>
      </c>
      <c r="J6" s="351" t="s">
        <v>198</v>
      </c>
      <c r="K6" s="58"/>
      <c r="L6" s="352">
        <f>'[3]Air France'!$DS$41</f>
        <v>0</v>
      </c>
      <c r="M6" s="353">
        <f>L6/$L$56</f>
        <v>0</v>
      </c>
      <c r="N6" s="354">
        <f>'[3]Air France'!$DE$41</f>
        <v>0</v>
      </c>
      <c r="O6" s="355" t="e">
        <f>(L6-N6)/N6</f>
        <v>#DIV/0!</v>
      </c>
      <c r="P6" s="354">
        <f>SUM('[3]Air France'!$DJ$41:$DS$41)</f>
        <v>41957</v>
      </c>
      <c r="Q6" s="354">
        <f>SUM('[3]Air France'!$CV$41:$DE$41)</f>
        <v>45739</v>
      </c>
      <c r="R6" s="355">
        <f>(P6-Q6)/Q6</f>
        <v>-8.2686547585211739E-2</v>
      </c>
      <c r="T6" s="21"/>
    </row>
    <row r="7" spans="1:23" ht="14.1" customHeight="1" x14ac:dyDescent="0.2">
      <c r="A7" s="351"/>
      <c r="B7" s="58"/>
      <c r="C7" s="352"/>
      <c r="D7" s="353"/>
      <c r="E7" s="354"/>
      <c r="F7" s="355"/>
      <c r="G7" s="354"/>
      <c r="H7" s="354"/>
      <c r="I7" s="355"/>
      <c r="J7" s="351"/>
      <c r="K7" s="58"/>
      <c r="L7" s="356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51" t="s">
        <v>142</v>
      </c>
      <c r="B8" s="58"/>
      <c r="C8" s="352">
        <f>[3]Alaska!$DS$19</f>
        <v>116</v>
      </c>
      <c r="D8" s="353">
        <f>C8/$C$56</f>
        <v>3.6791525262456787E-3</v>
      </c>
      <c r="E8" s="354">
        <f>[3]Alaska!$DE$19</f>
        <v>126</v>
      </c>
      <c r="F8" s="355">
        <f>(C8-E8)/E8</f>
        <v>-7.9365079365079361E-2</v>
      </c>
      <c r="G8" s="354">
        <f>SUM([3]Alaska!$DJ$19:$DS$19)</f>
        <v>1200</v>
      </c>
      <c r="H8" s="354">
        <f>SUM([3]Alaska!$CV$19:$DE$19)</f>
        <v>1216</v>
      </c>
      <c r="I8" s="355">
        <f>(G8-H8)/H8</f>
        <v>-1.3157894736842105E-2</v>
      </c>
      <c r="J8" s="351" t="s">
        <v>142</v>
      </c>
      <c r="K8" s="58"/>
      <c r="L8" s="352">
        <f>[3]Alaska!$DS$41</f>
        <v>15677</v>
      </c>
      <c r="M8" s="353">
        <f>L8/$L$56</f>
        <v>5.4665101718165609E-3</v>
      </c>
      <c r="N8" s="354">
        <f>[3]Alaska!$DE$41</f>
        <v>15228</v>
      </c>
      <c r="O8" s="355">
        <f>(L8-N8)/N8</f>
        <v>2.9485158917783031E-2</v>
      </c>
      <c r="P8" s="354">
        <f>SUM([3]Alaska!$DJ$41:$DS$41)</f>
        <v>162649</v>
      </c>
      <c r="Q8" s="354">
        <f>SUM([3]Alaska!$CV$41:$DE$41)</f>
        <v>159427</v>
      </c>
      <c r="R8" s="355">
        <f>(P8-Q8)/Q8</f>
        <v>2.0209876620647695E-2</v>
      </c>
      <c r="T8" s="21"/>
    </row>
    <row r="9" spans="1:23" ht="14.1" customHeight="1" x14ac:dyDescent="0.2">
      <c r="A9" s="351"/>
      <c r="B9" s="58"/>
      <c r="C9" s="352"/>
      <c r="D9" s="353"/>
      <c r="E9" s="357"/>
      <c r="F9" s="355"/>
      <c r="G9" s="357"/>
      <c r="H9" s="357"/>
      <c r="I9" s="355"/>
      <c r="J9" s="351"/>
      <c r="K9" s="58"/>
      <c r="L9" s="358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51" t="s">
        <v>19</v>
      </c>
      <c r="B10" s="359"/>
      <c r="C10" s="352">
        <f>SUM(C11:C12)</f>
        <v>581</v>
      </c>
      <c r="D10" s="353">
        <f>C10/$C$56</f>
        <v>1.8427479463351201E-2</v>
      </c>
      <c r="E10" s="357">
        <f>SUM(E11:E12)</f>
        <v>1092</v>
      </c>
      <c r="F10" s="355">
        <f>(C10-E10)/E10</f>
        <v>-0.46794871794871795</v>
      </c>
      <c r="G10" s="357">
        <f>SUM(G11:G12)</f>
        <v>8642</v>
      </c>
      <c r="H10" s="357">
        <f>SUM(H11:H12)</f>
        <v>10470</v>
      </c>
      <c r="I10" s="355">
        <f>(G10-H10)/H10</f>
        <v>-0.1745940783190067</v>
      </c>
      <c r="J10" s="351" t="s">
        <v>19</v>
      </c>
      <c r="K10" s="359"/>
      <c r="L10" s="352">
        <f>SUM(L11:L12)</f>
        <v>88816</v>
      </c>
      <c r="M10" s="353">
        <f>L10/$L$56</f>
        <v>3.0969800817762305E-2</v>
      </c>
      <c r="N10" s="357">
        <f>SUM(N11:N12)</f>
        <v>98212</v>
      </c>
      <c r="O10" s="355">
        <f>(L10-N10)/N10</f>
        <v>-9.5670590151916257E-2</v>
      </c>
      <c r="P10" s="352">
        <f>SUM(P11:P12)</f>
        <v>816933</v>
      </c>
      <c r="Q10" s="357">
        <f>SUM(Q11:Q12)</f>
        <v>851055</v>
      </c>
      <c r="R10" s="355">
        <f>(P10-Q10)/Q10</f>
        <v>-4.0093765972821965E-2</v>
      </c>
      <c r="T10" s="21"/>
    </row>
    <row r="11" spans="1:23" ht="14.1" customHeight="1" x14ac:dyDescent="0.2">
      <c r="A11" s="55"/>
      <c r="B11" s="360" t="s">
        <v>19</v>
      </c>
      <c r="C11" s="356">
        <f>[3]American!$DS$19</f>
        <v>352</v>
      </c>
      <c r="D11" s="41">
        <f>C11/$C$56</f>
        <v>1.1164324907228266E-2</v>
      </c>
      <c r="E11" s="9">
        <f>[3]American!$DE$19</f>
        <v>642</v>
      </c>
      <c r="F11" s="89">
        <f>(C11-E11)/E11</f>
        <v>-0.45171339563862928</v>
      </c>
      <c r="G11" s="9">
        <f>SUM([3]American!$DJ$19:$DS$19)</f>
        <v>4310</v>
      </c>
      <c r="H11" s="9">
        <f>SUM([3]American!$CV$19:$DE$19)</f>
        <v>6087</v>
      </c>
      <c r="I11" s="89">
        <f>(G11-H11)/H11</f>
        <v>-0.29193362904550679</v>
      </c>
      <c r="J11" s="55"/>
      <c r="K11" s="360" t="s">
        <v>19</v>
      </c>
      <c r="L11" s="356">
        <f>[3]American!$DS$41</f>
        <v>74515</v>
      </c>
      <c r="M11" s="41">
        <f>L11/$L$56</f>
        <v>2.5983096603489891E-2</v>
      </c>
      <c r="N11" s="9">
        <f>[3]American!$DE$41</f>
        <v>72017</v>
      </c>
      <c r="O11" s="89">
        <f>(L11-N11)/N11</f>
        <v>3.4686254634322448E-2</v>
      </c>
      <c r="P11" s="9">
        <f>SUM([3]American!$DJ$41:$DS$41)</f>
        <v>546482</v>
      </c>
      <c r="Q11" s="9">
        <f>SUM([3]American!$CV$41:$DE$41)</f>
        <v>647172</v>
      </c>
      <c r="R11" s="89">
        <f>(P11-Q11)/Q11</f>
        <v>-0.15558460501999469</v>
      </c>
      <c r="T11" s="21"/>
    </row>
    <row r="12" spans="1:23" ht="14.1" customHeight="1" x14ac:dyDescent="0.2">
      <c r="A12" s="55"/>
      <c r="B12" s="360" t="s">
        <v>174</v>
      </c>
      <c r="C12" s="356">
        <f>'[3]American Eagle'!$DS$19</f>
        <v>229</v>
      </c>
      <c r="D12" s="41">
        <f>C12/$C$56</f>
        <v>7.2631545561229341E-3</v>
      </c>
      <c r="E12" s="9">
        <f>'[3]American Eagle'!$DE$19</f>
        <v>450</v>
      </c>
      <c r="F12" s="89">
        <f>(C12-E12)/E12</f>
        <v>-0.49111111111111111</v>
      </c>
      <c r="G12" s="9">
        <f>SUM('[3]American Eagle'!$DJ$19:$DS$19)</f>
        <v>4332</v>
      </c>
      <c r="H12" s="9">
        <f>SUM('[3]American Eagle'!$CV$19:$DE$19)</f>
        <v>4383</v>
      </c>
      <c r="I12" s="89">
        <f>(G12-H12)/H12</f>
        <v>-1.1635865845311431E-2</v>
      </c>
      <c r="J12" s="55"/>
      <c r="K12" s="360" t="s">
        <v>174</v>
      </c>
      <c r="L12" s="356">
        <f>'[3]American Eagle'!$DS$41</f>
        <v>14301</v>
      </c>
      <c r="M12" s="41">
        <f>L12/$L$56</f>
        <v>4.9867042142724138E-3</v>
      </c>
      <c r="N12" s="9">
        <f>'[3]American Eagle'!$DE$41</f>
        <v>26195</v>
      </c>
      <c r="O12" s="89">
        <f>(L12-N12)/N12</f>
        <v>-0.45405611757969078</v>
      </c>
      <c r="P12" s="9">
        <f>SUM('[3]American Eagle'!$DJ$41:$DS$41)</f>
        <v>270451</v>
      </c>
      <c r="Q12" s="9">
        <f>SUM('[3]American Eagle'!$CV$41:$DE$41)</f>
        <v>203883</v>
      </c>
      <c r="R12" s="89">
        <f>(P12-Q12)/Q12</f>
        <v>0.32650098340715017</v>
      </c>
      <c r="T12" s="21"/>
    </row>
    <row r="13" spans="1:23" ht="14.1" customHeight="1" x14ac:dyDescent="0.2">
      <c r="A13" s="55"/>
      <c r="B13" s="361"/>
      <c r="C13" s="356"/>
      <c r="D13" s="41"/>
      <c r="E13" s="9"/>
      <c r="F13" s="89"/>
      <c r="G13" s="9"/>
      <c r="H13" s="9"/>
      <c r="I13" s="89"/>
      <c r="J13" s="55"/>
      <c r="K13" s="361"/>
      <c r="L13" s="356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51" t="s">
        <v>215</v>
      </c>
      <c r="B14" s="361"/>
      <c r="C14" s="352">
        <f>[3]Condor!$DS$19</f>
        <v>0</v>
      </c>
      <c r="D14" s="353">
        <f t="shared" ref="D14:D23" si="0">C14/$C$56</f>
        <v>0</v>
      </c>
      <c r="E14" s="354">
        <f>[3]Condor!$DE$19</f>
        <v>0</v>
      </c>
      <c r="F14" s="355" t="e">
        <f>(C14-E14)/E14</f>
        <v>#DIV/0!</v>
      </c>
      <c r="G14" s="354">
        <f>SUM([3]Condor!$DJ$19:$DS$19)</f>
        <v>46</v>
      </c>
      <c r="H14" s="354">
        <f>SUM([3]Condor!$CV$19:$DE$19)</f>
        <v>0</v>
      </c>
      <c r="I14" s="355" t="e">
        <f>(G14-H14)/H14</f>
        <v>#DIV/0!</v>
      </c>
      <c r="J14" s="351" t="s">
        <v>215</v>
      </c>
      <c r="K14" s="361"/>
      <c r="L14" s="352">
        <f>[3]Condor!$DS$41</f>
        <v>0</v>
      </c>
      <c r="M14" s="353">
        <f t="shared" ref="M14:M23" si="1">L14/$L$56</f>
        <v>0</v>
      </c>
      <c r="N14" s="354">
        <f>[3]Condor!$DE$41</f>
        <v>0</v>
      </c>
      <c r="O14" s="355" t="e">
        <f>(L14-N14)/N14</f>
        <v>#DIV/0!</v>
      </c>
      <c r="P14" s="354">
        <f>SUM([3]Condor!$DJ$41:$DS$41)</f>
        <v>9825</v>
      </c>
      <c r="Q14" s="354">
        <f>SUM([3]Condor!$CV$41:$DE$41)</f>
        <v>0</v>
      </c>
      <c r="R14" s="355" t="e">
        <f>(P14-Q14)/Q14</f>
        <v>#DIV/0!</v>
      </c>
      <c r="T14" s="21"/>
      <c r="U14" s="9"/>
      <c r="V14" s="11"/>
      <c r="W14" s="11"/>
    </row>
    <row r="15" spans="1:23" ht="14.1" customHeight="1" x14ac:dyDescent="0.2">
      <c r="A15" s="55"/>
      <c r="B15" s="361"/>
      <c r="C15" s="356"/>
      <c r="D15" s="41"/>
      <c r="E15" s="9"/>
      <c r="F15" s="89"/>
      <c r="G15" s="9"/>
      <c r="H15" s="9"/>
      <c r="I15" s="89"/>
      <c r="J15" s="55"/>
      <c r="K15" s="361"/>
      <c r="L15" s="356"/>
      <c r="M15" s="41"/>
      <c r="N15" s="9"/>
      <c r="O15" s="89"/>
      <c r="P15" s="9"/>
      <c r="Q15" s="9"/>
      <c r="R15" s="89"/>
      <c r="T15" s="21"/>
      <c r="U15" s="9"/>
      <c r="V15" s="11"/>
      <c r="W15" s="11"/>
    </row>
    <row r="16" spans="1:23" ht="14.1" customHeight="1" x14ac:dyDescent="0.2">
      <c r="A16" s="351" t="s">
        <v>20</v>
      </c>
      <c r="B16" s="365"/>
      <c r="C16" s="352">
        <f>SUM(C17:C23)</f>
        <v>23937</v>
      </c>
      <c r="D16" s="353">
        <f t="shared" si="0"/>
        <v>0.75920581052364489</v>
      </c>
      <c r="E16" s="354">
        <f>SUM(E17:E23)</f>
        <v>25029</v>
      </c>
      <c r="F16" s="355">
        <f t="shared" ref="F16:F23" si="2">(C16-E16)/E16</f>
        <v>-4.362938990770706E-2</v>
      </c>
      <c r="G16" s="357">
        <f>SUM(G17:G23)</f>
        <v>240344</v>
      </c>
      <c r="H16" s="357">
        <f>SUM(H17:H23)</f>
        <v>249124</v>
      </c>
      <c r="I16" s="355">
        <f>(G16-H16)/H16</f>
        <v>-3.5243493200173406E-2</v>
      </c>
      <c r="J16" s="351" t="s">
        <v>20</v>
      </c>
      <c r="K16" s="365"/>
      <c r="L16" s="352">
        <f>SUM(L17:L23)</f>
        <v>2117297</v>
      </c>
      <c r="M16" s="353">
        <f t="shared" si="1"/>
        <v>0.73829339715868392</v>
      </c>
      <c r="N16" s="354">
        <f>SUM(N17:N23)</f>
        <v>2048471</v>
      </c>
      <c r="O16" s="355">
        <f t="shared" ref="O16:O23" si="3">(L16-N16)/N16</f>
        <v>3.3598718263524355E-2</v>
      </c>
      <c r="P16" s="354">
        <f>SUM(P17:P23)</f>
        <v>21475462</v>
      </c>
      <c r="Q16" s="354">
        <f>SUM(Q17:Q23)</f>
        <v>20767622</v>
      </c>
      <c r="R16" s="355">
        <f t="shared" ref="R16:R23" si="4">(P16-Q16)/Q16</f>
        <v>3.4083825293045107E-2</v>
      </c>
      <c r="T16" s="442"/>
      <c r="V16" s="11"/>
      <c r="W16" s="11"/>
    </row>
    <row r="17" spans="1:23" ht="14.1" customHeight="1" x14ac:dyDescent="0.2">
      <c r="A17" s="55"/>
      <c r="B17" s="360" t="s">
        <v>20</v>
      </c>
      <c r="C17" s="356">
        <f>[3]Delta!$DS$19</f>
        <v>10530</v>
      </c>
      <c r="D17" s="41">
        <f t="shared" si="0"/>
        <v>0.33397824225316375</v>
      </c>
      <c r="E17" s="9">
        <f>[3]Delta!$DE$19</f>
        <v>9968</v>
      </c>
      <c r="F17" s="89">
        <f t="shared" si="2"/>
        <v>5.6380417335473512E-2</v>
      </c>
      <c r="G17" s="9">
        <f>SUM([3]Delta!$DJ$19:$DS$19)</f>
        <v>104488</v>
      </c>
      <c r="H17" s="9">
        <f>SUM([3]Delta!$CV$19:$DE$19)</f>
        <v>100128</v>
      </c>
      <c r="I17" s="89">
        <f t="shared" ref="I17:I23" si="5">(G17-H17)/H17</f>
        <v>4.3544263342921059E-2</v>
      </c>
      <c r="J17" s="55"/>
      <c r="K17" s="360" t="s">
        <v>20</v>
      </c>
      <c r="L17" s="356">
        <f>[3]Delta!$DS$41</f>
        <v>1421452</v>
      </c>
      <c r="M17" s="41">
        <f t="shared" si="1"/>
        <v>0.49565489677546687</v>
      </c>
      <c r="N17" s="9">
        <f>[3]Delta!$DE$41</f>
        <v>1328236</v>
      </c>
      <c r="O17" s="89">
        <f t="shared" si="3"/>
        <v>7.0180299284163361E-2</v>
      </c>
      <c r="P17" s="9">
        <f>SUM([3]Delta!$DJ$41:$DS$41)</f>
        <v>14657741</v>
      </c>
      <c r="Q17" s="9">
        <f>SUM([3]Delta!$CV$41:$DE$41)</f>
        <v>13680126</v>
      </c>
      <c r="R17" s="89">
        <f t="shared" si="4"/>
        <v>7.1462426588760952E-2</v>
      </c>
      <c r="T17" s="21"/>
      <c r="U17" s="9"/>
      <c r="V17" s="11"/>
      <c r="W17" s="11"/>
    </row>
    <row r="18" spans="1:23" ht="14.1" customHeight="1" x14ac:dyDescent="0.2">
      <c r="A18" s="55"/>
      <c r="B18" s="362" t="s">
        <v>131</v>
      </c>
      <c r="C18" s="356">
        <f>[3]Compass!$DS$19</f>
        <v>2481</v>
      </c>
      <c r="D18" s="41">
        <f t="shared" si="0"/>
        <v>7.8689460496685584E-2</v>
      </c>
      <c r="E18" s="9">
        <f>[3]Compass!$DE$19</f>
        <v>2924</v>
      </c>
      <c r="F18" s="89">
        <f t="shared" si="2"/>
        <v>-0.15150478796169631</v>
      </c>
      <c r="G18" s="9">
        <f>SUM([3]Compass!$DJ$19:$DS$19)</f>
        <v>23777</v>
      </c>
      <c r="H18" s="9">
        <f>SUM([3]Compass!$CV$19:$DE$19)</f>
        <v>34998</v>
      </c>
      <c r="I18" s="89">
        <f t="shared" si="5"/>
        <v>-0.32061832104691695</v>
      </c>
      <c r="J18" s="55"/>
      <c r="K18" s="362" t="s">
        <v>131</v>
      </c>
      <c r="L18" s="356">
        <f>[3]Compass!$DS$41</f>
        <v>153664</v>
      </c>
      <c r="M18" s="41">
        <f t="shared" si="1"/>
        <v>5.3582051351790519E-2</v>
      </c>
      <c r="N18" s="9">
        <f>[3]Compass!$DE$41</f>
        <v>173153</v>
      </c>
      <c r="O18" s="89">
        <f t="shared" si="3"/>
        <v>-0.11255363753443487</v>
      </c>
      <c r="P18" s="9">
        <f>SUM([3]Compass!$DJ$41:$DS$41)</f>
        <v>1470920</v>
      </c>
      <c r="Q18" s="9">
        <f>SUM([3]Compass!$CV$41:$DE$41)</f>
        <v>2050915</v>
      </c>
      <c r="R18" s="89">
        <f t="shared" si="4"/>
        <v>-0.28279816569677435</v>
      </c>
      <c r="T18" s="9"/>
      <c r="U18" s="9"/>
      <c r="V18" s="11"/>
      <c r="W18" s="11"/>
    </row>
    <row r="19" spans="1:23" ht="14.1" customHeight="1" x14ac:dyDescent="0.2">
      <c r="A19" s="55"/>
      <c r="B19" s="361" t="s">
        <v>204</v>
      </c>
      <c r="C19" s="356">
        <f>[3]Pinnacle!$DS$19</f>
        <v>6968</v>
      </c>
      <c r="D19" s="41">
        <f t="shared" si="0"/>
        <v>0.22100288623172318</v>
      </c>
      <c r="E19" s="9">
        <f>[3]Pinnacle!$DE$19</f>
        <v>7581</v>
      </c>
      <c r="F19" s="89">
        <f t="shared" si="2"/>
        <v>-8.0860044848964516E-2</v>
      </c>
      <c r="G19" s="9">
        <f>SUM([3]Pinnacle!$DJ$19:$DS$19)</f>
        <v>68950</v>
      </c>
      <c r="H19" s="9">
        <f>SUM([3]Pinnacle!$CV$19:$DE$19)</f>
        <v>59540</v>
      </c>
      <c r="I19" s="89">
        <f t="shared" si="5"/>
        <v>0.15804501175680216</v>
      </c>
      <c r="J19" s="55"/>
      <c r="K19" s="361" t="s">
        <v>204</v>
      </c>
      <c r="L19" s="356">
        <f>[3]Pinnacle!$DS$41</f>
        <v>359280</v>
      </c>
      <c r="M19" s="41">
        <f t="shared" si="1"/>
        <v>0.12527956717039318</v>
      </c>
      <c r="N19" s="9">
        <f>[3]Pinnacle!$DE$41</f>
        <v>338684</v>
      </c>
      <c r="O19" s="89">
        <f t="shared" si="3"/>
        <v>6.081184821249306E-2</v>
      </c>
      <c r="P19" s="9">
        <f>SUM([3]Pinnacle!$DJ$41:$DS$41)</f>
        <v>3365100</v>
      </c>
      <c r="Q19" s="9">
        <f>SUM([3]Pinnacle!$CV$41:$DE$41)</f>
        <v>2667910</v>
      </c>
      <c r="R19" s="89">
        <f t="shared" si="4"/>
        <v>0.26132440749500546</v>
      </c>
      <c r="T19" s="21"/>
      <c r="U19" s="11"/>
    </row>
    <row r="20" spans="1:23" ht="14.1" customHeight="1" x14ac:dyDescent="0.2">
      <c r="A20" s="55"/>
      <c r="B20" s="360" t="s">
        <v>181</v>
      </c>
      <c r="C20" s="356">
        <f>'[3]Go Jet'!$DS$19</f>
        <v>0</v>
      </c>
      <c r="D20" s="41">
        <f t="shared" si="0"/>
        <v>0</v>
      </c>
      <c r="E20" s="9">
        <f>'[3]Go Jet'!$DE$19</f>
        <v>0</v>
      </c>
      <c r="F20" s="89" t="e">
        <f>(C20-E20)/E20</f>
        <v>#DIV/0!</v>
      </c>
      <c r="G20" s="9">
        <f>SUM('[3]Go Jet'!$DJ$19:$DS$19)</f>
        <v>0</v>
      </c>
      <c r="H20" s="9">
        <f>SUM('[3]Go Jet'!$CV$19:$DE$19)</f>
        <v>0</v>
      </c>
      <c r="I20" s="89" t="e">
        <f>(G20-H20)/H20</f>
        <v>#DIV/0!</v>
      </c>
      <c r="J20" s="55"/>
      <c r="K20" s="361" t="s">
        <v>181</v>
      </c>
      <c r="L20" s="356">
        <f>'[3]Go Jet'!$DS$41</f>
        <v>0</v>
      </c>
      <c r="M20" s="41">
        <f t="shared" si="1"/>
        <v>0</v>
      </c>
      <c r="N20" s="9">
        <f>'[3]Go Jet'!$DE$41</f>
        <v>0</v>
      </c>
      <c r="O20" s="89" t="e">
        <f>(L20-N20)/N20</f>
        <v>#DIV/0!</v>
      </c>
      <c r="P20" s="9">
        <f>SUM('[3]Go Jet'!$DJ$41:$DS$41)</f>
        <v>0</v>
      </c>
      <c r="Q20" s="9">
        <f>SUM('[3]Go Jet'!$CV$41:$DE$41)</f>
        <v>0</v>
      </c>
      <c r="R20" s="89" t="e">
        <f>(P20-Q20)/Q20</f>
        <v>#DIV/0!</v>
      </c>
      <c r="T20" s="338"/>
      <c r="U20" s="335"/>
    </row>
    <row r="21" spans="1:23" ht="14.1" customHeight="1" x14ac:dyDescent="0.2">
      <c r="A21" s="55"/>
      <c r="B21" s="361" t="s">
        <v>109</v>
      </c>
      <c r="C21" s="356">
        <f>'[3]Sky West'!$DS$19</f>
        <v>2934</v>
      </c>
      <c r="D21" s="41">
        <f t="shared" si="0"/>
        <v>9.3057185448317425E-2</v>
      </c>
      <c r="E21" s="9">
        <f>'[3]Sky West'!$DE$19</f>
        <v>3379</v>
      </c>
      <c r="F21" s="89">
        <f t="shared" si="2"/>
        <v>-0.13169576797869192</v>
      </c>
      <c r="G21" s="9">
        <f>SUM('[3]Sky West'!$DJ$19:$DS$19)</f>
        <v>31024</v>
      </c>
      <c r="H21" s="9">
        <f>SUM('[3]Sky West'!$CV$19:$DE$19)</f>
        <v>45101</v>
      </c>
      <c r="I21" s="89">
        <f t="shared" si="5"/>
        <v>-0.31212168244606547</v>
      </c>
      <c r="J21" s="55"/>
      <c r="K21" s="361" t="s">
        <v>109</v>
      </c>
      <c r="L21" s="356">
        <f>'[3]Sky West'!$DS$41</f>
        <v>123570</v>
      </c>
      <c r="M21" s="41">
        <f t="shared" si="1"/>
        <v>4.3088388207652768E-2</v>
      </c>
      <c r="N21" s="9">
        <f>'[3]Sky West'!$DE$41</f>
        <v>140995</v>
      </c>
      <c r="O21" s="89">
        <f t="shared" si="3"/>
        <v>-0.1235859427639278</v>
      </c>
      <c r="P21" s="9">
        <f>SUM('[3]Sky West'!$DJ$41:$DS$41)</f>
        <v>1276912</v>
      </c>
      <c r="Q21" s="9">
        <f>SUM('[3]Sky West'!$CV$41:$DE$41)</f>
        <v>1863542</v>
      </c>
      <c r="R21" s="89">
        <f t="shared" si="4"/>
        <v>-0.31479301244619118</v>
      </c>
      <c r="T21" s="21"/>
    </row>
    <row r="22" spans="1:23" ht="14.1" customHeight="1" x14ac:dyDescent="0.2">
      <c r="A22" s="55"/>
      <c r="B22" s="361" t="s">
        <v>147</v>
      </c>
      <c r="C22" s="356">
        <f>'[3]Shuttle America_Delta'!$DS$19</f>
        <v>250</v>
      </c>
      <c r="D22" s="41">
        <f t="shared" si="0"/>
        <v>7.9292080307018942E-3</v>
      </c>
      <c r="E22" s="9">
        <f>'[3]Shuttle America_Delta'!$DE$19</f>
        <v>246</v>
      </c>
      <c r="F22" s="89">
        <f t="shared" si="2"/>
        <v>1.6260162601626018E-2</v>
      </c>
      <c r="G22" s="9">
        <f>SUM('[3]Shuttle America_Delta'!$DJ$19:$DS$19)</f>
        <v>2474</v>
      </c>
      <c r="H22" s="9">
        <f>SUM('[3]Shuttle America_Delta'!$CV$19:$DE$19)</f>
        <v>1326</v>
      </c>
      <c r="I22" s="89">
        <f t="shared" si="5"/>
        <v>0.86576168929110109</v>
      </c>
      <c r="J22" s="55"/>
      <c r="K22" s="361" t="s">
        <v>147</v>
      </c>
      <c r="L22" s="356">
        <f>'[3]Shuttle America_Delta'!$DS$41</f>
        <v>15258</v>
      </c>
      <c r="M22" s="41">
        <f t="shared" si="1"/>
        <v>5.3204064681748476E-3</v>
      </c>
      <c r="N22" s="9">
        <f>'[3]Shuttle America_Delta'!$DE$41</f>
        <v>14411</v>
      </c>
      <c r="O22" s="89">
        <f t="shared" si="3"/>
        <v>5.8774547220872941E-2</v>
      </c>
      <c r="P22" s="9">
        <f>SUM('[3]Shuttle America_Delta'!$DJ$41:$DS$41)</f>
        <v>152532</v>
      </c>
      <c r="Q22" s="9">
        <f>SUM('[3]Shuttle America_Delta'!$CV$41:$DE$41)</f>
        <v>75637</v>
      </c>
      <c r="R22" s="89">
        <f t="shared" si="4"/>
        <v>1.0166320716051669</v>
      </c>
      <c r="T22" s="21"/>
    </row>
    <row r="23" spans="1:23" ht="14.1" customHeight="1" x14ac:dyDescent="0.2">
      <c r="A23" s="55"/>
      <c r="B23" s="366" t="s">
        <v>55</v>
      </c>
      <c r="C23" s="356">
        <f>'[3]Atlantic Southeast'!$DS$19</f>
        <v>774</v>
      </c>
      <c r="D23" s="41">
        <f t="shared" si="0"/>
        <v>2.4548828063053061E-2</v>
      </c>
      <c r="E23" s="9">
        <f>'[3]Atlantic Southeast'!$DE$19</f>
        <v>931</v>
      </c>
      <c r="F23" s="89">
        <f t="shared" si="2"/>
        <v>-0.16863587540279271</v>
      </c>
      <c r="G23" s="9">
        <f>SUM('[3]Atlantic Southeast'!$DJ$19:$DS$19)</f>
        <v>9631</v>
      </c>
      <c r="H23" s="9">
        <f>SUM('[3]Atlantic Southeast'!$CV$19:$DE$19)</f>
        <v>8031</v>
      </c>
      <c r="I23" s="89">
        <f t="shared" si="5"/>
        <v>0.19922799153281037</v>
      </c>
      <c r="J23" s="55"/>
      <c r="K23" s="366" t="s">
        <v>55</v>
      </c>
      <c r="L23" s="356">
        <f>'[3]Atlantic Southeast'!$DS$41</f>
        <v>44073</v>
      </c>
      <c r="M23" s="41">
        <f t="shared" si="1"/>
        <v>1.5368087185205798E-2</v>
      </c>
      <c r="N23" s="9">
        <f>'[3]Atlantic Southeast'!$DE$41</f>
        <v>52992</v>
      </c>
      <c r="O23" s="89">
        <f t="shared" si="3"/>
        <v>-0.16830842391304349</v>
      </c>
      <c r="P23" s="9">
        <f>SUM('[3]Atlantic Southeast'!$DJ$41:$DS$41)</f>
        <v>552257</v>
      </c>
      <c r="Q23" s="9">
        <f>SUM('[3]Atlantic Southeast'!$CV$41:$DE$41)</f>
        <v>429492</v>
      </c>
      <c r="R23" s="89">
        <f t="shared" si="4"/>
        <v>0.28583768731431553</v>
      </c>
      <c r="T23" s="334"/>
    </row>
    <row r="24" spans="1:23" ht="14.1" customHeight="1" x14ac:dyDescent="0.2">
      <c r="A24" s="55"/>
      <c r="B24" s="366"/>
      <c r="C24" s="356"/>
      <c r="D24" s="41"/>
      <c r="E24" s="9"/>
      <c r="F24" s="89"/>
      <c r="G24" s="9"/>
      <c r="H24" s="9"/>
      <c r="I24" s="89"/>
      <c r="J24" s="55"/>
      <c r="K24" s="366"/>
      <c r="L24" s="356"/>
      <c r="M24" s="41"/>
      <c r="N24" s="9"/>
      <c r="O24" s="89"/>
      <c r="P24" s="9"/>
      <c r="Q24" s="9"/>
      <c r="R24" s="89"/>
      <c r="T24" s="334"/>
    </row>
    <row r="25" spans="1:23" s="7" customFormat="1" ht="14.1" customHeight="1" x14ac:dyDescent="0.2">
      <c r="A25" s="351" t="s">
        <v>51</v>
      </c>
      <c r="B25" s="367"/>
      <c r="C25" s="352">
        <f>[3]Frontier!$DS$19</f>
        <v>362</v>
      </c>
      <c r="D25" s="353">
        <f>C25/$C$56</f>
        <v>1.1481493228456341E-2</v>
      </c>
      <c r="E25" s="354">
        <f>[3]Frontier!$DE$19</f>
        <v>230</v>
      </c>
      <c r="F25" s="355">
        <f>(C25-E25)/E25</f>
        <v>0.57391304347826089</v>
      </c>
      <c r="G25" s="354">
        <f>SUM([3]Frontier!$DJ$19:$DS$19)</f>
        <v>2649</v>
      </c>
      <c r="H25" s="354">
        <f>SUM([3]Frontier!$CV$19:$DE$19)</f>
        <v>2106</v>
      </c>
      <c r="I25" s="355">
        <f>(G25-H25)/H25</f>
        <v>0.25783475783475784</v>
      </c>
      <c r="J25" s="351" t="s">
        <v>51</v>
      </c>
      <c r="K25" s="367"/>
      <c r="L25" s="352">
        <f>[3]Frontier!$DS$41</f>
        <v>45767</v>
      </c>
      <c r="M25" s="353">
        <f>L25/$L$56</f>
        <v>1.5958778531194012E-2</v>
      </c>
      <c r="N25" s="354">
        <f>[3]Frontier!$DE$41</f>
        <v>31455</v>
      </c>
      <c r="O25" s="355">
        <f>(L25-N25)/N25</f>
        <v>0.4549992052137975</v>
      </c>
      <c r="P25" s="354">
        <f>SUM([3]Frontier!$DJ$41:$DS$41)</f>
        <v>373012</v>
      </c>
      <c r="Q25" s="354">
        <f>SUM([3]Frontier!$CV$41:$DE$41)</f>
        <v>296266</v>
      </c>
      <c r="R25" s="355">
        <f>(P25-Q25)/Q25</f>
        <v>0.2590442372732612</v>
      </c>
      <c r="T25" s="336"/>
      <c r="U25"/>
    </row>
    <row r="26" spans="1:23" s="7" customFormat="1" ht="14.1" customHeight="1" x14ac:dyDescent="0.2">
      <c r="A26" s="351"/>
      <c r="B26" s="367"/>
      <c r="C26" s="352"/>
      <c r="D26" s="353"/>
      <c r="E26" s="354"/>
      <c r="F26" s="355"/>
      <c r="G26" s="354"/>
      <c r="H26" s="354"/>
      <c r="I26" s="355"/>
      <c r="J26" s="351"/>
      <c r="K26" s="367"/>
      <c r="L26" s="356"/>
      <c r="M26" s="41"/>
      <c r="N26" s="9"/>
      <c r="O26" s="89"/>
      <c r="P26" s="9"/>
      <c r="Q26" s="9"/>
      <c r="R26" s="89"/>
      <c r="T26" s="336"/>
    </row>
    <row r="27" spans="1:23" s="7" customFormat="1" ht="14.1" customHeight="1" x14ac:dyDescent="0.2">
      <c r="A27" s="351" t="s">
        <v>180</v>
      </c>
      <c r="B27" s="367"/>
      <c r="C27" s="352">
        <f>'[3]Great Lakes'!$DS$19</f>
        <v>246</v>
      </c>
      <c r="D27" s="353">
        <f>C27/$C$56</f>
        <v>7.8023407022106634E-3</v>
      </c>
      <c r="E27" s="354">
        <f>'[3]Great Lakes'!$DE$19</f>
        <v>1074</v>
      </c>
      <c r="F27" s="355">
        <f>(C27-E27)/E27</f>
        <v>-0.77094972067039103</v>
      </c>
      <c r="G27" s="354">
        <f>SUM('[3]Great Lakes'!$DJ$19:$DS$19)</f>
        <v>1648</v>
      </c>
      <c r="H27" s="354">
        <f>SUM('[3]Great Lakes'!$CV$19:$DE$19)</f>
        <v>11298</v>
      </c>
      <c r="I27" s="355">
        <f>(G27-H27)/H27</f>
        <v>-0.85413347495131886</v>
      </c>
      <c r="J27" s="351" t="s">
        <v>180</v>
      </c>
      <c r="K27" s="367"/>
      <c r="L27" s="352">
        <f>'[3]Great Lakes'!$DS$41</f>
        <v>883</v>
      </c>
      <c r="M27" s="353">
        <f>L27/$L$56</f>
        <v>3.0789873583683252E-4</v>
      </c>
      <c r="N27" s="354">
        <f>'[3]Great Lakes'!$DE$41</f>
        <v>4424</v>
      </c>
      <c r="O27" s="355">
        <f>(L27-N27)/N27</f>
        <v>-0.80040687160940327</v>
      </c>
      <c r="P27" s="354">
        <f>SUM('[3]Great Lakes'!$DJ$41:$DS$41)</f>
        <v>9628</v>
      </c>
      <c r="Q27" s="354">
        <f>SUM('[3]Great Lakes'!$CV$41:$DE$41)</f>
        <v>41938</v>
      </c>
      <c r="R27" s="355">
        <f>(P27-Q27)/Q27</f>
        <v>-0.7704230053889074</v>
      </c>
      <c r="T27" s="336"/>
    </row>
    <row r="28" spans="1:23" s="7" customFormat="1" ht="14.1" customHeight="1" x14ac:dyDescent="0.2">
      <c r="A28" s="351"/>
      <c r="B28" s="367"/>
      <c r="C28" s="352"/>
      <c r="D28" s="353"/>
      <c r="E28" s="354"/>
      <c r="F28" s="355"/>
      <c r="G28" s="354"/>
      <c r="H28" s="354"/>
      <c r="I28" s="355"/>
      <c r="J28" s="351"/>
      <c r="K28" s="367"/>
      <c r="L28" s="356"/>
      <c r="M28" s="41"/>
      <c r="N28" s="9"/>
      <c r="O28" s="89"/>
      <c r="P28" s="9"/>
      <c r="Q28" s="9"/>
      <c r="R28" s="89"/>
      <c r="T28" s="336"/>
    </row>
    <row r="29" spans="1:23" s="7" customFormat="1" ht="14.1" customHeight="1" x14ac:dyDescent="0.2">
      <c r="A29" s="351" t="s">
        <v>52</v>
      </c>
      <c r="B29" s="367"/>
      <c r="C29" s="352">
        <f>[3]Icelandair!$DS$19</f>
        <v>16</v>
      </c>
      <c r="D29" s="353">
        <f>C29/$C$56</f>
        <v>5.074693139649212E-4</v>
      </c>
      <c r="E29" s="354">
        <f>[3]Icelandair!$DE$19</f>
        <v>18</v>
      </c>
      <c r="F29" s="355">
        <f>(C29-E29)/E29</f>
        <v>-0.1111111111111111</v>
      </c>
      <c r="G29" s="354">
        <f>SUM([3]Icelandair!$DJ$19:$DS$19)</f>
        <v>260</v>
      </c>
      <c r="H29" s="354">
        <f>SUM([3]Icelandair!$CV$19:$DE$19)</f>
        <v>274</v>
      </c>
      <c r="I29" s="355">
        <f>(G29-H29)/H29</f>
        <v>-5.1094890510948905E-2</v>
      </c>
      <c r="J29" s="351" t="s">
        <v>52</v>
      </c>
      <c r="K29" s="367"/>
      <c r="L29" s="352">
        <f>[3]Icelandair!$DS$41</f>
        <v>2178</v>
      </c>
      <c r="M29" s="353">
        <f>L29/$L$56</f>
        <v>7.5946030198484847E-4</v>
      </c>
      <c r="N29" s="354">
        <f>[3]Icelandair!$DE$41</f>
        <v>2485</v>
      </c>
      <c r="O29" s="355">
        <f>(L29-N29)/N29</f>
        <v>-0.12354124748490945</v>
      </c>
      <c r="P29" s="354">
        <f>SUM([3]Icelandair!$DJ$41:$DS$41)</f>
        <v>40263</v>
      </c>
      <c r="Q29" s="354">
        <f>SUM([3]Icelandair!$CV$41:$DE$41)</f>
        <v>40657</v>
      </c>
      <c r="R29" s="355">
        <f>(P29-Q29)/Q29</f>
        <v>-9.6908281476744476E-3</v>
      </c>
      <c r="T29" s="21"/>
    </row>
    <row r="30" spans="1:23" s="7" customFormat="1" ht="14.1" customHeight="1" x14ac:dyDescent="0.2">
      <c r="A30" s="351"/>
      <c r="B30" s="367"/>
      <c r="C30" s="352"/>
      <c r="D30" s="353"/>
      <c r="E30" s="354"/>
      <c r="F30" s="355"/>
      <c r="G30" s="354"/>
      <c r="H30" s="354"/>
      <c r="I30" s="355"/>
      <c r="J30" s="351"/>
      <c r="K30" s="367"/>
      <c r="L30" s="356"/>
      <c r="M30" s="41"/>
      <c r="N30" s="9"/>
      <c r="O30" s="89"/>
      <c r="P30" s="9"/>
      <c r="Q30" s="9"/>
      <c r="R30" s="89"/>
      <c r="T30" s="21"/>
    </row>
    <row r="31" spans="1:23" ht="14.1" customHeight="1" x14ac:dyDescent="0.2">
      <c r="A31" s="363" t="s">
        <v>144</v>
      </c>
      <c r="B31" s="58"/>
      <c r="C31" s="352">
        <f>SUM(C32:C33)</f>
        <v>1455</v>
      </c>
      <c r="D31" s="353">
        <f>C31/$C$56</f>
        <v>4.6147990738685023E-2</v>
      </c>
      <c r="E31" s="354">
        <f>SUM(E32:E33)</f>
        <v>1574</v>
      </c>
      <c r="F31" s="355">
        <f>(C31-E31)/E31</f>
        <v>-7.5603557814485384E-2</v>
      </c>
      <c r="G31" s="352">
        <f>SUM(G32:G33)</f>
        <v>14338</v>
      </c>
      <c r="H31" s="354">
        <f>SUM(H32:H33)</f>
        <v>15102</v>
      </c>
      <c r="I31" s="355">
        <f>(G31-H31)/H31</f>
        <v>-5.0589325917097076E-2</v>
      </c>
      <c r="J31" s="351" t="s">
        <v>144</v>
      </c>
      <c r="K31" s="58"/>
      <c r="L31" s="352">
        <f>SUM(L32:L33)</f>
        <v>163986</v>
      </c>
      <c r="M31" s="353">
        <f>L31/$L$56</f>
        <v>5.7181293425751768E-2</v>
      </c>
      <c r="N31" s="354">
        <f>SUM(N32:N33)</f>
        <v>160749</v>
      </c>
      <c r="O31" s="355">
        <f>(L31-N31)/N31</f>
        <v>2.0136983744844447E-2</v>
      </c>
      <c r="P31" s="352">
        <f>SUM(P32:P33)</f>
        <v>1611967</v>
      </c>
      <c r="Q31" s="354">
        <f>SUM(Q32:Q33)</f>
        <v>1527814</v>
      </c>
      <c r="R31" s="355">
        <f>(P31-Q31)/Q31</f>
        <v>5.5080657724042324E-2</v>
      </c>
      <c r="T31" s="21"/>
    </row>
    <row r="32" spans="1:23" ht="14.1" customHeight="1" x14ac:dyDescent="0.2">
      <c r="A32" s="363"/>
      <c r="B32" s="58" t="s">
        <v>144</v>
      </c>
      <c r="C32" s="454">
        <f>[3]Southwest!$DS$19</f>
        <v>1391</v>
      </c>
      <c r="D32" s="455">
        <f>C32/$C$56</f>
        <v>4.4118113482825336E-2</v>
      </c>
      <c r="E32" s="302">
        <f>[3]Southwest!$DE$19</f>
        <v>1314</v>
      </c>
      <c r="F32" s="456">
        <f>(C32-E32)/E32</f>
        <v>5.8599695585996953E-2</v>
      </c>
      <c r="G32" s="302">
        <f>SUM([3]Southwest!$DJ$19:$DS$19)</f>
        <v>12468</v>
      </c>
      <c r="H32" s="302">
        <f>SUM([3]Southwest!$CV$19:$DE$19)</f>
        <v>12379</v>
      </c>
      <c r="I32" s="456">
        <f>(G32-H32)/H32</f>
        <v>7.1895952823329834E-3</v>
      </c>
      <c r="J32" s="351"/>
      <c r="K32" s="58" t="s">
        <v>144</v>
      </c>
      <c r="L32" s="454">
        <f>[3]Southwest!$DS$41</f>
        <v>157361</v>
      </c>
      <c r="M32" s="455">
        <f>L32/$L$56</f>
        <v>5.4871181166500339E-2</v>
      </c>
      <c r="N32" s="302">
        <f>[3]Southwest!$DE$41</f>
        <v>133894</v>
      </c>
      <c r="O32" s="456">
        <f>(L32-N32)/N32</f>
        <v>0.17526550853660358</v>
      </c>
      <c r="P32" s="302">
        <f>SUM([3]Southwest!$DJ$41:$DS$41)</f>
        <v>1421992</v>
      </c>
      <c r="Q32" s="302">
        <f>SUM([3]Southwest!$CV$41:$DE$41)</f>
        <v>1253019</v>
      </c>
      <c r="R32" s="456">
        <f>(P32-Q32)/Q32</f>
        <v>0.13485270374990324</v>
      </c>
      <c r="T32" s="21"/>
    </row>
    <row r="33" spans="1:21" ht="14.1" customHeight="1" x14ac:dyDescent="0.2">
      <c r="A33" s="363"/>
      <c r="B33" s="58" t="s">
        <v>205</v>
      </c>
      <c r="C33" s="454">
        <f>[3]AirTran!$DS$19</f>
        <v>64</v>
      </c>
      <c r="D33" s="455">
        <f>C33/$C$56</f>
        <v>2.0298772558596848E-3</v>
      </c>
      <c r="E33" s="302">
        <f>[3]AirTran!$DE$19</f>
        <v>260</v>
      </c>
      <c r="F33" s="456">
        <f>(C33-E33)/E33</f>
        <v>-0.75384615384615383</v>
      </c>
      <c r="G33" s="302">
        <f>SUM([3]AirTran!$DJ$19:$DS$19)</f>
        <v>1870</v>
      </c>
      <c r="H33" s="302">
        <f>SUM([3]AirTran!$CV$19:$DE$19)</f>
        <v>2723</v>
      </c>
      <c r="I33" s="456">
        <f>(G33-H33)/H33</f>
        <v>-0.31325743665075284</v>
      </c>
      <c r="J33" s="351"/>
      <c r="K33" s="58" t="s">
        <v>205</v>
      </c>
      <c r="L33" s="454">
        <f>[3]AirTran!$DS$41</f>
        <v>6625</v>
      </c>
      <c r="M33" s="455">
        <f>L33/$L$56</f>
        <v>2.3101122592514328E-3</v>
      </c>
      <c r="N33" s="302">
        <f>[3]AirTran!$DE$41</f>
        <v>26855</v>
      </c>
      <c r="O33" s="456">
        <f>(L33-N33)/N33</f>
        <v>-0.75330478495624653</v>
      </c>
      <c r="P33" s="302">
        <f>SUM([3]AirTran!$DJ$41:$DS$41)</f>
        <v>189975</v>
      </c>
      <c r="Q33" s="302">
        <f>SUM([3]AirTran!$CV$41:$DE$41)</f>
        <v>274795</v>
      </c>
      <c r="R33" s="456">
        <f>(P33-Q33)/Q33</f>
        <v>-0.3086664604523372</v>
      </c>
      <c r="T33" s="21"/>
    </row>
    <row r="34" spans="1:21" ht="14.1" customHeight="1" x14ac:dyDescent="0.2">
      <c r="A34" s="351"/>
      <c r="B34" s="58"/>
      <c r="C34" s="352"/>
      <c r="D34" s="353"/>
      <c r="E34" s="354"/>
      <c r="F34" s="355"/>
      <c r="G34" s="354"/>
      <c r="H34" s="354"/>
      <c r="I34" s="355"/>
      <c r="J34" s="351"/>
      <c r="K34" s="58"/>
      <c r="L34" s="356"/>
      <c r="M34" s="41"/>
      <c r="N34" s="9"/>
      <c r="O34" s="89"/>
      <c r="P34" s="9"/>
      <c r="Q34" s="9"/>
      <c r="R34" s="89"/>
      <c r="T34" s="21"/>
      <c r="U34" s="7"/>
    </row>
    <row r="35" spans="1:21" ht="14.1" customHeight="1" x14ac:dyDescent="0.2">
      <c r="A35" s="351" t="s">
        <v>182</v>
      </c>
      <c r="B35" s="58"/>
      <c r="C35" s="352">
        <f>[3]Spirit!$DS$19</f>
        <v>674</v>
      </c>
      <c r="D35" s="353">
        <f>C35/$C$56</f>
        <v>2.1377144850772304E-2</v>
      </c>
      <c r="E35" s="354">
        <f>[3]Spirit!$DE$19</f>
        <v>434</v>
      </c>
      <c r="F35" s="355">
        <f>(C35-E35)/E35</f>
        <v>0.55299539170506917</v>
      </c>
      <c r="G35" s="354">
        <f>SUM([3]Spirit!$DJ$19:$DS$19)</f>
        <v>6339</v>
      </c>
      <c r="H35" s="354">
        <f>SUM([3]Spirit!$CV$19:$DE$19)</f>
        <v>3540</v>
      </c>
      <c r="I35" s="355">
        <f>(G35-H35)/H35</f>
        <v>0.79067796610169494</v>
      </c>
      <c r="J35" s="351" t="s">
        <v>182</v>
      </c>
      <c r="K35" s="58"/>
      <c r="L35" s="352">
        <f>[3]Spirit!$DS$41</f>
        <v>81557</v>
      </c>
      <c r="M35" s="353">
        <f>L35/$L$56</f>
        <v>2.8438615174002885E-2</v>
      </c>
      <c r="N35" s="354">
        <f>[3]Spirit!$DE$41</f>
        <v>52334</v>
      </c>
      <c r="O35" s="355">
        <f>(L35-N35)/N35</f>
        <v>0.55839416058394165</v>
      </c>
      <c r="P35" s="354">
        <f>SUM([3]Spirit!$DJ$41:$DS$41)</f>
        <v>824670</v>
      </c>
      <c r="Q35" s="354">
        <f>SUM([3]Spirit!$CV$41:$DE$41)</f>
        <v>459952</v>
      </c>
      <c r="R35" s="355">
        <f>(P35-Q35)/Q35</f>
        <v>0.79294795978710819</v>
      </c>
      <c r="T35" s="21"/>
      <c r="U35" s="7"/>
    </row>
    <row r="36" spans="1:21" ht="14.1" customHeight="1" x14ac:dyDescent="0.2">
      <c r="A36" s="351"/>
      <c r="B36" s="58"/>
      <c r="C36" s="352"/>
      <c r="D36" s="353"/>
      <c r="E36" s="354"/>
      <c r="F36" s="355"/>
      <c r="G36" s="354"/>
      <c r="H36" s="354"/>
      <c r="I36" s="355"/>
      <c r="J36" s="351"/>
      <c r="K36" s="58"/>
      <c r="L36" s="356"/>
      <c r="M36" s="41"/>
      <c r="N36" s="9"/>
      <c r="O36" s="89"/>
      <c r="P36" s="9"/>
      <c r="Q36" s="9"/>
      <c r="R36" s="89"/>
      <c r="T36" s="21"/>
      <c r="U36" s="7"/>
    </row>
    <row r="37" spans="1:21" s="7" customFormat="1" ht="14.1" customHeight="1" x14ac:dyDescent="0.2">
      <c r="A37" s="351" t="s">
        <v>53</v>
      </c>
      <c r="B37" s="367"/>
      <c r="C37" s="352">
        <f>'[3]Sun Country'!$DS$19</f>
        <v>1226</v>
      </c>
      <c r="D37" s="353">
        <f>C37/$C$56</f>
        <v>3.8884836182562083E-2</v>
      </c>
      <c r="E37" s="354">
        <f>'[3]Sun Country'!$DE$19</f>
        <v>1225</v>
      </c>
      <c r="F37" s="355">
        <f>(C37-E37)/E37</f>
        <v>8.1632653061224493E-4</v>
      </c>
      <c r="G37" s="354">
        <f>SUM('[3]Sun Country'!$DJ$19:$DS$19)</f>
        <v>14059</v>
      </c>
      <c r="H37" s="354">
        <f>SUM('[3]Sun Country'!$CV$19:$DE$19)</f>
        <v>12062</v>
      </c>
      <c r="I37" s="355">
        <f>(G37-H37)/H37</f>
        <v>0.16556126678826066</v>
      </c>
      <c r="J37" s="351" t="s">
        <v>53</v>
      </c>
      <c r="K37" s="367"/>
      <c r="L37" s="352">
        <f>'[3]Sun Country'!$DS$41</f>
        <v>120776</v>
      </c>
      <c r="M37" s="353">
        <f>L37/$L$56</f>
        <v>4.2114131052581293E-2</v>
      </c>
      <c r="N37" s="354">
        <f>'[3]Sun Country'!$DE$41</f>
        <v>112986</v>
      </c>
      <c r="O37" s="355">
        <f>(L37-N37)/N37</f>
        <v>6.8946595153381834E-2</v>
      </c>
      <c r="P37" s="354">
        <f>SUM('[3]Sun Country'!$DJ$41:$DS$41)</f>
        <v>1388264</v>
      </c>
      <c r="Q37" s="354">
        <f>SUM('[3]Sun Country'!$CV$41:$DE$41)</f>
        <v>1239484</v>
      </c>
      <c r="R37" s="355">
        <f>(P37-Q37)/Q37</f>
        <v>0.12003382052531537</v>
      </c>
      <c r="T37" s="21"/>
    </row>
    <row r="38" spans="1:21" s="7" customFormat="1" ht="14.1" customHeight="1" x14ac:dyDescent="0.2">
      <c r="A38" s="351"/>
      <c r="B38" s="367"/>
      <c r="C38" s="352"/>
      <c r="D38" s="353"/>
      <c r="E38" s="354"/>
      <c r="F38" s="355"/>
      <c r="G38" s="354"/>
      <c r="H38" s="354"/>
      <c r="I38" s="355"/>
      <c r="J38" s="351"/>
      <c r="K38" s="367"/>
      <c r="L38" s="356"/>
      <c r="M38" s="41"/>
      <c r="N38" s="9"/>
      <c r="O38" s="89"/>
      <c r="P38" s="9"/>
      <c r="Q38" s="9"/>
      <c r="R38" s="89"/>
      <c r="T38" s="21"/>
    </row>
    <row r="39" spans="1:21" s="7" customFormat="1" ht="14.1" customHeight="1" x14ac:dyDescent="0.2">
      <c r="A39" s="351" t="s">
        <v>21</v>
      </c>
      <c r="B39" s="359"/>
      <c r="C39" s="352">
        <f>SUM(C40:C46)</f>
        <v>1938</v>
      </c>
      <c r="D39" s="353">
        <f>C39/$C$56</f>
        <v>6.1467220654001078E-2</v>
      </c>
      <c r="E39" s="354">
        <f>SUM(E40:E46)</f>
        <v>1906</v>
      </c>
      <c r="F39" s="355">
        <f t="shared" ref="F39:F46" si="6">(C39-E39)/E39</f>
        <v>1.6789087093389297E-2</v>
      </c>
      <c r="G39" s="354">
        <f>SUM(G40:G46)</f>
        <v>17088</v>
      </c>
      <c r="H39" s="354">
        <f>SUM(H40:H46)</f>
        <v>18122</v>
      </c>
      <c r="I39" s="355">
        <f t="shared" ref="I39:I46" si="7">(G39-H39)/H39</f>
        <v>-5.7057719898465954E-2</v>
      </c>
      <c r="J39" s="351" t="s">
        <v>21</v>
      </c>
      <c r="K39" s="359"/>
      <c r="L39" s="352">
        <f>SUM(L40:L46)</f>
        <v>124469</v>
      </c>
      <c r="M39" s="353">
        <f t="shared" ref="M39:M46" si="8">L39/$L$56</f>
        <v>4.3401866082530806E-2</v>
      </c>
      <c r="N39" s="354">
        <f>SUM(N40:N46)</f>
        <v>110345</v>
      </c>
      <c r="O39" s="355">
        <f t="shared" ref="O39:O46" si="9">(L39-N39)/N39</f>
        <v>0.12799855000226562</v>
      </c>
      <c r="P39" s="354">
        <f>SUM(P40:P46)</f>
        <v>1102371</v>
      </c>
      <c r="Q39" s="354">
        <f>SUM(Q40:Q46)</f>
        <v>1058069</v>
      </c>
      <c r="R39" s="355">
        <f t="shared" ref="R39:R46" si="10">(P39-Q39)/Q39</f>
        <v>4.1870615243429304E-2</v>
      </c>
      <c r="T39" s="21"/>
      <c r="U39"/>
    </row>
    <row r="40" spans="1:21" s="7" customFormat="1" ht="14.1" customHeight="1" x14ac:dyDescent="0.2">
      <c r="A40" s="368"/>
      <c r="B40" s="360" t="s">
        <v>192</v>
      </c>
      <c r="C40" s="356">
        <f>[3]United!$DS$19</f>
        <v>338</v>
      </c>
      <c r="D40" s="41">
        <f>C40/$C$56</f>
        <v>1.072028925750896E-2</v>
      </c>
      <c r="E40" s="9">
        <f>[3]United!$DE$19+[3]Continental!$DE$19</f>
        <v>334</v>
      </c>
      <c r="F40" s="89">
        <f t="shared" si="6"/>
        <v>1.1976047904191617E-2</v>
      </c>
      <c r="G40" s="9">
        <f>SUM([3]United!$DJ$19:$DS$19)</f>
        <v>2776</v>
      </c>
      <c r="H40" s="9">
        <f>SUM([3]United!$CV$19:$DE$19)+SUM([3]Continental!$CV$19:$DE$19)</f>
        <v>3282</v>
      </c>
      <c r="I40" s="89">
        <f t="shared" si="7"/>
        <v>-0.15417428397318708</v>
      </c>
      <c r="J40" s="368"/>
      <c r="K40" s="360" t="s">
        <v>192</v>
      </c>
      <c r="L40" s="356">
        <f>[3]United!$DS$41</f>
        <v>39402</v>
      </c>
      <c r="M40" s="41">
        <f t="shared" si="8"/>
        <v>1.3739327281362259E-2</v>
      </c>
      <c r="N40" s="9">
        <f>[3]United!$DE$41+[3]Continental!$DE$41</f>
        <v>35146</v>
      </c>
      <c r="O40" s="89">
        <f t="shared" si="9"/>
        <v>0.1210948614351562</v>
      </c>
      <c r="P40" s="9">
        <f>SUM([3]United!$DJ$41:$DS$41)+SUM([3]Continental!$DJ$41:$DS$41)</f>
        <v>310752</v>
      </c>
      <c r="Q40" s="9">
        <f>SUM([3]United!$CV$41:$DE$41)+SUM([3]Continental!$CV$41:$DE$41)</f>
        <v>336223</v>
      </c>
      <c r="R40" s="89">
        <f t="shared" si="10"/>
        <v>-7.5756268904863741E-2</v>
      </c>
      <c r="T40" s="21"/>
    </row>
    <row r="41" spans="1:21" s="7" customFormat="1" ht="14.1" customHeight="1" x14ac:dyDescent="0.2">
      <c r="A41" s="368"/>
      <c r="B41" s="360" t="s">
        <v>191</v>
      </c>
      <c r="C41" s="356">
        <f>[3]Chautaqua_Continental!$DS$19</f>
        <v>0</v>
      </c>
      <c r="D41" s="41">
        <f>C41/$C$56</f>
        <v>0</v>
      </c>
      <c r="E41" s="9">
        <f>[3]Chautaqua_Continental!$DE$19</f>
        <v>46</v>
      </c>
      <c r="F41" s="89">
        <f t="shared" si="6"/>
        <v>-1</v>
      </c>
      <c r="G41" s="9">
        <f>SUM([3]Chautaqua_Continental!$DJ$19:$DS$19)</f>
        <v>58</v>
      </c>
      <c r="H41" s="9">
        <f>SUM([3]Chautaqua_Continental!$CV$19:$DE$19)</f>
        <v>762</v>
      </c>
      <c r="I41" s="89">
        <f t="shared" si="7"/>
        <v>-0.92388451443569553</v>
      </c>
      <c r="J41" s="55"/>
      <c r="K41" s="361" t="s">
        <v>130</v>
      </c>
      <c r="L41" s="356">
        <f>[3]Chautaqua_Continental!$DS$41</f>
        <v>0</v>
      </c>
      <c r="M41" s="41">
        <f t="shared" si="8"/>
        <v>0</v>
      </c>
      <c r="N41" s="9">
        <f>[3]Chautaqua_Continental!$DE$41</f>
        <v>1422</v>
      </c>
      <c r="O41" s="89">
        <f t="shared" si="9"/>
        <v>-1</v>
      </c>
      <c r="P41" s="9">
        <f>SUM([3]Chautaqua_Continental!$DJ$41:$DS$41)</f>
        <v>2215</v>
      </c>
      <c r="Q41" s="9">
        <f>SUM([3]Chautaqua_Continental!$CV$41:$DE$41)</f>
        <v>27914</v>
      </c>
      <c r="R41" s="89">
        <f t="shared" si="10"/>
        <v>-0.9206491366339471</v>
      </c>
      <c r="T41" s="21"/>
    </row>
    <row r="42" spans="1:21" s="7" customFormat="1" ht="14.1" customHeight="1" x14ac:dyDescent="0.2">
      <c r="A42" s="368"/>
      <c r="B42" s="360" t="s">
        <v>181</v>
      </c>
      <c r="C42" s="356">
        <f>'[3]Go Jet_UA'!$DS$19</f>
        <v>190</v>
      </c>
      <c r="D42" s="41">
        <f>C42/$C$56</f>
        <v>6.026198103333439E-3</v>
      </c>
      <c r="E42" s="9">
        <f>'[3]Go Jet_UA'!$DE$19</f>
        <v>90</v>
      </c>
      <c r="F42" s="89">
        <f>(C42-E42)/E42</f>
        <v>1.1111111111111112</v>
      </c>
      <c r="G42" s="9">
        <f>SUM('[3]Go Jet_UA'!$DJ$19:$DS$19)</f>
        <v>2664</v>
      </c>
      <c r="H42" s="9">
        <f>SUM('[3]Go Jet_UA'!$CV$19:$DE$19)</f>
        <v>1092</v>
      </c>
      <c r="I42" s="89">
        <f>(G42-H42)/H42</f>
        <v>1.4395604395604396</v>
      </c>
      <c r="J42" s="55"/>
      <c r="K42" s="361" t="s">
        <v>181</v>
      </c>
      <c r="L42" s="356">
        <f>'[3]Go Jet_UA'!$DS$41</f>
        <v>11647</v>
      </c>
      <c r="M42" s="41">
        <f t="shared" si="8"/>
        <v>4.0612645258115377E-3</v>
      </c>
      <c r="N42" s="9">
        <f>'[3]Go Jet_UA'!$DE$41</f>
        <v>5072</v>
      </c>
      <c r="O42" s="89">
        <f>(L42-N42)/N42</f>
        <v>1.2963328075709779</v>
      </c>
      <c r="P42" s="9">
        <f>SUM('[3]Go Jet_UA'!$DJ$41:$DS$41)</f>
        <v>164847</v>
      </c>
      <c r="Q42" s="9">
        <f>SUM('[3]Go Jet_UA'!$CV$41:$DE$41)</f>
        <v>61118</v>
      </c>
      <c r="R42" s="89">
        <f>(P42-Q42)/Q42</f>
        <v>1.6971923165025034</v>
      </c>
      <c r="T42" s="21"/>
    </row>
    <row r="43" spans="1:21" s="7" customFormat="1" ht="14.1" customHeight="1" x14ac:dyDescent="0.2">
      <c r="A43" s="368"/>
      <c r="B43" s="360" t="s">
        <v>56</v>
      </c>
      <c r="C43" s="356">
        <f>[3]MESA_UA!$DS$19</f>
        <v>148</v>
      </c>
      <c r="D43" s="41">
        <f>C43/$C$56</f>
        <v>4.6940911541755214E-3</v>
      </c>
      <c r="E43" s="9">
        <f>[3]MESA_UA!$DE$19</f>
        <v>0</v>
      </c>
      <c r="F43" s="89" t="e">
        <f>(C43-E43)/E43</f>
        <v>#DIV/0!</v>
      </c>
      <c r="G43" s="9">
        <f>SUM([3]MESA_UA!$DJ$19:$DS$19)</f>
        <v>992</v>
      </c>
      <c r="H43" s="9">
        <f>SUM([3]MESA_UA!$CV$19:$DE$19)</f>
        <v>0</v>
      </c>
      <c r="I43" s="89" t="e">
        <f>(G43-H43)/H43</f>
        <v>#DIV/0!</v>
      </c>
      <c r="J43" s="55"/>
      <c r="K43" s="361" t="s">
        <v>56</v>
      </c>
      <c r="L43" s="356">
        <f>[3]MESA_UA!$DS$41</f>
        <v>8206</v>
      </c>
      <c r="M43" s="41">
        <f t="shared" si="8"/>
        <v>2.8614009357610958E-3</v>
      </c>
      <c r="N43" s="9">
        <f>[3]MESA_UA!$DE$41</f>
        <v>0</v>
      </c>
      <c r="O43" s="89" t="e">
        <f>(L43-N43)/N43</f>
        <v>#DIV/0!</v>
      </c>
      <c r="P43" s="9">
        <f>SUM([3]MESA_UA!$DJ$41:$DS$41)</f>
        <v>57400</v>
      </c>
      <c r="Q43" s="9">
        <f>SUM([3]MESA_UA!$CV$41:$DE$41)</f>
        <v>0</v>
      </c>
      <c r="R43" s="89" t="e">
        <f>(P43-Q43)/Q43</f>
        <v>#DIV/0!</v>
      </c>
      <c r="T43" s="21"/>
    </row>
    <row r="44" spans="1:21" s="7" customFormat="1" ht="14.1" customHeight="1" x14ac:dyDescent="0.2">
      <c r="A44" s="368"/>
      <c r="B44" s="360" t="s">
        <v>177</v>
      </c>
      <c r="C44" s="356">
        <f>'[3]Continental Express'!$DS$19</f>
        <v>460</v>
      </c>
      <c r="D44" s="41">
        <f>C44/$C$55</f>
        <v>2.9792746113989636E-2</v>
      </c>
      <c r="E44" s="9">
        <f>'[3]Continental Express'!$DE$19</f>
        <v>548</v>
      </c>
      <c r="F44" s="89">
        <f t="shared" si="6"/>
        <v>-0.16058394160583941</v>
      </c>
      <c r="G44" s="9">
        <f>SUM('[3]Continental Express'!$DJ$19:$DS$19)</f>
        <v>4298</v>
      </c>
      <c r="H44" s="9">
        <f>SUM('[3]Continental Express'!$CV$19:$DE$19)</f>
        <v>5106</v>
      </c>
      <c r="I44" s="89">
        <f t="shared" si="7"/>
        <v>-0.1582452017234626</v>
      </c>
      <c r="J44" s="55"/>
      <c r="K44" s="361" t="s">
        <v>177</v>
      </c>
      <c r="L44" s="356">
        <f>'[3]Continental Express'!$DS$41</f>
        <v>17536</v>
      </c>
      <c r="M44" s="41">
        <f t="shared" si="8"/>
        <v>6.1147363891672643E-3</v>
      </c>
      <c r="N44" s="9">
        <f>'[3]Continental Express'!$DE$41</f>
        <v>20226</v>
      </c>
      <c r="O44" s="89">
        <f t="shared" si="9"/>
        <v>-0.13299713240383665</v>
      </c>
      <c r="P44" s="9">
        <f>SUM('[3]Continental Express'!$DJ$41:$DS$41)</f>
        <v>178162</v>
      </c>
      <c r="Q44" s="9">
        <f>SUM('[3]Continental Express'!$CV$41:$DE$41)</f>
        <v>197971</v>
      </c>
      <c r="R44" s="89">
        <f t="shared" si="10"/>
        <v>-0.10006010981406367</v>
      </c>
      <c r="T44" s="21"/>
    </row>
    <row r="45" spans="1:21" s="7" customFormat="1" ht="14.1" customHeight="1" x14ac:dyDescent="0.2">
      <c r="A45" s="368"/>
      <c r="B45" s="360" t="s">
        <v>109</v>
      </c>
      <c r="C45" s="356">
        <f>'[3]Sky West_UA'!$DS$19</f>
        <v>472</v>
      </c>
      <c r="D45" s="41">
        <f>C45/$C$56</f>
        <v>1.4970344761965175E-2</v>
      </c>
      <c r="E45" s="9">
        <f>'[3]Sky West_UA'!$DE$19+'[3]Sky West_CO'!$DE$19</f>
        <v>364</v>
      </c>
      <c r="F45" s="89">
        <f t="shared" si="6"/>
        <v>0.2967032967032967</v>
      </c>
      <c r="G45" s="9">
        <f>SUM('[3]Sky West_UA'!$DJ$19:$DS$19)</f>
        <v>3072</v>
      </c>
      <c r="H45" s="9">
        <f>SUM('[3]Sky West_UA'!$CV$19:$DE$19)+SUM('[3]Sky West_CO'!$CV$19:$DE$19)</f>
        <v>2802</v>
      </c>
      <c r="I45" s="89">
        <f t="shared" si="7"/>
        <v>9.6359743040685231E-2</v>
      </c>
      <c r="J45" s="368"/>
      <c r="K45" s="361" t="s">
        <v>109</v>
      </c>
      <c r="L45" s="356">
        <f>'[3]Sky West_UA'!$DS$41</f>
        <v>28335</v>
      </c>
      <c r="M45" s="41">
        <f t="shared" si="8"/>
        <v>9.8803065457946197E-3</v>
      </c>
      <c r="N45" s="9">
        <f>'[3]Sky West_UA'!$DE$41+'[3]Sky West_CO'!$DE$41</f>
        <v>19936</v>
      </c>
      <c r="O45" s="89">
        <f t="shared" si="9"/>
        <v>0.4212981540930979</v>
      </c>
      <c r="P45" s="9">
        <f>SUM('[3]Sky West_UA'!$DJ$41:$DS$41)</f>
        <v>189293</v>
      </c>
      <c r="Q45" s="9">
        <f>SUM('[3]Sky West_UA'!$CV$41:$DE$41)+SUM('[3]Sky West_CO'!$CV$41:$DE$41)</f>
        <v>149950</v>
      </c>
      <c r="R45" s="89">
        <f t="shared" si="10"/>
        <v>0.26237412470823607</v>
      </c>
      <c r="T45" s="21"/>
    </row>
    <row r="46" spans="1:21" s="7" customFormat="1" ht="14.1" customHeight="1" x14ac:dyDescent="0.2">
      <c r="A46" s="368"/>
      <c r="B46" s="362" t="s">
        <v>147</v>
      </c>
      <c r="C46" s="356">
        <f>'[3]Shuttle America'!$DS$19</f>
        <v>330</v>
      </c>
      <c r="D46" s="41">
        <f>C46/$C$56</f>
        <v>1.0466554600526499E-2</v>
      </c>
      <c r="E46" s="9">
        <f>'[3]Shuttle America'!$DE$19</f>
        <v>524</v>
      </c>
      <c r="F46" s="89">
        <f t="shared" si="6"/>
        <v>-0.37022900763358779</v>
      </c>
      <c r="G46" s="9">
        <f>SUM('[3]Shuttle America'!$DJ$19:$DS$19)</f>
        <v>3228</v>
      </c>
      <c r="H46" s="9">
        <f>SUM('[3]Shuttle America'!$CV$19:$DE$19)</f>
        <v>5078</v>
      </c>
      <c r="I46" s="89">
        <f t="shared" si="7"/>
        <v>-0.36431666010240255</v>
      </c>
      <c r="J46" s="368"/>
      <c r="K46" s="362" t="s">
        <v>147</v>
      </c>
      <c r="L46" s="356">
        <f>'[3]Shuttle America'!$DS$41</f>
        <v>19343</v>
      </c>
      <c r="M46" s="41">
        <f t="shared" si="8"/>
        <v>6.7448304046340331E-3</v>
      </c>
      <c r="N46" s="9">
        <f>'[3]Shuttle America'!$DE$41</f>
        <v>28543</v>
      </c>
      <c r="O46" s="89">
        <f t="shared" si="9"/>
        <v>-0.32232070910556004</v>
      </c>
      <c r="P46" s="9">
        <f>SUM('[3]Shuttle America'!$DJ$41:$DS$41)</f>
        <v>199702</v>
      </c>
      <c r="Q46" s="9">
        <f>SUM('[3]Shuttle America'!$CV$41:$DE$41)</f>
        <v>284893</v>
      </c>
      <c r="R46" s="89">
        <f t="shared" si="10"/>
        <v>-0.29902805614739569</v>
      </c>
      <c r="T46" s="21"/>
    </row>
    <row r="47" spans="1:21" s="7" customFormat="1" ht="14.1" customHeight="1" x14ac:dyDescent="0.2">
      <c r="A47" s="368"/>
      <c r="B47" s="362"/>
      <c r="C47" s="356"/>
      <c r="D47" s="41"/>
      <c r="E47" s="9"/>
      <c r="F47" s="89"/>
      <c r="G47" s="9"/>
      <c r="H47" s="9"/>
      <c r="I47" s="89"/>
      <c r="J47" s="368"/>
      <c r="K47" s="362"/>
      <c r="L47" s="356"/>
      <c r="M47" s="41"/>
      <c r="N47" s="9"/>
      <c r="O47" s="89"/>
      <c r="P47" s="9"/>
      <c r="Q47" s="9"/>
      <c r="R47" s="89"/>
      <c r="T47" s="21"/>
    </row>
    <row r="48" spans="1:21" s="7" customFormat="1" ht="14.1" customHeight="1" x14ac:dyDescent="0.2">
      <c r="A48" s="363" t="s">
        <v>22</v>
      </c>
      <c r="B48" s="364"/>
      <c r="C48" s="352">
        <f>SUM(C49:C52)</f>
        <v>802</v>
      </c>
      <c r="D48" s="353">
        <f>C48/$C$56</f>
        <v>2.5436899362491674E-2</v>
      </c>
      <c r="E48" s="354">
        <f>SUM(E49:E52)</f>
        <v>891</v>
      </c>
      <c r="F48" s="355">
        <f>(C48-E48)/E48</f>
        <v>-9.9887766554433224E-2</v>
      </c>
      <c r="G48" s="354">
        <f>SUM(G49:G52)</f>
        <v>8380</v>
      </c>
      <c r="H48" s="354">
        <f>SUM(H49:H52)</f>
        <v>8994</v>
      </c>
      <c r="I48" s="355">
        <f>(G48-H48)/H48</f>
        <v>-6.8267734044918829E-2</v>
      </c>
      <c r="J48" s="363" t="s">
        <v>22</v>
      </c>
      <c r="K48" s="364"/>
      <c r="L48" s="352">
        <f>SUM(L49:L52)</f>
        <v>98566</v>
      </c>
      <c r="M48" s="353">
        <f>L48/$L$56</f>
        <v>3.4369588671000262E-2</v>
      </c>
      <c r="N48" s="354">
        <f>SUM(N49:N52)</f>
        <v>110915</v>
      </c>
      <c r="O48" s="355">
        <f>(L48-N48)/N48</f>
        <v>-0.11133751070639679</v>
      </c>
      <c r="P48" s="354">
        <f>SUM(P49:P52)</f>
        <v>1034444</v>
      </c>
      <c r="Q48" s="354">
        <f>SUM(Q49:Q52)</f>
        <v>1121439</v>
      </c>
      <c r="R48" s="355">
        <f>(P48-Q48)/Q48</f>
        <v>-7.757443784280732E-2</v>
      </c>
      <c r="T48" s="21"/>
      <c r="U48"/>
    </row>
    <row r="49" spans="1:21" s="7" customFormat="1" ht="14.1" customHeight="1" x14ac:dyDescent="0.2">
      <c r="A49" s="368"/>
      <c r="B49" s="360" t="s">
        <v>22</v>
      </c>
      <c r="C49" s="356">
        <f>'[3]US Airways'!$DS$19</f>
        <v>774</v>
      </c>
      <c r="D49" s="41">
        <f>C49/$C$56</f>
        <v>2.4548828063053061E-2</v>
      </c>
      <c r="E49" s="9">
        <f>'[3]US Airways'!$DE$19</f>
        <v>712</v>
      </c>
      <c r="F49" s="89">
        <f>(C49-E49)/E49</f>
        <v>8.7078651685393263E-2</v>
      </c>
      <c r="G49" s="9">
        <f>SUM('[3]US Airways'!$DJ$19:$DS$19)</f>
        <v>7033</v>
      </c>
      <c r="H49" s="9">
        <f>SUM('[3]US Airways'!$CV$19:$DE$19)</f>
        <v>6999</v>
      </c>
      <c r="I49" s="89">
        <f>(G49-H49)/H49</f>
        <v>4.857836833833405E-3</v>
      </c>
      <c r="J49" s="368"/>
      <c r="K49" s="360" t="s">
        <v>22</v>
      </c>
      <c r="L49" s="356">
        <f>'[3]US Airways'!$DS$41</f>
        <v>97116</v>
      </c>
      <c r="M49" s="41">
        <f>L49/$L$56</f>
        <v>3.3863979195390519E-2</v>
      </c>
      <c r="N49" s="9">
        <f>'[3]US Airways'!$DE$41</f>
        <v>98809</v>
      </c>
      <c r="O49" s="89">
        <f>(L49-N49)/N49</f>
        <v>-1.7134066734811607E-2</v>
      </c>
      <c r="P49" s="9">
        <f>SUM('[3]US Airways'!$DJ$41:$DS$41)</f>
        <v>950502</v>
      </c>
      <c r="Q49" s="9">
        <f>SUM('[3]US Airways'!$CV$41:$DE$41)</f>
        <v>995347</v>
      </c>
      <c r="R49" s="89">
        <f>(P49-Q49)/Q49</f>
        <v>-4.5054639236366816E-2</v>
      </c>
      <c r="T49" s="337"/>
    </row>
    <row r="50" spans="1:21" s="7" customFormat="1" ht="14.1" customHeight="1" x14ac:dyDescent="0.2">
      <c r="A50" s="368"/>
      <c r="B50" s="362" t="s">
        <v>57</v>
      </c>
      <c r="C50" s="356">
        <f>[3]Republic!$DS$19</f>
        <v>18</v>
      </c>
      <c r="D50" s="41">
        <f>C50/$C$56</f>
        <v>5.7090297821053631E-4</v>
      </c>
      <c r="E50" s="9">
        <f>[3]Republic!$DE$19</f>
        <v>179</v>
      </c>
      <c r="F50" s="89">
        <f>(C50-E50)/E50</f>
        <v>-0.8994413407821229</v>
      </c>
      <c r="G50" s="9">
        <f>SUM([3]Republic!$DJ$19:$DS$19)</f>
        <v>1168</v>
      </c>
      <c r="H50" s="9">
        <f>SUM([3]Republic!$CV$19:$DE$19)</f>
        <v>1939</v>
      </c>
      <c r="I50" s="89">
        <f>(G50-H50)/H50</f>
        <v>-0.39762764311500776</v>
      </c>
      <c r="J50" s="368"/>
      <c r="K50" s="362" t="s">
        <v>57</v>
      </c>
      <c r="L50" s="356">
        <f>[3]Republic!$DS$41</f>
        <v>916</v>
      </c>
      <c r="M50" s="41">
        <f>L50/$L$56</f>
        <v>3.1940571010933021E-4</v>
      </c>
      <c r="N50" s="9">
        <f>[3]Republic!$DE$41</f>
        <v>12106</v>
      </c>
      <c r="O50" s="89">
        <f>(L50-N50)/N50</f>
        <v>-0.92433504047579718</v>
      </c>
      <c r="P50" s="9">
        <f>SUM([3]Republic!$DJ$41:$DS$41)</f>
        <v>70583</v>
      </c>
      <c r="Q50" s="9">
        <f>SUM([3]Republic!$CV$41:$DE$41)</f>
        <v>123701</v>
      </c>
      <c r="R50" s="89">
        <f>(P50-Q50)/Q50</f>
        <v>-0.4294063912175326</v>
      </c>
      <c r="T50" s="334"/>
    </row>
    <row r="51" spans="1:21" s="7" customFormat="1" ht="14.1" customHeight="1" x14ac:dyDescent="0.2">
      <c r="A51" s="368"/>
      <c r="B51" s="361" t="s">
        <v>108</v>
      </c>
      <c r="C51" s="356">
        <f>[3]MESA!$DS$19</f>
        <v>10</v>
      </c>
      <c r="D51" s="41">
        <f>C51/$C$56</f>
        <v>3.1716832122807577E-4</v>
      </c>
      <c r="E51" s="9">
        <f>[3]MESA!$DE$19</f>
        <v>0</v>
      </c>
      <c r="F51" s="89" t="e">
        <f>(C51-E51)/E51</f>
        <v>#DIV/0!</v>
      </c>
      <c r="G51" s="9">
        <f>SUM([3]MESA!$DJ$19:$DS$19)</f>
        <v>138</v>
      </c>
      <c r="H51" s="9">
        <f>SUM([3]MESA!$CV$19:$DE$19)</f>
        <v>0</v>
      </c>
      <c r="I51" s="89" t="e">
        <f>(G51-H51)/H51</f>
        <v>#DIV/0!</v>
      </c>
      <c r="J51" s="368"/>
      <c r="K51" s="361" t="s">
        <v>108</v>
      </c>
      <c r="L51" s="356">
        <f>[3]MESA!$DS$41</f>
        <v>534</v>
      </c>
      <c r="M51" s="41">
        <f>L51/$L$56</f>
        <v>1.8620376550041739E-4</v>
      </c>
      <c r="N51" s="9">
        <f>[3]MESA!$DE$41</f>
        <v>0</v>
      </c>
      <c r="O51" s="89" t="e">
        <f>(L51-N51)/N51</f>
        <v>#DIV/0!</v>
      </c>
      <c r="P51" s="9">
        <f>SUM([3]MESA!$DJ$41:$DS$41)</f>
        <v>11687</v>
      </c>
      <c r="Q51" s="9">
        <f>SUM([3]MESA!$CV$41:$DE$41)</f>
        <v>0</v>
      </c>
      <c r="R51" s="89" t="e">
        <f>(P51-Q51)/Q51</f>
        <v>#DIV/0!</v>
      </c>
      <c r="T51" s="334"/>
      <c r="U51"/>
    </row>
    <row r="52" spans="1:21" ht="14.1" customHeight="1" thickBot="1" x14ac:dyDescent="0.25">
      <c r="A52" s="369"/>
      <c r="B52" s="370" t="s">
        <v>54</v>
      </c>
      <c r="C52" s="371">
        <f>'[3]Air Wisconsin'!$DS$19</f>
        <v>0</v>
      </c>
      <c r="D52" s="372">
        <f>C52/$C$56</f>
        <v>0</v>
      </c>
      <c r="E52" s="374">
        <f>'[3]Air Wisconsin'!$DE$19</f>
        <v>0</v>
      </c>
      <c r="F52" s="373" t="e">
        <f>(C52-E52)/E52</f>
        <v>#DIV/0!</v>
      </c>
      <c r="G52" s="374">
        <f>SUM('[3]Air Wisconsin'!$DJ$19:$DS$19)</f>
        <v>41</v>
      </c>
      <c r="H52" s="374">
        <f>SUM('[3]Air Wisconsin'!$CV$19:$DE$19)</f>
        <v>56</v>
      </c>
      <c r="I52" s="398">
        <f>(G52-H52)/H52</f>
        <v>-0.26785714285714285</v>
      </c>
      <c r="J52" s="369"/>
      <c r="K52" s="370" t="s">
        <v>54</v>
      </c>
      <c r="L52" s="371">
        <f>'[3]Air Wisconsin'!$DS$41</f>
        <v>0</v>
      </c>
      <c r="M52" s="372">
        <f>L52/$L$56</f>
        <v>0</v>
      </c>
      <c r="N52" s="374">
        <f>'[3]Air Wisconsin'!$DE$41</f>
        <v>0</v>
      </c>
      <c r="O52" s="373" t="e">
        <f>(L52-N52)/N52</f>
        <v>#DIV/0!</v>
      </c>
      <c r="P52" s="374">
        <f>SUM('[3]Air Wisconsin'!$DJ$41:$DS$41)</f>
        <v>1672</v>
      </c>
      <c r="Q52" s="374">
        <f>SUM('[3]Air Wisconsin'!$CV$41:$DE$41)</f>
        <v>2391</v>
      </c>
      <c r="R52" s="373">
        <f>(P52-Q52)/Q52</f>
        <v>-0.30071099958176495</v>
      </c>
      <c r="T52" s="21"/>
      <c r="U52" s="230"/>
    </row>
    <row r="53" spans="1:21" s="233" customFormat="1" ht="14.1" customHeight="1" x14ac:dyDescent="0.2">
      <c r="B53" s="263"/>
      <c r="C53" s="375"/>
      <c r="D53" s="353"/>
      <c r="E53" s="354"/>
      <c r="F53" s="353"/>
      <c r="G53" s="376"/>
      <c r="H53" s="354"/>
      <c r="I53" s="377"/>
      <c r="J53" s="378"/>
      <c r="K53" s="263"/>
      <c r="L53" s="379"/>
      <c r="M53" s="378"/>
      <c r="N53" s="380"/>
      <c r="O53" s="378"/>
      <c r="P53" s="234"/>
      <c r="Q53" s="234"/>
      <c r="R53" s="234"/>
      <c r="T53" s="232"/>
      <c r="U53"/>
    </row>
    <row r="54" spans="1:21" ht="14.1" customHeight="1" x14ac:dyDescent="0.2">
      <c r="B54" s="381" t="s">
        <v>149</v>
      </c>
      <c r="C54" s="382">
        <f>+C56-C55</f>
        <v>16089</v>
      </c>
      <c r="D54" s="451">
        <f>C54/$C$56</f>
        <v>0.51029211202385105</v>
      </c>
      <c r="E54" s="382">
        <f>+E56-E55</f>
        <v>16337</v>
      </c>
      <c r="F54" s="384">
        <f>(C54-E54)/E54</f>
        <v>-1.5180265654648957E-2</v>
      </c>
      <c r="G54" s="382">
        <f>+G56-G55</f>
        <v>159328</v>
      </c>
      <c r="H54" s="382">
        <f>+H56-H55</f>
        <v>162288</v>
      </c>
      <c r="I54" s="385">
        <f>(G54-H54)/H54</f>
        <v>-1.8239179729862959E-2</v>
      </c>
      <c r="K54" s="381" t="s">
        <v>149</v>
      </c>
      <c r="L54" s="382">
        <f>+L56-L55</f>
        <v>2063309</v>
      </c>
      <c r="M54" s="383">
        <f>+L54/L56</f>
        <v>0.71946798724887773</v>
      </c>
      <c r="N54" s="382">
        <f>+N56-N55</f>
        <v>1913869</v>
      </c>
      <c r="O54" s="384">
        <f>(L54-N54)/N54</f>
        <v>7.8082669190002035E-2</v>
      </c>
      <c r="P54" s="382">
        <f>+P56-P55</f>
        <v>20927712</v>
      </c>
      <c r="Q54" s="382">
        <f>+Q56-Q55</f>
        <v>19470145</v>
      </c>
      <c r="R54" s="385">
        <f>(P54-Q54)/Q54</f>
        <v>7.4861640732516374E-2</v>
      </c>
    </row>
    <row r="55" spans="1:21" ht="14.1" customHeight="1" x14ac:dyDescent="0.2">
      <c r="B55" s="335" t="s">
        <v>150</v>
      </c>
      <c r="C55" s="386">
        <f>+C52+C51+C50+C46+C23+C21+C19+C18+C4+C22+C12+C45+C20+C44+C41+C42+C43</f>
        <v>15440</v>
      </c>
      <c r="D55" s="452">
        <f>C55/$C$56</f>
        <v>0.48970788797614895</v>
      </c>
      <c r="E55" s="386">
        <f>+E52+E51+E50+E46+E23+E21+E19+E18+E4+E22+E12+E45+E20+E44+E41+E42+E43</f>
        <v>17442</v>
      </c>
      <c r="F55" s="388">
        <f>(C55-E55)/E55</f>
        <v>-0.11478041509001262</v>
      </c>
      <c r="G55" s="386">
        <f>+G52+G51+G50+G46+G23+G21+G19+G18+G4+G22+G12+G45+G20+G44+G41+G42+G43</f>
        <v>157564</v>
      </c>
      <c r="H55" s="386">
        <f>+H52+H51+H50+H46+H23+H21+H19+H18+H4+H22+H12+H45+H20+H44+H41+H42+H43</f>
        <v>172008</v>
      </c>
      <c r="I55" s="389">
        <f>(G55-H55)/H55</f>
        <v>-8.397283847262918E-2</v>
      </c>
      <c r="K55" s="335" t="s">
        <v>150</v>
      </c>
      <c r="L55" s="386">
        <f>+L52+L51+L50+L46+L23+L21+L19+L18+L4+L22+L12+L45+L20+L44+L41+L42+L43</f>
        <v>804517</v>
      </c>
      <c r="M55" s="387">
        <f>+L55/L56</f>
        <v>0.28053201275112227</v>
      </c>
      <c r="N55" s="386">
        <f>+N52+N51+N50+N46+N23+N21+N19+N18+N4+N22+N12+N45+N20+N44+N41+N42+N43</f>
        <v>840309</v>
      </c>
      <c r="O55" s="388">
        <f>(L55-N55)/N55</f>
        <v>-4.2593855355589433E-2</v>
      </c>
      <c r="P55" s="386">
        <f>+P52+P51+P50+P46+P23+P21+P19+P18+P4+P22+P12+P45+P20+P44+P41+P42+P43</f>
        <v>8030620</v>
      </c>
      <c r="Q55" s="386">
        <f>+Q52+Q51+Q50+Q46+Q23+Q21+Q19+Q18+Q4+Q22+Q12+Q45+Q20+Q44+Q41+Q42+Q43</f>
        <v>8200646</v>
      </c>
      <c r="R55" s="389">
        <f>(P55-Q55)/Q55</f>
        <v>-2.073324467365132E-2</v>
      </c>
    </row>
    <row r="56" spans="1:21" ht="14.1" customHeight="1" x14ac:dyDescent="0.2">
      <c r="B56" s="335" t="s">
        <v>151</v>
      </c>
      <c r="C56" s="390">
        <f>+C48+C39+C37+C31+C29+C25+C16+C10+C8+C4+C27+C35+C6+C14</f>
        <v>31529</v>
      </c>
      <c r="D56" s="453">
        <f>+C56/C56</f>
        <v>1</v>
      </c>
      <c r="E56" s="390">
        <f>+E48+E39+E37+E31+E29+E25+E16+E10+E8+E4+E27+E35+E6+E14</f>
        <v>33779</v>
      </c>
      <c r="F56" s="392">
        <f>(C56-E56)/E56</f>
        <v>-6.6609431895556417E-2</v>
      </c>
      <c r="G56" s="390">
        <f>+G48+G39+G37+G31+G29+G25+G16+G10+G8+G4+G27+G35+G6+G14</f>
        <v>316892</v>
      </c>
      <c r="H56" s="390">
        <f>+H48+H39+H37+H31+H29+H25+H16+H10+H8+H4+H27+H35+H6+H14</f>
        <v>334296</v>
      </c>
      <c r="I56" s="393">
        <f>(G56-H56)/H56</f>
        <v>-5.2061645966448897E-2</v>
      </c>
      <c r="K56" s="335" t="s">
        <v>151</v>
      </c>
      <c r="L56" s="390">
        <f>+L48+L39+L37+L31+L29+L25+L16+L10+L8+L4+L27+L35+L6+L14</f>
        <v>2867826</v>
      </c>
      <c r="M56" s="391">
        <f>+L56/L56</f>
        <v>1</v>
      </c>
      <c r="N56" s="390">
        <f>+N48+N39+N37+N31+N29+N25+N16+N10+N8+N4+N27+N35+N6+N14</f>
        <v>2754178</v>
      </c>
      <c r="O56" s="392">
        <f>(L56-N56)/N56</f>
        <v>4.126385440592438E-2</v>
      </c>
      <c r="P56" s="390">
        <f>+P48+P39+P37+P31+P29+P25+P16+P10+P8+P4+P27+P35+P6+P14</f>
        <v>28958332</v>
      </c>
      <c r="Q56" s="390">
        <f>+Q48+Q39+Q37+Q31+Q29+Q25+Q16+Q10+Q8+Q4+Q27+Q35+Q6+Q14</f>
        <v>27670791</v>
      </c>
      <c r="R56" s="393">
        <f>(P56-Q56)/Q56</f>
        <v>4.6530690069539395E-2</v>
      </c>
    </row>
    <row r="57" spans="1:21" x14ac:dyDescent="0.2">
      <c r="B57" s="335"/>
      <c r="F57" s="39"/>
      <c r="G57" s="235"/>
      <c r="H57" s="5"/>
      <c r="I57" s="39"/>
      <c r="K57" s="11"/>
      <c r="L57" s="4"/>
      <c r="M57" s="231"/>
      <c r="N57" s="4"/>
      <c r="O57" s="231"/>
      <c r="P57" s="4"/>
      <c r="Q57" s="7"/>
      <c r="R57" s="7"/>
    </row>
    <row r="58" spans="1:21" x14ac:dyDescent="0.2">
      <c r="B58" s="263"/>
      <c r="D58" s="4"/>
      <c r="E58" s="231"/>
      <c r="F58" s="231"/>
      <c r="G58" s="7"/>
      <c r="H58" s="7"/>
      <c r="I58"/>
      <c r="J58"/>
      <c r="K58"/>
      <c r="M58"/>
      <c r="O58"/>
      <c r="P58" s="2"/>
      <c r="Q58" s="2"/>
    </row>
    <row r="59" spans="1:21" x14ac:dyDescent="0.2">
      <c r="B59" s="335"/>
      <c r="D59" s="4"/>
      <c r="E59" s="441"/>
      <c r="F59" s="231"/>
      <c r="G59" s="4"/>
      <c r="H59" s="4"/>
      <c r="I59"/>
      <c r="J59"/>
      <c r="K59"/>
      <c r="M59"/>
      <c r="O59"/>
      <c r="P59" s="2"/>
      <c r="Q59" s="2"/>
    </row>
    <row r="60" spans="1:21" x14ac:dyDescent="0.2">
      <c r="B60" s="263"/>
      <c r="D60" s="4"/>
      <c r="E60" s="441"/>
      <c r="F60" s="231"/>
      <c r="G60" s="4"/>
      <c r="H60" s="4"/>
      <c r="I60"/>
      <c r="J60"/>
      <c r="K60"/>
      <c r="M60"/>
      <c r="O60"/>
      <c r="P60" s="2"/>
      <c r="Q60" s="2"/>
    </row>
    <row r="61" spans="1:21" x14ac:dyDescent="0.2">
      <c r="D61" s="4"/>
      <c r="E61" s="231"/>
      <c r="F61" s="231"/>
      <c r="G61" s="4"/>
      <c r="H61" s="7"/>
      <c r="I61"/>
      <c r="J61"/>
      <c r="K61"/>
      <c r="L61"/>
      <c r="M61"/>
      <c r="N61"/>
      <c r="O61"/>
      <c r="P61" s="134"/>
    </row>
    <row r="62" spans="1:21" x14ac:dyDescent="0.2">
      <c r="D62" s="4"/>
      <c r="E62" s="231"/>
      <c r="F62" s="231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F1184" s="39"/>
      <c r="G1184" s="235"/>
      <c r="H1184" s="5"/>
      <c r="I1184" s="39"/>
      <c r="K1184" s="11"/>
    </row>
    <row r="1185" spans="6:11" x14ac:dyDescent="0.2">
      <c r="F1185" s="39"/>
      <c r="G1185" s="235"/>
      <c r="H1185" s="5"/>
      <c r="I1185" s="39"/>
      <c r="K1185" s="11"/>
    </row>
    <row r="1186" spans="6:11" x14ac:dyDescent="0.2">
      <c r="G1186" s="235"/>
      <c r="H1186" s="5"/>
      <c r="I1186" s="39"/>
      <c r="K1186" s="11"/>
    </row>
    <row r="1187" spans="6:11" x14ac:dyDescent="0.2">
      <c r="G1187" s="235"/>
      <c r="H1187" s="5"/>
      <c r="I1187" s="39"/>
      <c r="K1187" s="11"/>
    </row>
    <row r="1188" spans="6:11" x14ac:dyDescent="0.2">
      <c r="G1188" s="235"/>
      <c r="H1188" s="5"/>
      <c r="I1188" s="39"/>
      <c r="K1188" s="11"/>
    </row>
    <row r="1189" spans="6:11" x14ac:dyDescent="0.2">
      <c r="G1189" s="235"/>
      <c r="H1189" s="5"/>
      <c r="I1189" s="39"/>
      <c r="K1189" s="11"/>
    </row>
    <row r="1190" spans="6:11" x14ac:dyDescent="0.2">
      <c r="G1190" s="235"/>
      <c r="H1190" s="5"/>
      <c r="I1190" s="39"/>
      <c r="K1190" s="11"/>
    </row>
    <row r="1191" spans="6:11" x14ac:dyDescent="0.2">
      <c r="G1191" s="235"/>
      <c r="H1191" s="5"/>
      <c r="I1191" s="39"/>
      <c r="K1191" s="11"/>
    </row>
    <row r="1192" spans="6:11" x14ac:dyDescent="0.2">
      <c r="G1192" s="235"/>
      <c r="H1192" s="5"/>
      <c r="I1192" s="39"/>
      <c r="K1192" s="11"/>
    </row>
    <row r="1193" spans="6:11" x14ac:dyDescent="0.2">
      <c r="G1193" s="235"/>
      <c r="H1193" s="5"/>
      <c r="I1193" s="39"/>
      <c r="K1193" s="11"/>
    </row>
    <row r="1194" spans="6:11" x14ac:dyDescent="0.2">
      <c r="G1194" s="235"/>
      <c r="H1194" s="5"/>
      <c r="I1194" s="39"/>
      <c r="K1194" s="11"/>
    </row>
    <row r="1195" spans="6:11" x14ac:dyDescent="0.2">
      <c r="G1195" s="235"/>
      <c r="H1195" s="5"/>
      <c r="I1195" s="39"/>
      <c r="K1195" s="11"/>
    </row>
    <row r="1196" spans="6:11" x14ac:dyDescent="0.2">
      <c r="G1196" s="235"/>
      <c r="H1196" s="5"/>
      <c r="I1196" s="39"/>
      <c r="K1196" s="11"/>
    </row>
    <row r="1197" spans="6:11" x14ac:dyDescent="0.2">
      <c r="G1197" s="235"/>
      <c r="H1197" s="5"/>
      <c r="I1197" s="39"/>
      <c r="K1197" s="11"/>
    </row>
    <row r="1198" spans="6:11" x14ac:dyDescent="0.2">
      <c r="G1198" s="235"/>
      <c r="H1198" s="5"/>
      <c r="I1198" s="39"/>
      <c r="K1198" s="11"/>
    </row>
    <row r="1199" spans="6:11" x14ac:dyDescent="0.2">
      <c r="G1199" s="235"/>
      <c r="H1199" s="5"/>
      <c r="I1199" s="39"/>
      <c r="K1199" s="11"/>
    </row>
    <row r="1200" spans="6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  <row r="4699" spans="7:11" x14ac:dyDescent="0.2">
      <c r="G4699" s="235"/>
      <c r="H4699" s="5"/>
      <c r="I4699" s="39"/>
      <c r="K4699" s="11"/>
    </row>
    <row r="4700" spans="7:11" x14ac:dyDescent="0.2">
      <c r="G4700" s="235"/>
      <c r="H4700" s="5"/>
      <c r="I4700" s="39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October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M22" sqref="M22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99">
        <v>41913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182</v>
      </c>
      <c r="G1" s="12" t="s">
        <v>215</v>
      </c>
      <c r="H1" s="12" t="s">
        <v>198</v>
      </c>
      <c r="I1" s="12" t="s">
        <v>23</v>
      </c>
      <c r="J1" s="277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85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[3]American!$DS$22</f>
        <v>36406</v>
      </c>
      <c r="C4" s="22">
        <f>[3]Delta!$DS$22+[3]Delta!$DS$32</f>
        <v>709079</v>
      </c>
      <c r="D4" s="22">
        <f>[3]United!$DS$22</f>
        <v>19348</v>
      </c>
      <c r="E4" s="22">
        <f>'[3]US Airways'!$DS$22</f>
        <v>47292</v>
      </c>
      <c r="F4" s="22">
        <f>[3]Spirit!$DS$22</f>
        <v>40666</v>
      </c>
      <c r="G4" s="22">
        <f>[3]Condor!$DS$22+[3]Condor!$DS$32</f>
        <v>0</v>
      </c>
      <c r="H4" s="22">
        <f>'[3]Air France'!$DS$22+'[3]Air France'!$DS$32</f>
        <v>0</v>
      </c>
      <c r="I4" s="22">
        <f>'Other Major Airline Stats'!I5</f>
        <v>173147</v>
      </c>
      <c r="J4" s="286">
        <f>SUM(B4:I4)</f>
        <v>1025938</v>
      </c>
    </row>
    <row r="5" spans="1:19" x14ac:dyDescent="0.2">
      <c r="A5" s="65" t="s">
        <v>34</v>
      </c>
      <c r="B5" s="14">
        <f>[3]American!$DS$23</f>
        <v>38109</v>
      </c>
      <c r="C5" s="14">
        <f>[3]Delta!$DS$23+[3]Delta!$DS$33</f>
        <v>712373</v>
      </c>
      <c r="D5" s="14">
        <f>[3]United!$DS$23</f>
        <v>20054</v>
      </c>
      <c r="E5" s="14">
        <f>'[3]US Airways'!$DS$23</f>
        <v>49824</v>
      </c>
      <c r="F5" s="14">
        <f>[3]Spirit!$DS$23</f>
        <v>40891</v>
      </c>
      <c r="G5" s="14">
        <f>[3]Condor!$DS$23+[3]Condor!$DS$33</f>
        <v>0</v>
      </c>
      <c r="H5" s="14">
        <f>'[3]Air France'!$DS$23+'[3]Air France'!$DS$33</f>
        <v>0</v>
      </c>
      <c r="I5" s="14">
        <f>'Other Major Airline Stats'!I6</f>
        <v>176120</v>
      </c>
      <c r="J5" s="287">
        <f>SUM(B5:I5)</f>
        <v>1037371</v>
      </c>
      <c r="L5" s="315"/>
      <c r="M5" s="315"/>
      <c r="N5" s="315"/>
      <c r="O5" s="315"/>
      <c r="P5" s="315"/>
      <c r="Q5" s="315"/>
      <c r="R5" s="315"/>
      <c r="S5" s="315"/>
    </row>
    <row r="6" spans="1:19" ht="15" x14ac:dyDescent="0.25">
      <c r="A6" s="63" t="s">
        <v>7</v>
      </c>
      <c r="B6" s="36">
        <f t="shared" ref="B6:I6" si="0">SUM(B4:B5)</f>
        <v>74515</v>
      </c>
      <c r="C6" s="36">
        <f t="shared" si="0"/>
        <v>1421452</v>
      </c>
      <c r="D6" s="36">
        <f t="shared" si="0"/>
        <v>39402</v>
      </c>
      <c r="E6" s="36">
        <f t="shared" si="0"/>
        <v>97116</v>
      </c>
      <c r="F6" s="36">
        <f t="shared" si="0"/>
        <v>81557</v>
      </c>
      <c r="G6" s="36">
        <f t="shared" si="0"/>
        <v>0</v>
      </c>
      <c r="H6" s="36">
        <f t="shared" si="0"/>
        <v>0</v>
      </c>
      <c r="I6" s="36">
        <f t="shared" si="0"/>
        <v>349267</v>
      </c>
      <c r="J6" s="288">
        <f>SUM(B6:I6)</f>
        <v>2063309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86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86">
        <f>SUM(B8:I8)</f>
        <v>0</v>
      </c>
    </row>
    <row r="9" spans="1:19" x14ac:dyDescent="0.2">
      <c r="A9" s="65" t="s">
        <v>33</v>
      </c>
      <c r="B9" s="22">
        <f>[3]American!$DS$27</f>
        <v>1687</v>
      </c>
      <c r="C9" s="22">
        <f>[3]Delta!$DS$27+[3]Delta!$DS$37</f>
        <v>27203</v>
      </c>
      <c r="D9" s="22">
        <f>[3]United!$DS$27</f>
        <v>540</v>
      </c>
      <c r="E9" s="22">
        <f>'[3]US Airways'!$DS$27</f>
        <v>1519</v>
      </c>
      <c r="F9" s="22">
        <f>[3]Spirit!$DS$27</f>
        <v>338</v>
      </c>
      <c r="G9" s="22">
        <f>[3]Condor!$DS$27+[3]Condor!$DS$37</f>
        <v>0</v>
      </c>
      <c r="H9" s="22">
        <f>'[3]Air France'!$DS$27+'[3]Air France'!$DS$37</f>
        <v>0</v>
      </c>
      <c r="I9" s="22">
        <f>'Other Major Airline Stats'!I10</f>
        <v>3457</v>
      </c>
      <c r="J9" s="286">
        <f>SUM(B9:I9)</f>
        <v>34744</v>
      </c>
    </row>
    <row r="10" spans="1:19" x14ac:dyDescent="0.2">
      <c r="A10" s="65" t="s">
        <v>36</v>
      </c>
      <c r="B10" s="14">
        <f>[3]American!$DS$28</f>
        <v>1532</v>
      </c>
      <c r="C10" s="14">
        <f>[3]Delta!$DS$28+[3]Delta!$DS$38</f>
        <v>27078</v>
      </c>
      <c r="D10" s="14">
        <f>[3]United!$DS$28</f>
        <v>696</v>
      </c>
      <c r="E10" s="14">
        <f>'[3]US Airways'!$DS$28</f>
        <v>1645</v>
      </c>
      <c r="F10" s="14">
        <f>[3]Spirit!$DS$28</f>
        <v>258</v>
      </c>
      <c r="G10" s="14">
        <f>[3]Condor!$DS$28+[3]Condor!$DS$38</f>
        <v>0</v>
      </c>
      <c r="H10" s="14">
        <f>'[3]Air France'!$DS$28+'[3]Air France'!$DS$38</f>
        <v>0</v>
      </c>
      <c r="I10" s="14">
        <f>'Other Major Airline Stats'!I11</f>
        <v>3408</v>
      </c>
      <c r="J10" s="287">
        <f>SUM(B10:I10)</f>
        <v>34617</v>
      </c>
    </row>
    <row r="11" spans="1:19" ht="15.75" thickBot="1" x14ac:dyDescent="0.3">
      <c r="A11" s="66" t="s">
        <v>37</v>
      </c>
      <c r="B11" s="289">
        <f t="shared" ref="B11:I11" si="1">SUM(B9:B10)</f>
        <v>3219</v>
      </c>
      <c r="C11" s="289">
        <f t="shared" si="1"/>
        <v>54281</v>
      </c>
      <c r="D11" s="289">
        <f t="shared" si="1"/>
        <v>1236</v>
      </c>
      <c r="E11" s="289">
        <f t="shared" si="1"/>
        <v>3164</v>
      </c>
      <c r="F11" s="289">
        <f t="shared" si="1"/>
        <v>596</v>
      </c>
      <c r="G11" s="289">
        <f t="shared" si="1"/>
        <v>0</v>
      </c>
      <c r="H11" s="289">
        <f t="shared" si="1"/>
        <v>0</v>
      </c>
      <c r="I11" s="289">
        <f t="shared" si="1"/>
        <v>6865</v>
      </c>
      <c r="J11" s="290">
        <f>SUM(B11:I11)</f>
        <v>69361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[3]American!$DS$4</f>
        <v>32</v>
      </c>
      <c r="C15" s="22">
        <f>[3]Delta!$DS$4+[3]Delta!$DS$15</f>
        <v>5261</v>
      </c>
      <c r="D15" s="22">
        <f>[3]United!$DS$4</f>
        <v>169</v>
      </c>
      <c r="E15" s="22">
        <f>'[3]US Airways'!$DS$4</f>
        <v>387</v>
      </c>
      <c r="F15" s="22">
        <f>[3]Spirit!$DS$4</f>
        <v>337</v>
      </c>
      <c r="G15" s="22">
        <f>[3]Condor!$DS$4+[3]Condor!$DS$15</f>
        <v>0</v>
      </c>
      <c r="H15" s="22">
        <f>'[3]Air France'!$DS$4+'[3]Air France'!$DS$15</f>
        <v>0</v>
      </c>
      <c r="I15" s="22">
        <f>'Other Major Airline Stats'!I16</f>
        <v>1654</v>
      </c>
      <c r="J15" s="29">
        <f>SUM(B15:I15)</f>
        <v>7840</v>
      </c>
    </row>
    <row r="16" spans="1:19" x14ac:dyDescent="0.2">
      <c r="A16" s="65" t="s">
        <v>26</v>
      </c>
      <c r="B16" s="14">
        <f>[3]American!$DS$5</f>
        <v>320</v>
      </c>
      <c r="C16" s="14">
        <f>[3]Delta!$DS$5+[3]Delta!$DS$16</f>
        <v>5261</v>
      </c>
      <c r="D16" s="14">
        <f>[3]United!$DS$5</f>
        <v>169</v>
      </c>
      <c r="E16" s="14">
        <f>'[3]US Airways'!$DS$5</f>
        <v>387</v>
      </c>
      <c r="F16" s="14">
        <f>[3]Spirit!$DS$5</f>
        <v>337</v>
      </c>
      <c r="G16" s="14">
        <f>[3]Condor!$DS$5+[3]Condor!$DS$16</f>
        <v>0</v>
      </c>
      <c r="H16" s="14">
        <f>'[3]Air France'!$DS$5+'[3]Air France'!$DS$16</f>
        <v>0</v>
      </c>
      <c r="I16" s="14">
        <f>'Other Major Airline Stats'!I17</f>
        <v>1657</v>
      </c>
      <c r="J16" s="35">
        <f>SUM(B16:I16)</f>
        <v>8131</v>
      </c>
    </row>
    <row r="17" spans="1:10" x14ac:dyDescent="0.2">
      <c r="A17" s="65" t="s">
        <v>27</v>
      </c>
      <c r="B17" s="293">
        <f t="shared" ref="B17:I17" si="2">SUM(B15:B16)</f>
        <v>352</v>
      </c>
      <c r="C17" s="291">
        <f t="shared" si="2"/>
        <v>10522</v>
      </c>
      <c r="D17" s="291">
        <f t="shared" si="2"/>
        <v>338</v>
      </c>
      <c r="E17" s="291">
        <f t="shared" si="2"/>
        <v>774</v>
      </c>
      <c r="F17" s="291">
        <f t="shared" si="2"/>
        <v>674</v>
      </c>
      <c r="G17" s="291">
        <f t="shared" si="2"/>
        <v>0</v>
      </c>
      <c r="H17" s="291">
        <f t="shared" si="2"/>
        <v>0</v>
      </c>
      <c r="I17" s="291">
        <f t="shared" si="2"/>
        <v>3311</v>
      </c>
      <c r="J17" s="292">
        <f>SUM(B17:I17)</f>
        <v>15971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[3]American!$DS$8</f>
        <v>0</v>
      </c>
      <c r="C19" s="22">
        <f>[3]Delta!$DS$8</f>
        <v>4</v>
      </c>
      <c r="D19" s="22">
        <f>[3]United!$DS$8</f>
        <v>0</v>
      </c>
      <c r="E19" s="22">
        <f>'[3]US Airways'!$DS$8</f>
        <v>0</v>
      </c>
      <c r="F19" s="22">
        <f>[3]Spirit!$DS$8</f>
        <v>0</v>
      </c>
      <c r="G19" s="22">
        <f>[3]Condor!$DS$8</f>
        <v>0</v>
      </c>
      <c r="H19" s="22">
        <f>'[3]Air France'!$DS$8</f>
        <v>0</v>
      </c>
      <c r="I19" s="22">
        <f>'Other Major Airline Stats'!I20</f>
        <v>54</v>
      </c>
      <c r="J19" s="29">
        <f>SUM(B19:I19)</f>
        <v>58</v>
      </c>
    </row>
    <row r="20" spans="1:10" x14ac:dyDescent="0.2">
      <c r="A20" s="65" t="s">
        <v>29</v>
      </c>
      <c r="B20" s="14">
        <f>[3]American!$DS$9</f>
        <v>0</v>
      </c>
      <c r="C20" s="14">
        <f>[3]Delta!$DS$9</f>
        <v>4</v>
      </c>
      <c r="D20" s="14">
        <f>[3]United!$DS$9</f>
        <v>0</v>
      </c>
      <c r="E20" s="14">
        <f>'[3]US Airways'!$DS$9</f>
        <v>0</v>
      </c>
      <c r="F20" s="14">
        <f>[3]Spirit!$DS$9</f>
        <v>0</v>
      </c>
      <c r="G20" s="14">
        <f>[3]Condor!$DS$9</f>
        <v>0</v>
      </c>
      <c r="H20" s="14">
        <f>'[3]Air France'!$DS$9</f>
        <v>0</v>
      </c>
      <c r="I20" s="14">
        <f>'Other Major Airline Stats'!I21</f>
        <v>56</v>
      </c>
      <c r="J20" s="35">
        <f>SUM(B20:I20)</f>
        <v>60</v>
      </c>
    </row>
    <row r="21" spans="1:10" x14ac:dyDescent="0.2">
      <c r="A21" s="65" t="s">
        <v>30</v>
      </c>
      <c r="B21" s="293">
        <f t="shared" ref="B21:I21" si="3">SUM(B19:B20)</f>
        <v>0</v>
      </c>
      <c r="C21" s="291">
        <f t="shared" si="3"/>
        <v>8</v>
      </c>
      <c r="D21" s="291">
        <f t="shared" si="3"/>
        <v>0</v>
      </c>
      <c r="E21" s="291">
        <f t="shared" si="3"/>
        <v>0</v>
      </c>
      <c r="F21" s="291">
        <f t="shared" si="3"/>
        <v>0</v>
      </c>
      <c r="G21" s="291">
        <f t="shared" si="3"/>
        <v>0</v>
      </c>
      <c r="H21" s="291">
        <f t="shared" si="3"/>
        <v>0</v>
      </c>
      <c r="I21" s="291">
        <f t="shared" si="3"/>
        <v>110</v>
      </c>
      <c r="J21" s="180">
        <f>SUM(B21:I21)</f>
        <v>118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352</v>
      </c>
      <c r="C23" s="30">
        <f t="shared" si="4"/>
        <v>10530</v>
      </c>
      <c r="D23" s="30">
        <f t="shared" si="4"/>
        <v>338</v>
      </c>
      <c r="E23" s="30">
        <f t="shared" si="4"/>
        <v>774</v>
      </c>
      <c r="F23" s="30">
        <f>F17+F21</f>
        <v>674</v>
      </c>
      <c r="G23" s="30">
        <f>G17+G21</f>
        <v>0</v>
      </c>
      <c r="H23" s="30">
        <f>H17+H21</f>
        <v>0</v>
      </c>
      <c r="I23" s="30">
        <f t="shared" si="4"/>
        <v>3421</v>
      </c>
      <c r="J23" s="31">
        <f>SUM(B23:I23)</f>
        <v>16089</v>
      </c>
    </row>
    <row r="25" spans="1:10" ht="13.5" thickBot="1" x14ac:dyDescent="0.25">
      <c r="B25" s="440"/>
      <c r="C25" s="440"/>
      <c r="D25" s="440"/>
      <c r="E25" s="440"/>
      <c r="F25" s="440"/>
      <c r="G25" s="440"/>
      <c r="H25" s="440"/>
      <c r="I25" s="440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[3]American!$DS$47</f>
        <v>11796</v>
      </c>
      <c r="C28" s="22">
        <f>[3]Delta!$DS$47</f>
        <v>4313841</v>
      </c>
      <c r="D28" s="22">
        <f>[3]United!$DS$47</f>
        <v>43513</v>
      </c>
      <c r="E28" s="22">
        <f>'[3]US Airways'!$DS$47</f>
        <v>34257</v>
      </c>
      <c r="F28" s="22">
        <f>[3]Spirit!$DS$47</f>
        <v>0</v>
      </c>
      <c r="G28" s="22">
        <f>[3]Condor!$DS$47</f>
        <v>0</v>
      </c>
      <c r="H28" s="22">
        <f>'[3]Air France'!$DS$47</f>
        <v>0</v>
      </c>
      <c r="I28" s="22">
        <f>'Other Major Airline Stats'!I28</f>
        <v>302797</v>
      </c>
      <c r="J28" s="29">
        <f>SUM(B28:I28)</f>
        <v>4706204</v>
      </c>
    </row>
    <row r="29" spans="1:10" x14ac:dyDescent="0.2">
      <c r="A29" s="65" t="s">
        <v>41</v>
      </c>
      <c r="B29" s="14">
        <f>[3]American!$DS$48</f>
        <v>0</v>
      </c>
      <c r="C29" s="14">
        <f>[3]Delta!$DS$48</f>
        <v>887987</v>
      </c>
      <c r="D29" s="14">
        <f>[3]United!$DS$48</f>
        <v>189497</v>
      </c>
      <c r="E29" s="14">
        <f>'[3]US Airways'!$DS$48</f>
        <v>35097</v>
      </c>
      <c r="F29" s="14">
        <f>[3]Spirit!$DS$48</f>
        <v>0</v>
      </c>
      <c r="G29" s="14">
        <f>[3]Condor!$DS$48</f>
        <v>0</v>
      </c>
      <c r="H29" s="14">
        <f>'[3]Air France'!$DS$48</f>
        <v>0</v>
      </c>
      <c r="I29" s="14">
        <f>'Other Major Airline Stats'!I29</f>
        <v>103715</v>
      </c>
      <c r="J29" s="35">
        <f>SUM(B29:I29)</f>
        <v>1216296</v>
      </c>
    </row>
    <row r="30" spans="1:10" x14ac:dyDescent="0.2">
      <c r="A30" s="69" t="s">
        <v>42</v>
      </c>
      <c r="B30" s="293">
        <f t="shared" ref="B30:I30" si="5">SUM(B28:B29)</f>
        <v>11796</v>
      </c>
      <c r="C30" s="293">
        <f t="shared" si="5"/>
        <v>5201828</v>
      </c>
      <c r="D30" s="293">
        <f t="shared" si="5"/>
        <v>233010</v>
      </c>
      <c r="E30" s="293">
        <f t="shared" si="5"/>
        <v>69354</v>
      </c>
      <c r="F30" s="293">
        <f t="shared" si="5"/>
        <v>0</v>
      </c>
      <c r="G30" s="293">
        <f t="shared" si="5"/>
        <v>0</v>
      </c>
      <c r="H30" s="293">
        <f t="shared" si="5"/>
        <v>0</v>
      </c>
      <c r="I30" s="293">
        <f t="shared" si="5"/>
        <v>406512</v>
      </c>
      <c r="J30" s="29">
        <f>SUM(B30:I30)</f>
        <v>5922500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[3]American!$DS$52</f>
        <v>12571</v>
      </c>
      <c r="C33" s="22">
        <f>[3]Delta!$DS$52</f>
        <v>3726062</v>
      </c>
      <c r="D33" s="22">
        <f>[3]United!$DS$52</f>
        <v>24469</v>
      </c>
      <c r="E33" s="22">
        <f>'[3]US Airways'!$DS$52</f>
        <v>15612</v>
      </c>
      <c r="F33" s="22">
        <f>[3]Spirit!$DS$52</f>
        <v>0</v>
      </c>
      <c r="G33" s="22">
        <f>[3]Condor!$DS$52</f>
        <v>0</v>
      </c>
      <c r="H33" s="22">
        <f>'[3]Air France'!$DS$52</f>
        <v>0</v>
      </c>
      <c r="I33" s="22">
        <f>'Other Major Airline Stats'!I33</f>
        <v>188818</v>
      </c>
      <c r="J33" s="29">
        <f t="shared" si="6"/>
        <v>3967532</v>
      </c>
    </row>
    <row r="34" spans="1:10" x14ac:dyDescent="0.2">
      <c r="A34" s="65" t="s">
        <v>41</v>
      </c>
      <c r="B34" s="14">
        <f>[3]American!$DS$53</f>
        <v>0</v>
      </c>
      <c r="C34" s="14">
        <f>[3]Delta!$DS$53</f>
        <v>109735</v>
      </c>
      <c r="D34" s="14">
        <f>[3]United!$DS$53</f>
        <v>299317</v>
      </c>
      <c r="E34" s="14">
        <f>'[3]US Airways'!$DS$53</f>
        <v>91059</v>
      </c>
      <c r="F34" s="14">
        <f>[3]Spirit!$DS$53</f>
        <v>0</v>
      </c>
      <c r="G34" s="14">
        <f>[3]Condor!$DS$53</f>
        <v>0</v>
      </c>
      <c r="H34" s="14">
        <f>'[3]Air France'!$DS$53</f>
        <v>0</v>
      </c>
      <c r="I34" s="14">
        <f>'Other Major Airline Stats'!I34</f>
        <v>325924</v>
      </c>
      <c r="J34" s="35">
        <f t="shared" si="6"/>
        <v>826035</v>
      </c>
    </row>
    <row r="35" spans="1:10" x14ac:dyDescent="0.2">
      <c r="A35" s="69" t="s">
        <v>44</v>
      </c>
      <c r="B35" s="293">
        <f t="shared" ref="B35:I35" si="7">SUM(B33:B34)</f>
        <v>12571</v>
      </c>
      <c r="C35" s="293">
        <f t="shared" si="7"/>
        <v>3835797</v>
      </c>
      <c r="D35" s="293">
        <f t="shared" si="7"/>
        <v>323786</v>
      </c>
      <c r="E35" s="293">
        <f t="shared" si="7"/>
        <v>106671</v>
      </c>
      <c r="F35" s="293">
        <f t="shared" si="7"/>
        <v>0</v>
      </c>
      <c r="G35" s="293">
        <f t="shared" si="7"/>
        <v>0</v>
      </c>
      <c r="H35" s="293">
        <f t="shared" si="7"/>
        <v>0</v>
      </c>
      <c r="I35" s="293">
        <f t="shared" si="7"/>
        <v>514742</v>
      </c>
      <c r="J35" s="29">
        <f t="shared" si="6"/>
        <v>4793567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[3]American!$DS$57</f>
        <v>0</v>
      </c>
      <c r="C38" s="22">
        <f>[3]Delta!$DS$57</f>
        <v>0</v>
      </c>
      <c r="D38" s="22">
        <f>[3]United!$DS$57</f>
        <v>0</v>
      </c>
      <c r="E38" s="22">
        <f>'[3]US Airways'!$DS$57</f>
        <v>0</v>
      </c>
      <c r="F38" s="22">
        <f>[3]Spirit!$DS$57</f>
        <v>0</v>
      </c>
      <c r="G38" s="22">
        <f>[3]Condor!$DS$57</f>
        <v>0</v>
      </c>
      <c r="H38" s="22">
        <f>'[3]Air France'!$DS$57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[3]American!$DS$58</f>
        <v>0</v>
      </c>
      <c r="C39" s="14">
        <f>[3]Delta!$DS$58</f>
        <v>0</v>
      </c>
      <c r="D39" s="14">
        <f>[3]United!$DS$58</f>
        <v>0</v>
      </c>
      <c r="E39" s="14">
        <f>'[3]US Airways'!$DS$58</f>
        <v>0</v>
      </c>
      <c r="F39" s="14">
        <f>[3]Spirit!$DS$58</f>
        <v>0</v>
      </c>
      <c r="G39" s="14">
        <f>[3]Condor!$DS$58</f>
        <v>0</v>
      </c>
      <c r="H39" s="14">
        <f>'[3]Air France'!$DS$58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3">
        <f t="shared" ref="B40:I40" si="8">SUM(B38:B39)</f>
        <v>0</v>
      </c>
      <c r="C40" s="293">
        <f t="shared" si="8"/>
        <v>0</v>
      </c>
      <c r="D40" s="293">
        <f t="shared" si="8"/>
        <v>0</v>
      </c>
      <c r="E40" s="293">
        <f t="shared" si="8"/>
        <v>0</v>
      </c>
      <c r="F40" s="293">
        <f t="shared" si="8"/>
        <v>0</v>
      </c>
      <c r="G40" s="293">
        <f t="shared" si="8"/>
        <v>0</v>
      </c>
      <c r="H40" s="293">
        <f t="shared" si="8"/>
        <v>0</v>
      </c>
      <c r="I40" s="293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24367</v>
      </c>
      <c r="C43" s="22">
        <f t="shared" si="9"/>
        <v>8039903</v>
      </c>
      <c r="D43" s="22">
        <f t="shared" si="9"/>
        <v>67982</v>
      </c>
      <c r="E43" s="22">
        <f t="shared" si="9"/>
        <v>49869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0</v>
      </c>
      <c r="I43" s="22">
        <f t="shared" si="9"/>
        <v>491615</v>
      </c>
      <c r="J43" s="29">
        <f>SUM(B43:I43)</f>
        <v>8673736</v>
      </c>
    </row>
    <row r="44" spans="1:10" x14ac:dyDescent="0.2">
      <c r="A44" s="65" t="s">
        <v>41</v>
      </c>
      <c r="B44" s="14">
        <f t="shared" si="9"/>
        <v>0</v>
      </c>
      <c r="C44" s="14">
        <f t="shared" si="9"/>
        <v>997722</v>
      </c>
      <c r="D44" s="14">
        <f t="shared" si="9"/>
        <v>488814</v>
      </c>
      <c r="E44" s="14">
        <f t="shared" si="9"/>
        <v>126156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429639</v>
      </c>
      <c r="J44" s="29">
        <f>SUM(B44:I44)</f>
        <v>2042331</v>
      </c>
    </row>
    <row r="45" spans="1:10" ht="15.75" thickBot="1" x14ac:dyDescent="0.3">
      <c r="A45" s="66" t="s">
        <v>49</v>
      </c>
      <c r="B45" s="294">
        <f t="shared" ref="B45:I45" si="11">SUM(B43:B44)</f>
        <v>24367</v>
      </c>
      <c r="C45" s="294">
        <f t="shared" si="11"/>
        <v>9037625</v>
      </c>
      <c r="D45" s="294">
        <f t="shared" si="11"/>
        <v>556796</v>
      </c>
      <c r="E45" s="294">
        <f t="shared" si="11"/>
        <v>176025</v>
      </c>
      <c r="F45" s="294">
        <f t="shared" si="11"/>
        <v>0</v>
      </c>
      <c r="G45" s="294">
        <f t="shared" si="11"/>
        <v>0</v>
      </c>
      <c r="H45" s="294">
        <f t="shared" si="11"/>
        <v>0</v>
      </c>
      <c r="I45" s="294">
        <f t="shared" si="11"/>
        <v>921254</v>
      </c>
      <c r="J45" s="295">
        <f>SUM(B45:I45)</f>
        <v>10716067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4" t="s">
        <v>135</v>
      </c>
      <c r="C47" s="325">
        <f>[3]Delta!$DS$70+[3]Delta!$DS$73</f>
        <v>308457</v>
      </c>
      <c r="D47" s="312"/>
      <c r="E47" s="312"/>
      <c r="F47" s="312"/>
      <c r="G47" s="312"/>
      <c r="H47" s="312"/>
      <c r="I47" s="312"/>
      <c r="J47" s="313">
        <f>SUM(B47:I47)</f>
        <v>308457</v>
      </c>
    </row>
    <row r="48" spans="1:10" hidden="1" x14ac:dyDescent="0.2">
      <c r="A48" s="395" t="s">
        <v>136</v>
      </c>
      <c r="C48" s="325">
        <f>[3]Delta!$DS$71+[3]Delta!$DS$74</f>
        <v>403916</v>
      </c>
      <c r="D48" s="312"/>
      <c r="E48" s="312"/>
      <c r="F48" s="312"/>
      <c r="G48" s="312"/>
      <c r="H48" s="312"/>
      <c r="I48" s="312"/>
      <c r="J48" s="313">
        <f>SUM(B48:I48)</f>
        <v>403916</v>
      </c>
    </row>
    <row r="49" spans="1:10" hidden="1" x14ac:dyDescent="0.2">
      <c r="A49" s="396" t="s">
        <v>137</v>
      </c>
      <c r="C49" s="326">
        <f>SUM(C47:C48)</f>
        <v>712373</v>
      </c>
      <c r="J49" s="313">
        <f>SUM(B49:I49)</f>
        <v>712373</v>
      </c>
    </row>
    <row r="50" spans="1:10" x14ac:dyDescent="0.2">
      <c r="A50" s="394" t="s">
        <v>135</v>
      </c>
      <c r="B50" s="408"/>
      <c r="C50" s="328">
        <f>[3]Delta!$DS$70+[3]Delta!$DS$73</f>
        <v>308457</v>
      </c>
      <c r="D50" s="408"/>
      <c r="E50" s="408"/>
      <c r="F50" s="408"/>
      <c r="G50" s="408"/>
      <c r="H50" s="408"/>
      <c r="I50" s="327">
        <f>'Other Major Airline Stats'!I48</f>
        <v>135340</v>
      </c>
      <c r="J50" s="316">
        <f>SUM(B50:I50)</f>
        <v>443797</v>
      </c>
    </row>
    <row r="51" spans="1:10" x14ac:dyDescent="0.2">
      <c r="A51" s="410" t="s">
        <v>136</v>
      </c>
      <c r="B51" s="408"/>
      <c r="C51" s="328">
        <f>[3]Delta!$DS$71+[3]Delta!$DS$74</f>
        <v>403916</v>
      </c>
      <c r="D51" s="408"/>
      <c r="E51" s="408"/>
      <c r="F51" s="408"/>
      <c r="G51" s="408"/>
      <c r="H51" s="408"/>
      <c r="I51" s="327">
        <f>+'Other Major Airline Stats'!I49</f>
        <v>5165</v>
      </c>
      <c r="J51" s="316">
        <f>SUM(B51:I51)</f>
        <v>409081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October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28" zoomScaleNormal="100" workbookViewId="0">
      <selection activeCell="F48" sqref="F48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99">
        <v>41913</v>
      </c>
      <c r="B2" s="24" t="s">
        <v>50</v>
      </c>
      <c r="C2" s="25" t="s">
        <v>51</v>
      </c>
      <c r="D2" s="25" t="s">
        <v>180</v>
      </c>
      <c r="E2" s="25" t="s">
        <v>52</v>
      </c>
      <c r="F2" s="24" t="s">
        <v>144</v>
      </c>
      <c r="G2" s="24" t="s">
        <v>53</v>
      </c>
      <c r="H2" s="24" t="s">
        <v>142</v>
      </c>
      <c r="I2" s="277" t="s">
        <v>66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[3]AirTran!$DS$22</f>
        <v>3298</v>
      </c>
      <c r="C5" s="150">
        <f>[3]Frontier!$DS$22</f>
        <v>22648</v>
      </c>
      <c r="D5" s="150">
        <f>'[3]Great Lakes'!$DS$22</f>
        <v>432</v>
      </c>
      <c r="E5" s="150">
        <f>[3]Icelandair!$DS$32</f>
        <v>1137</v>
      </c>
      <c r="F5" s="122">
        <f>[3]Southwest!$DS$22</f>
        <v>76803</v>
      </c>
      <c r="G5" s="122">
        <f>'[3]Sun Country'!$DS$22+'[3]Sun Country'!$DS$32</f>
        <v>60829</v>
      </c>
      <c r="H5" s="122">
        <f>[3]Alaska!$DS$22</f>
        <v>8000</v>
      </c>
      <c r="I5" s="151">
        <f>SUM(B5:H5)</f>
        <v>173147</v>
      </c>
      <c r="L5" s="134"/>
    </row>
    <row r="6" spans="1:12" x14ac:dyDescent="0.2">
      <c r="A6" s="65" t="s">
        <v>34</v>
      </c>
      <c r="B6" s="297">
        <f>[3]AirTran!$DS$23</f>
        <v>3327</v>
      </c>
      <c r="C6" s="150">
        <f>[3]Frontier!$DS$23</f>
        <v>23119</v>
      </c>
      <c r="D6" s="150">
        <f>'[3]Great Lakes'!$DS$23</f>
        <v>451</v>
      </c>
      <c r="E6" s="150">
        <f>[3]Icelandair!$DS$33</f>
        <v>1041</v>
      </c>
      <c r="F6" s="122">
        <f>[3]Southwest!$DS$23</f>
        <v>80558</v>
      </c>
      <c r="G6" s="122">
        <f>'[3]Sun Country'!$DS$23+'[3]Sun Country'!$DS$33</f>
        <v>59947</v>
      </c>
      <c r="H6" s="122">
        <f>[3]Alaska!$DS$23</f>
        <v>7677</v>
      </c>
      <c r="I6" s="151">
        <f>SUM(B6:H6)</f>
        <v>176120</v>
      </c>
    </row>
    <row r="7" spans="1:12" ht="15" x14ac:dyDescent="0.25">
      <c r="A7" s="63" t="s">
        <v>7</v>
      </c>
      <c r="B7" s="159">
        <f t="shared" ref="B7:H7" si="0">SUM(B5:B6)</f>
        <v>6625</v>
      </c>
      <c r="C7" s="159">
        <f t="shared" si="0"/>
        <v>45767</v>
      </c>
      <c r="D7" s="159">
        <f t="shared" si="0"/>
        <v>883</v>
      </c>
      <c r="E7" s="159">
        <f t="shared" si="0"/>
        <v>2178</v>
      </c>
      <c r="F7" s="159">
        <f t="shared" si="0"/>
        <v>157361</v>
      </c>
      <c r="G7" s="159">
        <f>SUM(G5:G6)</f>
        <v>120776</v>
      </c>
      <c r="H7" s="159">
        <f t="shared" si="0"/>
        <v>15677</v>
      </c>
      <c r="I7" s="160">
        <f>SUM(B7:H7)</f>
        <v>349267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[3]AirTran!$DS$27</f>
        <v>30</v>
      </c>
      <c r="C10" s="158">
        <f>[3]Frontier!$DS$27</f>
        <v>294</v>
      </c>
      <c r="D10" s="158">
        <f>'[3]Great Lakes'!$DS$27</f>
        <v>43</v>
      </c>
      <c r="E10" s="158">
        <f>[3]Icelandair!$DS$37</f>
        <v>74</v>
      </c>
      <c r="F10" s="158">
        <f>[3]Southwest!$DS$27</f>
        <v>1235</v>
      </c>
      <c r="G10" s="158">
        <f>'[3]Sun Country'!$DS$27+'[3]Sun Country'!$DS$37</f>
        <v>1401</v>
      </c>
      <c r="H10" s="158">
        <f>[3]Alaska!$DS$27</f>
        <v>380</v>
      </c>
      <c r="I10" s="151">
        <f>SUM(B10:H10)</f>
        <v>3457</v>
      </c>
    </row>
    <row r="11" spans="1:12" x14ac:dyDescent="0.2">
      <c r="A11" s="65" t="s">
        <v>36</v>
      </c>
      <c r="B11" s="14">
        <f>[3]AirTran!$DS$28</f>
        <v>27</v>
      </c>
      <c r="C11" s="161">
        <f>[3]Frontier!$DS$28</f>
        <v>310</v>
      </c>
      <c r="D11" s="161">
        <f>'[3]Great Lakes'!$DS$28</f>
        <v>33</v>
      </c>
      <c r="E11" s="161">
        <f>[3]Icelandair!$DS$38</f>
        <v>75</v>
      </c>
      <c r="F11" s="161">
        <f>[3]Southwest!$DS$28</f>
        <v>1208</v>
      </c>
      <c r="G11" s="161">
        <f>'[3]Sun Country'!$DS$28+'[3]Sun Country'!$DS$38</f>
        <v>1350</v>
      </c>
      <c r="H11" s="161">
        <f>[3]Alaska!$DS$28</f>
        <v>405</v>
      </c>
      <c r="I11" s="151">
        <f>SUM(B11:H11)</f>
        <v>3408</v>
      </c>
    </row>
    <row r="12" spans="1:12" ht="15.75" thickBot="1" x14ac:dyDescent="0.3">
      <c r="A12" s="66" t="s">
        <v>37</v>
      </c>
      <c r="B12" s="154">
        <f t="shared" ref="B12:H12" si="1">SUM(B10:B11)</f>
        <v>57</v>
      </c>
      <c r="C12" s="154">
        <f t="shared" si="1"/>
        <v>604</v>
      </c>
      <c r="D12" s="154">
        <f t="shared" si="1"/>
        <v>76</v>
      </c>
      <c r="E12" s="154">
        <f t="shared" si="1"/>
        <v>149</v>
      </c>
      <c r="F12" s="154">
        <f t="shared" si="1"/>
        <v>2443</v>
      </c>
      <c r="G12" s="154">
        <f>SUM(G10:G11)</f>
        <v>2751</v>
      </c>
      <c r="H12" s="154">
        <f t="shared" si="1"/>
        <v>785</v>
      </c>
      <c r="I12" s="162">
        <f>SUM(B12:H12)</f>
        <v>6865</v>
      </c>
      <c r="L12" s="134"/>
    </row>
    <row r="13" spans="1:12" ht="15" x14ac:dyDescent="0.25">
      <c r="A13" s="62"/>
      <c r="B13" s="298"/>
      <c r="C13" s="298"/>
      <c r="D13" s="298"/>
      <c r="E13" s="298"/>
      <c r="F13" s="298"/>
      <c r="G13" s="298"/>
      <c r="H13" s="298"/>
      <c r="I13" s="299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[3]AirTran!$DS$4</f>
        <v>32</v>
      </c>
      <c r="C16" s="150">
        <f>[3]Frontier!$DS$4</f>
        <v>181</v>
      </c>
      <c r="D16" s="150">
        <f>'[3]Great Lakes'!$DS$4</f>
        <v>123</v>
      </c>
      <c r="E16" s="150">
        <f>[3]Icelandair!$DS$15</f>
        <v>8</v>
      </c>
      <c r="F16" s="109">
        <f>[3]Southwest!$DS$4</f>
        <v>695</v>
      </c>
      <c r="G16" s="122">
        <f>'[3]Sun Country'!$DS$4+'[3]Sun Country'!$DS$15</f>
        <v>557</v>
      </c>
      <c r="H16" s="122">
        <f>[3]Alaska!$DS$4</f>
        <v>58</v>
      </c>
      <c r="I16" s="151">
        <f>SUM(B16:H16)</f>
        <v>1654</v>
      </c>
    </row>
    <row r="17" spans="1:256" x14ac:dyDescent="0.2">
      <c r="A17" s="65" t="s">
        <v>26</v>
      </c>
      <c r="B17" s="14">
        <f>[3]AirTran!$DS$5</f>
        <v>32</v>
      </c>
      <c r="C17" s="150">
        <f>[3]Frontier!$DS$5</f>
        <v>181</v>
      </c>
      <c r="D17" s="150">
        <f>'[3]Great Lakes'!$DS$5</f>
        <v>123</v>
      </c>
      <c r="E17" s="150">
        <f>[3]Icelandair!$DS$16</f>
        <v>8</v>
      </c>
      <c r="F17" s="109">
        <f>[3]Southwest!$DS$5</f>
        <v>696</v>
      </c>
      <c r="G17" s="122">
        <f>'[3]Sun Country'!$DS$5+'[3]Sun Country'!$DS$16</f>
        <v>559</v>
      </c>
      <c r="H17" s="122">
        <f>[3]Alaska!$DS$5</f>
        <v>58</v>
      </c>
      <c r="I17" s="151">
        <f>SUM(B17:H17)</f>
        <v>1657</v>
      </c>
    </row>
    <row r="18" spans="1:256" x14ac:dyDescent="0.2">
      <c r="A18" s="69" t="s">
        <v>27</v>
      </c>
      <c r="B18" s="152">
        <f t="shared" ref="B18:H18" si="2">SUM(B16:B17)</f>
        <v>64</v>
      </c>
      <c r="C18" s="152">
        <f t="shared" si="2"/>
        <v>362</v>
      </c>
      <c r="D18" s="152">
        <f t="shared" si="2"/>
        <v>246</v>
      </c>
      <c r="E18" s="152">
        <f t="shared" si="2"/>
        <v>16</v>
      </c>
      <c r="F18" s="152">
        <f t="shared" si="2"/>
        <v>1391</v>
      </c>
      <c r="G18" s="152">
        <f t="shared" si="2"/>
        <v>1116</v>
      </c>
      <c r="H18" s="152">
        <f t="shared" si="2"/>
        <v>116</v>
      </c>
      <c r="I18" s="153">
        <f>SUM(B18:H18)</f>
        <v>3311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[3]AirTran!$DS$8</f>
        <v>0</v>
      </c>
      <c r="C20" s="150">
        <f>[3]Frontier!$DS$8</f>
        <v>0</v>
      </c>
      <c r="D20" s="150">
        <f>'[3]Great Lakes'!$DS$8</f>
        <v>0</v>
      </c>
      <c r="E20" s="150">
        <f>[3]Icelandair!$DS$8</f>
        <v>0</v>
      </c>
      <c r="F20" s="122">
        <f>[3]Southwest!$DS$8</f>
        <v>0</v>
      </c>
      <c r="G20" s="122">
        <f>'[3]Sun Country'!$DS$8</f>
        <v>54</v>
      </c>
      <c r="H20" s="122">
        <f>[3]Alaska!$DS$8</f>
        <v>0</v>
      </c>
      <c r="I20" s="151">
        <f>SUM(B20:H20)</f>
        <v>54</v>
      </c>
    </row>
    <row r="21" spans="1:256" x14ac:dyDescent="0.2">
      <c r="A21" s="65" t="s">
        <v>29</v>
      </c>
      <c r="B21" s="14">
        <f>[3]AirTran!$DS$9</f>
        <v>0</v>
      </c>
      <c r="C21" s="150">
        <f>[3]Frontier!$DS$9</f>
        <v>0</v>
      </c>
      <c r="D21" s="150">
        <f>'[3]Great Lakes'!$DS$9</f>
        <v>0</v>
      </c>
      <c r="E21" s="150">
        <f>[3]Icelandair!$DS$9</f>
        <v>0</v>
      </c>
      <c r="F21" s="122">
        <f>[3]Southwest!$DS$9</f>
        <v>0</v>
      </c>
      <c r="G21" s="122">
        <f>'[3]Sun Country'!$DS$9</f>
        <v>56</v>
      </c>
      <c r="H21" s="122">
        <f>[3]Alaska!$DS$9</f>
        <v>0</v>
      </c>
      <c r="I21" s="151">
        <f>SUM(B21:H21)</f>
        <v>56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110</v>
      </c>
      <c r="H22" s="152">
        <f t="shared" si="3"/>
        <v>0</v>
      </c>
      <c r="I22" s="153">
        <f>SUM(B22:H22)</f>
        <v>110</v>
      </c>
    </row>
    <row r="23" spans="1:256" ht="15.75" thickBot="1" x14ac:dyDescent="0.3">
      <c r="A23" s="66" t="s">
        <v>31</v>
      </c>
      <c r="B23" s="154">
        <f t="shared" ref="B23:H23" si="4">B22+B18</f>
        <v>64</v>
      </c>
      <c r="C23" s="154">
        <f t="shared" si="4"/>
        <v>362</v>
      </c>
      <c r="D23" s="154">
        <f t="shared" si="4"/>
        <v>246</v>
      </c>
      <c r="E23" s="154">
        <f t="shared" si="4"/>
        <v>16</v>
      </c>
      <c r="F23" s="154">
        <f t="shared" si="4"/>
        <v>1391</v>
      </c>
      <c r="G23" s="154">
        <f t="shared" si="4"/>
        <v>1226</v>
      </c>
      <c r="H23" s="154">
        <f t="shared" si="4"/>
        <v>116</v>
      </c>
      <c r="I23" s="155">
        <f>SUM(B23:H23)</f>
        <v>3421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40"/>
      <c r="C25" s="440"/>
      <c r="D25" s="440"/>
      <c r="E25" s="440"/>
      <c r="F25" s="440"/>
      <c r="G25" s="440"/>
      <c r="H25" s="440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[3]AirTran!$DS$47</f>
        <v>0</v>
      </c>
      <c r="C28" s="150">
        <f>[3]Frontier!$DS$47</f>
        <v>0</v>
      </c>
      <c r="D28" s="150">
        <f>'[3]Great Lakes'!$DS$47</f>
        <v>72</v>
      </c>
      <c r="E28" s="150">
        <f>[3]Icelandair!$DS$47</f>
        <v>165</v>
      </c>
      <c r="F28" s="122">
        <f>[3]Southwest!$DS$47</f>
        <v>249105</v>
      </c>
      <c r="G28" s="122">
        <f>'[3]Sun Country'!$DS$47</f>
        <v>40761</v>
      </c>
      <c r="H28" s="122">
        <f>[3]Alaska!$DS$47</f>
        <v>12694</v>
      </c>
      <c r="I28" s="151">
        <f>SUM(B28:H28)</f>
        <v>302797</v>
      </c>
    </row>
    <row r="29" spans="1:256" x14ac:dyDescent="0.2">
      <c r="A29" s="65" t="s">
        <v>41</v>
      </c>
      <c r="B29" s="14">
        <f>[3]AirTran!$DS$48</f>
        <v>0</v>
      </c>
      <c r="C29" s="150">
        <f>[3]Frontier!$DS$48</f>
        <v>0</v>
      </c>
      <c r="D29" s="150">
        <f>'[3]Great Lakes'!$DS$48</f>
        <v>0</v>
      </c>
      <c r="E29" s="150">
        <f>[3]Icelandair!$DS$48</f>
        <v>0</v>
      </c>
      <c r="F29" s="122">
        <f>[3]Southwest!$DS$48</f>
        <v>0</v>
      </c>
      <c r="G29" s="122">
        <f>'[3]Sun Country'!$DS$48</f>
        <v>103715</v>
      </c>
      <c r="H29" s="122">
        <f>[3]Alaska!$DS$48</f>
        <v>0</v>
      </c>
      <c r="I29" s="151">
        <f>SUM(B29:H29)</f>
        <v>103715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72</v>
      </c>
      <c r="E30" s="166">
        <f t="shared" si="5"/>
        <v>165</v>
      </c>
      <c r="F30" s="166">
        <f t="shared" si="5"/>
        <v>249105</v>
      </c>
      <c r="G30" s="166">
        <f t="shared" si="5"/>
        <v>144476</v>
      </c>
      <c r="H30" s="166">
        <f t="shared" si="5"/>
        <v>12694</v>
      </c>
      <c r="I30" s="169">
        <f>SUM(B30:H30)</f>
        <v>406512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[3]AirTran!$DS$52</f>
        <v>0</v>
      </c>
      <c r="C33" s="150">
        <f>[3]Frontier!$DS$52</f>
        <v>0</v>
      </c>
      <c r="D33" s="150">
        <f>'[3]Great Lakes'!$DS$52</f>
        <v>0</v>
      </c>
      <c r="E33" s="150">
        <f>[3]Icelandair!$DS$52</f>
        <v>891</v>
      </c>
      <c r="F33" s="122">
        <f>[3]Southwest!$DS$52</f>
        <v>161273</v>
      </c>
      <c r="G33" s="122">
        <f>'[3]Sun Country'!$DS$52</f>
        <v>11660</v>
      </c>
      <c r="H33" s="122">
        <f>[3]Alaska!$DS$52</f>
        <v>14994</v>
      </c>
      <c r="I33" s="151">
        <f>SUM(B33:H33)</f>
        <v>188818</v>
      </c>
    </row>
    <row r="34" spans="1:9" x14ac:dyDescent="0.2">
      <c r="A34" s="65" t="s">
        <v>41</v>
      </c>
      <c r="B34" s="14">
        <f>[3]AirTran!$DS$53</f>
        <v>0</v>
      </c>
      <c r="C34" s="150">
        <f>[3]Frontier!$DS$53</f>
        <v>0</v>
      </c>
      <c r="D34" s="150">
        <f>'[3]Great Lakes'!$DS$53</f>
        <v>0</v>
      </c>
      <c r="E34" s="150">
        <f>[3]Icelandair!$DS$53</f>
        <v>0</v>
      </c>
      <c r="F34" s="122">
        <f>[3]Southwest!$DS$53</f>
        <v>0</v>
      </c>
      <c r="G34" s="122">
        <f>'[3]Sun Country'!$DS$53</f>
        <v>325924</v>
      </c>
      <c r="H34" s="122">
        <f>[3]Alaska!$DS$53</f>
        <v>0</v>
      </c>
      <c r="I34" s="167">
        <f>SUM(B34:H34)</f>
        <v>325924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891</v>
      </c>
      <c r="F35" s="168">
        <f t="shared" si="6"/>
        <v>161273</v>
      </c>
      <c r="G35" s="168">
        <f t="shared" si="6"/>
        <v>337584</v>
      </c>
      <c r="H35" s="168">
        <f t="shared" si="6"/>
        <v>14994</v>
      </c>
      <c r="I35" s="169">
        <f>SUM(B35:H35)</f>
        <v>514742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[3]AirTran!$DS$57</f>
        <v>0</v>
      </c>
      <c r="C38" s="158">
        <f>[3]Frontier!$DS$57</f>
        <v>0</v>
      </c>
      <c r="D38" s="158">
        <f>'[3]Great Lakes'!$DS$57</f>
        <v>0</v>
      </c>
      <c r="E38" s="158">
        <f>[3]Icelandair!$DS$57</f>
        <v>0</v>
      </c>
      <c r="F38" s="158">
        <f>[3]Southwest!$DS$57</f>
        <v>0</v>
      </c>
      <c r="G38" s="158">
        <f>'[3]Sun Country'!$DS$57</f>
        <v>0</v>
      </c>
      <c r="H38" s="158">
        <f>[3]Alaska!$DS$57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[3]AirTran!$DS$58</f>
        <v>0</v>
      </c>
      <c r="C39" s="161">
        <f>[3]Frontier!$DS$58</f>
        <v>0</v>
      </c>
      <c r="D39" s="161">
        <f>'[3]Great Lakes'!$DS$58</f>
        <v>0</v>
      </c>
      <c r="E39" s="161">
        <f>[3]Icelandair!$DS$58</f>
        <v>0</v>
      </c>
      <c r="F39" s="161">
        <f>[3]Southwest!$DS$58</f>
        <v>0</v>
      </c>
      <c r="G39" s="161">
        <f>'[3]Sun Country'!$DS$58</f>
        <v>0</v>
      </c>
      <c r="H39" s="161">
        <f>[3]Alaska!$DS$58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72</v>
      </c>
      <c r="E43" s="158">
        <f t="shared" si="8"/>
        <v>1056</v>
      </c>
      <c r="F43" s="158">
        <f t="shared" si="8"/>
        <v>410378</v>
      </c>
      <c r="G43" s="158">
        <f t="shared" si="8"/>
        <v>52421</v>
      </c>
      <c r="H43" s="158">
        <f t="shared" si="8"/>
        <v>27688</v>
      </c>
      <c r="I43" s="151">
        <f>SUM(B43:H43)</f>
        <v>491615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429639</v>
      </c>
      <c r="H44" s="161">
        <f t="shared" si="9"/>
        <v>0</v>
      </c>
      <c r="I44" s="151">
        <f>SUM(B44:H44)</f>
        <v>429639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72</v>
      </c>
      <c r="E45" s="171">
        <f t="shared" si="10"/>
        <v>1056</v>
      </c>
      <c r="F45" s="171">
        <f t="shared" si="10"/>
        <v>410378</v>
      </c>
      <c r="G45" s="171">
        <f t="shared" si="10"/>
        <v>482060</v>
      </c>
      <c r="H45" s="171">
        <f t="shared" si="10"/>
        <v>27688</v>
      </c>
      <c r="I45" s="172">
        <f>SUM(B45:H45)</f>
        <v>921254</v>
      </c>
    </row>
    <row r="48" spans="1:9" x14ac:dyDescent="0.2">
      <c r="A48" s="394" t="s">
        <v>135</v>
      </c>
      <c r="B48" s="408"/>
      <c r="C48" s="408"/>
      <c r="D48" s="408"/>
      <c r="F48" s="328">
        <f>[3]Southwest!$DS$70+[3]Southwest!$DS$73</f>
        <v>79296</v>
      </c>
      <c r="G48" s="328">
        <f>'[3]Sun Country'!$DS$70+'[3]Sun Country'!$DS$73</f>
        <v>56044</v>
      </c>
      <c r="H48" s="408"/>
      <c r="I48" s="316">
        <f>SUM(B48:H48)</f>
        <v>135340</v>
      </c>
    </row>
    <row r="49" spans="1:9" x14ac:dyDescent="0.2">
      <c r="A49" s="410" t="s">
        <v>136</v>
      </c>
      <c r="B49" s="408"/>
      <c r="C49" s="408"/>
      <c r="D49" s="408"/>
      <c r="F49" s="328">
        <f>[3]Southwest!$DS$71+[3]Southwest!$DS$74</f>
        <v>1262</v>
      </c>
      <c r="G49" s="328">
        <f>'[3]Sun Country'!$DS$71+'[3]Sun Country'!$DS$74</f>
        <v>3903</v>
      </c>
      <c r="H49" s="408"/>
      <c r="I49" s="316">
        <f>SUM(B49:H49)</f>
        <v>5165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October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3" zoomScaleNormal="100" workbookViewId="0">
      <selection activeCell="K50" sqref="K50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140625" customWidth="1"/>
    <col min="4" max="5" width="12.7109375" customWidth="1"/>
    <col min="6" max="6" width="10.42578125" bestFit="1" customWidth="1"/>
    <col min="7" max="7" width="9.28515625" customWidth="1"/>
    <col min="8" max="8" width="11.28515625" customWidth="1"/>
    <col min="9" max="9" width="9" bestFit="1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406"/>
    </row>
    <row r="2" spans="1:12" s="7" customFormat="1" ht="39" thickBot="1" x14ac:dyDescent="0.25">
      <c r="A2" s="399">
        <v>41913</v>
      </c>
      <c r="B2" s="19" t="s">
        <v>203</v>
      </c>
      <c r="C2" s="19" t="s">
        <v>156</v>
      </c>
      <c r="D2" s="19" t="s">
        <v>207</v>
      </c>
      <c r="E2" s="19" t="s">
        <v>206</v>
      </c>
      <c r="F2" s="19" t="s">
        <v>170</v>
      </c>
      <c r="G2" s="19" t="s">
        <v>171</v>
      </c>
      <c r="H2" s="19" t="s">
        <v>213</v>
      </c>
      <c r="I2" s="20" t="s">
        <v>57</v>
      </c>
      <c r="J2" s="19" t="s">
        <v>174</v>
      </c>
      <c r="K2" s="19" t="s">
        <v>127</v>
      </c>
      <c r="L2" s="19" t="s">
        <v>24</v>
      </c>
    </row>
    <row r="3" spans="1:12" ht="15.75" thickTop="1" x14ac:dyDescent="0.25">
      <c r="A3" s="284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29"/>
      <c r="L3" s="131"/>
    </row>
    <row r="4" spans="1:12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34"/>
      <c r="K4" s="134"/>
      <c r="L4" s="113"/>
    </row>
    <row r="5" spans="1:12" x14ac:dyDescent="0.2">
      <c r="A5" s="65" t="s">
        <v>33</v>
      </c>
      <c r="B5" s="135">
        <f>[3]Pinnacle!$DS$22+[3]Pinnacle!$DS$32</f>
        <v>181436</v>
      </c>
      <c r="C5" s="136">
        <f>[3]Chautaqua_AA!$DS$22</f>
        <v>0</v>
      </c>
      <c r="D5" s="136">
        <f>[3]Chautaqua_Continental!$DS$22</f>
        <v>0</v>
      </c>
      <c r="E5" s="134">
        <f>[3]MESA_UA!$DS$22+[3]MESA_UA!$DS$32</f>
        <v>4016</v>
      </c>
      <c r="F5" s="134">
        <f>'[3]Sky West'!$DS$22+'[3]Sky West'!$DS$32</f>
        <v>62308</v>
      </c>
      <c r="G5" s="134">
        <f>'[3]Sky West_UA'!$DS$22</f>
        <v>14059</v>
      </c>
      <c r="H5" s="134">
        <f>[3]Comair!$DS$22+[3]Comair!$DS$32</f>
        <v>0</v>
      </c>
      <c r="I5" s="134">
        <f>[3]Republic!$DS$22</f>
        <v>445</v>
      </c>
      <c r="J5" s="134">
        <f>'[3]American Eagle'!$DS$22</f>
        <v>7480</v>
      </c>
      <c r="K5" s="134">
        <f>'Other Regional'!L5</f>
        <v>133691</v>
      </c>
      <c r="L5" s="113">
        <f>SUM(B5:K5)</f>
        <v>403435</v>
      </c>
    </row>
    <row r="6" spans="1:12" s="10" customFormat="1" x14ac:dyDescent="0.2">
      <c r="A6" s="65" t="s">
        <v>34</v>
      </c>
      <c r="B6" s="135">
        <f>[3]Pinnacle!$DS$23+[3]Pinnacle!$DS$33</f>
        <v>177844</v>
      </c>
      <c r="C6" s="136">
        <f>[3]Chautaqua_AA!$DS$23</f>
        <v>0</v>
      </c>
      <c r="D6" s="136">
        <f>[3]Chautaqua_Continental!$DS$23</f>
        <v>0</v>
      </c>
      <c r="E6" s="134">
        <f>[3]MESA_UA!$DS$23+[3]MESA_UA!$DS$33</f>
        <v>4190</v>
      </c>
      <c r="F6" s="134">
        <f>'[3]Sky West'!$DS$23+'[3]Sky West'!$DS$33</f>
        <v>61262</v>
      </c>
      <c r="G6" s="134">
        <f>'[3]Sky West_UA'!$DS$23</f>
        <v>14276</v>
      </c>
      <c r="H6" s="134">
        <f>[3]Comair!$DS$23+[3]Comair!$DS$33</f>
        <v>0</v>
      </c>
      <c r="I6" s="134">
        <f>[3]Republic!$DS$23</f>
        <v>471</v>
      </c>
      <c r="J6" s="134">
        <f>'[3]American Eagle'!$DS$23</f>
        <v>6821</v>
      </c>
      <c r="K6" s="134">
        <f>'Other Regional'!L6</f>
        <v>136218</v>
      </c>
      <c r="L6" s="119">
        <f>SUM(B6:K6)</f>
        <v>401082</v>
      </c>
    </row>
    <row r="7" spans="1:12" ht="15" thickBot="1" x14ac:dyDescent="0.25">
      <c r="A7" s="76" t="s">
        <v>7</v>
      </c>
      <c r="B7" s="137">
        <f>SUM(B5:B6)</f>
        <v>359280</v>
      </c>
      <c r="C7" s="137">
        <f t="shared" ref="C7:K7" si="0">SUM(C5:C6)</f>
        <v>0</v>
      </c>
      <c r="D7" s="137">
        <f t="shared" si="0"/>
        <v>0</v>
      </c>
      <c r="E7" s="137">
        <f t="shared" si="0"/>
        <v>8206</v>
      </c>
      <c r="F7" s="137">
        <f t="shared" si="0"/>
        <v>123570</v>
      </c>
      <c r="G7" s="137">
        <f t="shared" si="0"/>
        <v>28335</v>
      </c>
      <c r="H7" s="137">
        <f t="shared" si="0"/>
        <v>0</v>
      </c>
      <c r="I7" s="137">
        <f t="shared" si="0"/>
        <v>916</v>
      </c>
      <c r="J7" s="137">
        <f t="shared" si="0"/>
        <v>14301</v>
      </c>
      <c r="K7" s="137">
        <f t="shared" si="0"/>
        <v>269909</v>
      </c>
      <c r="L7" s="138">
        <f>SUM(B7:K7)</f>
        <v>804517</v>
      </c>
    </row>
    <row r="8" spans="1:12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4"/>
      <c r="K8" s="134"/>
      <c r="L8" s="139"/>
    </row>
    <row r="9" spans="1:12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34"/>
      <c r="K9" s="134"/>
      <c r="L9" s="113"/>
    </row>
    <row r="10" spans="1:12" x14ac:dyDescent="0.2">
      <c r="A10" s="65" t="s">
        <v>33</v>
      </c>
      <c r="B10" s="135">
        <f>[3]Pinnacle!$DS$27+[3]Pinnacle!$DS$37</f>
        <v>5895</v>
      </c>
      <c r="C10" s="136">
        <f>[3]Chautaqua_AA!$DS$27</f>
        <v>0</v>
      </c>
      <c r="D10" s="136">
        <f>[3]Chautaqua_Continental!$DS$27</f>
        <v>0</v>
      </c>
      <c r="E10" s="134">
        <f>[3]MESA_UA!$DS$27+[3]MESA_UA!$DS$37</f>
        <v>199</v>
      </c>
      <c r="F10" s="134">
        <f>'[3]Sky West'!$DS$27+'[3]Sky West'!$DS$37</f>
        <v>2521</v>
      </c>
      <c r="G10" s="134">
        <f>'[3]Sky West_UA'!$DS$27</f>
        <v>383</v>
      </c>
      <c r="H10" s="134">
        <f>[3]Comair!$DS$27+[3]Comair!$DS$37</f>
        <v>0</v>
      </c>
      <c r="I10" s="134">
        <f>[3]Republic!$DS$27</f>
        <v>0</v>
      </c>
      <c r="J10" s="134">
        <f>'[3]American Eagle'!$DS$27</f>
        <v>48</v>
      </c>
      <c r="K10" s="134">
        <f>'Other Regional'!L10</f>
        <v>3620</v>
      </c>
      <c r="L10" s="113">
        <f>SUM(B10:K10)</f>
        <v>12666</v>
      </c>
    </row>
    <row r="11" spans="1:12" x14ac:dyDescent="0.2">
      <c r="A11" s="65" t="s">
        <v>36</v>
      </c>
      <c r="B11" s="135">
        <f>[3]Pinnacle!$DS$28+[3]Pinnacle!$DS$38</f>
        <v>6115</v>
      </c>
      <c r="C11" s="136">
        <f>[3]Chautaqua_AA!$DS$28</f>
        <v>0</v>
      </c>
      <c r="D11" s="136">
        <f>[3]Chautaqua_Continental!$DS$28</f>
        <v>0</v>
      </c>
      <c r="E11" s="134">
        <f>[3]MESA_UA!$DS$28+[3]MESA_UA!$DS$38</f>
        <v>205</v>
      </c>
      <c r="F11" s="134">
        <f>'[3]Sky West'!$DS$28+'[3]Sky West'!$DS$38</f>
        <v>2351</v>
      </c>
      <c r="G11" s="134">
        <f>'[3]Sky West_UA'!$DS$28</f>
        <v>374</v>
      </c>
      <c r="H11" s="134">
        <f>[3]Comair!$DS$28+[3]Comair!$DS$38</f>
        <v>0</v>
      </c>
      <c r="I11" s="134">
        <f>[3]Republic!$DS$28</f>
        <v>0</v>
      </c>
      <c r="J11" s="134">
        <f>'[3]American Eagle'!$DS$28</f>
        <v>50</v>
      </c>
      <c r="K11" s="134">
        <f>'Other Regional'!L11</f>
        <v>3577</v>
      </c>
      <c r="L11" s="119">
        <f>SUM(B11:K11)</f>
        <v>12672</v>
      </c>
    </row>
    <row r="12" spans="1:12" ht="15" thickBot="1" x14ac:dyDescent="0.25">
      <c r="A12" s="77" t="s">
        <v>37</v>
      </c>
      <c r="B12" s="140">
        <f>SUM(B10:B11)</f>
        <v>12010</v>
      </c>
      <c r="C12" s="140">
        <f t="shared" ref="C12:J12" si="1">SUM(C10:C11)</f>
        <v>0</v>
      </c>
      <c r="D12" s="140">
        <f t="shared" si="1"/>
        <v>0</v>
      </c>
      <c r="E12" s="140">
        <f t="shared" si="1"/>
        <v>404</v>
      </c>
      <c r="F12" s="140">
        <f t="shared" si="1"/>
        <v>4872</v>
      </c>
      <c r="G12" s="140">
        <f t="shared" si="1"/>
        <v>757</v>
      </c>
      <c r="H12" s="140">
        <f t="shared" si="1"/>
        <v>0</v>
      </c>
      <c r="I12" s="140">
        <f t="shared" si="1"/>
        <v>0</v>
      </c>
      <c r="J12" s="140">
        <f t="shared" si="1"/>
        <v>98</v>
      </c>
      <c r="K12" s="140">
        <f>SUM(K10:K11)</f>
        <v>7197</v>
      </c>
      <c r="L12" s="141">
        <f>SUM(B12:K12)</f>
        <v>25338</v>
      </c>
    </row>
    <row r="13" spans="1:12" ht="13.5" thickBot="1" x14ac:dyDescent="0.25"/>
    <row r="14" spans="1:12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6"/>
      <c r="K14" s="106"/>
      <c r="L14" s="108">
        <f t="shared" ref="L14:L21" si="2">SUM(B14:K14)</f>
        <v>0</v>
      </c>
    </row>
    <row r="15" spans="1:12" x14ac:dyDescent="0.2">
      <c r="A15" s="65" t="s">
        <v>58</v>
      </c>
      <c r="B15" s="22">
        <f>[3]Pinnacle!$DS$4+[3]Pinnacle!$DS$15</f>
        <v>3484</v>
      </c>
      <c r="C15" s="111">
        <f>[3]Chautaqua_AA!$DS$4</f>
        <v>0</v>
      </c>
      <c r="D15" s="111">
        <f>[3]Chautaqua_Continental!$DS$4</f>
        <v>0</v>
      </c>
      <c r="E15" s="109">
        <f>[3]MESA_UA!$DS$4+[3]MESA_UA!$DS$15</f>
        <v>74</v>
      </c>
      <c r="F15" s="109">
        <f>'[3]Sky West'!$DS$4+'[3]Sky West'!$DS$15</f>
        <v>1466</v>
      </c>
      <c r="G15" s="109">
        <f>'[3]Sky West_UA'!$DS$4</f>
        <v>236</v>
      </c>
      <c r="H15" s="109">
        <f>[3]Comair!$DS$4+[3]Comair!$DS$15</f>
        <v>0</v>
      </c>
      <c r="I15" s="112">
        <f>[3]Republic!$DS$4</f>
        <v>9</v>
      </c>
      <c r="J15" s="112">
        <f>'[3]American Eagle'!$DS$4</f>
        <v>114</v>
      </c>
      <c r="K15" s="110">
        <f>'Other Regional'!L15</f>
        <v>2337</v>
      </c>
      <c r="L15" s="113">
        <f t="shared" si="2"/>
        <v>7720</v>
      </c>
    </row>
    <row r="16" spans="1:12" x14ac:dyDescent="0.2">
      <c r="A16" s="65" t="s">
        <v>59</v>
      </c>
      <c r="B16" s="14">
        <f>[3]Pinnacle!$DS$5+[3]Pinnacle!$DS$16</f>
        <v>3479</v>
      </c>
      <c r="C16" s="116">
        <f>[3]Chautaqua_AA!$DS$5</f>
        <v>0</v>
      </c>
      <c r="D16" s="116">
        <f>[3]Chautaqua_Continental!$DS$5</f>
        <v>0</v>
      </c>
      <c r="E16" s="114">
        <f>[3]MESA_UA!$DS$5+[3]MESA_UA!$DS$16</f>
        <v>74</v>
      </c>
      <c r="F16" s="114">
        <f>'[3]Sky West'!$DS$5+'[3]Sky West'!$DS$16</f>
        <v>1468</v>
      </c>
      <c r="G16" s="114">
        <f>'[3]Sky West_UA'!$DS$5</f>
        <v>236</v>
      </c>
      <c r="H16" s="114">
        <f>[3]Comair!$DS$5+[3]Comair!$DS$16</f>
        <v>0</v>
      </c>
      <c r="I16" s="117">
        <f>[3]Republic!$DS$5</f>
        <v>9</v>
      </c>
      <c r="J16" s="117">
        <f>'[3]American Eagle'!$DS$5</f>
        <v>115</v>
      </c>
      <c r="K16" s="115">
        <f>'Other Regional'!L16</f>
        <v>2333</v>
      </c>
      <c r="L16" s="119">
        <f t="shared" si="2"/>
        <v>7714</v>
      </c>
    </row>
    <row r="17" spans="1:12" x14ac:dyDescent="0.2">
      <c r="A17" s="74" t="s">
        <v>60</v>
      </c>
      <c r="B17" s="120">
        <f t="shared" ref="B17:J17" si="3">SUM(B15:B16)</f>
        <v>6963</v>
      </c>
      <c r="C17" s="120">
        <f t="shared" si="3"/>
        <v>0</v>
      </c>
      <c r="D17" s="120">
        <f t="shared" si="3"/>
        <v>0</v>
      </c>
      <c r="E17" s="120">
        <f t="shared" si="3"/>
        <v>148</v>
      </c>
      <c r="F17" s="120">
        <f t="shared" si="3"/>
        <v>2934</v>
      </c>
      <c r="G17" s="120">
        <f t="shared" si="3"/>
        <v>472</v>
      </c>
      <c r="H17" s="120">
        <f t="shared" si="3"/>
        <v>0</v>
      </c>
      <c r="I17" s="120">
        <f t="shared" si="3"/>
        <v>18</v>
      </c>
      <c r="J17" s="120">
        <f t="shared" si="3"/>
        <v>229</v>
      </c>
      <c r="K17" s="120">
        <f>SUM(K15:K16)</f>
        <v>4670</v>
      </c>
      <c r="L17" s="121">
        <f t="shared" si="2"/>
        <v>15434</v>
      </c>
    </row>
    <row r="18" spans="1:12" x14ac:dyDescent="0.2">
      <c r="A18" s="65" t="s">
        <v>61</v>
      </c>
      <c r="B18" s="122">
        <f>[3]Pinnacle!$DS$8</f>
        <v>2</v>
      </c>
      <c r="C18" s="123">
        <f>[3]Chautaqua_AA!$DS$8</f>
        <v>0</v>
      </c>
      <c r="D18" s="123">
        <f>[3]Chautaqua_Continental!$DS$8</f>
        <v>0</v>
      </c>
      <c r="E18" s="122">
        <f>[3]MESA_UA!$DS$8</f>
        <v>0</v>
      </c>
      <c r="F18" s="122">
        <f>'[3]Sky West'!$DS$8</f>
        <v>0</v>
      </c>
      <c r="G18" s="122">
        <f>'[3]Sky West_UA'!$DS$8</f>
        <v>0</v>
      </c>
      <c r="H18" s="122">
        <f>[3]Comair!$DS$8</f>
        <v>0</v>
      </c>
      <c r="I18" s="122">
        <f>[3]Republic!$DS$8</f>
        <v>0</v>
      </c>
      <c r="J18" s="122">
        <f>'[3]American Eagle'!$DS$8</f>
        <v>0</v>
      </c>
      <c r="K18" s="122">
        <f>'Other Regional'!L18</f>
        <v>0</v>
      </c>
      <c r="L18" s="113">
        <f t="shared" si="2"/>
        <v>2</v>
      </c>
    </row>
    <row r="19" spans="1:12" x14ac:dyDescent="0.2">
      <c r="A19" s="65" t="s">
        <v>62</v>
      </c>
      <c r="B19" s="124">
        <f>[3]Pinnacle!$DS$9</f>
        <v>3</v>
      </c>
      <c r="C19" s="125">
        <f>[3]Chautaqua_AA!$DS$9</f>
        <v>0</v>
      </c>
      <c r="D19" s="125">
        <f>[3]Chautaqua_Continental!$DS$9</f>
        <v>0</v>
      </c>
      <c r="E19" s="124">
        <f>[3]MESA_UA!$DS$9</f>
        <v>0</v>
      </c>
      <c r="F19" s="124">
        <f>'[3]Sky West'!$DS$9</f>
        <v>0</v>
      </c>
      <c r="G19" s="124">
        <f>'[3]Sky West_UA'!$DS$9</f>
        <v>0</v>
      </c>
      <c r="H19" s="124">
        <f>[3]Comair!$DS$9</f>
        <v>0</v>
      </c>
      <c r="I19" s="124">
        <f>[3]Republic!$DS$9</f>
        <v>0</v>
      </c>
      <c r="J19" s="124">
        <f>'[3]American Eagle'!$DS$9</f>
        <v>0</v>
      </c>
      <c r="K19" s="124">
        <f>'Other Regional'!L19</f>
        <v>1</v>
      </c>
      <c r="L19" s="119">
        <f t="shared" si="2"/>
        <v>4</v>
      </c>
    </row>
    <row r="20" spans="1:12" x14ac:dyDescent="0.2">
      <c r="A20" s="74" t="s">
        <v>63</v>
      </c>
      <c r="B20" s="120">
        <f t="shared" ref="B20:K20" si="4">SUM(B18:B19)</f>
        <v>5</v>
      </c>
      <c r="C20" s="120">
        <f t="shared" si="4"/>
        <v>0</v>
      </c>
      <c r="D20" s="120">
        <f t="shared" si="4"/>
        <v>0</v>
      </c>
      <c r="E20" s="120">
        <f t="shared" si="4"/>
        <v>0</v>
      </c>
      <c r="F20" s="120">
        <f t="shared" si="4"/>
        <v>0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1</v>
      </c>
      <c r="L20" s="121">
        <f t="shared" si="2"/>
        <v>6</v>
      </c>
    </row>
    <row r="21" spans="1:12" ht="15.75" thickBot="1" x14ac:dyDescent="0.3">
      <c r="A21" s="75" t="s">
        <v>31</v>
      </c>
      <c r="B21" s="126">
        <f t="shared" ref="B21:J21" si="5">SUM(B20,B17)</f>
        <v>6968</v>
      </c>
      <c r="C21" s="126">
        <f t="shared" si="5"/>
        <v>0</v>
      </c>
      <c r="D21" s="126">
        <f t="shared" si="5"/>
        <v>0</v>
      </c>
      <c r="E21" s="126">
        <f t="shared" si="5"/>
        <v>148</v>
      </c>
      <c r="F21" s="126">
        <f t="shared" si="5"/>
        <v>2934</v>
      </c>
      <c r="G21" s="126">
        <f t="shared" si="5"/>
        <v>472</v>
      </c>
      <c r="H21" s="126">
        <f t="shared" si="5"/>
        <v>0</v>
      </c>
      <c r="I21" s="126">
        <f t="shared" si="5"/>
        <v>18</v>
      </c>
      <c r="J21" s="126">
        <f t="shared" si="5"/>
        <v>229</v>
      </c>
      <c r="K21" s="126">
        <f>SUM(K20,K17)</f>
        <v>4671</v>
      </c>
      <c r="L21" s="127">
        <f t="shared" si="2"/>
        <v>15440</v>
      </c>
    </row>
    <row r="22" spans="1:12" ht="13.5" thickBot="1" x14ac:dyDescent="0.25"/>
    <row r="23" spans="1:12" ht="15.75" thickTop="1" x14ac:dyDescent="0.25">
      <c r="A23" s="68" t="s">
        <v>126</v>
      </c>
      <c r="B23" s="142"/>
      <c r="C23" s="143"/>
      <c r="D23" s="143"/>
      <c r="E23" s="142"/>
      <c r="F23" s="142"/>
      <c r="G23" s="142"/>
      <c r="H23" s="142"/>
      <c r="I23" s="142"/>
      <c r="J23" s="142"/>
      <c r="K23" s="142"/>
      <c r="L23" s="144"/>
    </row>
    <row r="24" spans="1:12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34"/>
      <c r="K24" s="134"/>
      <c r="L24" s="113"/>
    </row>
    <row r="25" spans="1:12" x14ac:dyDescent="0.2">
      <c r="A25" s="78" t="s">
        <v>40</v>
      </c>
      <c r="B25" s="134">
        <f>[3]Pinnacle!$DS$47</f>
        <v>0</v>
      </c>
      <c r="C25" s="136">
        <f>[3]Chautaqua_AA!$DS$47</f>
        <v>0</v>
      </c>
      <c r="D25" s="136">
        <f>[3]Chautaqua_Continental!$DS$47</f>
        <v>0</v>
      </c>
      <c r="E25" s="134">
        <f>[3]MESA_UA!$DS$47</f>
        <v>0</v>
      </c>
      <c r="F25" s="134">
        <f>'[3]Sky West'!$DS$47</f>
        <v>0</v>
      </c>
      <c r="G25" s="134">
        <f>'[3]Sky West_UA'!$DS$47</f>
        <v>0</v>
      </c>
      <c r="H25" s="134">
        <f>[3]Comair!$DS$47</f>
        <v>0</v>
      </c>
      <c r="I25" s="134">
        <f>[3]Republic!$DS$47</f>
        <v>0</v>
      </c>
      <c r="J25" s="134">
        <f>'[3]American Eagle'!$DS$47</f>
        <v>0</v>
      </c>
      <c r="K25" s="134">
        <f>'Other Regional'!L25</f>
        <v>0</v>
      </c>
      <c r="L25" s="113">
        <f>SUM(B25:K25)</f>
        <v>0</v>
      </c>
    </row>
    <row r="26" spans="1:12" x14ac:dyDescent="0.2">
      <c r="A26" s="78" t="s">
        <v>41</v>
      </c>
      <c r="B26" s="134">
        <f>[3]Pinnacle!$DS$48</f>
        <v>0</v>
      </c>
      <c r="C26" s="136">
        <f>[3]Chautaqua_AA!$DS$48</f>
        <v>0</v>
      </c>
      <c r="D26" s="136">
        <f>[3]Chautaqua_Continental!$DS$48</f>
        <v>0</v>
      </c>
      <c r="E26" s="134">
        <f>[3]MESA_UA!$DS$48</f>
        <v>0</v>
      </c>
      <c r="F26" s="134">
        <f>'[3]Sky West'!$DS$48</f>
        <v>0</v>
      </c>
      <c r="G26" s="134">
        <f>'[3]Sky West_UA'!$DS$48</f>
        <v>0</v>
      </c>
      <c r="H26" s="134">
        <f>[3]Comair!$DS$48</f>
        <v>0</v>
      </c>
      <c r="I26" s="134">
        <f>[3]Republic!$DS$48</f>
        <v>0</v>
      </c>
      <c r="J26" s="134">
        <f>'[3]American Eagle'!$DS$48</f>
        <v>0</v>
      </c>
      <c r="K26" s="134">
        <f>'Other Regional'!L26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 t="shared" ref="B27:K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34"/>
      <c r="K28" s="134"/>
      <c r="L28" s="113"/>
    </row>
    <row r="29" spans="1:12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I29" s="134"/>
      <c r="J29" s="134"/>
      <c r="L29" s="113"/>
    </row>
    <row r="30" spans="1:12" x14ac:dyDescent="0.2">
      <c r="A30" s="78" t="s">
        <v>64</v>
      </c>
      <c r="B30" s="134">
        <f>[3]Pinnacle!$DS$52</f>
        <v>0</v>
      </c>
      <c r="C30" s="136">
        <f>[3]Chautaqua_AA!$DS$52</f>
        <v>0</v>
      </c>
      <c r="D30" s="136">
        <f>[3]Chautaqua_Continental!$DS$52</f>
        <v>0</v>
      </c>
      <c r="E30" s="134">
        <f>[3]MESA_UA!$DS$52</f>
        <v>0</v>
      </c>
      <c r="F30" s="134">
        <f>'[3]Sky West'!$DS$52</f>
        <v>0</v>
      </c>
      <c r="G30" s="134">
        <f>'[3]Sky West_UA'!$DS$52</f>
        <v>0</v>
      </c>
      <c r="H30" s="134">
        <f>[3]Comair!$DS$52</f>
        <v>0</v>
      </c>
      <c r="I30" s="134">
        <f>[3]Republic!$DS$52</f>
        <v>0</v>
      </c>
      <c r="J30" s="134">
        <f>'[3]American Eagle'!$DS$52</f>
        <v>0</v>
      </c>
      <c r="K30" s="134">
        <f>'Other Regional'!L30</f>
        <v>0</v>
      </c>
      <c r="L30" s="113">
        <f t="shared" ref="L30:L37" si="7">SUM(B30:K30)</f>
        <v>0</v>
      </c>
    </row>
    <row r="31" spans="1:12" x14ac:dyDescent="0.2">
      <c r="A31" s="78" t="s">
        <v>65</v>
      </c>
      <c r="B31" s="134">
        <f>[3]Pinnacle!$DS$53</f>
        <v>0</v>
      </c>
      <c r="C31" s="136">
        <f>[3]Chautaqua_AA!$DS$53</f>
        <v>0</v>
      </c>
      <c r="D31" s="136">
        <f>[3]Chautaqua_Continental!$DS$53</f>
        <v>0</v>
      </c>
      <c r="E31" s="134">
        <f>[3]MESA_UA!$DS$53</f>
        <v>0</v>
      </c>
      <c r="F31" s="134">
        <f>'[3]Sky West'!$DS$53</f>
        <v>0</v>
      </c>
      <c r="G31" s="134">
        <f>'[3]Sky West_UA'!$DS$53</f>
        <v>0</v>
      </c>
      <c r="H31" s="134">
        <f>[3]Comair!$DS$53</f>
        <v>0</v>
      </c>
      <c r="I31" s="134">
        <f>[3]Republic!$DS$53</f>
        <v>0</v>
      </c>
      <c r="J31" s="134">
        <f>'[3]American Eagle'!$DS$53</f>
        <v>0</v>
      </c>
      <c r="K31" s="134">
        <f>'Other Regional'!L31</f>
        <v>0</v>
      </c>
      <c r="L31" s="113">
        <f t="shared" si="7"/>
        <v>0</v>
      </c>
    </row>
    <row r="32" spans="1:12" ht="15" thickBot="1" x14ac:dyDescent="0.25">
      <c r="A32" s="76" t="s">
        <v>44</v>
      </c>
      <c r="B32" s="137">
        <f t="shared" ref="B32:J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 t="shared" si="8"/>
        <v>0</v>
      </c>
      <c r="K32" s="137">
        <f>SUM(K30:K31)</f>
        <v>0</v>
      </c>
      <c r="L32" s="138">
        <f t="shared" si="7"/>
        <v>0</v>
      </c>
    </row>
    <row r="33" spans="1:12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34"/>
      <c r="K33" s="134"/>
      <c r="L33" s="113">
        <f t="shared" si="7"/>
        <v>0</v>
      </c>
    </row>
    <row r="34" spans="1:12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34"/>
      <c r="K34" s="134"/>
      <c r="L34" s="113">
        <f t="shared" si="7"/>
        <v>0</v>
      </c>
    </row>
    <row r="35" spans="1:12" ht="13.5" hidden="1" thickTop="1" x14ac:dyDescent="0.2">
      <c r="A35" s="78" t="s">
        <v>40</v>
      </c>
      <c r="B35" s="134">
        <f>[3]Pinnacle!$DS$57</f>
        <v>0</v>
      </c>
      <c r="C35" s="136">
        <f>[3]Chautaqua_AA!$DS$57</f>
        <v>0</v>
      </c>
      <c r="D35" s="136">
        <f>[3]Chautaqua_Continental!$DS$57</f>
        <v>0</v>
      </c>
      <c r="E35" s="134">
        <f>[3]MESA_UA!$DS$57</f>
        <v>0</v>
      </c>
      <c r="F35" s="134">
        <f>'[3]Sky West'!$DS$57</f>
        <v>0</v>
      </c>
      <c r="G35" s="134">
        <f>'[3]Sky West_UA'!$DS$57</f>
        <v>0</v>
      </c>
      <c r="H35" s="134">
        <f>[3]Comair!$DS$57</f>
        <v>0</v>
      </c>
      <c r="I35" s="134">
        <f>[3]Republic!$DS$57</f>
        <v>0</v>
      </c>
      <c r="J35" s="134">
        <f>'[3]American Eagle'!$DS$57</f>
        <v>0</v>
      </c>
      <c r="K35" s="134">
        <f>'Other Regional'!L35</f>
        <v>0</v>
      </c>
      <c r="L35" s="113">
        <f t="shared" si="7"/>
        <v>0</v>
      </c>
    </row>
    <row r="36" spans="1:12" ht="13.5" hidden="1" thickTop="1" x14ac:dyDescent="0.2">
      <c r="A36" s="78" t="s">
        <v>41</v>
      </c>
      <c r="B36" s="134">
        <f>[3]Pinnacle!$DS$58</f>
        <v>0</v>
      </c>
      <c r="C36" s="136">
        <f>[3]Chautaqua_AA!$DS$58</f>
        <v>0</v>
      </c>
      <c r="D36" s="136">
        <f>[3]Chautaqua_Continental!$DS$58</f>
        <v>0</v>
      </c>
      <c r="E36" s="134">
        <f>[3]MESA_UA!$DS$58</f>
        <v>0</v>
      </c>
      <c r="F36" s="134">
        <f>'[3]Sky West'!$DS$58</f>
        <v>0</v>
      </c>
      <c r="G36" s="134">
        <f>'[3]Sky West_UA'!$DS$58</f>
        <v>0</v>
      </c>
      <c r="H36" s="134">
        <f>[3]Comair!$DS$58</f>
        <v>0</v>
      </c>
      <c r="I36" s="134">
        <f>[3]Republic!$DS$58</f>
        <v>0</v>
      </c>
      <c r="J36" s="134">
        <f>'[3]American Eagle'!$DS$58</f>
        <v>0</v>
      </c>
      <c r="K36" s="134">
        <f>'Other Regional'!L36</f>
        <v>0</v>
      </c>
      <c r="L36" s="113">
        <f t="shared" si="7"/>
        <v>0</v>
      </c>
    </row>
    <row r="37" spans="1:12" ht="13.5" hidden="1" thickTop="1" x14ac:dyDescent="0.2">
      <c r="A37" s="79" t="s">
        <v>46</v>
      </c>
      <c r="B37" s="145">
        <f t="shared" ref="B37:J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 t="shared" si="9"/>
        <v>0</v>
      </c>
      <c r="K37" s="145">
        <f>SUM(K35:K36)</f>
        <v>0</v>
      </c>
      <c r="L37" s="147">
        <f t="shared" si="7"/>
        <v>0</v>
      </c>
    </row>
    <row r="38" spans="1:12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34"/>
      <c r="K38" s="134"/>
      <c r="L38" s="113"/>
    </row>
    <row r="39" spans="1:12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34"/>
      <c r="K39" s="134"/>
      <c r="L39" s="113"/>
    </row>
    <row r="40" spans="1:12" x14ac:dyDescent="0.2">
      <c r="A40" s="78" t="s">
        <v>48</v>
      </c>
      <c r="B40" s="134">
        <f t="shared" ref="B40:I42" si="10">SUM(B35,B30,B25)</f>
        <v>0</v>
      </c>
      <c r="C40" s="134">
        <f t="shared" si="10"/>
        <v>0</v>
      </c>
      <c r="D40" s="134">
        <f t="shared" si="10"/>
        <v>0</v>
      </c>
      <c r="E40" s="134">
        <f>SUM(E35,E30,E25)</f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 t="shared" si="10"/>
        <v>0</v>
      </c>
      <c r="J40" s="134">
        <f>SUM(J35,J30,J25)</f>
        <v>0</v>
      </c>
      <c r="K40" s="134">
        <f>K35+K30+K25</f>
        <v>0</v>
      </c>
      <c r="L40" s="113">
        <f>SUM(B40:K40)</f>
        <v>0</v>
      </c>
    </row>
    <row r="41" spans="1:12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0"/>
        <v>0</v>
      </c>
      <c r="E41" s="134">
        <f>SUM(E36,E31,E26)</f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 t="shared" si="10"/>
        <v>0</v>
      </c>
      <c r="J41" s="134">
        <f>SUM(J36,J31,J26)</f>
        <v>0</v>
      </c>
      <c r="K41" s="134">
        <f>K36+K31+K26</f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0"/>
        <v>0</v>
      </c>
      <c r="E42" s="140">
        <f>SUM(E37,E32,E27)</f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 t="shared" si="10"/>
        <v>0</v>
      </c>
      <c r="J42" s="140">
        <f>SUM(J37,J32,J27)</f>
        <v>0</v>
      </c>
      <c r="K42" s="140">
        <f>SUM(K37,K32,K27)</f>
        <v>0</v>
      </c>
      <c r="L42" s="141">
        <f>SUM(B42:K42)</f>
        <v>0</v>
      </c>
    </row>
    <row r="44" spans="1:12" x14ac:dyDescent="0.2">
      <c r="A44" s="394" t="s">
        <v>135</v>
      </c>
      <c r="B44" s="327">
        <f>[3]Pinnacle!$DS$70+[3]Pinnacle!$DS$73</f>
        <v>46878</v>
      </c>
      <c r="F44" s="328">
        <f>'[3]Sky West'!$DS$70+'[3]Sky West'!$DS$73</f>
        <v>13232</v>
      </c>
      <c r="H44" s="328">
        <f>[3]Comair!$DS$70+[3]Comair!$DS$73</f>
        <v>0</v>
      </c>
      <c r="K44" s="5">
        <f>+'Other Regional'!L46</f>
        <v>35320</v>
      </c>
      <c r="L44" s="316">
        <f>SUM(B44:K44)</f>
        <v>95430</v>
      </c>
    </row>
    <row r="45" spans="1:12" x14ac:dyDescent="0.2">
      <c r="A45" s="410" t="s">
        <v>136</v>
      </c>
      <c r="B45" s="327">
        <f>[3]Pinnacle!$DS$71+[3]Pinnacle!$DS$74</f>
        <v>130966</v>
      </c>
      <c r="F45" s="328">
        <f>'[3]Sky West'!$DS$71+'[3]Sky West'!$DS$74</f>
        <v>48030</v>
      </c>
      <c r="H45" s="328">
        <f>[3]Comair!$DS$71+[3]Comair!$DS$74</f>
        <v>0</v>
      </c>
      <c r="K45" s="5">
        <f>+'Other Regional'!L47</f>
        <v>72722</v>
      </c>
      <c r="L45" s="316">
        <f>SUM(B45:K45)</f>
        <v>251718</v>
      </c>
    </row>
    <row r="46" spans="1:12" x14ac:dyDescent="0.2">
      <c r="A46" s="318" t="s">
        <v>137</v>
      </c>
      <c r="B46" s="319">
        <f>SUM(B44:B45)</f>
        <v>177844</v>
      </c>
      <c r="K46" s="2"/>
      <c r="L46" s="317"/>
    </row>
    <row r="47" spans="1:12" x14ac:dyDescent="0.2">
      <c r="A47" s="320"/>
      <c r="B47" s="321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October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0" zoomScaleNormal="100" zoomScaleSheetLayoutView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9.28515625" bestFit="1" customWidth="1"/>
    <col min="12" max="12" width="12.140625" customWidth="1"/>
  </cols>
  <sheetData>
    <row r="1" spans="1:12" s="7" customFormat="1" ht="6" customHeight="1" x14ac:dyDescent="0.2">
      <c r="A1" s="406"/>
    </row>
    <row r="2" spans="1:12" s="7" customFormat="1" ht="55.5" customHeight="1" thickBot="1" x14ac:dyDescent="0.25">
      <c r="A2" s="399">
        <v>41913</v>
      </c>
      <c r="B2" s="19" t="s">
        <v>143</v>
      </c>
      <c r="C2" s="19" t="s">
        <v>169</v>
      </c>
      <c r="D2" s="19" t="s">
        <v>168</v>
      </c>
      <c r="E2" s="19" t="s">
        <v>146</v>
      </c>
      <c r="F2" s="19" t="s">
        <v>55</v>
      </c>
      <c r="G2" s="19" t="s">
        <v>177</v>
      </c>
      <c r="H2" s="19" t="s">
        <v>208</v>
      </c>
      <c r="I2" s="19" t="s">
        <v>214</v>
      </c>
      <c r="J2" s="19" t="s">
        <v>128</v>
      </c>
      <c r="K2" s="19" t="s">
        <v>56</v>
      </c>
      <c r="L2" s="296" t="s">
        <v>24</v>
      </c>
    </row>
    <row r="3" spans="1:12" ht="15.75" thickTop="1" x14ac:dyDescent="0.25">
      <c r="A3" s="284" t="s">
        <v>3</v>
      </c>
      <c r="B3" s="422"/>
      <c r="C3" s="422"/>
      <c r="D3" s="422"/>
      <c r="E3" s="422"/>
      <c r="F3" s="423"/>
      <c r="G3" s="423"/>
      <c r="H3" s="423"/>
      <c r="I3" s="423"/>
      <c r="J3" s="423"/>
      <c r="K3" s="42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'[3]Shuttle America'!$DS$22</f>
        <v>9607</v>
      </c>
      <c r="C5" s="135">
        <f>'[3]Shuttle America_Delta'!$DS$22</f>
        <v>7636</v>
      </c>
      <c r="D5" s="135">
        <f>[3]AirCanada!$DS$32</f>
        <v>4188</v>
      </c>
      <c r="E5" s="22">
        <f>[3]Compass!$DS$22+[3]Compass!$DS$32</f>
        <v>75737</v>
      </c>
      <c r="F5" s="135">
        <f>'[3]Atlantic Southeast'!$DS$22+'[3]Atlantic Southeast'!$DS$32</f>
        <v>21580</v>
      </c>
      <c r="G5" s="135">
        <f>'[3]Continental Express'!$DS$22</f>
        <v>8672</v>
      </c>
      <c r="H5" s="134">
        <f>'[3]Go Jet_UA'!$DS$22</f>
        <v>6014</v>
      </c>
      <c r="I5" s="134">
        <f>'[3]Go Jet'!$DS$22</f>
        <v>0</v>
      </c>
      <c r="J5" s="136">
        <f>'[3]Air Wisconsin'!$DS$22</f>
        <v>0</v>
      </c>
      <c r="K5" s="134">
        <f>[3]MESA!$DS$22</f>
        <v>257</v>
      </c>
      <c r="L5" s="113">
        <f>SUM(B5:K5)</f>
        <v>133691</v>
      </c>
    </row>
    <row r="6" spans="1:12" s="10" customFormat="1" x14ac:dyDescent="0.2">
      <c r="A6" s="65" t="s">
        <v>34</v>
      </c>
      <c r="B6" s="135">
        <f>'[3]Shuttle America'!$DS$23</f>
        <v>9736</v>
      </c>
      <c r="C6" s="135">
        <f>'[3]Shuttle America_Delta'!$DS$23</f>
        <v>7622</v>
      </c>
      <c r="D6" s="135">
        <f>[3]AirCanada!$DS$33</f>
        <v>3666</v>
      </c>
      <c r="E6" s="14">
        <f>[3]Compass!$DS$23+[3]Compass!$DS$33</f>
        <v>77927</v>
      </c>
      <c r="F6" s="135">
        <f>'[3]Atlantic Southeast'!$DS$23+'[3]Atlantic Southeast'!$DS$33</f>
        <v>22493</v>
      </c>
      <c r="G6" s="135">
        <f>'[3]Continental Express'!$DS$23</f>
        <v>8864</v>
      </c>
      <c r="H6" s="134">
        <f>'[3]Go Jet_UA'!$DS$23</f>
        <v>5633</v>
      </c>
      <c r="I6" s="134">
        <f>'[3]Go Jet'!$DS$23</f>
        <v>0</v>
      </c>
      <c r="J6" s="136">
        <f>'[3]Air Wisconsin'!$DS$23</f>
        <v>0</v>
      </c>
      <c r="K6" s="134">
        <f>[3]MESA!$DS$23</f>
        <v>277</v>
      </c>
      <c r="L6" s="119">
        <f>SUM(B6:K6)</f>
        <v>136218</v>
      </c>
    </row>
    <row r="7" spans="1:12" ht="15" thickBot="1" x14ac:dyDescent="0.25">
      <c r="A7" s="76" t="s">
        <v>7</v>
      </c>
      <c r="B7" s="137">
        <f t="shared" ref="B7:K7" si="0">SUM(B5:B6)</f>
        <v>19343</v>
      </c>
      <c r="C7" s="137">
        <f t="shared" si="0"/>
        <v>15258</v>
      </c>
      <c r="D7" s="137">
        <f t="shared" si="0"/>
        <v>7854</v>
      </c>
      <c r="E7" s="137">
        <f>SUM(E5:E6)</f>
        <v>153664</v>
      </c>
      <c r="F7" s="137">
        <f t="shared" si="0"/>
        <v>44073</v>
      </c>
      <c r="G7" s="137">
        <f t="shared" si="0"/>
        <v>17536</v>
      </c>
      <c r="H7" s="137">
        <f t="shared" si="0"/>
        <v>11647</v>
      </c>
      <c r="I7" s="137">
        <f t="shared" si="0"/>
        <v>0</v>
      </c>
      <c r="J7" s="137">
        <f t="shared" si="0"/>
        <v>0</v>
      </c>
      <c r="K7" s="137">
        <f t="shared" si="0"/>
        <v>534</v>
      </c>
      <c r="L7" s="138">
        <f>SUM(L5:L6)</f>
        <v>269909</v>
      </c>
    </row>
    <row r="8" spans="1:12" ht="13.5" thickTop="1" x14ac:dyDescent="0.2">
      <c r="A8" s="65"/>
      <c r="B8" s="135"/>
      <c r="C8" s="135"/>
      <c r="D8" s="135"/>
      <c r="E8" s="341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'[3]Shuttle America'!$DS$27</f>
        <v>0</v>
      </c>
      <c r="C10" s="135">
        <f>'[3]Shuttle America_Delta'!$DS$27</f>
        <v>407</v>
      </c>
      <c r="D10" s="135">
        <f>[3]AirCanada!$DS$37</f>
        <v>51</v>
      </c>
      <c r="E10" s="22">
        <f>[3]Compass!$DS$27+[3]Compass!$DS$37</f>
        <v>2034</v>
      </c>
      <c r="F10" s="22">
        <f>'[3]Atlantic Southeast'!$DS$27+'[3]Atlantic Southeast'!$DS$37</f>
        <v>574</v>
      </c>
      <c r="G10" s="135">
        <f>'[3]Continental Express'!$DS$27</f>
        <v>338</v>
      </c>
      <c r="H10" s="134">
        <f>'[3]Go Jet_UA'!$DS$27</f>
        <v>211</v>
      </c>
      <c r="I10" s="134">
        <f>'[3]Go Jet'!$DS$27</f>
        <v>0</v>
      </c>
      <c r="J10" s="136">
        <f>'[3]Air Wisconsin'!$DS$27</f>
        <v>0</v>
      </c>
      <c r="K10" s="134">
        <f>[3]MESA!$DS$27</f>
        <v>5</v>
      </c>
      <c r="L10" s="113">
        <f>SUM(B10:K10)</f>
        <v>3620</v>
      </c>
    </row>
    <row r="11" spans="1:12" x14ac:dyDescent="0.2">
      <c r="A11" s="65" t="s">
        <v>36</v>
      </c>
      <c r="B11" s="135">
        <f>'[3]Shuttle America'!$DS$28</f>
        <v>0</v>
      </c>
      <c r="C11" s="135">
        <f>'[3]Shuttle America_Delta'!$DS$28</f>
        <v>365</v>
      </c>
      <c r="D11" s="135">
        <f>[3]AirCanada!$DS$38</f>
        <v>54</v>
      </c>
      <c r="E11" s="14">
        <f>[3]Compass!$DS$28+[3]Compass!$DS$38</f>
        <v>2120</v>
      </c>
      <c r="F11" s="14">
        <f>'[3]Atlantic Southeast'!$DS$28+'[3]Atlantic Southeast'!$DS$38</f>
        <v>562</v>
      </c>
      <c r="G11" s="135">
        <f>'[3]Continental Express'!$DS$28</f>
        <v>331</v>
      </c>
      <c r="H11" s="134">
        <f>'[3]Go Jet_UA'!$DS$28</f>
        <v>138</v>
      </c>
      <c r="I11" s="134">
        <f>'[3]Go Jet'!$DS$28</f>
        <v>0</v>
      </c>
      <c r="J11" s="136">
        <f>'[3]Air Wisconsin'!$DS$28</f>
        <v>0</v>
      </c>
      <c r="K11" s="134">
        <f>[3]MESA!$DS$28</f>
        <v>7</v>
      </c>
      <c r="L11" s="119">
        <f>SUM(B11:K11)</f>
        <v>3577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772</v>
      </c>
      <c r="D12" s="140">
        <f t="shared" ref="D12:K12" si="1">SUM(D10:D11)</f>
        <v>105</v>
      </c>
      <c r="E12" s="140">
        <f t="shared" si="1"/>
        <v>4154</v>
      </c>
      <c r="F12" s="140">
        <f t="shared" si="1"/>
        <v>1136</v>
      </c>
      <c r="G12" s="140">
        <f t="shared" si="1"/>
        <v>669</v>
      </c>
      <c r="H12" s="140">
        <f t="shared" si="1"/>
        <v>349</v>
      </c>
      <c r="I12" s="140">
        <f t="shared" si="1"/>
        <v>0</v>
      </c>
      <c r="J12" s="140">
        <f t="shared" si="1"/>
        <v>0</v>
      </c>
      <c r="K12" s="140">
        <f t="shared" si="1"/>
        <v>12</v>
      </c>
      <c r="L12" s="141">
        <f>SUM(B12:K12)</f>
        <v>7197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58</v>
      </c>
      <c r="B15" s="109">
        <f>'[3]Shuttle America'!$DS$4</f>
        <v>165</v>
      </c>
      <c r="C15" s="109">
        <f>'[3]Shuttle America_Delta'!$DS$4</f>
        <v>125</v>
      </c>
      <c r="D15" s="110">
        <f>[3]AirCanada!$DS$15</f>
        <v>88</v>
      </c>
      <c r="E15" s="22">
        <f>[3]Compass!$DS$4+[3]Compass!$DS$15</f>
        <v>1241</v>
      </c>
      <c r="F15" s="110">
        <f>'[3]Atlantic Southeast'!$DS$4+'[3]Atlantic Southeast'!$DS$15</f>
        <v>388</v>
      </c>
      <c r="G15" s="110">
        <f>'[3]Continental Express'!$DS$4</f>
        <v>230</v>
      </c>
      <c r="H15" s="109">
        <f>'[3]Go Jet_UA'!$DS$4</f>
        <v>95</v>
      </c>
      <c r="I15" s="109">
        <f>'[3]Go Jet'!$DS$4</f>
        <v>0</v>
      </c>
      <c r="J15" s="111">
        <f>'[3]Air Wisconsin'!$DS$4</f>
        <v>0</v>
      </c>
      <c r="K15" s="109">
        <f>[3]MESA!$DS$4</f>
        <v>5</v>
      </c>
      <c r="L15" s="113">
        <f t="shared" ref="L15:L21" si="2">SUM(B15:K15)</f>
        <v>2337</v>
      </c>
    </row>
    <row r="16" spans="1:12" x14ac:dyDescent="0.2">
      <c r="A16" s="65" t="s">
        <v>59</v>
      </c>
      <c r="B16" s="114">
        <f>'[3]Shuttle America'!$DS$5</f>
        <v>165</v>
      </c>
      <c r="C16" s="114">
        <f>'[3]Shuttle America_Delta'!$DS$5</f>
        <v>125</v>
      </c>
      <c r="D16" s="115">
        <f>[3]AirCanada!$DS$16</f>
        <v>88</v>
      </c>
      <c r="E16" s="14">
        <f>[3]Compass!$DS$5+[3]Compass!$DS$16</f>
        <v>1240</v>
      </c>
      <c r="F16" s="115">
        <f>'[3]Atlantic Southeast'!$DS$5+'[3]Atlantic Southeast'!$DS$16</f>
        <v>385</v>
      </c>
      <c r="G16" s="115">
        <f>'[3]Continental Express'!$DS$5</f>
        <v>230</v>
      </c>
      <c r="H16" s="114">
        <f>'[3]Go Jet_UA'!$DS$5</f>
        <v>95</v>
      </c>
      <c r="I16" s="114">
        <f>'[3]Go Jet'!$DS$5</f>
        <v>0</v>
      </c>
      <c r="J16" s="116">
        <f>'[3]Air Wisconsin'!$DS$5</f>
        <v>0</v>
      </c>
      <c r="K16" s="114">
        <f>[3]MESA!$DS$5</f>
        <v>5</v>
      </c>
      <c r="L16" s="119">
        <f t="shared" si="2"/>
        <v>2333</v>
      </c>
    </row>
    <row r="17" spans="1:12" x14ac:dyDescent="0.2">
      <c r="A17" s="74" t="s">
        <v>60</v>
      </c>
      <c r="B17" s="120">
        <f>SUM(B15:B16)</f>
        <v>330</v>
      </c>
      <c r="C17" s="120">
        <f>SUM(C15:C16)</f>
        <v>250</v>
      </c>
      <c r="D17" s="120">
        <f t="shared" ref="D17:K17" si="3">SUM(D15:D16)</f>
        <v>176</v>
      </c>
      <c r="E17" s="291">
        <f>SUM(E15:E16)</f>
        <v>2481</v>
      </c>
      <c r="F17" s="120">
        <f t="shared" si="3"/>
        <v>773</v>
      </c>
      <c r="G17" s="120">
        <f t="shared" si="3"/>
        <v>460</v>
      </c>
      <c r="H17" s="120">
        <f t="shared" si="3"/>
        <v>190</v>
      </c>
      <c r="I17" s="120">
        <f t="shared" si="3"/>
        <v>0</v>
      </c>
      <c r="J17" s="120">
        <f t="shared" si="3"/>
        <v>0</v>
      </c>
      <c r="K17" s="120">
        <f t="shared" si="3"/>
        <v>10</v>
      </c>
      <c r="L17" s="121">
        <f t="shared" si="2"/>
        <v>4670</v>
      </c>
    </row>
    <row r="18" spans="1:12" x14ac:dyDescent="0.2">
      <c r="A18" s="65" t="s">
        <v>61</v>
      </c>
      <c r="B18" s="122">
        <f>'[3]Shuttle America'!$DS$8</f>
        <v>0</v>
      </c>
      <c r="C18" s="122">
        <f>'[3]Shuttle America_Delta'!$DS$8</f>
        <v>0</v>
      </c>
      <c r="D18" s="122">
        <f>[3]AirCanada!$DS$8</f>
        <v>0</v>
      </c>
      <c r="E18" s="22">
        <f>[3]Compass!$DS$8</f>
        <v>0</v>
      </c>
      <c r="F18" s="112">
        <f>'[3]Atlantic Southeast'!$DS$8</f>
        <v>0</v>
      </c>
      <c r="G18" s="112">
        <f>'[3]Continental Express'!$DS$8</f>
        <v>0</v>
      </c>
      <c r="H18" s="122">
        <f>'[3]Go Jet_UA'!$DS$8</f>
        <v>0</v>
      </c>
      <c r="I18" s="122">
        <f>'[3]Go Jet'!$DS$8</f>
        <v>0</v>
      </c>
      <c r="J18" s="123">
        <f>'[3]Air Wisconsin'!$DS$8</f>
        <v>0</v>
      </c>
      <c r="K18" s="122">
        <f>[3]MESA!$DS$8</f>
        <v>0</v>
      </c>
      <c r="L18" s="113">
        <f t="shared" si="2"/>
        <v>0</v>
      </c>
    </row>
    <row r="19" spans="1:12" x14ac:dyDescent="0.2">
      <c r="A19" s="65" t="s">
        <v>62</v>
      </c>
      <c r="B19" s="124">
        <f>'[3]Shuttle America'!$DS$9</f>
        <v>0</v>
      </c>
      <c r="C19" s="124">
        <f>'[3]Shuttle America_Delta'!$DS$9</f>
        <v>0</v>
      </c>
      <c r="D19" s="124">
        <f>[3]AirCanada!$DS$9</f>
        <v>0</v>
      </c>
      <c r="E19" s="14">
        <f>[3]Compass!$DS$9</f>
        <v>0</v>
      </c>
      <c r="F19" s="117">
        <f>'[3]Atlantic Southeast'!$DS$9</f>
        <v>1</v>
      </c>
      <c r="G19" s="117">
        <f>'[3]Continental Express'!$DS$9</f>
        <v>0</v>
      </c>
      <c r="H19" s="124">
        <f>'[3]Go Jet_UA'!$DS$9</f>
        <v>0</v>
      </c>
      <c r="I19" s="124">
        <f>'[3]Go Jet'!$DS$9</f>
        <v>0</v>
      </c>
      <c r="J19" s="125">
        <f>'[3]Air Wisconsin'!$DS$9</f>
        <v>0</v>
      </c>
      <c r="K19" s="124">
        <f>[3]MESA!$DS$9</f>
        <v>0</v>
      </c>
      <c r="L19" s="119">
        <f t="shared" si="2"/>
        <v>1</v>
      </c>
    </row>
    <row r="20" spans="1:12" x14ac:dyDescent="0.2">
      <c r="A20" s="74" t="s">
        <v>63</v>
      </c>
      <c r="B20" s="120">
        <f>SUM(B18:B19)</f>
        <v>0</v>
      </c>
      <c r="C20" s="120">
        <f>SUM(C18:C19)</f>
        <v>0</v>
      </c>
      <c r="D20" s="120">
        <f t="shared" ref="D20:K20" si="4">SUM(D18:D19)</f>
        <v>0</v>
      </c>
      <c r="E20" s="291">
        <f>SUM(E18:E19)</f>
        <v>0</v>
      </c>
      <c r="F20" s="120">
        <f t="shared" si="4"/>
        <v>1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0</v>
      </c>
      <c r="L20" s="121">
        <f t="shared" si="2"/>
        <v>1</v>
      </c>
    </row>
    <row r="21" spans="1:12" ht="15.75" thickBot="1" x14ac:dyDescent="0.3">
      <c r="A21" s="75" t="s">
        <v>31</v>
      </c>
      <c r="B21" s="126">
        <f>SUM(B20,B17)</f>
        <v>330</v>
      </c>
      <c r="C21" s="126">
        <f>SUM(C20,C17)</f>
        <v>250</v>
      </c>
      <c r="D21" s="126">
        <f t="shared" ref="D21:K21" si="5">SUM(D20,D17)</f>
        <v>176</v>
      </c>
      <c r="E21" s="126">
        <f t="shared" si="5"/>
        <v>2481</v>
      </c>
      <c r="F21" s="126">
        <f t="shared" si="5"/>
        <v>774</v>
      </c>
      <c r="G21" s="126">
        <f t="shared" si="5"/>
        <v>460</v>
      </c>
      <c r="H21" s="126">
        <f t="shared" si="5"/>
        <v>190</v>
      </c>
      <c r="I21" s="126">
        <f t="shared" si="5"/>
        <v>0</v>
      </c>
      <c r="J21" s="126">
        <f t="shared" si="5"/>
        <v>0</v>
      </c>
      <c r="K21" s="126">
        <f t="shared" si="5"/>
        <v>10</v>
      </c>
      <c r="L21" s="127">
        <f t="shared" si="2"/>
        <v>4671</v>
      </c>
    </row>
    <row r="22" spans="1:12" ht="3.75" customHeight="1" thickBot="1" x14ac:dyDescent="0.25"/>
    <row r="23" spans="1:12" ht="15.75" thickTop="1" x14ac:dyDescent="0.25">
      <c r="A23" s="68" t="s">
        <v>126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'[3]Shuttle America'!$DS$47</f>
        <v>0</v>
      </c>
      <c r="C25" s="134">
        <f>'[3]Shuttle America_Delta'!$DS$47</f>
        <v>0</v>
      </c>
      <c r="D25" s="134">
        <f>[3]AirCanada!$DS$47</f>
        <v>0</v>
      </c>
      <c r="E25" s="134">
        <f>[3]Compass!$DS$47</f>
        <v>0</v>
      </c>
      <c r="F25" s="135">
        <f>'[3]Atlantic Southeast'!$DS$47</f>
        <v>0</v>
      </c>
      <c r="G25" s="135">
        <f>'[3]Continental Express'!$DS$47</f>
        <v>0</v>
      </c>
      <c r="H25" s="134">
        <f>'[3]Go Jet_UA'!$DS$47</f>
        <v>0</v>
      </c>
      <c r="I25" s="134">
        <f>'[3]Go Jet'!$DS$47</f>
        <v>0</v>
      </c>
      <c r="J25" s="136">
        <f>'[3]Air Wisconsin'!$DS$47</f>
        <v>0</v>
      </c>
      <c r="K25" s="134">
        <f>[3]MESA!$DS$47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'[3]Shuttle America'!$DS$48</f>
        <v>0</v>
      </c>
      <c r="C26" s="134">
        <f>'[3]Shuttle America_Delta'!$DS$48</f>
        <v>0</v>
      </c>
      <c r="D26" s="134">
        <f>[3]AirCanada!$DS$48</f>
        <v>0</v>
      </c>
      <c r="E26" s="134">
        <f>[3]Compass!$DS$48</f>
        <v>0</v>
      </c>
      <c r="F26" s="135">
        <f>'[3]Atlantic Southeast'!$DS$48</f>
        <v>0</v>
      </c>
      <c r="G26" s="135">
        <f>'[3]Continental Express'!$DS$48</f>
        <v>0</v>
      </c>
      <c r="H26" s="134">
        <f>'[3]Go Jet_UA'!$DS$48</f>
        <v>0</v>
      </c>
      <c r="I26" s="134">
        <f>'[3]Go Jet'!$DS$48</f>
        <v>0</v>
      </c>
      <c r="J26" s="136">
        <f>'[3]Air Wisconsin'!$DS$48</f>
        <v>0</v>
      </c>
      <c r="K26" s="134">
        <f>[3]MESA!$DS$48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64</v>
      </c>
      <c r="B30" s="134">
        <f>'[3]Shuttle America'!$DS$52</f>
        <v>0</v>
      </c>
      <c r="C30" s="134">
        <f>'[3]Shuttle America_Delta'!$DS$52</f>
        <v>0</v>
      </c>
      <c r="D30" s="134">
        <f>[3]AirCanada!$DS$52</f>
        <v>0</v>
      </c>
      <c r="E30" s="134">
        <f>[3]Compass!$DS$52</f>
        <v>0</v>
      </c>
      <c r="F30" s="135">
        <f>'[3]Atlantic Southeast'!$DS$52</f>
        <v>0</v>
      </c>
      <c r="G30" s="135">
        <f>'[3]Continental Express'!$DS$52</f>
        <v>0</v>
      </c>
      <c r="H30" s="134">
        <f>'[3]Go Jet_UA'!$DS$52</f>
        <v>0</v>
      </c>
      <c r="I30" s="134">
        <f>'[3]Go Jet'!$DS$52</f>
        <v>0</v>
      </c>
      <c r="J30" s="136">
        <f>'[3]Air Wisconsin'!BH$52</f>
        <v>0</v>
      </c>
      <c r="K30" s="134">
        <f>[3]MESA!$DS$52</f>
        <v>0</v>
      </c>
      <c r="L30" s="113">
        <f>SUM(B30:K30)</f>
        <v>0</v>
      </c>
    </row>
    <row r="31" spans="1:12" x14ac:dyDescent="0.2">
      <c r="A31" s="78" t="s">
        <v>65</v>
      </c>
      <c r="B31" s="134">
        <f>'[3]Shuttle America'!$DS$53</f>
        <v>0</v>
      </c>
      <c r="C31" s="134">
        <f>'[3]Shuttle America_Delta'!$DS$53</f>
        <v>0</v>
      </c>
      <c r="D31" s="134">
        <f>[3]AirCanada!$DS$53</f>
        <v>0</v>
      </c>
      <c r="E31" s="134">
        <f>[3]Compass!$DS$53</f>
        <v>0</v>
      </c>
      <c r="F31" s="135">
        <f>'[3]Atlantic Southeast'!$DS$53</f>
        <v>0</v>
      </c>
      <c r="G31" s="135">
        <f>'[3]Continental Express'!$DS$53</f>
        <v>0</v>
      </c>
      <c r="H31" s="134">
        <f>'[3]Go Jet_UA'!$DS$53</f>
        <v>0</v>
      </c>
      <c r="I31" s="134">
        <f>'[3]Go Jet'!$DS$53</f>
        <v>0</v>
      </c>
      <c r="J31" s="136">
        <f>'[3]Air Wisconsin'!$DS$53</f>
        <v>0</v>
      </c>
      <c r="K31" s="134">
        <f>[3]MESA!$DS$53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'[3]Shuttle America'!$DS$57</f>
        <v>0</v>
      </c>
      <c r="C35" s="134">
        <f>'[3]Shuttle America_Delta'!$DS$57</f>
        <v>0</v>
      </c>
      <c r="D35" s="134">
        <f>[3]AirCanada!$DS$57</f>
        <v>0</v>
      </c>
      <c r="E35" s="134">
        <f>[3]Compass!$DS$57</f>
        <v>0</v>
      </c>
      <c r="F35" s="135">
        <f>'[3]Atlantic Southeast'!$DS$57</f>
        <v>0</v>
      </c>
      <c r="G35" s="135">
        <f>'[3]Continental Express'!$DS$57</f>
        <v>0</v>
      </c>
      <c r="H35" s="134">
        <f>'[3]Go Jet_UA'!$AJ$57</f>
        <v>0</v>
      </c>
      <c r="I35" s="134">
        <f>'[3]Go Jet'!$AJ$57</f>
        <v>0</v>
      </c>
      <c r="J35" s="136">
        <f>'[3]Air Wisconsin'!BG$57</f>
        <v>0</v>
      </c>
      <c r="K35" s="134">
        <f>[3]MESA!$AJ$57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4">
        <f>'[3]Go Jet'!$AJ$58</f>
        <v>0</v>
      </c>
      <c r="J36" s="136">
        <f>'[3]Air Wisconsin'!BG$58</f>
        <v>0</v>
      </c>
      <c r="K36" s="134">
        <f>[3]MESA!$AJ$58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9" t="s">
        <v>138</v>
      </c>
      <c r="E44" s="328">
        <f>[3]Compass!BG$70+[3]Compass!BG$73</f>
        <v>27782</v>
      </c>
      <c r="F44" s="314"/>
      <c r="L44" s="316">
        <f>SUM(E44:E44)</f>
        <v>27782</v>
      </c>
    </row>
    <row r="45" spans="1:12" hidden="1" x14ac:dyDescent="0.2">
      <c r="A45" s="329" t="s">
        <v>139</v>
      </c>
      <c r="E45" s="328">
        <f>[3]Compass!BG$71+[3]Compass!BG$74</f>
        <v>47176</v>
      </c>
      <c r="F45" s="332"/>
      <c r="L45" s="316">
        <f>SUM(E45:E45)</f>
        <v>47176</v>
      </c>
    </row>
    <row r="46" spans="1:12" x14ac:dyDescent="0.2">
      <c r="A46" s="394" t="s">
        <v>135</v>
      </c>
      <c r="C46" s="328">
        <f>'[3]Shuttle America_Delta'!$DS$70+'[3]Shuttle America_Delta'!$DS$73</f>
        <v>3338</v>
      </c>
      <c r="E46" s="328">
        <f>[3]Compass!$DS$70+[3]Compass!$DS$73</f>
        <v>25482</v>
      </c>
      <c r="F46" s="328">
        <f>'[3]Atlantic Southeast'!$DS$70+'[3]Atlantic Southeast'!$DS$73</f>
        <v>6500</v>
      </c>
      <c r="L46" s="409">
        <f>SUM(B46:K46)</f>
        <v>35320</v>
      </c>
    </row>
    <row r="47" spans="1:12" x14ac:dyDescent="0.2">
      <c r="A47" s="410" t="s">
        <v>136</v>
      </c>
      <c r="C47" s="328">
        <f>'[3]Shuttle America_Delta'!$DS$71+'[3]Shuttle America_Delta'!$DS$74</f>
        <v>4284</v>
      </c>
      <c r="E47" s="328">
        <f>[3]Compass!$DS$71+[3]Compass!$DS$74</f>
        <v>52445</v>
      </c>
      <c r="F47" s="328">
        <f>'[3]Atlantic Southeast'!$DS$71+'[3]Atlantic Southeast'!$DS$74</f>
        <v>15993</v>
      </c>
      <c r="L47" s="409">
        <f>SUM(B47:K47)</f>
        <v>72722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October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Normal="100" workbookViewId="0">
      <selection activeCell="G31" sqref="G3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9">
        <v>41913</v>
      </c>
      <c r="B2" s="184" t="s">
        <v>129</v>
      </c>
      <c r="C2" s="184" t="s">
        <v>178</v>
      </c>
      <c r="D2" s="105" t="s">
        <v>83</v>
      </c>
      <c r="E2" s="105" t="s">
        <v>179</v>
      </c>
      <c r="F2" s="184" t="s">
        <v>145</v>
      </c>
      <c r="G2" s="178" t="s">
        <v>84</v>
      </c>
    </row>
    <row r="3" spans="1:17" x14ac:dyDescent="0.2">
      <c r="A3" s="283" t="s">
        <v>3</v>
      </c>
      <c r="B3" s="190"/>
      <c r="C3" s="189"/>
      <c r="D3" s="189"/>
      <c r="E3" s="189"/>
      <c r="F3" s="189"/>
      <c r="G3" s="274"/>
    </row>
    <row r="4" spans="1:17" x14ac:dyDescent="0.2">
      <c r="A4" s="65" t="s">
        <v>32</v>
      </c>
      <c r="B4" s="445"/>
      <c r="C4" s="188"/>
      <c r="D4" s="188"/>
      <c r="E4" s="188"/>
      <c r="F4" s="188"/>
      <c r="G4" s="253"/>
    </row>
    <row r="5" spans="1:17" x14ac:dyDescent="0.2">
      <c r="A5" s="65" t="s">
        <v>33</v>
      </c>
      <c r="B5" s="445">
        <f>'[3]Charter Misc'!$DS$22</f>
        <v>92</v>
      </c>
      <c r="C5" s="188">
        <f>[3]Ryan!$DS$22</f>
        <v>0</v>
      </c>
      <c r="D5" s="188">
        <f>'[3]Charter Misc'!$DS$32</f>
        <v>0</v>
      </c>
      <c r="E5" s="188">
        <f>[3]Omni!$DS$32</f>
        <v>0</v>
      </c>
      <c r="F5" s="188">
        <f>[3]Xtra!$DS$32+[3]Xtra!$DS$22</f>
        <v>0</v>
      </c>
      <c r="G5" s="340">
        <f>SUM(B5:F5)</f>
        <v>92</v>
      </c>
    </row>
    <row r="6" spans="1:17" x14ac:dyDescent="0.2">
      <c r="A6" s="65" t="s">
        <v>34</v>
      </c>
      <c r="B6" s="446">
        <f>'[3]Charter Misc'!$DS$23</f>
        <v>93</v>
      </c>
      <c r="C6" s="191">
        <f>[3]Ryan!$DS$23</f>
        <v>0</v>
      </c>
      <c r="D6" s="191">
        <f>'[3]Charter Misc'!$DS$33</f>
        <v>0</v>
      </c>
      <c r="E6" s="191">
        <f>[3]Omni!$DS$33</f>
        <v>0</v>
      </c>
      <c r="F6" s="191">
        <f>[3]Xtra!$DS$33+[3]Xtra!$DS$23</f>
        <v>0</v>
      </c>
      <c r="G6" s="339">
        <f>SUM(B6:F6)</f>
        <v>93</v>
      </c>
    </row>
    <row r="7" spans="1:17" ht="15.75" thickBot="1" x14ac:dyDescent="0.3">
      <c r="A7" s="187" t="s">
        <v>7</v>
      </c>
      <c r="B7" s="447">
        <f>SUM(B5:B6)</f>
        <v>185</v>
      </c>
      <c r="C7" s="304">
        <f>SUM(C5:C6)</f>
        <v>0</v>
      </c>
      <c r="D7" s="304">
        <f>SUM(D5:D6)</f>
        <v>0</v>
      </c>
      <c r="E7" s="304">
        <f>SUM(E5:E6)</f>
        <v>0</v>
      </c>
      <c r="F7" s="304">
        <f>SUM(F5:F6)</f>
        <v>0</v>
      </c>
      <c r="G7" s="305">
        <f>SUM(B7:F7)</f>
        <v>185</v>
      </c>
    </row>
    <row r="8" spans="1:17" ht="13.5" thickBot="1" x14ac:dyDescent="0.25"/>
    <row r="9" spans="1:17" x14ac:dyDescent="0.2">
      <c r="A9" s="185" t="s">
        <v>9</v>
      </c>
      <c r="B9" s="448"/>
      <c r="C9" s="47"/>
      <c r="D9" s="47"/>
      <c r="E9" s="47"/>
      <c r="F9" s="47"/>
      <c r="G9" s="60"/>
    </row>
    <row r="10" spans="1:17" x14ac:dyDescent="0.2">
      <c r="A10" s="186" t="s">
        <v>85</v>
      </c>
      <c r="B10" s="445">
        <f>'[3]Charter Misc'!$DS$4</f>
        <v>2</v>
      </c>
      <c r="C10" s="188">
        <f>[3]Ryan!$DS$4</f>
        <v>0</v>
      </c>
      <c r="D10" s="188">
        <f>'[3]Charter Misc'!$DS$15</f>
        <v>0</v>
      </c>
      <c r="E10" s="188">
        <f>[3]Omni!$DS$15</f>
        <v>0</v>
      </c>
      <c r="F10" s="188">
        <f>[3]Xtra!$DS$15+[3]Xtra!$DS$4</f>
        <v>0</v>
      </c>
      <c r="G10" s="339">
        <f>SUM(B10:F10)</f>
        <v>2</v>
      </c>
    </row>
    <row r="11" spans="1:17" x14ac:dyDescent="0.2">
      <c r="A11" s="186" t="s">
        <v>86</v>
      </c>
      <c r="B11" s="445">
        <f>'[3]Charter Misc'!$DS$5</f>
        <v>2</v>
      </c>
      <c r="C11" s="188">
        <f>[3]Ryan!$DS$5</f>
        <v>0</v>
      </c>
      <c r="D11" s="188">
        <f>'[3]Charter Misc'!$DS$16</f>
        <v>0</v>
      </c>
      <c r="E11" s="188">
        <f>[3]Omni!$DS$16</f>
        <v>0</v>
      </c>
      <c r="F11" s="188">
        <f>[3]Xtra!$DS$16+[3]Xtra!$DS$5</f>
        <v>0</v>
      </c>
      <c r="G11" s="339">
        <f>SUM(B11:F11)</f>
        <v>2</v>
      </c>
    </row>
    <row r="12" spans="1:17" ht="15.75" thickBot="1" x14ac:dyDescent="0.3">
      <c r="A12" s="282" t="s">
        <v>31</v>
      </c>
      <c r="B12" s="449">
        <f>SUM(B10:B11)</f>
        <v>4</v>
      </c>
      <c r="C12" s="306">
        <f>SUM(C10:C11)</f>
        <v>0</v>
      </c>
      <c r="D12" s="306">
        <f>SUM(D10:D11)</f>
        <v>0</v>
      </c>
      <c r="E12" s="306">
        <f>SUM(E10:E11)</f>
        <v>0</v>
      </c>
      <c r="F12" s="306">
        <f>SUM(F10:F11)</f>
        <v>0</v>
      </c>
      <c r="G12" s="307">
        <f>SUM(B12:F12)</f>
        <v>4</v>
      </c>
      <c r="Q12" s="134"/>
    </row>
    <row r="17" spans="1:16" x14ac:dyDescent="0.2">
      <c r="B17" s="485" t="s">
        <v>175</v>
      </c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7"/>
    </row>
    <row r="18" spans="1:16" ht="13.5" thickBot="1" x14ac:dyDescent="0.25">
      <c r="A18" s="323"/>
      <c r="E18" s="230"/>
      <c r="G18" s="230"/>
      <c r="H18" s="230"/>
      <c r="L18" s="237"/>
      <c r="N18" s="238"/>
    </row>
    <row r="19" spans="1:16" ht="13.5" customHeight="1" thickBot="1" x14ac:dyDescent="0.25">
      <c r="A19" s="424"/>
      <c r="B19" s="488" t="s">
        <v>132</v>
      </c>
      <c r="C19" s="489"/>
      <c r="D19" s="489"/>
      <c r="E19" s="490"/>
      <c r="G19" s="488" t="s">
        <v>133</v>
      </c>
      <c r="H19" s="491"/>
      <c r="I19" s="491"/>
      <c r="J19" s="492"/>
      <c r="L19" s="493" t="s">
        <v>134</v>
      </c>
      <c r="M19" s="494"/>
      <c r="N19" s="494"/>
      <c r="O19" s="495"/>
    </row>
    <row r="20" spans="1:16" ht="13.5" thickBot="1" x14ac:dyDescent="0.25">
      <c r="A20" s="241" t="s">
        <v>111</v>
      </c>
      <c r="B20" s="463" t="s">
        <v>112</v>
      </c>
      <c r="C20" s="8" t="s">
        <v>113</v>
      </c>
      <c r="D20" s="8" t="s">
        <v>196</v>
      </c>
      <c r="E20" s="8" t="s">
        <v>189</v>
      </c>
      <c r="F20" s="474" t="s">
        <v>107</v>
      </c>
      <c r="G20" s="463" t="s">
        <v>112</v>
      </c>
      <c r="H20" s="8" t="s">
        <v>113</v>
      </c>
      <c r="I20" s="8" t="s">
        <v>196</v>
      </c>
      <c r="J20" s="8" t="s">
        <v>189</v>
      </c>
      <c r="K20" s="244" t="s">
        <v>107</v>
      </c>
      <c r="L20" s="463" t="s">
        <v>112</v>
      </c>
      <c r="M20" s="240" t="s">
        <v>113</v>
      </c>
      <c r="N20" s="8" t="s">
        <v>196</v>
      </c>
      <c r="O20" s="8" t="s">
        <v>189</v>
      </c>
      <c r="P20" s="244" t="s">
        <v>107</v>
      </c>
    </row>
    <row r="21" spans="1:16" ht="14.1" customHeight="1" x14ac:dyDescent="0.2">
      <c r="A21" s="246" t="s">
        <v>114</v>
      </c>
      <c r="B21" s="461">
        <f>[4]Charter!B21</f>
        <v>109706</v>
      </c>
      <c r="C21" s="460">
        <f>[4]Charter!C21</f>
        <v>106761</v>
      </c>
      <c r="D21" s="460">
        <f t="shared" ref="D21:D32" si="0">SUM(B21:C21)</f>
        <v>216467</v>
      </c>
      <c r="E21" s="473">
        <f>[5]Charter!$D$21</f>
        <v>188869</v>
      </c>
      <c r="F21" s="459">
        <f t="shared" ref="F21:F32" si="1">(D21-E21)/E21</f>
        <v>0.14612244465740803</v>
      </c>
      <c r="G21" s="461">
        <f>[4]Charter!G21</f>
        <v>1158780</v>
      </c>
      <c r="H21" s="460">
        <f>[4]Charter!H21</f>
        <v>1183104</v>
      </c>
      <c r="I21" s="460">
        <f t="shared" ref="I21:I32" si="2">SUM(G21:H21)</f>
        <v>2341884</v>
      </c>
      <c r="J21" s="471">
        <f>[5]Charter!$I21</f>
        <v>2215560</v>
      </c>
      <c r="K21" s="468">
        <f t="shared" ref="K21:K32" si="3">(I21-J21)/J21</f>
        <v>5.7016736175052811E-2</v>
      </c>
      <c r="L21" s="461">
        <f>[4]Charter!$L$21</f>
        <v>1268486</v>
      </c>
      <c r="M21" s="460">
        <f>[4]Charter!$M$21</f>
        <v>1289865</v>
      </c>
      <c r="N21" s="460">
        <f t="shared" ref="N21:N32" si="4">SUM(L21:M21)</f>
        <v>2558351</v>
      </c>
      <c r="O21" s="471">
        <f>[5]Charter!$N$21</f>
        <v>2404429</v>
      </c>
      <c r="P21" s="247">
        <f>(N21-O21)/O21</f>
        <v>6.4016030417200928E-2</v>
      </c>
    </row>
    <row r="22" spans="1:16" ht="14.1" customHeight="1" x14ac:dyDescent="0.2">
      <c r="A22" s="248" t="s">
        <v>115</v>
      </c>
      <c r="B22" s="461">
        <f>[6]Charter!B22</f>
        <v>109972</v>
      </c>
      <c r="C22" s="460">
        <f>[6]Charter!C22</f>
        <v>111618</v>
      </c>
      <c r="D22" s="460">
        <f t="shared" si="0"/>
        <v>221590</v>
      </c>
      <c r="E22" s="462">
        <f>[7]Charter!$D22</f>
        <v>206738</v>
      </c>
      <c r="F22" s="464">
        <f t="shared" si="1"/>
        <v>7.1839719838636337E-2</v>
      </c>
      <c r="G22" s="461">
        <f>[6]Charter!G22</f>
        <v>1106888</v>
      </c>
      <c r="H22" s="460">
        <f>[6]Charter!H22</f>
        <v>1123416</v>
      </c>
      <c r="I22" s="460">
        <f t="shared" si="2"/>
        <v>2230304</v>
      </c>
      <c r="J22" s="472">
        <f>[7]Charter!$I22</f>
        <v>2137287</v>
      </c>
      <c r="K22" s="469">
        <f t="shared" si="3"/>
        <v>4.3521061981848949E-2</v>
      </c>
      <c r="L22" s="461">
        <f>[6]Charter!$L22</f>
        <v>1216860</v>
      </c>
      <c r="M22" s="460">
        <f>[6]Charter!$M22</f>
        <v>1235034</v>
      </c>
      <c r="N22" s="460">
        <f t="shared" si="4"/>
        <v>2451894</v>
      </c>
      <c r="O22" s="472">
        <f>[7]Charter!$N22</f>
        <v>2344025</v>
      </c>
      <c r="P22" s="249">
        <f t="shared" ref="P22:P32" si="5">(N22-O22)/O22</f>
        <v>4.6018707138362432E-2</v>
      </c>
    </row>
    <row r="23" spans="1:16" ht="14.1" customHeight="1" x14ac:dyDescent="0.2">
      <c r="A23" s="248" t="s">
        <v>116</v>
      </c>
      <c r="B23" s="461">
        <f>[8]Charter!B23</f>
        <v>147446</v>
      </c>
      <c r="C23" s="460">
        <f>[8]Charter!C23</f>
        <v>144943</v>
      </c>
      <c r="D23" s="460">
        <f t="shared" si="0"/>
        <v>292389</v>
      </c>
      <c r="E23" s="462">
        <f>[9]Charter!$D23</f>
        <v>270939</v>
      </c>
      <c r="F23" s="465">
        <f t="shared" si="1"/>
        <v>7.9169111866508698E-2</v>
      </c>
      <c r="G23" s="461">
        <f>[8]Charter!G23</f>
        <v>1458223</v>
      </c>
      <c r="H23" s="460">
        <f>[8]Charter!H23</f>
        <v>1470796</v>
      </c>
      <c r="I23" s="460">
        <f t="shared" si="2"/>
        <v>2929019</v>
      </c>
      <c r="J23" s="472">
        <f>[9]Charter!$I23</f>
        <v>2750397</v>
      </c>
      <c r="K23" s="469">
        <f t="shared" si="3"/>
        <v>6.4944078982052414E-2</v>
      </c>
      <c r="L23" s="461">
        <f>[8]Charter!$L23</f>
        <v>1605669</v>
      </c>
      <c r="M23" s="460">
        <f>[8]Charter!$M23</f>
        <v>1615739</v>
      </c>
      <c r="N23" s="460">
        <f t="shared" si="4"/>
        <v>3221408</v>
      </c>
      <c r="O23" s="472">
        <f>[9]Charter!$N23</f>
        <v>3021336</v>
      </c>
      <c r="P23" s="249">
        <f t="shared" si="5"/>
        <v>6.6219712074393575E-2</v>
      </c>
    </row>
    <row r="24" spans="1:16" ht="14.1" customHeight="1" x14ac:dyDescent="0.2">
      <c r="A24" s="248" t="s">
        <v>117</v>
      </c>
      <c r="B24" s="461">
        <f>[10]Charter!B24</f>
        <v>96003</v>
      </c>
      <c r="C24" s="460">
        <f>[10]Charter!C24</f>
        <v>84563</v>
      </c>
      <c r="D24" s="460">
        <f t="shared" si="0"/>
        <v>180566</v>
      </c>
      <c r="E24" s="462">
        <f>[11]Charter!$D24</f>
        <v>163833</v>
      </c>
      <c r="F24" s="465">
        <f t="shared" si="1"/>
        <v>0.10213449060934</v>
      </c>
      <c r="G24" s="461">
        <f>[10]Charter!G24</f>
        <v>1355032</v>
      </c>
      <c r="H24" s="460">
        <f>[10]Charter!H24</f>
        <v>1280528</v>
      </c>
      <c r="I24" s="460">
        <f t="shared" si="2"/>
        <v>2635560</v>
      </c>
      <c r="J24" s="472">
        <f>[11]Charter!$I24</f>
        <v>2509733</v>
      </c>
      <c r="K24" s="469">
        <f t="shared" si="3"/>
        <v>5.0135612035224465E-2</v>
      </c>
      <c r="L24" s="461">
        <f>[10]Charter!$L24</f>
        <v>1451035</v>
      </c>
      <c r="M24" s="460">
        <f>[10]Charter!$M24</f>
        <v>1365091</v>
      </c>
      <c r="N24" s="460">
        <f t="shared" si="4"/>
        <v>2816126</v>
      </c>
      <c r="O24" s="472">
        <f>[11]Charter!$N24</f>
        <v>2673566</v>
      </c>
      <c r="P24" s="249">
        <f t="shared" si="5"/>
        <v>5.3322042545424352E-2</v>
      </c>
    </row>
    <row r="25" spans="1:16" ht="14.1" customHeight="1" x14ac:dyDescent="0.2">
      <c r="A25" s="239" t="s">
        <v>81</v>
      </c>
      <c r="B25" s="461">
        <f>[8]Charter!B25</f>
        <v>0</v>
      </c>
      <c r="C25" s="460">
        <f>[8]Charter!C25</f>
        <v>0</v>
      </c>
      <c r="D25" s="460">
        <f t="shared" si="0"/>
        <v>0</v>
      </c>
      <c r="E25" s="462">
        <f>[12]Charter!$D25</f>
        <v>177686</v>
      </c>
      <c r="F25" s="466">
        <f t="shared" si="1"/>
        <v>-1</v>
      </c>
      <c r="G25" s="461">
        <f>[8]Charter!G25</f>
        <v>0</v>
      </c>
      <c r="H25" s="460">
        <f>[8]Charter!H25</f>
        <v>0</v>
      </c>
      <c r="I25" s="460">
        <f t="shared" si="2"/>
        <v>0</v>
      </c>
      <c r="J25" s="472">
        <f>[12]Charter!$I25</f>
        <v>2673501</v>
      </c>
      <c r="K25" s="470">
        <f t="shared" si="3"/>
        <v>-1</v>
      </c>
      <c r="L25" s="461">
        <f>[8]Charter!$L25</f>
        <v>0</v>
      </c>
      <c r="M25" s="460">
        <f>[8]Charter!$M25</f>
        <v>0</v>
      </c>
      <c r="N25" s="460">
        <f t="shared" si="4"/>
        <v>0</v>
      </c>
      <c r="O25" s="472">
        <f>[12]Charter!$N25</f>
        <v>2851187</v>
      </c>
      <c r="P25" s="242">
        <f t="shared" si="5"/>
        <v>-1</v>
      </c>
    </row>
    <row r="26" spans="1:16" ht="14.1" customHeight="1" x14ac:dyDescent="0.2">
      <c r="A26" s="248" t="s">
        <v>118</v>
      </c>
      <c r="B26" s="461">
        <f>[13]Charter!B26</f>
        <v>105898</v>
      </c>
      <c r="C26" s="460">
        <f>[13]Charter!C26</f>
        <v>106467</v>
      </c>
      <c r="D26" s="460">
        <f t="shared" si="0"/>
        <v>212365</v>
      </c>
      <c r="E26" s="462">
        <f>[14]Charter!$D26</f>
        <v>206661</v>
      </c>
      <c r="F26" s="465">
        <f t="shared" si="1"/>
        <v>2.7600756794944378E-2</v>
      </c>
      <c r="G26" s="461">
        <f>[13]Charter!G26</f>
        <v>1525905</v>
      </c>
      <c r="H26" s="460">
        <f>[13]Charter!H26</f>
        <v>1503083</v>
      </c>
      <c r="I26" s="460">
        <f t="shared" si="2"/>
        <v>3028988</v>
      </c>
      <c r="J26" s="472">
        <f>[14]Charter!$I26</f>
        <v>2922734</v>
      </c>
      <c r="K26" s="469">
        <f t="shared" si="3"/>
        <v>3.6354317567045102E-2</v>
      </c>
      <c r="L26" s="461">
        <f>[13]Charter!$L26</f>
        <v>1631803</v>
      </c>
      <c r="M26" s="460">
        <f>[13]Charter!$M26</f>
        <v>1609550</v>
      </c>
      <c r="N26" s="460">
        <f>SUM(L26:M26)</f>
        <v>3241353</v>
      </c>
      <c r="O26" s="472">
        <f>[14]Charter!$N26</f>
        <v>3129395</v>
      </c>
      <c r="P26" s="249">
        <f t="shared" si="5"/>
        <v>3.5776244290030498E-2</v>
      </c>
    </row>
    <row r="27" spans="1:16" ht="14.1" customHeight="1" x14ac:dyDescent="0.2">
      <c r="A27" s="239" t="s">
        <v>119</v>
      </c>
      <c r="B27" s="461">
        <f>[15]Charter!B27</f>
        <v>117493</v>
      </c>
      <c r="C27" s="460">
        <f>[15]Charter!C27</f>
        <v>106705</v>
      </c>
      <c r="D27" s="460">
        <f t="shared" si="0"/>
        <v>224198</v>
      </c>
      <c r="E27" s="462">
        <f>[16]Charter!$D27</f>
        <v>216883</v>
      </c>
      <c r="F27" s="466">
        <f t="shared" si="1"/>
        <v>3.3727862488069603E-2</v>
      </c>
      <c r="G27" s="461">
        <f>[15]Charter!G27</f>
        <v>1603453</v>
      </c>
      <c r="H27" s="460">
        <f>[15]Charter!H27</f>
        <v>1609153</v>
      </c>
      <c r="I27" s="460">
        <f t="shared" ref="I27" si="6">SUM(G27:H27)</f>
        <v>3212606</v>
      </c>
      <c r="J27" s="472">
        <f>[16]Charter!$I27</f>
        <v>3096738</v>
      </c>
      <c r="K27" s="470">
        <f t="shared" si="3"/>
        <v>3.7416145634535436E-2</v>
      </c>
      <c r="L27" s="461">
        <f>[15]Charter!$L27</f>
        <v>1720946</v>
      </c>
      <c r="M27" s="460">
        <f>[15]Charter!$M27</f>
        <v>1715858</v>
      </c>
      <c r="N27" s="460">
        <f>SUM(L27:M27)</f>
        <v>3436804</v>
      </c>
      <c r="O27" s="472">
        <f>[16]Charter!$N27</f>
        <v>3313621</v>
      </c>
      <c r="P27" s="242">
        <f t="shared" si="5"/>
        <v>3.7174740261484339E-2</v>
      </c>
    </row>
    <row r="28" spans="1:16" ht="14.1" customHeight="1" x14ac:dyDescent="0.2">
      <c r="A28" s="248" t="s">
        <v>120</v>
      </c>
      <c r="B28" s="461">
        <f>[17]Charter!B28</f>
        <v>115517</v>
      </c>
      <c r="C28" s="460">
        <f>[17]Charter!C28</f>
        <v>112775</v>
      </c>
      <c r="D28" s="460">
        <f t="shared" ref="D28" si="7">SUM(B28:C28)</f>
        <v>228292</v>
      </c>
      <c r="E28" s="462">
        <f>[18]Charter!$D28</f>
        <v>224271</v>
      </c>
      <c r="F28" s="465">
        <f t="shared" si="1"/>
        <v>1.7929201724699136E-2</v>
      </c>
      <c r="G28" s="461">
        <f>[17]Charter!G28</f>
        <v>1595845</v>
      </c>
      <c r="H28" s="460">
        <f>[17]Charter!H28</f>
        <v>1576867</v>
      </c>
      <c r="I28" s="460">
        <f t="shared" ref="I28" si="8">SUM(G28:H28)</f>
        <v>3172712</v>
      </c>
      <c r="J28" s="472">
        <f>[18]Charter!$I28</f>
        <v>3099231</v>
      </c>
      <c r="K28" s="469">
        <f t="shared" si="3"/>
        <v>2.3709429855341534E-2</v>
      </c>
      <c r="L28" s="461">
        <f>[17]Charter!$L28</f>
        <v>1711362</v>
      </c>
      <c r="M28" s="460">
        <f>[17]Charter!$M28</f>
        <v>1689642</v>
      </c>
      <c r="N28" s="460">
        <f>SUM(L28:M28)</f>
        <v>3401004</v>
      </c>
      <c r="O28" s="472">
        <f>[18]Charter!$N28</f>
        <v>3323502</v>
      </c>
      <c r="P28" s="249">
        <f t="shared" si="5"/>
        <v>2.3319378173986355E-2</v>
      </c>
    </row>
    <row r="29" spans="1:16" ht="14.1" customHeight="1" x14ac:dyDescent="0.2">
      <c r="A29" s="239" t="s">
        <v>121</v>
      </c>
      <c r="B29" s="461">
        <f>[2]Charter!B29</f>
        <v>89956</v>
      </c>
      <c r="C29" s="460">
        <f>[2]Charter!C29</f>
        <v>90244</v>
      </c>
      <c r="D29" s="460">
        <f t="shared" ref="D29" si="9">SUM(B29:C29)</f>
        <v>180200</v>
      </c>
      <c r="E29" s="462">
        <f>[19]Charter!$D29</f>
        <v>181115</v>
      </c>
      <c r="F29" s="466">
        <f t="shared" si="1"/>
        <v>-5.0520387599039289E-3</v>
      </c>
      <c r="G29" s="461">
        <f>[2]Charter!G29</f>
        <v>1321782</v>
      </c>
      <c r="H29" s="460">
        <f>[2]Charter!H29</f>
        <v>1321100</v>
      </c>
      <c r="I29" s="460">
        <f t="shared" ref="I29" si="10">SUM(G29:H29)</f>
        <v>2642882</v>
      </c>
      <c r="J29" s="472">
        <f>[19]Charter!$I29</f>
        <v>2541709</v>
      </c>
      <c r="K29" s="470">
        <f t="shared" si="3"/>
        <v>3.9805107508373301E-2</v>
      </c>
      <c r="L29" s="461">
        <f>[2]Charter!$L29</f>
        <v>1411738</v>
      </c>
      <c r="M29" s="460">
        <f>[2]Charter!$M29</f>
        <v>1411344</v>
      </c>
      <c r="N29" s="460">
        <f>SUM(L29:M29)</f>
        <v>2823082</v>
      </c>
      <c r="O29" s="472">
        <f>[19]Charter!$N29</f>
        <v>2722824</v>
      </c>
      <c r="P29" s="242">
        <f t="shared" si="5"/>
        <v>3.6821329619542063E-2</v>
      </c>
    </row>
    <row r="30" spans="1:16" ht="14.1" customHeight="1" x14ac:dyDescent="0.2">
      <c r="A30" s="248" t="s">
        <v>122</v>
      </c>
      <c r="B30" s="461">
        <f>'Intl Detail'!$N$4+'Intl Detail'!$N$9</f>
        <v>86129</v>
      </c>
      <c r="C30" s="460">
        <f>'Intl Detail'!$N$5+'Intl Detail'!$N$10</f>
        <v>82900</v>
      </c>
      <c r="D30" s="460">
        <f t="shared" ref="D30" si="11">SUM(B30:C30)</f>
        <v>169029</v>
      </c>
      <c r="E30" s="462">
        <f>[1]Charter!$D30</f>
        <v>170256</v>
      </c>
      <c r="F30" s="465">
        <f t="shared" si="1"/>
        <v>-7.2067944742035522E-3</v>
      </c>
      <c r="G30" s="461">
        <f>L30-B30</f>
        <v>1390746</v>
      </c>
      <c r="H30" s="460">
        <f>M30-C30</f>
        <v>1402935</v>
      </c>
      <c r="I30" s="460">
        <f t="shared" ref="I30" si="12">SUM(G30:H30)</f>
        <v>2793681</v>
      </c>
      <c r="J30" s="472">
        <f>[1]Charter!$I30</f>
        <v>2678497</v>
      </c>
      <c r="K30" s="469">
        <f t="shared" si="3"/>
        <v>4.300322158285038E-2</v>
      </c>
      <c r="L30" s="461">
        <f>'Monthly Summary'!$B$11</f>
        <v>1476875</v>
      </c>
      <c r="M30" s="460">
        <f>+'Monthly Summary'!$C$11</f>
        <v>1485835</v>
      </c>
      <c r="N30" s="460">
        <f>SUM(L30:M30)</f>
        <v>2962710</v>
      </c>
      <c r="O30" s="472">
        <f>[1]Charter!$N30</f>
        <v>2848753</v>
      </c>
      <c r="P30" s="249">
        <f t="shared" si="5"/>
        <v>4.0002415091796306E-2</v>
      </c>
    </row>
    <row r="31" spans="1:16" ht="14.1" customHeight="1" x14ac:dyDescent="0.2">
      <c r="A31" s="239" t="s">
        <v>123</v>
      </c>
      <c r="B31" s="461"/>
      <c r="C31" s="460"/>
      <c r="D31" s="460">
        <f t="shared" si="0"/>
        <v>0</v>
      </c>
      <c r="E31" s="462"/>
      <c r="F31" s="466" t="e">
        <f t="shared" si="1"/>
        <v>#DIV/0!</v>
      </c>
      <c r="G31" s="461"/>
      <c r="H31" s="460"/>
      <c r="I31" s="460">
        <f t="shared" si="2"/>
        <v>0</v>
      </c>
      <c r="J31" s="462"/>
      <c r="K31" s="470" t="e">
        <f t="shared" si="3"/>
        <v>#DIV/0!</v>
      </c>
      <c r="L31" s="461"/>
      <c r="M31" s="460"/>
      <c r="N31" s="460">
        <f t="shared" si="4"/>
        <v>0</v>
      </c>
      <c r="O31" s="462"/>
      <c r="P31" s="242" t="e">
        <f t="shared" si="5"/>
        <v>#DIV/0!</v>
      </c>
    </row>
    <row r="32" spans="1:16" ht="14.1" customHeight="1" x14ac:dyDescent="0.2">
      <c r="A32" s="250" t="s">
        <v>124</v>
      </c>
      <c r="B32" s="461"/>
      <c r="C32" s="460"/>
      <c r="D32" s="460">
        <f t="shared" si="0"/>
        <v>0</v>
      </c>
      <c r="E32" s="462"/>
      <c r="F32" s="467" t="e">
        <f t="shared" si="1"/>
        <v>#DIV/0!</v>
      </c>
      <c r="G32" s="461"/>
      <c r="H32" s="460"/>
      <c r="I32" s="460">
        <f t="shared" si="2"/>
        <v>0</v>
      </c>
      <c r="J32" s="462"/>
      <c r="K32" s="467" t="e">
        <f t="shared" si="3"/>
        <v>#DIV/0!</v>
      </c>
      <c r="L32" s="461"/>
      <c r="M32" s="460"/>
      <c r="N32" s="460">
        <f t="shared" si="4"/>
        <v>0</v>
      </c>
      <c r="O32" s="462"/>
      <c r="P32" s="251" t="e">
        <f t="shared" si="5"/>
        <v>#DIV/0!</v>
      </c>
    </row>
    <row r="33" spans="1:16" ht="13.5" thickBot="1" x14ac:dyDescent="0.25">
      <c r="A33" s="245" t="s">
        <v>82</v>
      </c>
      <c r="B33" s="254">
        <f>SUM(B21:B32)</f>
        <v>978120</v>
      </c>
      <c r="C33" s="255">
        <f>SUM(C21:C32)</f>
        <v>946976</v>
      </c>
      <c r="D33" s="255">
        <f>SUM(D21:D32)</f>
        <v>1925096</v>
      </c>
      <c r="E33" s="256">
        <f>SUM(E21:E32)</f>
        <v>2007251</v>
      </c>
      <c r="F33" s="475">
        <f>(D33-E33)/E33</f>
        <v>-4.0929111506234149E-2</v>
      </c>
      <c r="G33" s="257">
        <f>SUM(G21:G32)</f>
        <v>12516654</v>
      </c>
      <c r="H33" s="255">
        <f>SUM(H21:H32)</f>
        <v>12470982</v>
      </c>
      <c r="I33" s="255">
        <f>SUM(I21:I32)</f>
        <v>24987636</v>
      </c>
      <c r="J33" s="258">
        <f>SUM(J21:J32)</f>
        <v>26625387</v>
      </c>
      <c r="K33" s="476">
        <f>(I33-J33)/J33</f>
        <v>-6.1510880574242921E-2</v>
      </c>
      <c r="L33" s="257">
        <f>SUM(L21:L32)</f>
        <v>13494774</v>
      </c>
      <c r="M33" s="255">
        <f>SUM(M21:M32)</f>
        <v>13417958</v>
      </c>
      <c r="N33" s="255">
        <f>SUM(N21:N32)</f>
        <v>26912732</v>
      </c>
      <c r="O33" s="256">
        <f>SUM(O21:O32)</f>
        <v>28632638</v>
      </c>
      <c r="P33" s="243">
        <f>(N33-O33)/O33</f>
        <v>-6.0068024469139031E-2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October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M34" sqref="M34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9" t="s">
        <v>102</v>
      </c>
      <c r="C1" s="500"/>
      <c r="D1" s="500"/>
      <c r="E1" s="500"/>
      <c r="F1" s="264"/>
      <c r="G1" s="499" t="s">
        <v>101</v>
      </c>
      <c r="H1" s="501"/>
      <c r="I1" s="501"/>
      <c r="J1" s="501"/>
      <c r="K1" s="501"/>
      <c r="L1" s="502"/>
    </row>
    <row r="2" spans="1:20" s="195" customFormat="1" ht="30.75" customHeight="1" thickBot="1" x14ac:dyDescent="0.25">
      <c r="A2" s="399">
        <v>41913</v>
      </c>
      <c r="B2" s="8" t="s">
        <v>87</v>
      </c>
      <c r="C2" s="8" t="s">
        <v>88</v>
      </c>
      <c r="D2" s="8" t="s">
        <v>89</v>
      </c>
      <c r="E2" s="8" t="s">
        <v>90</v>
      </c>
      <c r="F2" s="203"/>
      <c r="G2" s="184" t="s">
        <v>91</v>
      </c>
      <c r="H2" s="184" t="s">
        <v>217</v>
      </c>
      <c r="I2" s="105" t="s">
        <v>92</v>
      </c>
      <c r="J2" s="8" t="s">
        <v>93</v>
      </c>
      <c r="K2" s="184" t="s">
        <v>94</v>
      </c>
      <c r="L2" s="184" t="s">
        <v>141</v>
      </c>
      <c r="M2" s="184" t="s">
        <v>24</v>
      </c>
    </row>
    <row r="3" spans="1:20" ht="15" x14ac:dyDescent="0.25">
      <c r="A3" s="204" t="s">
        <v>9</v>
      </c>
      <c r="B3" s="425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58</v>
      </c>
      <c r="B4" s="252">
        <f>[3]Airborne!$DS$4</f>
        <v>0</v>
      </c>
      <c r="C4" s="165">
        <f>[3]DHL!$DS$4</f>
        <v>23</v>
      </c>
      <c r="D4" s="165">
        <f>[3]FedEx!$DS$4+[3]FedEx!$DS$15</f>
        <v>103</v>
      </c>
      <c r="E4" s="165">
        <f>[3]UPS!$DS$4</f>
        <v>84</v>
      </c>
      <c r="F4" s="196"/>
      <c r="G4" s="122">
        <f>[3]ATI_BAX!$DS$4</f>
        <v>0</v>
      </c>
      <c r="H4" s="122">
        <f>'[3]Suburban Air Freight'!$DS$15</f>
        <v>22</v>
      </c>
      <c r="I4" s="122">
        <f>[3]Bemidji!$DS$4</f>
        <v>248</v>
      </c>
      <c r="J4" s="122">
        <f>'[3]CSA Air'!$DS$4</f>
        <v>0</v>
      </c>
      <c r="K4" s="122">
        <f>'[3]Mountain Cargo'!$DS$4</f>
        <v>21</v>
      </c>
      <c r="L4" s="122">
        <f>'[3]Misc Cargo'!$DS$4</f>
        <v>27</v>
      </c>
      <c r="M4" s="208">
        <f>SUM(B4:L4)</f>
        <v>528</v>
      </c>
    </row>
    <row r="5" spans="1:20" x14ac:dyDescent="0.2">
      <c r="A5" s="55" t="s">
        <v>59</v>
      </c>
      <c r="B5" s="426">
        <f>[3]Airborne!$DS$5</f>
        <v>0</v>
      </c>
      <c r="C5" s="202">
        <f>[3]DHL!$DS$5</f>
        <v>23</v>
      </c>
      <c r="D5" s="202">
        <f>[3]FedEx!$DS$5</f>
        <v>103</v>
      </c>
      <c r="E5" s="202">
        <f>[3]UPS!$DS$5</f>
        <v>84</v>
      </c>
      <c r="F5" s="196"/>
      <c r="G5" s="124">
        <f>[3]ATI_BAX!$DS$5</f>
        <v>0</v>
      </c>
      <c r="H5" s="124">
        <f>'[3]Suburban Air Freight'!$DS$16</f>
        <v>22</v>
      </c>
      <c r="I5" s="124">
        <f>[3]Bemidji!$DS$5</f>
        <v>248</v>
      </c>
      <c r="J5" s="124">
        <f>'[3]CSA Air'!$DS$5</f>
        <v>0</v>
      </c>
      <c r="K5" s="124">
        <f>'[3]Mountain Cargo'!$DS$5</f>
        <v>21</v>
      </c>
      <c r="L5" s="124">
        <f>'[3]Misc Cargo'!$DS$5</f>
        <v>27</v>
      </c>
      <c r="M5" s="212">
        <f>SUM(B5:L5)</f>
        <v>528</v>
      </c>
    </row>
    <row r="6" spans="1:20" s="193" customFormat="1" x14ac:dyDescent="0.2">
      <c r="A6" s="209" t="s">
        <v>60</v>
      </c>
      <c r="B6" s="427">
        <f>SUM(B4:B5)</f>
        <v>0</v>
      </c>
      <c r="C6" s="210">
        <f>SUM(C4:C5)</f>
        <v>46</v>
      </c>
      <c r="D6" s="210">
        <f>SUM(D4:D5)</f>
        <v>206</v>
      </c>
      <c r="E6" s="210">
        <f>SUM(E4:E5)</f>
        <v>168</v>
      </c>
      <c r="F6" s="197"/>
      <c r="G6" s="192">
        <f t="shared" ref="G6:L6" si="0">SUM(G4:G5)</f>
        <v>0</v>
      </c>
      <c r="H6" s="192">
        <f t="shared" si="0"/>
        <v>44</v>
      </c>
      <c r="I6" s="192">
        <f t="shared" si="0"/>
        <v>496</v>
      </c>
      <c r="J6" s="192">
        <f t="shared" si="0"/>
        <v>0</v>
      </c>
      <c r="K6" s="192">
        <f t="shared" si="0"/>
        <v>42</v>
      </c>
      <c r="L6" s="192">
        <f t="shared" si="0"/>
        <v>54</v>
      </c>
      <c r="M6" s="211">
        <f>SUM(B6:L6)</f>
        <v>1056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61</v>
      </c>
      <c r="B8" s="252">
        <f>[3]Airborne!$DS$8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Cargo'!$DS$8</f>
        <v>0</v>
      </c>
      <c r="M8" s="208">
        <f>SUM(B8:L8)</f>
        <v>0</v>
      </c>
    </row>
    <row r="9" spans="1:20" ht="15" x14ac:dyDescent="0.25">
      <c r="A9" s="55" t="s">
        <v>62</v>
      </c>
      <c r="B9" s="426">
        <f>[3]Airborne!$DS$9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'[3]Misc Cargo'!$DS$9</f>
        <v>0</v>
      </c>
      <c r="M9" s="212">
        <f>SUM(B9:L9)</f>
        <v>0</v>
      </c>
      <c r="P9" s="15"/>
      <c r="Q9" s="333"/>
      <c r="R9" s="333"/>
      <c r="S9" s="333"/>
      <c r="T9" s="333"/>
    </row>
    <row r="10" spans="1:20" s="193" customFormat="1" x14ac:dyDescent="0.2">
      <c r="A10" s="209" t="s">
        <v>63</v>
      </c>
      <c r="B10" s="427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28">
        <f>B6+B10</f>
        <v>0</v>
      </c>
      <c r="C12" s="214">
        <f>C6+C10</f>
        <v>46</v>
      </c>
      <c r="D12" s="214">
        <f>D6+D10</f>
        <v>206</v>
      </c>
      <c r="E12" s="214">
        <f>E6+E10</f>
        <v>168</v>
      </c>
      <c r="F12" s="215"/>
      <c r="G12" s="216">
        <f t="shared" ref="G12:L12" si="2">G6+G10</f>
        <v>0</v>
      </c>
      <c r="H12" s="216">
        <f t="shared" si="2"/>
        <v>44</v>
      </c>
      <c r="I12" s="216">
        <f t="shared" si="2"/>
        <v>496</v>
      </c>
      <c r="J12" s="216">
        <f t="shared" si="2"/>
        <v>0</v>
      </c>
      <c r="K12" s="216">
        <f t="shared" si="2"/>
        <v>42</v>
      </c>
      <c r="L12" s="216">
        <f t="shared" si="2"/>
        <v>54</v>
      </c>
      <c r="M12" s="217">
        <f>SUM(B12:L12)</f>
        <v>1056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103</v>
      </c>
      <c r="B14" s="429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104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[3]Airborne!$DS$47</f>
        <v>0</v>
      </c>
      <c r="C16" s="165">
        <f>[3]DHL!$DS$47</f>
        <v>673283</v>
      </c>
      <c r="D16" s="165">
        <f>[3]FedEx!$DS$47</f>
        <v>6513535</v>
      </c>
      <c r="E16" s="165">
        <f>[3]UPS!$DS$47</f>
        <v>5100259</v>
      </c>
      <c r="F16" s="196"/>
      <c r="G16" s="122">
        <f>[3]ATI_BAX!$DS$47</f>
        <v>0</v>
      </c>
      <c r="H16" s="122">
        <f>'[3]Suburban Air Freight'!$DS$47</f>
        <v>16929</v>
      </c>
      <c r="I16" s="496" t="s">
        <v>95</v>
      </c>
      <c r="J16" s="122">
        <f>'[3]CSA Air'!$DS$47</f>
        <v>0</v>
      </c>
      <c r="K16" s="122">
        <f>'[3]Mountain Cargo'!$DS$47</f>
        <v>49173</v>
      </c>
      <c r="L16" s="122">
        <f>'[3]Misc Cargo'!$DS$47</f>
        <v>34534</v>
      </c>
      <c r="M16" s="208">
        <f>SUM(B16:H16)+SUM(J16:L16)</f>
        <v>12387713</v>
      </c>
    </row>
    <row r="17" spans="1:14" x14ac:dyDescent="0.2">
      <c r="A17" s="55" t="s">
        <v>41</v>
      </c>
      <c r="B17" s="252">
        <f>[3]Airborne!$DS$48</f>
        <v>0</v>
      </c>
      <c r="C17" s="165">
        <f>[3]DHL!$DS$48</f>
        <v>0</v>
      </c>
      <c r="D17" s="165">
        <f>[3]FedEx!$DS$48</f>
        <v>0</v>
      </c>
      <c r="E17" s="165">
        <f>[3]UPS!$DS$48</f>
        <v>6468</v>
      </c>
      <c r="F17" s="196"/>
      <c r="G17" s="122">
        <f>[3]ATI_BAX!$DS$48</f>
        <v>0</v>
      </c>
      <c r="H17" s="122">
        <f>'[3]Suburban Air Freight'!$DS$48</f>
        <v>0</v>
      </c>
      <c r="I17" s="497"/>
      <c r="J17" s="122">
        <f>'[3]CSA Air'!$DS$48</f>
        <v>0</v>
      </c>
      <c r="K17" s="122">
        <f>'[3]Mountain Cargo'!$DS$48</f>
        <v>0</v>
      </c>
      <c r="L17" s="122">
        <f>'[3]Misc Cargo'!$DS$48</f>
        <v>0</v>
      </c>
      <c r="M17" s="208">
        <f>SUM(B17:H17)+SUM(J17:L17)</f>
        <v>6468</v>
      </c>
    </row>
    <row r="18" spans="1:14" ht="18" customHeight="1" x14ac:dyDescent="0.2">
      <c r="A18" s="223" t="s">
        <v>42</v>
      </c>
      <c r="B18" s="430">
        <f>SUM(B16:B17)</f>
        <v>0</v>
      </c>
      <c r="C18" s="308">
        <f>SUM(C16:C17)</f>
        <v>673283</v>
      </c>
      <c r="D18" s="308">
        <f>SUM(D16:D17)</f>
        <v>6513535</v>
      </c>
      <c r="E18" s="308">
        <f>SUM(E16:E17)</f>
        <v>5106727</v>
      </c>
      <c r="F18" s="201"/>
      <c r="G18" s="309">
        <f>SUM(G16:G17)</f>
        <v>0</v>
      </c>
      <c r="H18" s="309">
        <f>SUM(H16:H17)</f>
        <v>16929</v>
      </c>
      <c r="I18" s="497"/>
      <c r="J18" s="309">
        <f>SUM(J16:J17)</f>
        <v>0</v>
      </c>
      <c r="K18" s="309">
        <f>SUM(K16:K17)</f>
        <v>49173</v>
      </c>
      <c r="L18" s="309">
        <f>SUM(L16:L17)</f>
        <v>34534</v>
      </c>
      <c r="M18" s="224">
        <f>SUM(B18:H18)+SUM(J18:L18)</f>
        <v>12394181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7"/>
      <c r="J19" s="122"/>
      <c r="K19" s="122"/>
      <c r="L19" s="122"/>
      <c r="M19" s="208"/>
    </row>
    <row r="20" spans="1:14" x14ac:dyDescent="0.2">
      <c r="A20" s="225" t="s">
        <v>96</v>
      </c>
      <c r="B20" s="252"/>
      <c r="C20" s="165"/>
      <c r="D20" s="165"/>
      <c r="E20" s="165"/>
      <c r="F20" s="196"/>
      <c r="G20" s="122"/>
      <c r="H20" s="122"/>
      <c r="I20" s="497"/>
      <c r="J20" s="122"/>
      <c r="K20" s="122"/>
      <c r="L20" s="122"/>
      <c r="M20" s="208"/>
    </row>
    <row r="21" spans="1:14" x14ac:dyDescent="0.2">
      <c r="A21" s="55" t="s">
        <v>64</v>
      </c>
      <c r="B21" s="252">
        <f>[3]Airborne!$DS$52</f>
        <v>0</v>
      </c>
      <c r="C21" s="165">
        <f>[3]DHL!$DS$52</f>
        <v>495127</v>
      </c>
      <c r="D21" s="165">
        <f>[3]FedEx!$DS$52</f>
        <v>9778211</v>
      </c>
      <c r="E21" s="165">
        <f>[3]UPS!$DS$52</f>
        <v>4958123</v>
      </c>
      <c r="F21" s="196"/>
      <c r="G21" s="122">
        <f>[3]ATI_BAX!$DS$52</f>
        <v>0</v>
      </c>
      <c r="H21" s="122">
        <f>'[3]Suburban Air Freight'!$DS$52</f>
        <v>57602</v>
      </c>
      <c r="I21" s="497"/>
      <c r="J21" s="122">
        <f>'[3]CSA Air'!$DS$52</f>
        <v>0</v>
      </c>
      <c r="K21" s="122">
        <f>'[3]Mountain Cargo'!$DS$52</f>
        <v>154018</v>
      </c>
      <c r="L21" s="122">
        <f>'[3]Misc Cargo'!$DS$52</f>
        <v>2030</v>
      </c>
      <c r="M21" s="208">
        <f>SUM(B21:H21)+SUM(J21:L21)</f>
        <v>15445111</v>
      </c>
    </row>
    <row r="22" spans="1:14" x14ac:dyDescent="0.2">
      <c r="A22" s="55" t="s">
        <v>65</v>
      </c>
      <c r="B22" s="252">
        <f>[3]Airborne!$DS$53</f>
        <v>0</v>
      </c>
      <c r="C22" s="165">
        <f>[3]DHL!$DS$53</f>
        <v>0</v>
      </c>
      <c r="D22" s="165">
        <f>[3]FedEx!$DS$53</f>
        <v>0</v>
      </c>
      <c r="E22" s="165">
        <f>[3]UPS!$DS$53</f>
        <v>145238</v>
      </c>
      <c r="F22" s="196"/>
      <c r="G22" s="122">
        <f>[3]ATI_BAX!$DS$53</f>
        <v>0</v>
      </c>
      <c r="H22" s="122">
        <f>'[3]Suburban Air Freight'!$DS$53</f>
        <v>0</v>
      </c>
      <c r="I22" s="497"/>
      <c r="J22" s="122">
        <f>'[3]CSA Air'!$DS$53</f>
        <v>0</v>
      </c>
      <c r="K22" s="122">
        <f>'[3]Mountain Cargo'!$DS$53</f>
        <v>0</v>
      </c>
      <c r="L22" s="122">
        <f>'[3]Misc Cargo'!$DS$53</f>
        <v>0</v>
      </c>
      <c r="M22" s="208">
        <f>SUM(B22:H22)+SUM(J22:L22)</f>
        <v>145238</v>
      </c>
    </row>
    <row r="23" spans="1:14" ht="18" customHeight="1" x14ac:dyDescent="0.2">
      <c r="A23" s="223" t="s">
        <v>44</v>
      </c>
      <c r="B23" s="430">
        <f>SUM(B21:B22)</f>
        <v>0</v>
      </c>
      <c r="C23" s="308">
        <f>SUM(C21:C22)</f>
        <v>495127</v>
      </c>
      <c r="D23" s="308">
        <f>SUM(D21:D22)</f>
        <v>9778211</v>
      </c>
      <c r="E23" s="308">
        <f>SUM(E21:E22)</f>
        <v>5103361</v>
      </c>
      <c r="F23" s="201"/>
      <c r="G23" s="309">
        <f>SUM(G21:G22)</f>
        <v>0</v>
      </c>
      <c r="H23" s="309">
        <f>SUM(H21:H22)</f>
        <v>57602</v>
      </c>
      <c r="I23" s="497"/>
      <c r="J23" s="309">
        <f>SUM(J21:J22)</f>
        <v>0</v>
      </c>
      <c r="K23" s="309">
        <f>SUM(K21:K22)</f>
        <v>154018</v>
      </c>
      <c r="L23" s="309">
        <f>SUM(L21:L22)</f>
        <v>2030</v>
      </c>
      <c r="M23" s="224">
        <f>SUM(B23:H23)+SUM(J23:L23)</f>
        <v>15590349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7"/>
      <c r="J24" s="122"/>
      <c r="K24" s="122"/>
      <c r="L24" s="122"/>
      <c r="M24" s="208"/>
    </row>
    <row r="25" spans="1:14" x14ac:dyDescent="0.2">
      <c r="A25" s="225" t="s">
        <v>105</v>
      </c>
      <c r="B25" s="252"/>
      <c r="C25" s="165"/>
      <c r="D25" s="165"/>
      <c r="E25" s="165"/>
      <c r="F25" s="196"/>
      <c r="G25" s="122"/>
      <c r="H25" s="122"/>
      <c r="I25" s="497"/>
      <c r="J25" s="122"/>
      <c r="K25" s="122"/>
      <c r="L25" s="122"/>
      <c r="M25" s="208"/>
    </row>
    <row r="26" spans="1:14" x14ac:dyDescent="0.2">
      <c r="A26" s="55" t="s">
        <v>64</v>
      </c>
      <c r="B26" s="252">
        <f>[3]Airborne!$DS$57</f>
        <v>0</v>
      </c>
      <c r="C26" s="165">
        <f>[3]DHL!$DS$57</f>
        <v>0</v>
      </c>
      <c r="D26" s="165">
        <f>[3]FedEx!$DS$57</f>
        <v>0</v>
      </c>
      <c r="E26" s="165">
        <f>[3]UPS!$DS$57</f>
        <v>0</v>
      </c>
      <c r="F26" s="196"/>
      <c r="G26" s="122">
        <f>[3]ATI_BAX!$DS$57</f>
        <v>0</v>
      </c>
      <c r="H26" s="122">
        <f>'[3]Suburban Air Freight'!$DS$57</f>
        <v>0</v>
      </c>
      <c r="I26" s="497"/>
      <c r="J26" s="122">
        <f>'[3]CSA Air'!$DS$57</f>
        <v>0</v>
      </c>
      <c r="K26" s="122">
        <f>'[3]Mountain Cargo'!$DS$57</f>
        <v>0</v>
      </c>
      <c r="L26" s="122">
        <f>'[3]Misc Cargo'!$DS$57</f>
        <v>0</v>
      </c>
      <c r="M26" s="208">
        <f>SUM(B26:H26)+SUM(J26:L26)</f>
        <v>0</v>
      </c>
    </row>
    <row r="27" spans="1:14" x14ac:dyDescent="0.2">
      <c r="A27" s="55" t="s">
        <v>65</v>
      </c>
      <c r="B27" s="252">
        <f>[3]Airborne!$DS$58</f>
        <v>0</v>
      </c>
      <c r="C27" s="165">
        <f>[3]DHL!$DS$58</f>
        <v>0</v>
      </c>
      <c r="D27" s="165">
        <f>[3]FedEx!$DS$58</f>
        <v>0</v>
      </c>
      <c r="E27" s="165">
        <f>[3]UPS!$DS$58</f>
        <v>0</v>
      </c>
      <c r="F27" s="196"/>
      <c r="G27" s="122">
        <f>[3]ATI_BAX!$DS$58</f>
        <v>0</v>
      </c>
      <c r="H27" s="122">
        <f>'[3]Suburban Air Freight'!$DS$58</f>
        <v>0</v>
      </c>
      <c r="I27" s="497"/>
      <c r="J27" s="122">
        <f>'[3]CSA Air'!$DS$58</f>
        <v>0</v>
      </c>
      <c r="K27" s="122">
        <f>'[3]Mountain Cargo'!$DS$58</f>
        <v>0</v>
      </c>
      <c r="L27" s="122">
        <f>'[3]Misc Cargo'!$DS$58</f>
        <v>0</v>
      </c>
      <c r="M27" s="208">
        <f>SUM(B27:H27)+SUM(J27:L27)</f>
        <v>0</v>
      </c>
    </row>
    <row r="28" spans="1:14" ht="18" customHeight="1" x14ac:dyDescent="0.2">
      <c r="A28" s="223" t="s">
        <v>46</v>
      </c>
      <c r="B28" s="430">
        <f>SUM(B26:B27)</f>
        <v>0</v>
      </c>
      <c r="C28" s="308">
        <f>SUM(C26:C27)</f>
        <v>0</v>
      </c>
      <c r="D28" s="308">
        <f>SUM(D26:D27)</f>
        <v>0</v>
      </c>
      <c r="E28" s="308">
        <f>SUM(E26:E27)</f>
        <v>0</v>
      </c>
      <c r="F28" s="201"/>
      <c r="G28" s="309">
        <f>SUM(G26:G27)</f>
        <v>0</v>
      </c>
      <c r="H28" s="309">
        <f>SUM(H26:H27)</f>
        <v>0</v>
      </c>
      <c r="I28" s="497"/>
      <c r="J28" s="309">
        <f>SUM(J26:J27)</f>
        <v>0</v>
      </c>
      <c r="K28" s="309">
        <f>SUM(K26:K27)</f>
        <v>0</v>
      </c>
      <c r="L28" s="309">
        <f>SUM(L26:L27)</f>
        <v>0</v>
      </c>
      <c r="M28" s="224">
        <f>SUM(B28:H28)+SUM(J28:L28)</f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7"/>
      <c r="J29" s="122"/>
      <c r="K29" s="122"/>
      <c r="L29" s="122"/>
      <c r="M29" s="208"/>
    </row>
    <row r="30" spans="1:14" x14ac:dyDescent="0.2">
      <c r="A30" s="226" t="s">
        <v>47</v>
      </c>
      <c r="B30" s="252"/>
      <c r="C30" s="165"/>
      <c r="D30" s="165"/>
      <c r="E30" s="165"/>
      <c r="F30" s="196"/>
      <c r="G30" s="122"/>
      <c r="H30" s="122"/>
      <c r="I30" s="497"/>
      <c r="J30" s="122"/>
      <c r="K30" s="122"/>
      <c r="L30" s="122"/>
      <c r="M30" s="208"/>
    </row>
    <row r="31" spans="1:14" x14ac:dyDescent="0.2">
      <c r="A31" s="55" t="s">
        <v>97</v>
      </c>
      <c r="B31" s="252">
        <f t="shared" ref="B31:E33" si="3">B26+B21+B16</f>
        <v>0</v>
      </c>
      <c r="C31" s="165">
        <f t="shared" si="3"/>
        <v>1168410</v>
      </c>
      <c r="D31" s="165">
        <f t="shared" si="3"/>
        <v>16291746</v>
      </c>
      <c r="E31" s="165">
        <f t="shared" si="3"/>
        <v>10058382</v>
      </c>
      <c r="F31" s="196"/>
      <c r="G31" s="122">
        <f t="shared" ref="G31:H33" si="4">G26+G21+G16</f>
        <v>0</v>
      </c>
      <c r="H31" s="122">
        <f t="shared" si="4"/>
        <v>74531</v>
      </c>
      <c r="I31" s="497"/>
      <c r="J31" s="122">
        <f t="shared" ref="J31:L33" si="5">J26+J21+J16</f>
        <v>0</v>
      </c>
      <c r="K31" s="122">
        <f t="shared" si="5"/>
        <v>203191</v>
      </c>
      <c r="L31" s="122">
        <f>L26+L21+L16</f>
        <v>36564</v>
      </c>
      <c r="M31" s="208">
        <f>SUM(B31:H31)+SUM(J31:L31)</f>
        <v>27832824</v>
      </c>
    </row>
    <row r="32" spans="1:14" x14ac:dyDescent="0.2">
      <c r="A32" s="55" t="s">
        <v>65</v>
      </c>
      <c r="B32" s="252">
        <f t="shared" si="3"/>
        <v>0</v>
      </c>
      <c r="C32" s="165">
        <f t="shared" si="3"/>
        <v>0</v>
      </c>
      <c r="D32" s="165">
        <f t="shared" si="3"/>
        <v>0</v>
      </c>
      <c r="E32" s="165">
        <f t="shared" si="3"/>
        <v>151706</v>
      </c>
      <c r="F32" s="196"/>
      <c r="G32" s="122">
        <f t="shared" si="4"/>
        <v>0</v>
      </c>
      <c r="H32" s="122">
        <f t="shared" si="4"/>
        <v>0</v>
      </c>
      <c r="I32" s="498"/>
      <c r="J32" s="122">
        <f t="shared" si="5"/>
        <v>0</v>
      </c>
      <c r="K32" s="122">
        <f t="shared" si="5"/>
        <v>0</v>
      </c>
      <c r="L32" s="122">
        <f>L27+L22+L17</f>
        <v>0</v>
      </c>
      <c r="M32" s="212">
        <f>SUM(B32:H32)+SUM(J32:L32)</f>
        <v>151706</v>
      </c>
    </row>
    <row r="33" spans="1:13" ht="18" customHeight="1" thickBot="1" x14ac:dyDescent="0.25">
      <c r="A33" s="213" t="s">
        <v>49</v>
      </c>
      <c r="B33" s="428">
        <f t="shared" si="3"/>
        <v>0</v>
      </c>
      <c r="C33" s="214">
        <f t="shared" si="3"/>
        <v>1168410</v>
      </c>
      <c r="D33" s="214">
        <f t="shared" si="3"/>
        <v>16291746</v>
      </c>
      <c r="E33" s="214">
        <f t="shared" si="3"/>
        <v>10210088</v>
      </c>
      <c r="F33" s="227"/>
      <c r="G33" s="216">
        <f t="shared" si="4"/>
        <v>0</v>
      </c>
      <c r="H33" s="216">
        <f t="shared" si="4"/>
        <v>74531</v>
      </c>
      <c r="I33" s="310">
        <f>I28+I23+I18</f>
        <v>0</v>
      </c>
      <c r="J33" s="216">
        <f t="shared" si="5"/>
        <v>0</v>
      </c>
      <c r="K33" s="216">
        <f t="shared" si="5"/>
        <v>203191</v>
      </c>
      <c r="L33" s="216">
        <f t="shared" si="5"/>
        <v>36564</v>
      </c>
      <c r="M33" s="217">
        <f>SUM(B33:H33)+SUM(J33:L33)</f>
        <v>27984530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98</v>
      </c>
      <c r="B35" s="2"/>
      <c r="C35" s="2"/>
      <c r="D35" s="2"/>
      <c r="E35" s="2"/>
      <c r="F35" s="2"/>
    </row>
    <row r="36" spans="1:13" x14ac:dyDescent="0.2">
      <c r="A36" t="s">
        <v>99</v>
      </c>
    </row>
    <row r="37" spans="1:13" x14ac:dyDescent="0.2">
      <c r="A37" t="s">
        <v>100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October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399">
        <v>41913</v>
      </c>
      <c r="B2" s="80" t="s">
        <v>68</v>
      </c>
      <c r="C2" s="80" t="s">
        <v>69</v>
      </c>
      <c r="D2" s="80" t="s">
        <v>70</v>
      </c>
      <c r="E2" s="322" t="s">
        <v>80</v>
      </c>
      <c r="F2" s="81" t="s">
        <v>197</v>
      </c>
      <c r="G2" s="81" t="s">
        <v>190</v>
      </c>
      <c r="H2" s="82" t="s">
        <v>71</v>
      </c>
      <c r="I2" s="83" t="s">
        <v>194</v>
      </c>
      <c r="J2" s="83" t="s">
        <v>188</v>
      </c>
      <c r="K2" s="93" t="s">
        <v>2</v>
      </c>
    </row>
    <row r="3" spans="1:18" ht="20.25" customHeight="1" x14ac:dyDescent="0.2">
      <c r="A3" s="90" t="s">
        <v>72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73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74</v>
      </c>
      <c r="B5" s="173">
        <f>'Major Airline Stats'!J28</f>
        <v>4706204</v>
      </c>
      <c r="C5" s="122">
        <f>'Regional Major'!L25</f>
        <v>0</v>
      </c>
      <c r="D5" s="122">
        <f>Cargo!M16</f>
        <v>12387713</v>
      </c>
      <c r="E5" s="122">
        <f>SUM(B5:D5)</f>
        <v>17093917</v>
      </c>
      <c r="F5" s="122">
        <f>E5*0.00045359237</f>
        <v>7753.6703246132902</v>
      </c>
      <c r="G5" s="150">
        <f>'[1]Cargo Summary'!F5</f>
        <v>9026.488163</v>
      </c>
      <c r="H5" s="101">
        <f>(F5-G5)/G5</f>
        <v>-0.14100919597989947</v>
      </c>
      <c r="I5" s="150">
        <f>+F5+'[2]Cargo Summary'!I5</f>
        <v>72202.153975229739</v>
      </c>
      <c r="J5" s="150">
        <f>'[1]Cargo Summary'!I5</f>
        <v>75319.294265769408</v>
      </c>
      <c r="K5" s="88">
        <f>(I5-J5)/J5</f>
        <v>-4.1385681065207812E-2</v>
      </c>
      <c r="M5" s="37"/>
    </row>
    <row r="6" spans="1:18" x14ac:dyDescent="0.2">
      <c r="A6" s="65" t="s">
        <v>18</v>
      </c>
      <c r="B6" s="173">
        <f>'Major Airline Stats'!J29</f>
        <v>1216296</v>
      </c>
      <c r="C6" s="122">
        <f>'Regional Major'!L26</f>
        <v>0</v>
      </c>
      <c r="D6" s="122">
        <f>Cargo!M17</f>
        <v>6468</v>
      </c>
      <c r="E6" s="122">
        <f>SUM(B6:D6)</f>
        <v>1222764</v>
      </c>
      <c r="F6" s="122">
        <f>E6*0.00045359237</f>
        <v>554.63642071068</v>
      </c>
      <c r="G6" s="150">
        <f>'[1]Cargo Summary'!F6</f>
        <v>617.18771571842001</v>
      </c>
      <c r="H6" s="39">
        <f>(F6-G6)/G6</f>
        <v>-0.10134889826011675</v>
      </c>
      <c r="I6" s="150">
        <f>+F6+'[2]Cargo Summary'!I6</f>
        <v>5348.1892470614293</v>
      </c>
      <c r="J6" s="150">
        <f>'[1]Cargo Summary'!I6</f>
        <v>4875.96466327894</v>
      </c>
      <c r="K6" s="88">
        <f>(I6-J6)/J6</f>
        <v>9.684741715599976E-2</v>
      </c>
      <c r="M6" s="37"/>
    </row>
    <row r="7" spans="1:18" ht="18" customHeight="1" thickBot="1" x14ac:dyDescent="0.25">
      <c r="A7" s="76" t="s">
        <v>77</v>
      </c>
      <c r="B7" s="175">
        <f>SUM(B5:B6)</f>
        <v>5922500</v>
      </c>
      <c r="C7" s="137">
        <f t="shared" ref="C7:J7" si="0">SUM(C5:C6)</f>
        <v>0</v>
      </c>
      <c r="D7" s="137">
        <f t="shared" si="0"/>
        <v>12394181</v>
      </c>
      <c r="E7" s="137">
        <f t="shared" si="0"/>
        <v>18316681</v>
      </c>
      <c r="F7" s="137">
        <f t="shared" si="0"/>
        <v>8308.306745323971</v>
      </c>
      <c r="G7" s="137">
        <f t="shared" si="0"/>
        <v>9643.6758787184208</v>
      </c>
      <c r="H7" s="46">
        <f>(F7-G7)/G7</f>
        <v>-0.13847096793675229</v>
      </c>
      <c r="I7" s="137">
        <f t="shared" si="0"/>
        <v>77550.343222291165</v>
      </c>
      <c r="J7" s="137">
        <f t="shared" si="0"/>
        <v>80195.258929048345</v>
      </c>
      <c r="K7" s="324">
        <f>(I7-J7)/J7</f>
        <v>-3.2980948525862766E-2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75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74</v>
      </c>
      <c r="B10" s="173">
        <f>'Major Airline Stats'!J33</f>
        <v>3967532</v>
      </c>
      <c r="C10" s="122">
        <f>'Regional Major'!L30</f>
        <v>0</v>
      </c>
      <c r="D10" s="122">
        <f>Cargo!M21</f>
        <v>15445111</v>
      </c>
      <c r="E10" s="122">
        <f>SUM(B10:D10)</f>
        <v>19412643</v>
      </c>
      <c r="F10" s="122">
        <f>E10*0.00045359237</f>
        <v>8805.4267463339093</v>
      </c>
      <c r="G10" s="150">
        <f>'[1]Cargo Summary'!F10</f>
        <v>7748.0507687413601</v>
      </c>
      <c r="H10" s="39">
        <f>(F10-G10)/G10</f>
        <v>0.1364699340714717</v>
      </c>
      <c r="I10" s="150">
        <f>+F10+'[2]Cargo Summary'!I10</f>
        <v>81109.316047046203</v>
      </c>
      <c r="J10" s="150">
        <f>'[1]Cargo Summary'!I10</f>
        <v>76285.720890845638</v>
      </c>
      <c r="K10" s="88">
        <f>(I10-J10)/J10</f>
        <v>6.3230642640219201E-2</v>
      </c>
      <c r="M10" s="37"/>
    </row>
    <row r="11" spans="1:18" x14ac:dyDescent="0.2">
      <c r="A11" s="65" t="s">
        <v>18</v>
      </c>
      <c r="B11" s="173">
        <f>'Major Airline Stats'!J34</f>
        <v>826035</v>
      </c>
      <c r="C11" s="122">
        <f>'Regional Major'!L31</f>
        <v>0</v>
      </c>
      <c r="D11" s="122">
        <f>Cargo!M22</f>
        <v>145238</v>
      </c>
      <c r="E11" s="122">
        <f>SUM(B11:D11)</f>
        <v>971273</v>
      </c>
      <c r="F11" s="122">
        <f>E11*0.00045359237</f>
        <v>440.56202198700998</v>
      </c>
      <c r="G11" s="150">
        <f>'[1]Cargo Summary'!F11</f>
        <v>343.16893626245997</v>
      </c>
      <c r="H11" s="37">
        <f>(F11-G11)/G11</f>
        <v>0.28380507509007907</v>
      </c>
      <c r="I11" s="150">
        <f>+F11+'[2]Cargo Summary'!I11</f>
        <v>5793.5053706784111</v>
      </c>
      <c r="J11" s="150">
        <f>'[1]Cargo Summary'!I11</f>
        <v>6748.603979906251</v>
      </c>
      <c r="K11" s="88">
        <f>(I11-J11)/J11</f>
        <v>-0.14152536021844148</v>
      </c>
      <c r="M11" s="37"/>
    </row>
    <row r="12" spans="1:18" ht="18" customHeight="1" thickBot="1" x14ac:dyDescent="0.25">
      <c r="A12" s="76" t="s">
        <v>78</v>
      </c>
      <c r="B12" s="175">
        <f>SUM(B10:B11)</f>
        <v>4793567</v>
      </c>
      <c r="C12" s="137">
        <f t="shared" ref="C12:J12" si="1">SUM(C10:C11)</f>
        <v>0</v>
      </c>
      <c r="D12" s="137">
        <f t="shared" si="1"/>
        <v>15590349</v>
      </c>
      <c r="E12" s="137">
        <f t="shared" si="1"/>
        <v>20383916</v>
      </c>
      <c r="F12" s="137">
        <f t="shared" si="1"/>
        <v>9245.9887683209199</v>
      </c>
      <c r="G12" s="137">
        <f t="shared" si="1"/>
        <v>8091.2197050038203</v>
      </c>
      <c r="H12" s="46">
        <f>(F12-G12)/G12</f>
        <v>0.14271878720620582</v>
      </c>
      <c r="I12" s="137">
        <f t="shared" si="1"/>
        <v>86902.821417724612</v>
      </c>
      <c r="J12" s="137">
        <f t="shared" si="1"/>
        <v>83034.324870751894</v>
      </c>
      <c r="K12" s="324">
        <f>(I12-J12)/J12</f>
        <v>4.65891250756151E-2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76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74</v>
      </c>
      <c r="B15" s="173">
        <f>'Major Airline Stats'!J38</f>
        <v>0</v>
      </c>
      <c r="C15" s="122">
        <f>'Regional Major'!L35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50" t="e">
        <f>(F15-G15)/G15</f>
        <v>#DIV/0!</v>
      </c>
      <c r="I15" s="150">
        <f>+F15+'[2]Cargo Summary'!I15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Major'!L36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Summary'!I16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79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4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74</v>
      </c>
      <c r="B20" s="173">
        <f t="shared" ref="B20:D21" si="3">B15+B10+B5</f>
        <v>8673736</v>
      </c>
      <c r="C20" s="122">
        <f t="shared" si="3"/>
        <v>0</v>
      </c>
      <c r="D20" s="122">
        <f t="shared" si="3"/>
        <v>27832824</v>
      </c>
      <c r="E20" s="122">
        <f>SUM(B20:D20)</f>
        <v>36506560</v>
      </c>
      <c r="F20" s="122">
        <f>E20*0.00045359237</f>
        <v>16559.097070947199</v>
      </c>
      <c r="G20" s="150">
        <f>'[1]Cargo Summary'!F20</f>
        <v>16774.538931741361</v>
      </c>
      <c r="H20" s="39">
        <f>(F20-G20)/G20</f>
        <v>-1.2843384946127847E-2</v>
      </c>
      <c r="I20" s="150">
        <f>+I5+I10+I15</f>
        <v>153311.47002227593</v>
      </c>
      <c r="J20" s="150">
        <f>+J5+J10+J15</f>
        <v>151605.01515661506</v>
      </c>
      <c r="K20" s="88">
        <f>(I20-J20)/J20</f>
        <v>1.1255926223139914E-2</v>
      </c>
      <c r="M20" s="37"/>
    </row>
    <row r="21" spans="1:13" x14ac:dyDescent="0.2">
      <c r="A21" s="65" t="s">
        <v>18</v>
      </c>
      <c r="B21" s="173">
        <f t="shared" si="3"/>
        <v>2042331</v>
      </c>
      <c r="C21" s="124">
        <f t="shared" si="3"/>
        <v>0</v>
      </c>
      <c r="D21" s="124">
        <f t="shared" si="3"/>
        <v>151706</v>
      </c>
      <c r="E21" s="122">
        <f>SUM(B21:D21)</f>
        <v>2194037</v>
      </c>
      <c r="F21" s="122">
        <f>E21*0.00045359237</f>
        <v>995.19844269768998</v>
      </c>
      <c r="G21" s="150">
        <f>'[1]Cargo Summary'!F21</f>
        <v>960.35665198087997</v>
      </c>
      <c r="H21" s="39">
        <f>(F21-G21)/G21</f>
        <v>3.6280053504022261E-2</v>
      </c>
      <c r="I21" s="150">
        <f>+I6+I11+I16</f>
        <v>11141.69461773984</v>
      </c>
      <c r="J21" s="150">
        <f>+J6+J11+J16</f>
        <v>11624.56864318519</v>
      </c>
      <c r="K21" s="88">
        <f>(I21-J21)/J21</f>
        <v>-4.1539091923933937E-2</v>
      </c>
      <c r="M21" s="37"/>
    </row>
    <row r="22" spans="1:13" ht="18" customHeight="1" thickBot="1" x14ac:dyDescent="0.25">
      <c r="A22" s="91" t="s">
        <v>67</v>
      </c>
      <c r="B22" s="176">
        <f>SUM(B20:B21)</f>
        <v>10716067</v>
      </c>
      <c r="C22" s="177">
        <f t="shared" ref="C22:J22" si="4">SUM(C20:C21)</f>
        <v>0</v>
      </c>
      <c r="D22" s="177">
        <f t="shared" si="4"/>
        <v>27984530</v>
      </c>
      <c r="E22" s="177">
        <f t="shared" si="4"/>
        <v>38700597</v>
      </c>
      <c r="F22" s="177">
        <f t="shared" si="4"/>
        <v>17554.295513644887</v>
      </c>
      <c r="G22" s="177">
        <f t="shared" si="4"/>
        <v>17734.895583722242</v>
      </c>
      <c r="H22" s="330">
        <f>(F22-G22)/G22</f>
        <v>-1.0183317360104242E-2</v>
      </c>
      <c r="I22" s="177">
        <f t="shared" si="4"/>
        <v>164453.16464001578</v>
      </c>
      <c r="J22" s="177">
        <f t="shared" si="4"/>
        <v>163229.58379980025</v>
      </c>
      <c r="K22" s="331">
        <f>(I22-J22)/J22</f>
        <v>7.4960727812443326E-3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October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zoomScaleSheetLayoutView="100" workbookViewId="0">
      <selection activeCell="N6" sqref="N6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99">
        <v>41913</v>
      </c>
      <c r="B1" s="458" t="s">
        <v>20</v>
      </c>
      <c r="C1" s="457" t="s">
        <v>209</v>
      </c>
      <c r="D1" s="19" t="s">
        <v>203</v>
      </c>
      <c r="E1" s="19" t="s">
        <v>212</v>
      </c>
      <c r="F1" s="477" t="s">
        <v>210</v>
      </c>
      <c r="G1" s="458" t="s">
        <v>53</v>
      </c>
      <c r="H1" s="458" t="s">
        <v>125</v>
      </c>
      <c r="I1" s="458" t="s">
        <v>110</v>
      </c>
      <c r="J1" s="458" t="s">
        <v>215</v>
      </c>
      <c r="K1" s="458" t="s">
        <v>198</v>
      </c>
      <c r="L1" s="477" t="s">
        <v>211</v>
      </c>
      <c r="M1" s="458" t="s">
        <v>158</v>
      </c>
      <c r="N1" s="478" t="s">
        <v>24</v>
      </c>
    </row>
    <row r="2" spans="1:14" ht="15" x14ac:dyDescent="0.25">
      <c r="A2" s="503" t="s">
        <v>159</v>
      </c>
      <c r="B2" s="504"/>
      <c r="C2" s="504"/>
      <c r="D2" s="505"/>
      <c r="E2" s="504"/>
      <c r="F2" s="504"/>
      <c r="G2" s="504"/>
      <c r="H2" s="504"/>
      <c r="I2" s="504"/>
      <c r="J2" s="504"/>
      <c r="K2" s="504"/>
      <c r="L2" s="504"/>
      <c r="M2" s="504"/>
      <c r="N2" s="506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[3]Delta!$DS$32</f>
        <v>45760</v>
      </c>
      <c r="C4" s="22">
        <f>'[3]Atlantic Southeast'!$DS$32</f>
        <v>0</v>
      </c>
      <c r="D4" s="22">
        <f>[3]Pinnacle!$DS$32</f>
        <v>11543</v>
      </c>
      <c r="E4" s="22">
        <f>[3]Compass!$DS$32</f>
        <v>15402</v>
      </c>
      <c r="F4" s="22">
        <f>'[3]Sky West'!$DS$32</f>
        <v>4565</v>
      </c>
      <c r="G4" s="22">
        <f>'[3]Sun Country'!$DS$32</f>
        <v>1543</v>
      </c>
      <c r="H4" s="22">
        <f>[3]Icelandair!$DS$32</f>
        <v>1137</v>
      </c>
      <c r="I4" s="22">
        <f>[3]AirCanada!$DS$32</f>
        <v>4188</v>
      </c>
      <c r="J4" s="22">
        <f>[3]Condor!$DS$32</f>
        <v>0</v>
      </c>
      <c r="K4" s="22">
        <f>'[3]Air France'!$DS$32</f>
        <v>0</v>
      </c>
      <c r="L4" s="22">
        <f>[3]Comair!$DS$32</f>
        <v>0</v>
      </c>
      <c r="M4" s="22">
        <f>'[3]Charter Misc'!$DS$32+[3]Ryan!$DS$32+[3]Omni!$DS$32</f>
        <v>0</v>
      </c>
      <c r="N4" s="286">
        <f>SUM(B4:M4)</f>
        <v>84138</v>
      </c>
    </row>
    <row r="5" spans="1:14" x14ac:dyDescent="0.2">
      <c r="A5" s="65" t="s">
        <v>34</v>
      </c>
      <c r="B5" s="14">
        <f>[3]Delta!$DS$33</f>
        <v>43576</v>
      </c>
      <c r="C5" s="14">
        <f>'[3]Atlantic Southeast'!$DS$33</f>
        <v>57</v>
      </c>
      <c r="D5" s="14">
        <f>[3]Pinnacle!$DS$33</f>
        <v>11051</v>
      </c>
      <c r="E5" s="14">
        <f>[3]Compass!$DS$33</f>
        <v>15470</v>
      </c>
      <c r="F5" s="14">
        <f>'[3]Sky West'!$DS$33</f>
        <v>4408</v>
      </c>
      <c r="G5" s="14">
        <f>'[3]Sun Country'!$DS$33</f>
        <v>1704</v>
      </c>
      <c r="H5" s="14">
        <f>[3]Icelandair!$DS$33</f>
        <v>1041</v>
      </c>
      <c r="I5" s="14">
        <f>[3]AirCanada!$DS$33</f>
        <v>3666</v>
      </c>
      <c r="J5" s="14">
        <f>[3]Condor!$DS$33</f>
        <v>0</v>
      </c>
      <c r="K5" s="14">
        <f>'[3]Air France'!$DS$33</f>
        <v>0</v>
      </c>
      <c r="L5" s="14">
        <f>[3]Comair!$DS$33</f>
        <v>0</v>
      </c>
      <c r="M5" s="14">
        <f>'[3]Charter Misc'!$DS$33++[3]Ryan!$DS$33+[3]Omni!$DS$33</f>
        <v>0</v>
      </c>
      <c r="N5" s="287">
        <f>SUM(B5:M5)</f>
        <v>80973</v>
      </c>
    </row>
    <row r="6" spans="1:14" ht="15" x14ac:dyDescent="0.25">
      <c r="A6" s="63" t="s">
        <v>7</v>
      </c>
      <c r="B6" s="36">
        <f t="shared" ref="B6:M6" si="0">SUM(B4:B5)</f>
        <v>89336</v>
      </c>
      <c r="C6" s="36">
        <f t="shared" si="0"/>
        <v>57</v>
      </c>
      <c r="D6" s="36">
        <f t="shared" si="0"/>
        <v>22594</v>
      </c>
      <c r="E6" s="36">
        <f t="shared" si="0"/>
        <v>30872</v>
      </c>
      <c r="F6" s="36">
        <f t="shared" si="0"/>
        <v>8973</v>
      </c>
      <c r="G6" s="36">
        <f t="shared" si="0"/>
        <v>3247</v>
      </c>
      <c r="H6" s="36">
        <f t="shared" si="0"/>
        <v>2178</v>
      </c>
      <c r="I6" s="36">
        <f t="shared" si="0"/>
        <v>7854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288">
        <f>SUM(B6:M6)</f>
        <v>165111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86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86">
        <f>SUM(B8:M8)</f>
        <v>0</v>
      </c>
    </row>
    <row r="9" spans="1:14" x14ac:dyDescent="0.2">
      <c r="A9" s="65" t="s">
        <v>33</v>
      </c>
      <c r="B9" s="22">
        <f>[3]Delta!$DS$37</f>
        <v>1328</v>
      </c>
      <c r="C9" s="22">
        <f>'[3]Atlantic Southeast'!$DS$37</f>
        <v>0</v>
      </c>
      <c r="D9" s="22">
        <f>[3]Pinnacle!$DS$37</f>
        <v>207</v>
      </c>
      <c r="E9" s="22">
        <f>[3]Compass!$DS$37</f>
        <v>278</v>
      </c>
      <c r="F9" s="22">
        <f>'[3]Sky West'!$DS$37</f>
        <v>41</v>
      </c>
      <c r="G9" s="22">
        <f>'[3]Sun Country'!$DS$37</f>
        <v>12</v>
      </c>
      <c r="H9" s="22">
        <f>[3]Icelandair!$DS$37</f>
        <v>74</v>
      </c>
      <c r="I9" s="22">
        <f>[3]AirCanada!$DS$37</f>
        <v>51</v>
      </c>
      <c r="J9" s="22">
        <f>[3]Condor!$DS$37</f>
        <v>0</v>
      </c>
      <c r="K9" s="22">
        <f>'[3]Air France'!$DS$37</f>
        <v>0</v>
      </c>
      <c r="L9" s="22">
        <f>[3]Comair!$DS$37</f>
        <v>0</v>
      </c>
      <c r="M9" s="22">
        <f>'[3]Charter Misc'!$DS$37+[3]Ryan!$DS$37+[3]Omni!$DS$37</f>
        <v>0</v>
      </c>
      <c r="N9" s="286">
        <f>SUM(B9:M9)</f>
        <v>1991</v>
      </c>
    </row>
    <row r="10" spans="1:14" x14ac:dyDescent="0.2">
      <c r="A10" s="65" t="s">
        <v>36</v>
      </c>
      <c r="B10" s="14">
        <f>[3]Delta!$DS$38</f>
        <v>1269</v>
      </c>
      <c r="C10" s="14">
        <f>'[3]Atlantic Southeast'!$DS$38</f>
        <v>0</v>
      </c>
      <c r="D10" s="14">
        <f>[3]Pinnacle!$DS$38</f>
        <v>214</v>
      </c>
      <c r="E10" s="14">
        <f>[3]Compass!$DS$38</f>
        <v>250</v>
      </c>
      <c r="F10" s="14">
        <f>'[3]Sky West'!$DS$38</f>
        <v>56</v>
      </c>
      <c r="G10" s="14">
        <f>'[3]Sun Country'!$DS$38</f>
        <v>9</v>
      </c>
      <c r="H10" s="14">
        <f>[3]Icelandair!$DS$38</f>
        <v>75</v>
      </c>
      <c r="I10" s="14">
        <f>[3]AirCanada!$DS$38</f>
        <v>54</v>
      </c>
      <c r="J10" s="14">
        <f>[3]Condor!$DS$38</f>
        <v>0</v>
      </c>
      <c r="K10" s="14">
        <f>'[3]Air France'!$DS$38</f>
        <v>0</v>
      </c>
      <c r="L10" s="14">
        <f>[3]Comair!$DS$38</f>
        <v>0</v>
      </c>
      <c r="M10" s="14">
        <f>'[3]Charter Misc'!$DS$38+[3]Ryan!$DS$38+[3]Omni!$DS$38</f>
        <v>0</v>
      </c>
      <c r="N10" s="287">
        <f>SUM(B10:M10)</f>
        <v>1927</v>
      </c>
    </row>
    <row r="11" spans="1:14" ht="15.75" thickBot="1" x14ac:dyDescent="0.3">
      <c r="A11" s="66" t="s">
        <v>37</v>
      </c>
      <c r="B11" s="289">
        <f t="shared" ref="B11:G11" si="1">SUM(B9:B10)</f>
        <v>2597</v>
      </c>
      <c r="C11" s="289">
        <f t="shared" si="1"/>
        <v>0</v>
      </c>
      <c r="D11" s="289">
        <f t="shared" si="1"/>
        <v>421</v>
      </c>
      <c r="E11" s="289">
        <f t="shared" si="1"/>
        <v>528</v>
      </c>
      <c r="F11" s="289">
        <f t="shared" si="1"/>
        <v>97</v>
      </c>
      <c r="G11" s="289">
        <f t="shared" si="1"/>
        <v>21</v>
      </c>
      <c r="H11" s="289">
        <f t="shared" ref="H11:M11" si="2">SUM(H9:H10)</f>
        <v>149</v>
      </c>
      <c r="I11" s="289">
        <f t="shared" si="2"/>
        <v>105</v>
      </c>
      <c r="J11" s="289">
        <f t="shared" si="2"/>
        <v>0</v>
      </c>
      <c r="K11" s="289">
        <f t="shared" si="2"/>
        <v>0</v>
      </c>
      <c r="L11" s="289">
        <f t="shared" si="2"/>
        <v>0</v>
      </c>
      <c r="M11" s="289">
        <f t="shared" si="2"/>
        <v>0</v>
      </c>
      <c r="N11" s="290">
        <f>SUM(B11:M11)</f>
        <v>3918</v>
      </c>
    </row>
    <row r="12" spans="1:14" ht="15" x14ac:dyDescent="0.25">
      <c r="A12" s="404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1"/>
    </row>
    <row r="13" spans="1:14" ht="39" thickBot="1" x14ac:dyDescent="0.25">
      <c r="B13" s="458" t="s">
        <v>20</v>
      </c>
      <c r="C13" s="457" t="s">
        <v>209</v>
      </c>
      <c r="D13" s="19" t="s">
        <v>203</v>
      </c>
      <c r="E13" s="19" t="s">
        <v>212</v>
      </c>
      <c r="F13" s="477" t="s">
        <v>210</v>
      </c>
      <c r="G13" s="458" t="s">
        <v>157</v>
      </c>
      <c r="H13" s="458" t="s">
        <v>125</v>
      </c>
      <c r="I13" s="458" t="s">
        <v>110</v>
      </c>
      <c r="J13" s="458" t="s">
        <v>215</v>
      </c>
      <c r="K13" s="458" t="s">
        <v>198</v>
      </c>
      <c r="L13" s="477" t="s">
        <v>211</v>
      </c>
      <c r="M13" s="458" t="s">
        <v>158</v>
      </c>
      <c r="N13" s="478" t="s">
        <v>160</v>
      </c>
    </row>
    <row r="14" spans="1:14" ht="15" x14ac:dyDescent="0.25">
      <c r="A14" s="507" t="s">
        <v>161</v>
      </c>
      <c r="B14" s="508"/>
      <c r="C14" s="508"/>
      <c r="D14" s="509"/>
      <c r="E14" s="508"/>
      <c r="F14" s="508"/>
      <c r="G14" s="508"/>
      <c r="H14" s="508"/>
      <c r="I14" s="508"/>
      <c r="J14" s="508"/>
      <c r="K14" s="508"/>
      <c r="L14" s="508"/>
      <c r="M14" s="508"/>
      <c r="N14" s="510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SUM([3]Delta!$DJ$32:$DS$32)</f>
        <v>593099</v>
      </c>
      <c r="C16" s="22">
        <f>SUM('[3]Atlantic Southeast'!$DJ$32:$DS$32)</f>
        <v>1157</v>
      </c>
      <c r="D16" s="22">
        <f>SUM([3]Pinnacle!$DJ$32:$DS$32)</f>
        <v>110572</v>
      </c>
      <c r="E16" s="22">
        <f>SUM([3]Compass!$DJ$32:$DS$32)</f>
        <v>129126</v>
      </c>
      <c r="F16" s="22">
        <f>SUM('[3]Sky West'!$DJ$32:$DS$32)</f>
        <v>35915</v>
      </c>
      <c r="G16" s="22">
        <f>SUM('[3]Sun Country'!$DJ$32:$DS$32)</f>
        <v>92023</v>
      </c>
      <c r="H16" s="22">
        <f>SUM([3]Icelandair!$DJ$32:$DQ$32)</f>
        <v>16020</v>
      </c>
      <c r="I16" s="22">
        <f>SUM([3]AirCanada!$DJ$32:$DS$32)</f>
        <v>34461</v>
      </c>
      <c r="J16" s="22">
        <f>SUM([3]Condor!$DJ$32:$DS$32)</f>
        <v>5309</v>
      </c>
      <c r="K16" s="22">
        <f>SUM('[3]Air France'!$DJ$32:$DS$32)</f>
        <v>22792</v>
      </c>
      <c r="L16" s="22">
        <f>SUM([3]Comair!$DJ$32:$DS$32)</f>
        <v>0</v>
      </c>
      <c r="M16" s="22">
        <f>SUM('[3]Charter Misc'!$DJ$32:$DS$32)+SUM([3]Ryan!$DJ$32:$DS$32)+SUM([3]Omni!$DJ$32:$DS$32)</f>
        <v>0</v>
      </c>
      <c r="N16" s="286">
        <f>SUM(B16:M16)</f>
        <v>1040474</v>
      </c>
    </row>
    <row r="17" spans="1:14" x14ac:dyDescent="0.2">
      <c r="A17" s="65" t="s">
        <v>34</v>
      </c>
      <c r="B17" s="14">
        <f>SUM([3]Delta!$DJ$33:$DS$33)</f>
        <v>575684</v>
      </c>
      <c r="C17" s="14">
        <f>SUM('[3]Atlantic Southeast'!$DJ$33:$DS$33)</f>
        <v>1519</v>
      </c>
      <c r="D17" s="14">
        <f>SUM([3]Pinnacle!$DJ$33:$DS$33)</f>
        <v>111191</v>
      </c>
      <c r="E17" s="14">
        <f>SUM([3]Compass!$DJ$33:$DS$33)</f>
        <v>130642</v>
      </c>
      <c r="F17" s="14">
        <f>SUM('[3]Sky West'!$DJ$33:$DS$33)</f>
        <v>36913</v>
      </c>
      <c r="G17" s="14">
        <f>SUM('[3]Sun Country'!$DJ$33:$DS$33)</f>
        <v>88194</v>
      </c>
      <c r="H17" s="14">
        <f>SUM([3]Icelandair!$DJ$33:$DS$33)</f>
        <v>20323</v>
      </c>
      <c r="I17" s="14">
        <f>SUM([3]AirCanada!$DJ$33:$DS$33)</f>
        <v>32426</v>
      </c>
      <c r="J17" s="14">
        <f>SUM([3]Condor!$DJ$33:$DS$33)</f>
        <v>4516</v>
      </c>
      <c r="K17" s="14">
        <f>SUM('[3]Air France'!$DJ$33:$DS$33)</f>
        <v>19165</v>
      </c>
      <c r="L17" s="14">
        <f>SUM([3]Comair!$DJ$33:$DS$33)</f>
        <v>0</v>
      </c>
      <c r="M17" s="14">
        <f>SUM('[3]Charter Misc'!$DJ$33:$DS$33)++SUM([3]Ryan!$DJ$33:$DS$33)+SUM([3]Omni!$DJ$33:$DS$33)</f>
        <v>0</v>
      </c>
      <c r="N17" s="287">
        <f>SUM(B17:M17)</f>
        <v>1020573</v>
      </c>
    </row>
    <row r="18" spans="1:14" ht="15" x14ac:dyDescent="0.25">
      <c r="A18" s="63" t="s">
        <v>7</v>
      </c>
      <c r="B18" s="36">
        <f t="shared" ref="B18:M18" si="3">SUM(B16:B17)</f>
        <v>1168783</v>
      </c>
      <c r="C18" s="36">
        <f t="shared" si="3"/>
        <v>2676</v>
      </c>
      <c r="D18" s="36">
        <f t="shared" si="3"/>
        <v>221763</v>
      </c>
      <c r="E18" s="36">
        <f t="shared" si="3"/>
        <v>259768</v>
      </c>
      <c r="F18" s="36">
        <f t="shared" si="3"/>
        <v>72828</v>
      </c>
      <c r="G18" s="36">
        <f t="shared" si="3"/>
        <v>180217</v>
      </c>
      <c r="H18" s="36">
        <f t="shared" si="3"/>
        <v>36343</v>
      </c>
      <c r="I18" s="36">
        <f t="shared" si="3"/>
        <v>66887</v>
      </c>
      <c r="J18" s="36">
        <f t="shared" si="3"/>
        <v>9825</v>
      </c>
      <c r="K18" s="36">
        <f t="shared" si="3"/>
        <v>41957</v>
      </c>
      <c r="L18" s="36">
        <f t="shared" si="3"/>
        <v>0</v>
      </c>
      <c r="M18" s="36">
        <f t="shared" si="3"/>
        <v>0</v>
      </c>
      <c r="N18" s="288">
        <f>SUM(B18:M18)</f>
        <v>2061047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6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86">
        <f>SUM(B20:M20)</f>
        <v>0</v>
      </c>
    </row>
    <row r="21" spans="1:14" x14ac:dyDescent="0.2">
      <c r="A21" s="65" t="s">
        <v>33</v>
      </c>
      <c r="B21" s="22">
        <f>SUM([3]Delta!$DJ$37:$DS$37)</f>
        <v>14167</v>
      </c>
      <c r="C21" s="22">
        <f>SUM('[3]Atlantic Southeast'!$DJ$37:$DS$37)</f>
        <v>23</v>
      </c>
      <c r="D21" s="22">
        <f>SUM([3]Pinnacle!$DJ$37:$DS$37)</f>
        <v>1911</v>
      </c>
      <c r="E21" s="22">
        <f>SUM([3]Compass!$DJ$37:$DS$37)</f>
        <v>1690</v>
      </c>
      <c r="F21" s="22">
        <f>SUM('[3]Sky West'!$DJ$37:$DS$37)</f>
        <v>309</v>
      </c>
      <c r="G21" s="22">
        <f>SUM('[3]Sun Country'!$DJ$37:$DS$37)</f>
        <v>613</v>
      </c>
      <c r="H21" s="22">
        <f>SUM([3]Icelandair!$DJ$37:$DS$37)</f>
        <v>363</v>
      </c>
      <c r="I21" s="22">
        <f>SUM([3]AirCanada!$DJ$37:$DS$37)</f>
        <v>415</v>
      </c>
      <c r="J21" s="22">
        <f>SUM([3]Condor!$DJ$37:$DS$37)</f>
        <v>33</v>
      </c>
      <c r="K21" s="22">
        <f>SUM('[3]Air France'!$DJ$37:$DS$37)</f>
        <v>122</v>
      </c>
      <c r="L21" s="22">
        <f>SUM([3]Comair!$DJ$37:$DS$37)</f>
        <v>0</v>
      </c>
      <c r="M21" s="22">
        <f>SUM('[3]Charter Misc'!$DJ$37:$DS$37)++SUM([3]Ryan!$DJ$37:$DS$37)+SUM([3]Omni!$DJ$37:$DS$37)</f>
        <v>0</v>
      </c>
      <c r="N21" s="286">
        <f>SUM(B21:M21)</f>
        <v>19646</v>
      </c>
    </row>
    <row r="22" spans="1:14" x14ac:dyDescent="0.2">
      <c r="A22" s="65" t="s">
        <v>36</v>
      </c>
      <c r="B22" s="14">
        <f>SUM([3]Delta!$DJ$38:$DS$38)</f>
        <v>13559</v>
      </c>
      <c r="C22" s="14">
        <f>SUM('[3]Atlantic Southeast'!$DJ$38:$DS$38)</f>
        <v>25</v>
      </c>
      <c r="D22" s="14">
        <f>SUM([3]Pinnacle!$DJ$38:$DS$38)</f>
        <v>1912</v>
      </c>
      <c r="E22" s="14">
        <f>SUM([3]Compass!$DJ$38:$DS$38)</f>
        <v>1512</v>
      </c>
      <c r="F22" s="14">
        <f>SUM('[3]Sky West'!$DJ$38:$DS$38)</f>
        <v>357</v>
      </c>
      <c r="G22" s="14">
        <f>SUM('[3]Sun Country'!$DJ$38:$DS$38)</f>
        <v>723</v>
      </c>
      <c r="H22" s="14">
        <f>SUM([3]Icelandair!$DJ$38:$DS$38)</f>
        <v>413</v>
      </c>
      <c r="I22" s="14">
        <f>SUM([3]AirCanada!$DJ$38:$DS$38)</f>
        <v>414</v>
      </c>
      <c r="J22" s="14">
        <f>SUM([3]Condor!$DJ$38:$DS$38)</f>
        <v>53</v>
      </c>
      <c r="K22" s="14">
        <f>SUM('[3]Air France'!$DJ$38:$DS$38)</f>
        <v>102</v>
      </c>
      <c r="L22" s="14">
        <f>SUM([3]Comair!$DJ$38:$DS$38)</f>
        <v>0</v>
      </c>
      <c r="M22" s="14">
        <f>SUM('[3]Charter Misc'!$DJ$38:$DS$38)++SUM([3]Ryan!$DJ$38:$DS$38)+SUM([3]Omni!$DJ$38:$DS$38)</f>
        <v>0</v>
      </c>
      <c r="N22" s="287">
        <f>SUM(B22:M22)</f>
        <v>19070</v>
      </c>
    </row>
    <row r="23" spans="1:14" ht="15.75" thickBot="1" x14ac:dyDescent="0.3">
      <c r="A23" s="66" t="s">
        <v>37</v>
      </c>
      <c r="B23" s="289">
        <f t="shared" ref="B23:M23" si="4">SUM(B21:B22)</f>
        <v>27726</v>
      </c>
      <c r="C23" s="289">
        <f t="shared" si="4"/>
        <v>48</v>
      </c>
      <c r="D23" s="289">
        <f t="shared" si="4"/>
        <v>3823</v>
      </c>
      <c r="E23" s="289">
        <f t="shared" si="4"/>
        <v>3202</v>
      </c>
      <c r="F23" s="289">
        <f t="shared" si="4"/>
        <v>666</v>
      </c>
      <c r="G23" s="289">
        <f t="shared" si="4"/>
        <v>1336</v>
      </c>
      <c r="H23" s="289">
        <f t="shared" si="4"/>
        <v>776</v>
      </c>
      <c r="I23" s="289">
        <f t="shared" si="4"/>
        <v>829</v>
      </c>
      <c r="J23" s="289">
        <f t="shared" si="4"/>
        <v>86</v>
      </c>
      <c r="K23" s="289">
        <f t="shared" si="4"/>
        <v>224</v>
      </c>
      <c r="L23" s="289">
        <f t="shared" si="4"/>
        <v>0</v>
      </c>
      <c r="M23" s="289">
        <f t="shared" si="4"/>
        <v>0</v>
      </c>
      <c r="N23" s="290">
        <f>SUM(B23:M23)</f>
        <v>38716</v>
      </c>
    </row>
    <row r="25" spans="1:14" ht="39" thickBot="1" x14ac:dyDescent="0.25">
      <c r="B25" s="458" t="s">
        <v>20</v>
      </c>
      <c r="C25" s="457" t="s">
        <v>209</v>
      </c>
      <c r="D25" s="19" t="s">
        <v>203</v>
      </c>
      <c r="E25" s="19" t="s">
        <v>212</v>
      </c>
      <c r="F25" s="477" t="s">
        <v>210</v>
      </c>
      <c r="G25" s="458" t="s">
        <v>157</v>
      </c>
      <c r="H25" s="458" t="s">
        <v>125</v>
      </c>
      <c r="I25" s="458" t="s">
        <v>110</v>
      </c>
      <c r="J25" s="458" t="s">
        <v>215</v>
      </c>
      <c r="K25" s="458" t="s">
        <v>198</v>
      </c>
      <c r="L25" s="477" t="s">
        <v>211</v>
      </c>
      <c r="M25" s="458" t="s">
        <v>158</v>
      </c>
      <c r="N25" s="478" t="s">
        <v>24</v>
      </c>
    </row>
    <row r="26" spans="1:14" ht="15" x14ac:dyDescent="0.25">
      <c r="A26" s="511" t="s">
        <v>162</v>
      </c>
      <c r="B26" s="512"/>
      <c r="C26" s="512"/>
      <c r="D26" s="513"/>
      <c r="E26" s="512"/>
      <c r="F26" s="512"/>
      <c r="G26" s="512"/>
      <c r="H26" s="512"/>
      <c r="I26" s="512"/>
      <c r="J26" s="512"/>
      <c r="K26" s="512"/>
      <c r="L26" s="512"/>
      <c r="M26" s="512"/>
      <c r="N26" s="514"/>
    </row>
    <row r="27" spans="1:14" x14ac:dyDescent="0.2">
      <c r="A27" s="65" t="s">
        <v>25</v>
      </c>
      <c r="B27" s="22">
        <f>[3]Delta!$DS$15</f>
        <v>232</v>
      </c>
      <c r="C27" s="22">
        <f>'[3]Atlantic Southeast'!$DS$15</f>
        <v>1</v>
      </c>
      <c r="D27" s="22">
        <f>[3]Pinnacle!$DS$15</f>
        <v>227</v>
      </c>
      <c r="E27" s="22">
        <f>[3]Compass!$DS$15</f>
        <v>246</v>
      </c>
      <c r="F27" s="22">
        <f>'[3]Sky West'!$DS$15</f>
        <v>88</v>
      </c>
      <c r="G27" s="22">
        <f>'[3]Sun Country'!$DS$15</f>
        <v>11</v>
      </c>
      <c r="H27" s="22">
        <f>[3]Icelandair!$DS$15</f>
        <v>8</v>
      </c>
      <c r="I27" s="22">
        <f>[3]AirCanada!$DS$15</f>
        <v>88</v>
      </c>
      <c r="J27" s="22">
        <f>[3]Condor!$DS$15</f>
        <v>0</v>
      </c>
      <c r="K27" s="22">
        <f>'[3]Air France'!$DS$15</f>
        <v>0</v>
      </c>
      <c r="L27" s="22">
        <f>[3]Comair!$DS$15</f>
        <v>0</v>
      </c>
      <c r="M27" s="22">
        <f>'[3]Charter Misc'!$DS$15+[3]Ryan!$DS$15+[3]Omni!$DS$15</f>
        <v>0</v>
      </c>
      <c r="N27" s="286">
        <f>SUM(B27:M27)</f>
        <v>901</v>
      </c>
    </row>
    <row r="28" spans="1:14" x14ac:dyDescent="0.2">
      <c r="A28" s="65" t="s">
        <v>26</v>
      </c>
      <c r="B28" s="22">
        <f>[3]Delta!$DS$16</f>
        <v>233</v>
      </c>
      <c r="C28" s="22">
        <f>'[3]Atlantic Southeast'!$DS$16</f>
        <v>0</v>
      </c>
      <c r="D28" s="22">
        <f>[3]Pinnacle!$DS$16</f>
        <v>223</v>
      </c>
      <c r="E28" s="22">
        <f>[3]Compass!$DS$16</f>
        <v>247</v>
      </c>
      <c r="F28" s="22">
        <f>'[3]Sky West'!$DS$16</f>
        <v>89</v>
      </c>
      <c r="G28" s="22">
        <f>'[3]Sun Country'!$DS$16</f>
        <v>11</v>
      </c>
      <c r="H28" s="22">
        <f>[3]Icelandair!$DS$16</f>
        <v>8</v>
      </c>
      <c r="I28" s="22">
        <f>[3]AirCanada!$DS$16</f>
        <v>88</v>
      </c>
      <c r="J28" s="22">
        <f>[3]Condor!$DS$16</f>
        <v>0</v>
      </c>
      <c r="K28" s="22">
        <f>'[3]Air France'!$DS$16</f>
        <v>0</v>
      </c>
      <c r="L28" s="22">
        <f>[3]Comair!$DS$16</f>
        <v>0</v>
      </c>
      <c r="M28" s="22">
        <f>'[3]Charter Misc'!$DS$16+[3]Ryan!$DS$16+[3]Omni!$DS$16</f>
        <v>0</v>
      </c>
      <c r="N28" s="286">
        <f>SUM(B28:M28)</f>
        <v>899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86"/>
    </row>
    <row r="30" spans="1:14" ht="15.75" thickBot="1" x14ac:dyDescent="0.3">
      <c r="A30" s="66" t="s">
        <v>31</v>
      </c>
      <c r="B30" s="402">
        <f t="shared" ref="B30:I30" si="5">SUM(B27:B28)</f>
        <v>465</v>
      </c>
      <c r="C30" s="402">
        <f t="shared" si="5"/>
        <v>1</v>
      </c>
      <c r="D30" s="402">
        <f t="shared" si="5"/>
        <v>450</v>
      </c>
      <c r="E30" s="402">
        <f t="shared" si="5"/>
        <v>493</v>
      </c>
      <c r="F30" s="402">
        <f>SUM(F27:F28)</f>
        <v>177</v>
      </c>
      <c r="G30" s="402">
        <f t="shared" si="5"/>
        <v>22</v>
      </c>
      <c r="H30" s="402">
        <f t="shared" si="5"/>
        <v>16</v>
      </c>
      <c r="I30" s="402">
        <f t="shared" si="5"/>
        <v>176</v>
      </c>
      <c r="J30" s="402">
        <f>SUM(J27:J28)</f>
        <v>0</v>
      </c>
      <c r="K30" s="402">
        <f>SUM(K27:K28)</f>
        <v>0</v>
      </c>
      <c r="L30" s="402">
        <f>SUM(L27:L28)</f>
        <v>0</v>
      </c>
      <c r="M30" s="402">
        <f>SUM(M27:M28)</f>
        <v>0</v>
      </c>
      <c r="N30" s="403">
        <f>SUM(B30:M30)</f>
        <v>1800</v>
      </c>
    </row>
    <row r="31" spans="1:14" ht="15" x14ac:dyDescent="0.25">
      <c r="A31" s="404"/>
    </row>
    <row r="32" spans="1:14" ht="39" thickBot="1" x14ac:dyDescent="0.25">
      <c r="B32" s="458" t="s">
        <v>20</v>
      </c>
      <c r="C32" s="457" t="s">
        <v>209</v>
      </c>
      <c r="D32" s="19" t="s">
        <v>203</v>
      </c>
      <c r="E32" s="19" t="s">
        <v>212</v>
      </c>
      <c r="F32" s="477" t="s">
        <v>210</v>
      </c>
      <c r="G32" s="458" t="s">
        <v>157</v>
      </c>
      <c r="H32" s="458" t="s">
        <v>125</v>
      </c>
      <c r="I32" s="458" t="s">
        <v>110</v>
      </c>
      <c r="J32" s="458" t="s">
        <v>215</v>
      </c>
      <c r="K32" s="458" t="s">
        <v>198</v>
      </c>
      <c r="L32" s="477" t="s">
        <v>211</v>
      </c>
      <c r="M32" s="458" t="s">
        <v>158</v>
      </c>
      <c r="N32" s="478" t="s">
        <v>160</v>
      </c>
    </row>
    <row r="33" spans="1:14" ht="15" x14ac:dyDescent="0.25">
      <c r="A33" s="515" t="s">
        <v>163</v>
      </c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7"/>
    </row>
    <row r="34" spans="1:14" x14ac:dyDescent="0.2">
      <c r="A34" s="65" t="s">
        <v>25</v>
      </c>
      <c r="B34" s="22">
        <f>SUM([3]Delta!$DJ$15:$DS$15)</f>
        <v>3251</v>
      </c>
      <c r="C34" s="22">
        <f>SUM('[3]Atlantic Southeast'!$DJ$15:$DS$15)</f>
        <v>26</v>
      </c>
      <c r="D34" s="22">
        <f>SUM([3]Pinnacle!$DJ$15:$DS$15)</f>
        <v>2308</v>
      </c>
      <c r="E34" s="22">
        <f>SUM([3]Compass!$DJ$15:$DS$15)</f>
        <v>2108</v>
      </c>
      <c r="F34" s="22">
        <f>SUM('[3]Sky West'!$DJ$15:$DS$15)</f>
        <v>827</v>
      </c>
      <c r="G34" s="22">
        <f>SUM('[3]Sun Country'!$DJ$15:$DS$15)</f>
        <v>690</v>
      </c>
      <c r="H34" s="22">
        <f>SUM([3]Icelandair!$DJ$15:$DS$15)</f>
        <v>130</v>
      </c>
      <c r="I34" s="22">
        <f>SUM([3]AirCanada!$DJ$15:$DS$15)</f>
        <v>859</v>
      </c>
      <c r="J34" s="22">
        <f>SUM([3]Condor!$DJ$15:$DS$15)</f>
        <v>23</v>
      </c>
      <c r="K34" s="22">
        <f>SUM('[3]Air France'!$DJ$15:$DS$15)</f>
        <v>91</v>
      </c>
      <c r="L34" s="22">
        <f>SUM([3]Comair!$DJ$15:$DS$15)</f>
        <v>0</v>
      </c>
      <c r="M34" s="22">
        <f>SUM('[3]Charter Misc'!$DJ$15:$DS$15)+SUM([3]Ryan!$DJ$15:$DS$15)+SUM([3]Omni!$DJ$15:$DS$15)</f>
        <v>0</v>
      </c>
      <c r="N34" s="286">
        <f>SUM(B34:M34)</f>
        <v>10313</v>
      </c>
    </row>
    <row r="35" spans="1:14" x14ac:dyDescent="0.2">
      <c r="A35" s="65" t="s">
        <v>26</v>
      </c>
      <c r="B35" s="22">
        <f>SUM([3]Delta!$DJ$16:$DS$16)</f>
        <v>3265</v>
      </c>
      <c r="C35" s="14">
        <f>SUM('[3]Atlantic Southeast'!$DJ$16:$DS$16)</f>
        <v>25</v>
      </c>
      <c r="D35" s="14">
        <f>SUM([3]Pinnacle!$DJ$16:$DS$16)</f>
        <v>2286</v>
      </c>
      <c r="E35" s="14">
        <f>SUM([3]Compass!$DJ$16:$DS$16)</f>
        <v>2101</v>
      </c>
      <c r="F35" s="14">
        <f>SUM('[3]Sky West'!$DJ$16:$DS$16)</f>
        <v>830</v>
      </c>
      <c r="G35" s="14">
        <f>SUM('[3]Sun Country'!$DJ$16:$DS$16)</f>
        <v>702</v>
      </c>
      <c r="H35" s="14">
        <f>SUM([3]Icelandair!$DJ$16:$DS$16)</f>
        <v>130</v>
      </c>
      <c r="I35" s="14">
        <f>SUM([3]AirCanada!$DJ$16:$DS$16)</f>
        <v>858</v>
      </c>
      <c r="J35" s="14">
        <f>SUM([3]Condor!$DJ$16:$DS$16)</f>
        <v>23</v>
      </c>
      <c r="K35" s="14">
        <f>SUM('[3]Air France'!$DJ$16:$DS$16)</f>
        <v>91</v>
      </c>
      <c r="L35" s="14">
        <f>SUM([3]Comair!$DJ$16:$DS$16)</f>
        <v>0</v>
      </c>
      <c r="M35" s="14">
        <f>SUM('[3]Charter Misc'!$DJ$16:$DS$16)++SUM([3]Ryan!$DJ$16:$DS$16)+SUM([3]Omni!$DJ$16:$DS$16)</f>
        <v>0</v>
      </c>
      <c r="N35" s="14">
        <f>SUM(B35:M35)</f>
        <v>10311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86"/>
    </row>
    <row r="37" spans="1:14" ht="15.75" thickBot="1" x14ac:dyDescent="0.3">
      <c r="A37" s="66" t="s">
        <v>31</v>
      </c>
      <c r="B37" s="402">
        <f t="shared" ref="B37:I37" si="6">+SUM(B34:B35)</f>
        <v>6516</v>
      </c>
      <c r="C37" s="402">
        <f t="shared" si="6"/>
        <v>51</v>
      </c>
      <c r="D37" s="402">
        <f t="shared" si="6"/>
        <v>4594</v>
      </c>
      <c r="E37" s="402">
        <f t="shared" si="6"/>
        <v>4209</v>
      </c>
      <c r="F37" s="402">
        <f>+SUM(F34:F35)</f>
        <v>1657</v>
      </c>
      <c r="G37" s="402">
        <f t="shared" si="6"/>
        <v>1392</v>
      </c>
      <c r="H37" s="402">
        <f t="shared" si="6"/>
        <v>260</v>
      </c>
      <c r="I37" s="402">
        <f t="shared" si="6"/>
        <v>1717</v>
      </c>
      <c r="J37" s="402">
        <f>+SUM(J34:J35)</f>
        <v>46</v>
      </c>
      <c r="K37" s="402">
        <f>+SUM(K34:K35)</f>
        <v>182</v>
      </c>
      <c r="L37" s="402">
        <f>+SUM(L34:L35)</f>
        <v>0</v>
      </c>
      <c r="M37" s="402">
        <f>+SUM(M34:M35)</f>
        <v>0</v>
      </c>
      <c r="N37" s="403">
        <f>SUM(B37:M37)</f>
        <v>20624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&amp;"Arial,Bold"October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2014-09-23T15:30:40Z</cp:lastPrinted>
  <dcterms:created xsi:type="dcterms:W3CDTF">2007-09-24T12:26:24Z</dcterms:created>
  <dcterms:modified xsi:type="dcterms:W3CDTF">2018-11-14T00:50:31Z</dcterms:modified>
</cp:coreProperties>
</file>