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8\"/>
    </mc:Choice>
  </mc:AlternateContent>
  <xr:revisionPtr revIDLastSave="0" documentId="13_ncr:1_{4A92F09B-2E1D-4194-B447-67E5041FE93F}" xr6:coauthVersionLast="44" xr6:coauthVersionMax="44" xr10:uidLastSave="{00000000-0000-0000-0000-000000000000}"/>
  <bookViews>
    <workbookView xWindow="-1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6">Cargo!$A$1:$N$37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B21" i="1"/>
  <c r="E11" i="7" l="1"/>
  <c r="E5" i="7" l="1"/>
  <c r="O35" i="16" l="1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27" i="8"/>
  <c r="L27" i="8"/>
  <c r="K27" i="8"/>
  <c r="I27" i="8"/>
  <c r="H27" i="8"/>
  <c r="G27" i="8"/>
  <c r="E27" i="8"/>
  <c r="D27" i="8"/>
  <c r="C27" i="8"/>
  <c r="B27" i="8"/>
  <c r="M26" i="8"/>
  <c r="L26" i="8"/>
  <c r="K26" i="8"/>
  <c r="I26" i="8"/>
  <c r="H26" i="8"/>
  <c r="G26" i="8"/>
  <c r="E26" i="8"/>
  <c r="D26" i="8"/>
  <c r="C26" i="8"/>
  <c r="B26" i="8"/>
  <c r="M22" i="8"/>
  <c r="L22" i="8"/>
  <c r="K22" i="8"/>
  <c r="I22" i="8"/>
  <c r="H22" i="8"/>
  <c r="G22" i="8"/>
  <c r="E22" i="8"/>
  <c r="D22" i="8"/>
  <c r="C22" i="8"/>
  <c r="B22" i="8"/>
  <c r="M21" i="8"/>
  <c r="L21" i="8"/>
  <c r="K21" i="8"/>
  <c r="I21" i="8"/>
  <c r="H21" i="8"/>
  <c r="G21" i="8"/>
  <c r="E21" i="8"/>
  <c r="D21" i="8"/>
  <c r="C21" i="8"/>
  <c r="B21" i="8"/>
  <c r="M17" i="8"/>
  <c r="L17" i="8"/>
  <c r="K17" i="8"/>
  <c r="I17" i="8"/>
  <c r="H17" i="8"/>
  <c r="G17" i="8"/>
  <c r="E17" i="8"/>
  <c r="D17" i="8"/>
  <c r="C17" i="8"/>
  <c r="B17" i="8"/>
  <c r="M16" i="8"/>
  <c r="L16" i="8"/>
  <c r="K16" i="8"/>
  <c r="I16" i="8"/>
  <c r="H16" i="8"/>
  <c r="G16" i="8"/>
  <c r="E16" i="8"/>
  <c r="D16" i="8"/>
  <c r="C16" i="8"/>
  <c r="B16" i="8"/>
  <c r="M9" i="8"/>
  <c r="M8" i="8"/>
  <c r="M5" i="8"/>
  <c r="L5" i="8"/>
  <c r="K5" i="8"/>
  <c r="J5" i="8"/>
  <c r="I5" i="8"/>
  <c r="H5" i="8"/>
  <c r="G5" i="8"/>
  <c r="E5" i="8"/>
  <c r="D5" i="8"/>
  <c r="C5" i="8"/>
  <c r="B5" i="8"/>
  <c r="M4" i="8"/>
  <c r="L4" i="8"/>
  <c r="K4" i="8"/>
  <c r="J4" i="8"/>
  <c r="I4" i="8"/>
  <c r="H4" i="8"/>
  <c r="G4" i="8"/>
  <c r="E4" i="8"/>
  <c r="D4" i="8"/>
  <c r="C4" i="8"/>
  <c r="B4" i="8"/>
  <c r="O30" i="7"/>
  <c r="E30" i="7"/>
  <c r="J30" i="7"/>
  <c r="F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O29" i="7" l="1"/>
  <c r="M28" i="7"/>
  <c r="L28" i="7"/>
  <c r="J29" i="7"/>
  <c r="C28" i="7"/>
  <c r="B28" i="7"/>
  <c r="E29" i="7"/>
  <c r="D28" i="7" l="1"/>
  <c r="N28" i="7"/>
  <c r="C10" i="8" l="1"/>
  <c r="C23" i="8" l="1"/>
  <c r="C18" i="8"/>
  <c r="C28" i="8"/>
  <c r="C32" i="8"/>
  <c r="C6" i="8"/>
  <c r="C12" i="8" s="1"/>
  <c r="C31" i="8"/>
  <c r="C33" i="8" l="1"/>
  <c r="O28" i="7"/>
  <c r="M27" i="7"/>
  <c r="L27" i="7"/>
  <c r="N27" i="7" s="1"/>
  <c r="J28" i="7"/>
  <c r="C27" i="7"/>
  <c r="B27" i="7"/>
  <c r="E28" i="7"/>
  <c r="D27" i="7" l="1"/>
  <c r="O27" i="7"/>
  <c r="E27" i="7"/>
  <c r="J16" i="3" l="1"/>
  <c r="J17" i="3"/>
  <c r="O26" i="7"/>
  <c r="M26" i="7"/>
  <c r="L26" i="7"/>
  <c r="J27" i="7"/>
  <c r="E26" i="7"/>
  <c r="C26" i="7"/>
  <c r="B26" i="7"/>
  <c r="D20" i="1" l="1"/>
  <c r="D26" i="7"/>
  <c r="N26" i="7"/>
  <c r="O25" i="7"/>
  <c r="M25" i="7"/>
  <c r="L25" i="7"/>
  <c r="J26" i="7"/>
  <c r="E25" i="7"/>
  <c r="C25" i="7"/>
  <c r="B25" i="7"/>
  <c r="D65" i="9" l="1"/>
  <c r="N25" i="7"/>
  <c r="D25" i="7"/>
  <c r="G40" i="2"/>
  <c r="G35" i="2"/>
  <c r="G30" i="2"/>
  <c r="G17" i="2"/>
  <c r="G11" i="2"/>
  <c r="G6" i="2"/>
  <c r="G44" i="2"/>
  <c r="N48" i="9" l="1"/>
  <c r="E48" i="9"/>
  <c r="G21" i="2"/>
  <c r="G23" i="2" s="1"/>
  <c r="Q48" i="9"/>
  <c r="G43" i="2"/>
  <c r="H48" i="9"/>
  <c r="M24" i="7" l="1"/>
  <c r="L24" i="7"/>
  <c r="J25" i="7"/>
  <c r="C24" i="7"/>
  <c r="B24" i="7"/>
  <c r="H40" i="2"/>
  <c r="H30" i="2"/>
  <c r="H17" i="2"/>
  <c r="H6" i="2"/>
  <c r="H11" i="2" l="1"/>
  <c r="H44" i="2"/>
  <c r="D24" i="7"/>
  <c r="N24" i="7"/>
  <c r="H21" i="2"/>
  <c r="H23" i="2" s="1"/>
  <c r="J20" i="3"/>
  <c r="J21" i="3"/>
  <c r="H35" i="2"/>
  <c r="E44" i="9"/>
  <c r="N44" i="9"/>
  <c r="Q44" i="9"/>
  <c r="H44" i="9"/>
  <c r="H43" i="2"/>
  <c r="H45" i="2" l="1"/>
  <c r="M23" i="7"/>
  <c r="L23" i="7"/>
  <c r="O24" i="7"/>
  <c r="J24" i="7"/>
  <c r="C23" i="7"/>
  <c r="B23" i="7"/>
  <c r="E24" i="7"/>
  <c r="G23" i="7" l="1"/>
  <c r="H23" i="7"/>
  <c r="M22" i="7"/>
  <c r="L22" i="7"/>
  <c r="C22" i="7"/>
  <c r="B22" i="7"/>
  <c r="O23" i="7"/>
  <c r="J23" i="7"/>
  <c r="E23" i="7"/>
  <c r="G22" i="7" l="1"/>
  <c r="H22" i="7"/>
  <c r="F65" i="9"/>
  <c r="C65" i="9"/>
  <c r="L65" i="9"/>
  <c r="O65" i="9"/>
  <c r="G65" i="9"/>
  <c r="M65" i="9"/>
  <c r="P65" i="9"/>
  <c r="O22" i="7"/>
  <c r="J22" i="7"/>
  <c r="E22" i="7"/>
  <c r="C21" i="7" l="1"/>
  <c r="B21" i="7"/>
  <c r="M21" i="7" l="1"/>
  <c r="L21" i="7"/>
  <c r="G21" i="7" l="1"/>
  <c r="H21" i="7" l="1"/>
  <c r="I21" i="2" l="1"/>
  <c r="I17" i="2"/>
  <c r="I11" i="2"/>
  <c r="I6" i="2"/>
  <c r="I40" i="2"/>
  <c r="I35" i="2"/>
  <c r="I43" i="2" l="1"/>
  <c r="I44" i="2"/>
  <c r="I23" i="2"/>
  <c r="I30" i="2"/>
  <c r="D36" i="15"/>
  <c r="O21" i="7"/>
  <c r="J21" i="7"/>
  <c r="E21" i="7"/>
  <c r="J3" i="17"/>
  <c r="I45" i="2" l="1"/>
  <c r="G17" i="4"/>
  <c r="G27" i="4"/>
  <c r="C13" i="9"/>
  <c r="G12" i="4"/>
  <c r="G20" i="4"/>
  <c r="G32" i="4"/>
  <c r="C18" i="9"/>
  <c r="C31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G21" i="4" l="1"/>
  <c r="D21" i="15"/>
  <c r="G42" i="4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N50" i="9"/>
  <c r="E50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6" i="9" l="1"/>
  <c r="N7" i="9"/>
  <c r="L31" i="9"/>
  <c r="N31" i="9" s="1"/>
  <c r="D31" i="9"/>
  <c r="E31" i="9" s="1"/>
  <c r="G4" i="9"/>
  <c r="P4" i="9"/>
  <c r="Q4" i="9" s="1"/>
  <c r="N9" i="9"/>
  <c r="E11" i="9"/>
  <c r="L13" i="9"/>
  <c r="N13" i="9" s="1"/>
  <c r="Q14" i="9"/>
  <c r="E36" i="9"/>
  <c r="P31" i="9"/>
  <c r="E6" i="9"/>
  <c r="N6" i="9"/>
  <c r="F18" i="9"/>
  <c r="H18" i="9" s="1"/>
  <c r="O31" i="9"/>
  <c r="O66" i="9" s="1"/>
  <c r="N33" i="9"/>
  <c r="Q34" i="9"/>
  <c r="E37" i="9"/>
  <c r="N37" i="9"/>
  <c r="Q38" i="9"/>
  <c r="E57" i="9"/>
  <c r="N57" i="9"/>
  <c r="E59" i="9"/>
  <c r="N59" i="9"/>
  <c r="H35" i="9"/>
  <c r="H50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13" i="9"/>
  <c r="H20" i="9"/>
  <c r="E4" i="9"/>
  <c r="E7" i="9"/>
  <c r="L18" i="9"/>
  <c r="N18" i="9" s="1"/>
  <c r="D18" i="9"/>
  <c r="E21" i="9"/>
  <c r="H24" i="9"/>
  <c r="H40" i="9"/>
  <c r="Q54" i="9"/>
  <c r="G54" i="9"/>
  <c r="Q56" i="9"/>
  <c r="H15" i="9"/>
  <c r="E23" i="9"/>
  <c r="H27" i="9"/>
  <c r="E32" i="9"/>
  <c r="E34" i="9"/>
  <c r="H37" i="9"/>
  <c r="H42" i="9"/>
  <c r="E55" i="9"/>
  <c r="N55" i="9"/>
  <c r="Q58" i="9"/>
  <c r="Q60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Q50" i="9"/>
  <c r="F54" i="9"/>
  <c r="L54" i="9"/>
  <c r="H55" i="9"/>
  <c r="H57" i="9"/>
  <c r="H59" i="9"/>
  <c r="H61" i="9"/>
  <c r="N61" i="9"/>
  <c r="P66" i="9" l="1"/>
  <c r="P64" i="9" s="1"/>
  <c r="D66" i="9"/>
  <c r="D64" i="9" s="1"/>
  <c r="L66" i="9"/>
  <c r="G66" i="9"/>
  <c r="G64" i="9" s="1"/>
  <c r="R48" i="9"/>
  <c r="Q31" i="9"/>
  <c r="E18" i="9"/>
  <c r="E65" i="9"/>
  <c r="M64" i="9"/>
  <c r="N65" i="9"/>
  <c r="H54" i="9"/>
  <c r="H31" i="9"/>
  <c r="H4" i="9"/>
  <c r="Q65" i="9"/>
  <c r="N54" i="9"/>
  <c r="E13" i="9"/>
  <c r="H65" i="9"/>
  <c r="E54" i="9"/>
  <c r="R57" i="9" l="1"/>
  <c r="R44" i="9"/>
  <c r="R31" i="9"/>
  <c r="R35" i="9"/>
  <c r="R22" i="9"/>
  <c r="R33" i="9"/>
  <c r="R55" i="9"/>
  <c r="R23" i="9"/>
  <c r="R24" i="9"/>
  <c r="R65" i="9"/>
  <c r="R19" i="9"/>
  <c r="R46" i="9"/>
  <c r="R42" i="9"/>
  <c r="R14" i="9"/>
  <c r="R54" i="9"/>
  <c r="R20" i="9"/>
  <c r="R60" i="9"/>
  <c r="R13" i="9"/>
  <c r="R56" i="9"/>
  <c r="R9" i="9"/>
  <c r="O64" i="9"/>
  <c r="R50" i="9"/>
  <c r="R27" i="9"/>
  <c r="R59" i="9"/>
  <c r="R7" i="9"/>
  <c r="R6" i="9"/>
  <c r="R32" i="9"/>
  <c r="R52" i="9"/>
  <c r="R40" i="9"/>
  <c r="R58" i="9"/>
  <c r="R5" i="9"/>
  <c r="R34" i="9"/>
  <c r="R16" i="9"/>
  <c r="R25" i="9"/>
  <c r="Q66" i="9"/>
  <c r="R18" i="9"/>
  <c r="R29" i="9"/>
  <c r="R51" i="9"/>
  <c r="R61" i="9"/>
  <c r="R15" i="9"/>
  <c r="R4" i="9"/>
  <c r="R37" i="9"/>
  <c r="R36" i="9"/>
  <c r="R21" i="9"/>
  <c r="R11" i="9"/>
  <c r="R38" i="9"/>
  <c r="R66" i="9"/>
  <c r="N66" i="9"/>
  <c r="L64" i="9"/>
  <c r="R64" i="9" l="1"/>
  <c r="Q64" i="9"/>
  <c r="N64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H32" i="8" l="1"/>
  <c r="H18" i="8"/>
  <c r="H6" i="8"/>
  <c r="H31" i="8"/>
  <c r="H10" i="8"/>
  <c r="H12" i="8" l="1"/>
  <c r="H23" i="8"/>
  <c r="H28" i="8"/>
  <c r="H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K37" i="15"/>
  <c r="M30" i="16"/>
  <c r="M6" i="16"/>
  <c r="M37" i="16"/>
  <c r="F6" i="2"/>
  <c r="F17" i="2"/>
  <c r="F30" i="2"/>
  <c r="F40" i="2"/>
  <c r="K32" i="15"/>
  <c r="K12" i="15"/>
  <c r="K27" i="15"/>
  <c r="K17" i="15"/>
  <c r="M18" i="16"/>
  <c r="K40" i="15"/>
  <c r="K20" i="15"/>
  <c r="M11" i="16"/>
  <c r="K41" i="15"/>
  <c r="F43" i="2"/>
  <c r="F44" i="2"/>
  <c r="F45" i="2" l="1"/>
  <c r="F23" i="2"/>
  <c r="G45" i="2"/>
  <c r="K21" i="15"/>
  <c r="K42" i="15"/>
  <c r="I10" i="8" l="1"/>
  <c r="I18" i="8" l="1"/>
  <c r="I28" i="8"/>
  <c r="I31" i="8"/>
  <c r="I23" i="8"/>
  <c r="I6" i="8"/>
  <c r="I12" i="8" s="1"/>
  <c r="I32" i="8"/>
  <c r="L18" i="8"/>
  <c r="D30" i="2"/>
  <c r="B30" i="3"/>
  <c r="C27" i="4"/>
  <c r="K27" i="4"/>
  <c r="F27" i="15"/>
  <c r="D23" i="8"/>
  <c r="D35" i="2"/>
  <c r="B35" i="3"/>
  <c r="F35" i="3"/>
  <c r="H35" i="3"/>
  <c r="E32" i="4"/>
  <c r="B32" i="15"/>
  <c r="I32" i="15"/>
  <c r="L32" i="15"/>
  <c r="K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J51" i="2" s="1"/>
  <c r="O33" i="7"/>
  <c r="J33" i="7"/>
  <c r="E33" i="7"/>
  <c r="K47" i="2"/>
  <c r="N31" i="7"/>
  <c r="P31" i="7" s="1"/>
  <c r="D31" i="7"/>
  <c r="F31" i="7" s="1"/>
  <c r="N32" i="7"/>
  <c r="P32" i="7" s="1"/>
  <c r="I32" i="7"/>
  <c r="K32" i="7" s="1"/>
  <c r="D32" i="7"/>
  <c r="F32" i="7" s="1"/>
  <c r="I31" i="7"/>
  <c r="K31" i="7" s="1"/>
  <c r="M45" i="15"/>
  <c r="M44" i="15"/>
  <c r="P20" i="16"/>
  <c r="P8" i="16"/>
  <c r="K42" i="2"/>
  <c r="K37" i="2"/>
  <c r="K36" i="2"/>
  <c r="K32" i="2"/>
  <c r="K8" i="2"/>
  <c r="M34" i="4"/>
  <c r="M33" i="4"/>
  <c r="M14" i="4"/>
  <c r="B10" i="8"/>
  <c r="D10" i="8"/>
  <c r="E10" i="8"/>
  <c r="G10" i="8"/>
  <c r="J10" i="8"/>
  <c r="K10" i="8"/>
  <c r="L10" i="8"/>
  <c r="J33" i="8"/>
  <c r="L32" i="8" l="1"/>
  <c r="O37" i="16"/>
  <c r="H18" i="3"/>
  <c r="H23" i="3" s="1"/>
  <c r="C17" i="4"/>
  <c r="K37" i="4"/>
  <c r="K37" i="16"/>
  <c r="E32" i="8"/>
  <c r="I37" i="16"/>
  <c r="B18" i="3"/>
  <c r="F17" i="15"/>
  <c r="B37" i="16"/>
  <c r="F37" i="16"/>
  <c r="H44" i="3"/>
  <c r="J48" i="3"/>
  <c r="J50" i="2" s="1"/>
  <c r="K50" i="2" s="1"/>
  <c r="D30" i="16"/>
  <c r="I30" i="16"/>
  <c r="O11" i="16"/>
  <c r="F41" i="15"/>
  <c r="K41" i="4"/>
  <c r="C23" i="16"/>
  <c r="L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K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K6" i="8"/>
  <c r="K12" i="8" s="1"/>
  <c r="M32" i="8"/>
  <c r="L41" i="15"/>
  <c r="G41" i="15"/>
  <c r="B41" i="15"/>
  <c r="D41" i="4"/>
  <c r="D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M23" i="8"/>
  <c r="E23" i="8"/>
  <c r="L27" i="15"/>
  <c r="G27" i="15"/>
  <c r="J28" i="3"/>
  <c r="J28" i="2" s="1"/>
  <c r="K28" i="2" s="1"/>
  <c r="B5" i="5" s="1"/>
  <c r="K23" i="8"/>
  <c r="I33" i="8"/>
  <c r="C30" i="16"/>
  <c r="H30" i="16"/>
  <c r="G7" i="3"/>
  <c r="E7" i="7"/>
  <c r="C12" i="7"/>
  <c r="L6" i="8"/>
  <c r="L12" i="8" s="1"/>
  <c r="C44" i="3"/>
  <c r="F32" i="15"/>
  <c r="K32" i="4"/>
  <c r="D27" i="4"/>
  <c r="M18" i="8"/>
  <c r="E18" i="8"/>
  <c r="G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J9" i="2" s="1"/>
  <c r="B17" i="2"/>
  <c r="D21" i="1"/>
  <c r="H41" i="15"/>
  <c r="M36" i="15"/>
  <c r="L36" i="4" s="1"/>
  <c r="M36" i="4" s="1"/>
  <c r="C16" i="5" s="1"/>
  <c r="B37" i="4"/>
  <c r="M31" i="8"/>
  <c r="E28" i="8"/>
  <c r="L40" i="15"/>
  <c r="D40" i="4"/>
  <c r="H40" i="3"/>
  <c r="B40" i="3"/>
  <c r="D40" i="2"/>
  <c r="F44" i="3"/>
  <c r="B32" i="8"/>
  <c r="M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19" i="2"/>
  <c r="K19" i="2" s="1"/>
  <c r="N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F23" i="16"/>
  <c r="N11" i="16"/>
  <c r="L20" i="15"/>
  <c r="L21" i="15" s="1"/>
  <c r="C40" i="4"/>
  <c r="D31" i="8"/>
  <c r="F43" i="3"/>
  <c r="B41" i="4"/>
  <c r="C32" i="4"/>
  <c r="B18" i="16"/>
  <c r="F18" i="16"/>
  <c r="P21" i="16"/>
  <c r="H7" i="3"/>
  <c r="C6" i="2"/>
  <c r="F7" i="15"/>
  <c r="H7" i="15"/>
  <c r="E7" i="4"/>
  <c r="J15" i="2"/>
  <c r="K15" i="2" s="1"/>
  <c r="I40" i="15"/>
  <c r="E6" i="8"/>
  <c r="E12" i="8" s="1"/>
  <c r="N5" i="8"/>
  <c r="C19" i="1" s="1"/>
  <c r="N27" i="8"/>
  <c r="D16" i="5" s="1"/>
  <c r="C44" i="2"/>
  <c r="H23" i="16"/>
  <c r="J5" i="3"/>
  <c r="J4" i="2" s="1"/>
  <c r="K4" i="2" s="1"/>
  <c r="B5" i="1" s="1"/>
  <c r="C7" i="15"/>
  <c r="L5" i="4"/>
  <c r="M5" i="4" s="1"/>
  <c r="L16" i="4"/>
  <c r="M16" i="4" s="1"/>
  <c r="G20" i="15"/>
  <c r="G21" i="15" s="1"/>
  <c r="I30" i="3"/>
  <c r="I43" i="3"/>
  <c r="J34" i="3"/>
  <c r="J34" i="2" s="1"/>
  <c r="K34" i="2" s="1"/>
  <c r="B11" i="5" s="1"/>
  <c r="J29" i="3"/>
  <c r="J29" i="2" s="1"/>
  <c r="F12" i="3"/>
  <c r="G35" i="3"/>
  <c r="M31" i="15"/>
  <c r="L31" i="4" s="1"/>
  <c r="G18" i="8"/>
  <c r="C30" i="2"/>
  <c r="I40" i="3"/>
  <c r="I44" i="3"/>
  <c r="N9" i="8"/>
  <c r="K30" i="16"/>
  <c r="P28" i="16"/>
  <c r="P17" i="16"/>
  <c r="H18" i="16"/>
  <c r="D23" i="16"/>
  <c r="H40" i="4"/>
  <c r="H37" i="4"/>
  <c r="J38" i="3"/>
  <c r="J38" i="2" s="1"/>
  <c r="F40" i="3"/>
  <c r="G28" i="8"/>
  <c r="G32" i="8"/>
  <c r="N16" i="8"/>
  <c r="D5" i="5" s="1"/>
  <c r="H37" i="15"/>
  <c r="L18" i="4"/>
  <c r="M18" i="4" s="1"/>
  <c r="K32" i="8"/>
  <c r="P10" i="16"/>
  <c r="B11" i="16"/>
  <c r="K51" i="2"/>
  <c r="J20" i="2"/>
  <c r="K20" i="2" s="1"/>
  <c r="G22" i="3"/>
  <c r="H41" i="4"/>
  <c r="N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N22" i="8"/>
  <c r="D11" i="5" s="1"/>
  <c r="H27" i="15"/>
  <c r="C41" i="15"/>
  <c r="E41" i="4"/>
  <c r="F30" i="3"/>
  <c r="N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N21" i="8"/>
  <c r="H27" i="4"/>
  <c r="O6" i="16"/>
  <c r="J6" i="3"/>
  <c r="J5" i="2" s="1"/>
  <c r="K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M6" i="8"/>
  <c r="I41" i="15"/>
  <c r="B31" i="8"/>
  <c r="K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J6" i="8"/>
  <c r="J12" i="8" s="1"/>
  <c r="M28" i="8"/>
  <c r="G6" i="8"/>
  <c r="G12" i="8" s="1"/>
  <c r="B6" i="2"/>
  <c r="J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N4" i="8"/>
  <c r="B19" i="1" s="1"/>
  <c r="D6" i="8"/>
  <c r="L31" i="8"/>
  <c r="L23" i="8"/>
  <c r="D32" i="8"/>
  <c r="B43" i="3"/>
  <c r="C11" i="16"/>
  <c r="P9" i="16"/>
  <c r="B30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J33" i="2" s="1"/>
  <c r="D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C30" i="7" l="1"/>
  <c r="F27" i="7"/>
  <c r="F26" i="7"/>
  <c r="J22" i="3"/>
  <c r="J18" i="3"/>
  <c r="F25" i="7"/>
  <c r="F24" i="7"/>
  <c r="D23" i="7"/>
  <c r="F23" i="7" s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N10" i="8"/>
  <c r="H45" i="3"/>
  <c r="K33" i="8"/>
  <c r="F21" i="15"/>
  <c r="G45" i="3"/>
  <c r="D45" i="2"/>
  <c r="C45" i="3"/>
  <c r="M12" i="8"/>
  <c r="G23" i="3"/>
  <c r="B33" i="8"/>
  <c r="H42" i="15"/>
  <c r="I21" i="15"/>
  <c r="F42" i="15"/>
  <c r="B42" i="4"/>
  <c r="D7" i="1"/>
  <c r="J17" i="2"/>
  <c r="K17" i="2" s="1"/>
  <c r="J12" i="3"/>
  <c r="J44" i="3"/>
  <c r="E45" i="2"/>
  <c r="M33" i="8"/>
  <c r="E21" i="4"/>
  <c r="D17" i="5"/>
  <c r="F45" i="3"/>
  <c r="G42" i="15"/>
  <c r="D18" i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M32" i="15"/>
  <c r="M25" i="4"/>
  <c r="C5" i="5" s="1"/>
  <c r="J30" i="3"/>
  <c r="P6" i="16"/>
  <c r="J7" i="3"/>
  <c r="N23" i="8"/>
  <c r="B21" i="4"/>
  <c r="N18" i="8"/>
  <c r="N31" i="8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I42" i="15"/>
  <c r="E23" i="2"/>
  <c r="M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N32" i="8"/>
  <c r="G7" i="7"/>
  <c r="P30" i="16"/>
  <c r="N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L33" i="8"/>
  <c r="M37" i="15"/>
  <c r="C23" i="3"/>
  <c r="L17" i="4"/>
  <c r="M17" i="4" s="1"/>
  <c r="D10" i="5"/>
  <c r="D12" i="8"/>
  <c r="N6" i="8"/>
  <c r="E42" i="4"/>
  <c r="C42" i="15"/>
  <c r="M40" i="15"/>
  <c r="M41" i="15"/>
  <c r="D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30" i="7" l="1"/>
  <c r="F30" i="7" s="1"/>
  <c r="F28" i="7"/>
  <c r="D22" i="7"/>
  <c r="F22" i="7" s="1"/>
  <c r="B8" i="1"/>
  <c r="F18" i="1"/>
  <c r="M21" i="15"/>
  <c r="D6" i="1"/>
  <c r="C8" i="1"/>
  <c r="C33" i="1" s="1"/>
  <c r="N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M42" i="15"/>
  <c r="J23" i="3"/>
  <c r="B17" i="1"/>
  <c r="D17" i="1" s="1"/>
  <c r="K43" i="2"/>
  <c r="C11" i="5"/>
  <c r="C28" i="1"/>
  <c r="C27" i="1"/>
  <c r="N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M30" i="7" s="1"/>
  <c r="H30" i="7" s="1"/>
  <c r="B32" i="1"/>
  <c r="B11" i="1"/>
  <c r="L30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N30" i="7" l="1"/>
  <c r="P30" i="7" s="1"/>
  <c r="G30" i="7"/>
  <c r="H28" i="7"/>
  <c r="P28" i="7"/>
  <c r="G28" i="7"/>
  <c r="G27" i="7"/>
  <c r="H26" i="7"/>
  <c r="H27" i="7"/>
  <c r="P26" i="7"/>
  <c r="G26" i="7"/>
  <c r="G25" i="7"/>
  <c r="H24" i="7"/>
  <c r="H25" i="7"/>
  <c r="G24" i="7"/>
  <c r="P24" i="7"/>
  <c r="F10" i="1"/>
  <c r="I23" i="7"/>
  <c r="K23" i="7" s="1"/>
  <c r="N23" i="7"/>
  <c r="P23" i="7" s="1"/>
  <c r="C32" i="1"/>
  <c r="N22" i="7"/>
  <c r="P22" i="7" s="1"/>
  <c r="H21" i="5"/>
  <c r="F28" i="1"/>
  <c r="D11" i="1"/>
  <c r="F11" i="1" s="1"/>
  <c r="N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30" i="7" l="1"/>
  <c r="K30" i="7" s="1"/>
  <c r="I28" i="7"/>
  <c r="K28" i="7" s="1"/>
  <c r="I26" i="7"/>
  <c r="K26" i="7" s="1"/>
  <c r="I27" i="7"/>
  <c r="K27" i="7" s="1"/>
  <c r="P27" i="7"/>
  <c r="I24" i="7"/>
  <c r="K24" i="7" s="1"/>
  <c r="I25" i="7"/>
  <c r="K25" i="7" s="1"/>
  <c r="P25" i="7"/>
  <c r="I22" i="7"/>
  <c r="K22" i="7" s="1"/>
  <c r="P21" i="7"/>
  <c r="I21" i="7"/>
  <c r="F22" i="5"/>
  <c r="H22" i="5" s="1"/>
  <c r="H20" i="5"/>
  <c r="K21" i="7" l="1"/>
  <c r="H52" i="9" l="1"/>
  <c r="F66" i="9"/>
  <c r="I52" i="9" s="1"/>
  <c r="C66" i="9"/>
  <c r="E52" i="9"/>
  <c r="C64" i="9" l="1"/>
  <c r="E66" i="9"/>
  <c r="I48" i="9"/>
  <c r="I4" i="9"/>
  <c r="I9" i="9"/>
  <c r="I40" i="9"/>
  <c r="I32" i="9"/>
  <c r="I11" i="9"/>
  <c r="I15" i="9"/>
  <c r="I55" i="9"/>
  <c r="I24" i="9"/>
  <c r="I44" i="9"/>
  <c r="I65" i="9"/>
  <c r="I56" i="9"/>
  <c r="I19" i="9"/>
  <c r="I34" i="9"/>
  <c r="I57" i="9"/>
  <c r="I38" i="9"/>
  <c r="I31" i="9"/>
  <c r="I37" i="9"/>
  <c r="I21" i="9"/>
  <c r="I16" i="9"/>
  <c r="I42" i="9"/>
  <c r="I27" i="9"/>
  <c r="I61" i="9"/>
  <c r="I20" i="9"/>
  <c r="I5" i="9"/>
  <c r="I46" i="9"/>
  <c r="I25" i="9"/>
  <c r="I54" i="9"/>
  <c r="I36" i="9"/>
  <c r="I29" i="9"/>
  <c r="I58" i="9"/>
  <c r="H66" i="9"/>
  <c r="I66" i="9" s="1"/>
  <c r="I59" i="9"/>
  <c r="I35" i="9"/>
  <c r="I18" i="9"/>
  <c r="F64" i="9"/>
  <c r="I13" i="9"/>
  <c r="I6" i="9"/>
  <c r="I22" i="9"/>
  <c r="I23" i="9"/>
  <c r="I60" i="9"/>
  <c r="I14" i="9"/>
  <c r="I50" i="9"/>
  <c r="I33" i="9"/>
  <c r="I7" i="9"/>
  <c r="E64" i="9" l="1"/>
  <c r="H64" i="9"/>
  <c r="I64" i="9"/>
  <c r="G20" i="1" l="1"/>
  <c r="I20" i="1" s="1"/>
  <c r="G21" i="1" l="1"/>
  <c r="B29" i="7"/>
  <c r="I21" i="1" l="1"/>
  <c r="B33" i="7"/>
  <c r="D33" i="1"/>
  <c r="G7" i="1"/>
  <c r="I7" i="1" s="1"/>
  <c r="G18" i="1"/>
  <c r="G19" i="1"/>
  <c r="G5" i="1"/>
  <c r="I16" i="5"/>
  <c r="I18" i="1" l="1"/>
  <c r="I19" i="1"/>
  <c r="I5" i="1"/>
  <c r="C29" i="7"/>
  <c r="G6" i="1"/>
  <c r="I6" i="1" s="1"/>
  <c r="G17" i="1"/>
  <c r="I17" i="1" s="1"/>
  <c r="G16" i="1"/>
  <c r="I6" i="5"/>
  <c r="K6" i="5" s="1"/>
  <c r="I16" i="1" l="1"/>
  <c r="G22" i="1"/>
  <c r="I22" i="1" s="1"/>
  <c r="C33" i="7"/>
  <c r="D29" i="7"/>
  <c r="G8" i="1"/>
  <c r="G10" i="1"/>
  <c r="I10" i="1" s="1"/>
  <c r="D32" i="1"/>
  <c r="L29" i="7"/>
  <c r="G28" i="1"/>
  <c r="I28" i="1" s="1"/>
  <c r="I21" i="5"/>
  <c r="K21" i="5" s="1"/>
  <c r="I11" i="5"/>
  <c r="K11" i="5" s="1"/>
  <c r="I5" i="5"/>
  <c r="I15" i="5"/>
  <c r="G27" i="1"/>
  <c r="I10" i="5"/>
  <c r="F29" i="7" l="1"/>
  <c r="D33" i="7"/>
  <c r="K5" i="5"/>
  <c r="I7" i="5"/>
  <c r="K7" i="5" s="1"/>
  <c r="K10" i="5"/>
  <c r="I12" i="5"/>
  <c r="K12" i="5" s="1"/>
  <c r="G29" i="1"/>
  <c r="I29" i="1" s="1"/>
  <c r="I27" i="1"/>
  <c r="L33" i="7"/>
  <c r="G29" i="7"/>
  <c r="I17" i="5"/>
  <c r="K17" i="5" s="1"/>
  <c r="K15" i="5"/>
  <c r="D34" i="1"/>
  <c r="E33" i="1" s="1"/>
  <c r="I8" i="1"/>
  <c r="G11" i="1"/>
  <c r="I11" i="1" s="1"/>
  <c r="I20" i="5"/>
  <c r="F33" i="7" l="1"/>
  <c r="K20" i="5"/>
  <c r="I22" i="5"/>
  <c r="K22" i="5" s="1"/>
  <c r="M29" i="7"/>
  <c r="E32" i="1"/>
  <c r="G33" i="7"/>
  <c r="H29" i="7" l="1"/>
  <c r="M33" i="7"/>
  <c r="N29" i="7"/>
  <c r="P29" i="7" l="1"/>
  <c r="N33" i="7"/>
  <c r="P33" i="7" s="1"/>
  <c r="H33" i="7"/>
  <c r="I29" i="7"/>
  <c r="K29" i="7" l="1"/>
  <c r="I33" i="7"/>
  <c r="K33" i="7" l="1"/>
</calcChain>
</file>

<file path=xl/sharedStrings.xml><?xml version="1.0" encoding="utf-8"?>
<sst xmlns="http://schemas.openxmlformats.org/spreadsheetml/2006/main" count="598" uniqueCount="232">
  <si>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</si>
  <si>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</si>
  <si>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</si>
  <si>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</si>
  <si>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</si>
  <si>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</si>
  <si>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</si>
  <si>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</si>
  <si>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</si>
  <si>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</si>
  <si>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</si>
  <si>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</si>
  <si>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</si>
  <si>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</si>
  <si>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</si>
  <si>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</si>
  <si>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</si>
  <si>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</si>
  <si>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</si>
  <si>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</si>
  <si>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</si>
  <si>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</si>
  <si>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</si>
  <si>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</si>
  <si>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</si>
  <si>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</si>
  <si>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</si>
  <si>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</si>
  <si>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</si>
  <si>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</si>
  <si>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</si>
  <si>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</si>
  <si>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</si>
  <si>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</si>
  <si>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</si>
  <si>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</si>
  <si>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</si>
  <si>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</si>
  <si>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</si>
  <si>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</si>
  <si>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</si>
  <si>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</si>
  <si>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</si>
  <si>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</si>
  <si>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</si>
  <si>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</si>
  <si>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</si>
  <si>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</si>
  <si>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</si>
  <si>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</si>
  <si>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</si>
  <si>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</si>
  <si>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</si>
  <si>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</si>
  <si>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</si>
  <si>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</si>
  <si>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</si>
  <si>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</si>
  <si>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</si>
  <si>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</si>
  <si>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</si>
  <si>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</si>
  <si>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</si>
  <si>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</si>
  <si>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</si>
  <si>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</si>
  <si>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</si>
  <si>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</si>
  <si>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</si>
  <si>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</si>
  <si>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</si>
  <si>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</si>
  <si>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</si>
  <si>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</si>
  <si>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</si>
  <si>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</si>
  <si>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</si>
  <si>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</si>
  <si>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</si>
  <si>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</si>
  <si>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</si>
  <si>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</si>
  <si>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</si>
  <si>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</si>
  <si>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</si>
  <si>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</si>
  <si>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</si>
  <si>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</si>
  <si>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</si>
  <si>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</si>
  <si>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</si>
  <si>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</si>
  <si>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</si>
  <si>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</si>
  <si>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</si>
  <si>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</si>
  <si>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</si>
  <si>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</si>
  <si>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</si>
  <si>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</si>
  <si>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</si>
  <si>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</si>
  <si>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</si>
  <si>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</si>
  <si>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</si>
  <si>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</si>
  <si>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</si>
  <si>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</si>
  <si>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</si>
  <si>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</si>
  <si>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</si>
  <si>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</si>
  <si>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</si>
  <si>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</si>
  <si>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</si>
  <si>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</si>
  <si>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</si>
  <si>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</si>
  <si>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</si>
  <si>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</si>
  <si>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</si>
  <si>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</si>
  <si>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</si>
  <si>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</si>
  <si>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</si>
  <si>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</si>
  <si>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</si>
  <si>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</si>
  <si>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</si>
  <si>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</si>
  <si>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</si>
  <si>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</si>
  <si>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</si>
  <si>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</si>
  <si>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</si>
  <si>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</si>
  <si>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</si>
  <si>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</si>
  <si>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</si>
  <si>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</si>
  <si>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</si>
  <si>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</si>
  <si>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</si>
  <si>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</si>
  <si>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</si>
  <si>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</si>
  <si>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</si>
  <si>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</si>
  <si>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</si>
  <si>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</si>
  <si>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</si>
  <si>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</si>
  <si>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</si>
  <si>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</si>
  <si>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</si>
  <si>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</si>
  <si>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</si>
  <si>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</si>
  <si>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</si>
  <si>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</si>
  <si>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</si>
  <si>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</si>
  <si>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</si>
  <si>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</si>
  <si>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</si>
  <si>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</si>
  <si>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</si>
  <si>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</si>
  <si>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</si>
  <si>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</si>
  <si>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</si>
  <si>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</si>
  <si>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</si>
  <si>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</si>
  <si>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</si>
  <si>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</si>
  <si>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</si>
  <si>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</si>
  <si>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</si>
  <si>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</si>
  <si>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</si>
  <si>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</si>
  <si>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</si>
  <si>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</si>
  <si>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</si>
  <si>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</si>
  <si>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</si>
  <si>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</si>
  <si>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</si>
  <si>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</si>
  <si>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</si>
  <si>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</si>
  <si>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</si>
  <si>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</si>
  <si>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</si>
  <si>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</si>
  <si>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</si>
  <si>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</si>
  <si>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</si>
  <si>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</si>
  <si>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</si>
  <si>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</si>
  <si>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</si>
  <si>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</si>
  <si>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</si>
  <si>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</si>
  <si>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</si>
  <si>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</si>
  <si>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</si>
  <si>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</si>
  <si>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</si>
  <si>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</si>
  <si>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</si>
  <si>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</si>
  <si>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</si>
  <si>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</si>
  <si>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</si>
  <si>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</si>
  <si>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</si>
  <si>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</si>
  <si>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</si>
  <si>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</si>
  <si>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</si>
  <si>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</si>
  <si>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</si>
  <si>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</si>
  <si>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</si>
  <si>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</si>
  <si>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</si>
  <si>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Jet Blue</t>
  </si>
  <si>
    <t>Atlas Air -Amazon</t>
  </si>
  <si>
    <t>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</si>
</sst>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16" xfId="0" applyFont="1" applyBorder="1"/>
    <xf numFmtId="0" fontId="4" fillId="0" borderId="0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October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y%20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ne%2020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8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ly%2020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ugus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8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September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2509197</v>
          </cell>
          <cell r="G5">
            <v>24753981</v>
          </cell>
        </row>
        <row r="6">
          <cell r="D6">
            <v>636090</v>
          </cell>
          <cell r="G6">
            <v>6346868</v>
          </cell>
        </row>
        <row r="7">
          <cell r="D7">
            <v>1199</v>
          </cell>
          <cell r="G7">
            <v>5247</v>
          </cell>
        </row>
        <row r="10">
          <cell r="D10">
            <v>104504</v>
          </cell>
          <cell r="G10">
            <v>1046946</v>
          </cell>
        </row>
        <row r="16">
          <cell r="D16">
            <v>19601</v>
          </cell>
          <cell r="G16">
            <v>192734</v>
          </cell>
        </row>
        <row r="17">
          <cell r="D17">
            <v>12368</v>
          </cell>
          <cell r="G17">
            <v>125839</v>
          </cell>
        </row>
        <row r="18">
          <cell r="D18">
            <v>6</v>
          </cell>
          <cell r="G18">
            <v>41</v>
          </cell>
        </row>
        <row r="19">
          <cell r="D19">
            <v>1226</v>
          </cell>
          <cell r="G19">
            <v>12114</v>
          </cell>
        </row>
        <row r="20">
          <cell r="D20">
            <v>1923</v>
          </cell>
          <cell r="G20">
            <v>18906</v>
          </cell>
        </row>
        <row r="21">
          <cell r="D21">
            <v>66</v>
          </cell>
          <cell r="G21">
            <v>579</v>
          </cell>
        </row>
        <row r="27">
          <cell r="D27">
            <v>17746.075728458</v>
          </cell>
          <cell r="G27">
            <v>168492.50675314903</v>
          </cell>
        </row>
        <row r="28">
          <cell r="D28">
            <v>2024.08836586187</v>
          </cell>
          <cell r="G28">
            <v>20572.560832187206</v>
          </cell>
        </row>
        <row r="32">
          <cell r="B32">
            <v>947116</v>
          </cell>
          <cell r="D32">
            <v>9263695</v>
          </cell>
        </row>
        <row r="33">
          <cell r="B33">
            <v>628520</v>
          </cell>
          <cell r="D33">
            <v>6257905</v>
          </cell>
        </row>
      </sheetData>
      <sheetData sheetId="1"/>
      <sheetData sheetId="2"/>
      <sheetData sheetId="3"/>
      <sheetData sheetId="4"/>
      <sheetData sheetId="5">
        <row r="30">
          <cell r="D30">
            <v>203624</v>
          </cell>
          <cell r="I30">
            <v>3047366</v>
          </cell>
          <cell r="N30">
            <v>3250990</v>
          </cell>
        </row>
      </sheetData>
      <sheetData sheetId="6"/>
      <sheetData sheetId="7">
        <row r="5">
          <cell r="F5">
            <v>9656.422731500159</v>
          </cell>
          <cell r="I5">
            <v>91045.703700380662</v>
          </cell>
        </row>
        <row r="6">
          <cell r="F6">
            <v>763.51071757960995</v>
          </cell>
          <cell r="I6">
            <v>9055.6849966721584</v>
          </cell>
        </row>
        <row r="10">
          <cell r="F10">
            <v>8089.6529969578396</v>
          </cell>
          <cell r="I10">
            <v>77446.803052768373</v>
          </cell>
        </row>
        <row r="11">
          <cell r="F11">
            <v>1260.57764828226</v>
          </cell>
          <cell r="I11">
            <v>11516.875835515049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17746.075728458</v>
          </cell>
        </row>
        <row r="21">
          <cell r="F21">
            <v>2024.08836586187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130702</v>
          </cell>
          <cell r="C24">
            <v>111716</v>
          </cell>
          <cell r="L24">
            <v>1544136</v>
          </cell>
          <cell r="M24">
            <v>1449126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128052</v>
          </cell>
          <cell r="C25">
            <v>118282</v>
          </cell>
          <cell r="L25">
            <v>1632409</v>
          </cell>
          <cell r="M25">
            <v>1595081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225442</v>
          </cell>
          <cell r="I25">
            <v>2980236</v>
          </cell>
          <cell r="N25">
            <v>3205678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128004</v>
          </cell>
          <cell r="C26">
            <v>132185</v>
          </cell>
          <cell r="L26">
            <v>1762626</v>
          </cell>
          <cell r="M26">
            <v>1753039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248451</v>
          </cell>
          <cell r="I26">
            <v>3247151</v>
          </cell>
          <cell r="N26">
            <v>3495602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139361</v>
          </cell>
          <cell r="C27">
            <v>126713</v>
          </cell>
          <cell r="L27">
            <v>1834236</v>
          </cell>
          <cell r="M27">
            <v>1830772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263710</v>
          </cell>
          <cell r="I27">
            <v>3397860</v>
          </cell>
          <cell r="N27">
            <v>3661570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139687</v>
          </cell>
          <cell r="C28">
            <v>136180</v>
          </cell>
          <cell r="L28">
            <v>1876007</v>
          </cell>
          <cell r="M28">
            <v>1863098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267158</v>
          </cell>
          <cell r="I28">
            <v>3401041</v>
          </cell>
          <cell r="N28">
            <v>3668199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22153430</v>
          </cell>
        </row>
        <row r="6">
          <cell r="G6">
            <v>5881477</v>
          </cell>
        </row>
        <row r="7">
          <cell r="G7">
            <v>3755</v>
          </cell>
        </row>
        <row r="10">
          <cell r="G10">
            <v>959132</v>
          </cell>
        </row>
        <row r="16">
          <cell r="G16">
            <v>168385</v>
          </cell>
        </row>
        <row r="17">
          <cell r="G17">
            <v>113217</v>
          </cell>
        </row>
        <row r="18">
          <cell r="G18">
            <v>30</v>
          </cell>
        </row>
        <row r="19">
          <cell r="G19">
            <v>11332</v>
          </cell>
        </row>
        <row r="20">
          <cell r="G20">
            <v>15446</v>
          </cell>
        </row>
        <row r="21">
          <cell r="G21">
            <v>889</v>
          </cell>
        </row>
        <row r="27">
          <cell r="G27">
            <v>158303.37380251166</v>
          </cell>
        </row>
        <row r="28">
          <cell r="G28">
            <v>18685.875574230478</v>
          </cell>
        </row>
        <row r="32">
          <cell r="D32">
            <v>8740665</v>
          </cell>
        </row>
        <row r="33">
          <cell r="D33">
            <v>5251917</v>
          </cell>
        </row>
      </sheetData>
      <sheetData sheetId="1"/>
      <sheetData sheetId="2"/>
      <sheetData sheetId="3"/>
      <sheetData sheetId="4"/>
      <sheetData sheetId="5">
        <row r="29">
          <cell r="B29">
            <v>112387</v>
          </cell>
          <cell r="C29">
            <v>113274</v>
          </cell>
          <cell r="L29">
            <v>1516481</v>
          </cell>
          <cell r="M29">
            <v>1533733</v>
          </cell>
        </row>
      </sheetData>
      <sheetData sheetId="6"/>
      <sheetData sheetId="7">
        <row r="5">
          <cell r="I5">
            <v>88741.934815100482</v>
          </cell>
        </row>
        <row r="6">
          <cell r="I6">
            <v>7628.976874915551</v>
          </cell>
        </row>
        <row r="10">
          <cell r="I10">
            <v>69561.438987411137</v>
          </cell>
        </row>
        <row r="11">
          <cell r="I11">
            <v>11056.89869931493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158303.37380251166</v>
          </cell>
        </row>
        <row r="21">
          <cell r="I21">
            <v>18685.875574230478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219794</v>
          </cell>
          <cell r="I29">
            <v>2821616</v>
          </cell>
          <cell r="N29">
            <v>3041410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 Air Cargo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W4">
            <v>101</v>
          </cell>
        </row>
        <row r="5">
          <cell r="FW5">
            <v>101</v>
          </cell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I19">
            <v>256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FW19">
            <v>202</v>
          </cell>
        </row>
        <row r="22">
          <cell r="FW22">
            <v>426</v>
          </cell>
        </row>
        <row r="23">
          <cell r="FW23">
            <v>424</v>
          </cell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I41">
            <v>806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FW41">
            <v>850</v>
          </cell>
        </row>
      </sheetData>
      <sheetData sheetId="3"/>
      <sheetData sheetId="4">
        <row r="15">
          <cell r="FR15">
            <v>20</v>
          </cell>
          <cell r="FS15">
            <v>28</v>
          </cell>
          <cell r="FT15">
            <v>26</v>
          </cell>
          <cell r="FU15">
            <v>31</v>
          </cell>
          <cell r="FV15">
            <v>21</v>
          </cell>
        </row>
        <row r="16">
          <cell r="FR16">
            <v>20</v>
          </cell>
          <cell r="FS16">
            <v>28</v>
          </cell>
          <cell r="FT16">
            <v>26</v>
          </cell>
          <cell r="FU16">
            <v>31</v>
          </cell>
          <cell r="FV16">
            <v>21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I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FW19">
            <v>0</v>
          </cell>
        </row>
        <row r="32">
          <cell r="FR32">
            <v>3781</v>
          </cell>
          <cell r="FS32">
            <v>6449</v>
          </cell>
          <cell r="FT32">
            <v>6560</v>
          </cell>
          <cell r="FU32">
            <v>7850</v>
          </cell>
          <cell r="FV32">
            <v>4862</v>
          </cell>
        </row>
        <row r="33">
          <cell r="FR33">
            <v>3802</v>
          </cell>
          <cell r="FS33">
            <v>6319</v>
          </cell>
          <cell r="FT33">
            <v>4769</v>
          </cell>
          <cell r="FU33">
            <v>7190</v>
          </cell>
          <cell r="FV33">
            <v>4458</v>
          </cell>
        </row>
        <row r="37">
          <cell r="FR37">
            <v>16</v>
          </cell>
          <cell r="FS37">
            <v>6</v>
          </cell>
          <cell r="FT37">
            <v>7</v>
          </cell>
          <cell r="FU37">
            <v>24</v>
          </cell>
          <cell r="FV37">
            <v>8</v>
          </cell>
        </row>
        <row r="38">
          <cell r="FR38">
            <v>13</v>
          </cell>
          <cell r="FS38">
            <v>8</v>
          </cell>
          <cell r="FT38">
            <v>6</v>
          </cell>
          <cell r="FU38">
            <v>13</v>
          </cell>
          <cell r="FV38">
            <v>10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I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FW41">
            <v>0</v>
          </cell>
        </row>
      </sheetData>
      <sheetData sheetId="5"/>
      <sheetData sheetId="6">
        <row r="4">
          <cell r="FW4">
            <v>63</v>
          </cell>
        </row>
        <row r="5">
          <cell r="FW5">
            <v>63</v>
          </cell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I19">
            <v>124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FW19">
            <v>126</v>
          </cell>
        </row>
        <row r="22">
          <cell r="FW22">
            <v>9873</v>
          </cell>
        </row>
        <row r="23">
          <cell r="FW23">
            <v>10077</v>
          </cell>
        </row>
        <row r="27">
          <cell r="FW27">
            <v>341</v>
          </cell>
        </row>
        <row r="28">
          <cell r="FW28">
            <v>400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I41">
            <v>17799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FW41">
            <v>19950</v>
          </cell>
        </row>
        <row r="47">
          <cell r="FW47">
            <v>18227</v>
          </cell>
        </row>
        <row r="48">
          <cell r="FW48">
            <v>6466</v>
          </cell>
        </row>
        <row r="52">
          <cell r="FW52">
            <v>8101</v>
          </cell>
        </row>
        <row r="53">
          <cell r="FW53">
            <v>4028</v>
          </cell>
        </row>
      </sheetData>
      <sheetData sheetId="7"/>
      <sheetData sheetId="8">
        <row r="4">
          <cell r="FW4">
            <v>634</v>
          </cell>
        </row>
        <row r="5">
          <cell r="FW5">
            <v>633</v>
          </cell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I19">
            <v>1335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FW19">
            <v>1267</v>
          </cell>
        </row>
        <row r="22">
          <cell r="FW22">
            <v>77709</v>
          </cell>
        </row>
        <row r="23">
          <cell r="FW23">
            <v>76994</v>
          </cell>
        </row>
        <row r="27">
          <cell r="FW27">
            <v>3293</v>
          </cell>
        </row>
        <row r="28">
          <cell r="FW28">
            <v>3487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I41">
            <v>172592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FW41">
            <v>154703</v>
          </cell>
        </row>
        <row r="47">
          <cell r="FW47">
            <v>53572</v>
          </cell>
        </row>
        <row r="48">
          <cell r="FW48">
            <v>16272</v>
          </cell>
        </row>
        <row r="52">
          <cell r="FW52">
            <v>12585</v>
          </cell>
        </row>
        <row r="53">
          <cell r="FW53">
            <v>40176</v>
          </cell>
        </row>
      </sheetData>
      <sheetData sheetId="9"/>
      <sheetData sheetId="10">
        <row r="4">
          <cell r="FW4">
            <v>618</v>
          </cell>
        </row>
        <row r="5">
          <cell r="FW5">
            <v>622</v>
          </cell>
        </row>
        <row r="8">
          <cell r="FW8">
            <v>56</v>
          </cell>
        </row>
        <row r="9">
          <cell r="FW9">
            <v>54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  <cell r="FS15">
            <v>15</v>
          </cell>
          <cell r="FT15">
            <v>5</v>
          </cell>
          <cell r="FU15">
            <v>5</v>
          </cell>
          <cell r="FV15">
            <v>7</v>
          </cell>
          <cell r="FW15">
            <v>17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  <cell r="FS16">
            <v>14</v>
          </cell>
          <cell r="FT16">
            <v>6</v>
          </cell>
          <cell r="FU16">
            <v>5</v>
          </cell>
          <cell r="FV16">
            <v>7</v>
          </cell>
          <cell r="FW16">
            <v>15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I19">
            <v>1525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FW19">
            <v>1382</v>
          </cell>
        </row>
        <row r="22">
          <cell r="FW22">
            <v>82239</v>
          </cell>
        </row>
        <row r="23">
          <cell r="FW23">
            <v>86253</v>
          </cell>
        </row>
        <row r="27">
          <cell r="FW27">
            <v>1336</v>
          </cell>
        </row>
        <row r="28">
          <cell r="FW28">
            <v>1383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  <cell r="FS32">
            <v>1767</v>
          </cell>
          <cell r="FT32">
            <v>643</v>
          </cell>
          <cell r="FU32">
            <v>591</v>
          </cell>
          <cell r="FV32">
            <v>422</v>
          </cell>
          <cell r="FW32">
            <v>1578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  <cell r="FT33">
            <v>585</v>
          </cell>
          <cell r="FU33">
            <v>660</v>
          </cell>
          <cell r="FV33">
            <v>608</v>
          </cell>
          <cell r="FW33">
            <v>1823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  <cell r="FS37">
            <v>1</v>
          </cell>
          <cell r="FT37">
            <v>8</v>
          </cell>
          <cell r="FU37">
            <v>6</v>
          </cell>
          <cell r="FV37">
            <v>6</v>
          </cell>
          <cell r="FW37">
            <v>18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  <cell r="FT38">
            <v>12</v>
          </cell>
          <cell r="FU38">
            <v>5</v>
          </cell>
          <cell r="FV38">
            <v>3</v>
          </cell>
          <cell r="FW38">
            <v>23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I41">
            <v>173849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FW41">
            <v>171893</v>
          </cell>
        </row>
        <row r="47">
          <cell r="FW47">
            <v>105135</v>
          </cell>
        </row>
        <row r="48">
          <cell r="FW48">
            <v>223102</v>
          </cell>
        </row>
        <row r="52">
          <cell r="FW52">
            <v>75142</v>
          </cell>
        </row>
        <row r="53">
          <cell r="FW53">
            <v>377925</v>
          </cell>
        </row>
        <row r="70">
          <cell r="FW70">
            <v>85044</v>
          </cell>
        </row>
        <row r="71">
          <cell r="FW71">
            <v>1209</v>
          </cell>
        </row>
        <row r="73">
          <cell r="FW73">
            <v>1806</v>
          </cell>
        </row>
        <row r="74">
          <cell r="FW74">
            <v>17</v>
          </cell>
        </row>
      </sheetData>
      <sheetData sheetId="11">
        <row r="4">
          <cell r="FW4">
            <v>82</v>
          </cell>
        </row>
        <row r="5">
          <cell r="FW5">
            <v>82</v>
          </cell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I19">
            <v>148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FW19">
            <v>164</v>
          </cell>
        </row>
        <row r="22">
          <cell r="FW22">
            <v>472</v>
          </cell>
        </row>
        <row r="23">
          <cell r="FW23">
            <v>461</v>
          </cell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I41">
            <v>817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FW41">
            <v>933</v>
          </cell>
        </row>
      </sheetData>
      <sheetData sheetId="12">
        <row r="15">
          <cell r="FR15">
            <v>4</v>
          </cell>
          <cell r="FS15">
            <v>11</v>
          </cell>
          <cell r="FT15">
            <v>18</v>
          </cell>
          <cell r="FU15">
            <v>18</v>
          </cell>
          <cell r="FV15">
            <v>8</v>
          </cell>
        </row>
        <row r="16">
          <cell r="FR16">
            <v>4</v>
          </cell>
          <cell r="FS16">
            <v>11</v>
          </cell>
          <cell r="FT16">
            <v>18</v>
          </cell>
          <cell r="FU16">
            <v>18</v>
          </cell>
          <cell r="FV16">
            <v>9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I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FW19">
            <v>0</v>
          </cell>
        </row>
        <row r="32">
          <cell r="FR32">
            <v>730</v>
          </cell>
          <cell r="FS32">
            <v>2566</v>
          </cell>
          <cell r="FT32">
            <v>4485</v>
          </cell>
          <cell r="FU32">
            <v>4458</v>
          </cell>
          <cell r="FV32">
            <v>1784</v>
          </cell>
        </row>
        <row r="33">
          <cell r="FR33">
            <v>972</v>
          </cell>
          <cell r="FS33">
            <v>2779</v>
          </cell>
          <cell r="FT33">
            <v>4391</v>
          </cell>
          <cell r="FU33">
            <v>4529</v>
          </cell>
          <cell r="FV33">
            <v>2146</v>
          </cell>
        </row>
        <row r="37">
          <cell r="FR37">
            <v>5</v>
          </cell>
          <cell r="FT37">
            <v>4</v>
          </cell>
          <cell r="FU37">
            <v>6</v>
          </cell>
          <cell r="FV37">
            <v>3</v>
          </cell>
        </row>
        <row r="38">
          <cell r="FR38">
            <v>4</v>
          </cell>
          <cell r="FT38">
            <v>5</v>
          </cell>
          <cell r="FU38">
            <v>6</v>
          </cell>
          <cell r="FV38">
            <v>4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I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FW41">
            <v>0</v>
          </cell>
        </row>
      </sheetData>
      <sheetData sheetId="13">
        <row r="4">
          <cell r="FW4">
            <v>5864</v>
          </cell>
        </row>
        <row r="5">
          <cell r="FW5">
            <v>5854</v>
          </cell>
        </row>
        <row r="8">
          <cell r="FW8">
            <v>3</v>
          </cell>
        </row>
        <row r="9">
          <cell r="FW9">
            <v>6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  <cell r="FS15">
            <v>452</v>
          </cell>
          <cell r="FT15">
            <v>497</v>
          </cell>
          <cell r="FU15">
            <v>502</v>
          </cell>
          <cell r="FV15">
            <v>452</v>
          </cell>
          <cell r="FW15">
            <v>465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  <cell r="FS16">
            <v>450</v>
          </cell>
          <cell r="FT16">
            <v>502</v>
          </cell>
          <cell r="FU16">
            <v>505</v>
          </cell>
          <cell r="FV16">
            <v>452</v>
          </cell>
          <cell r="FW16">
            <v>463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I19">
            <v>12866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FW19">
            <v>12655</v>
          </cell>
        </row>
        <row r="22">
          <cell r="FW22">
            <v>781499</v>
          </cell>
        </row>
        <row r="23">
          <cell r="FW23">
            <v>784394</v>
          </cell>
        </row>
        <row r="27">
          <cell r="FW27">
            <v>30443</v>
          </cell>
        </row>
        <row r="28">
          <cell r="FW28">
            <v>30655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  <cell r="FS32">
            <v>79056</v>
          </cell>
          <cell r="FT32">
            <v>88990</v>
          </cell>
          <cell r="FU32">
            <v>89576</v>
          </cell>
          <cell r="FV32">
            <v>73777</v>
          </cell>
          <cell r="FW32">
            <v>74576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  <cell r="FS33">
            <v>81087</v>
          </cell>
          <cell r="FT33">
            <v>81699</v>
          </cell>
          <cell r="FU33">
            <v>86560</v>
          </cell>
          <cell r="FV33">
            <v>74010</v>
          </cell>
          <cell r="FW33">
            <v>69977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  <cell r="FS37">
            <v>2000</v>
          </cell>
          <cell r="FT37">
            <v>2405</v>
          </cell>
          <cell r="FU37">
            <v>2213</v>
          </cell>
          <cell r="FV37">
            <v>2047</v>
          </cell>
          <cell r="FW37">
            <v>2311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  <cell r="FS38">
            <v>2239</v>
          </cell>
          <cell r="FT38">
            <v>2272</v>
          </cell>
          <cell r="FU38">
            <v>2316</v>
          </cell>
          <cell r="FV38">
            <v>1865</v>
          </cell>
          <cell r="FW38">
            <v>1979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I41">
            <v>1725419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FW41">
            <v>1710446</v>
          </cell>
        </row>
        <row r="47">
          <cell r="FW47">
            <v>4586353</v>
          </cell>
        </row>
        <row r="48">
          <cell r="FW48">
            <v>1701489</v>
          </cell>
        </row>
        <row r="52">
          <cell r="FW52">
            <v>2283821</v>
          </cell>
        </row>
        <row r="53">
          <cell r="FW53">
            <v>1909869</v>
          </cell>
        </row>
        <row r="70">
          <cell r="FW70">
            <v>415211</v>
          </cell>
        </row>
        <row r="71">
          <cell r="FW71">
            <v>369183</v>
          </cell>
        </row>
        <row r="73">
          <cell r="FW73">
            <v>37042</v>
          </cell>
        </row>
        <row r="74">
          <cell r="FW74">
            <v>32935</v>
          </cell>
        </row>
      </sheetData>
      <sheetData sheetId="14">
        <row r="4">
          <cell r="FW4">
            <v>143</v>
          </cell>
        </row>
        <row r="5">
          <cell r="FW5">
            <v>143</v>
          </cell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I19">
            <v>206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FW19">
            <v>286</v>
          </cell>
        </row>
        <row r="22">
          <cell r="FW22">
            <v>19912</v>
          </cell>
        </row>
        <row r="23">
          <cell r="FW23">
            <v>20629</v>
          </cell>
        </row>
        <row r="27">
          <cell r="FW27">
            <v>199</v>
          </cell>
        </row>
        <row r="28">
          <cell r="FW28">
            <v>187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I41">
            <v>30783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FW41">
            <v>40541</v>
          </cell>
        </row>
      </sheetData>
      <sheetData sheetId="15"/>
      <sheetData sheetId="16">
        <row r="15">
          <cell r="FN15">
            <v>5</v>
          </cell>
          <cell r="FP15">
            <v>17</v>
          </cell>
          <cell r="FQ15">
            <v>20</v>
          </cell>
          <cell r="FR15">
            <v>37</v>
          </cell>
          <cell r="FS15">
            <v>46</v>
          </cell>
          <cell r="FT15">
            <v>47</v>
          </cell>
          <cell r="FU15">
            <v>49</v>
          </cell>
          <cell r="FV15">
            <v>37</v>
          </cell>
          <cell r="FW15">
            <v>24</v>
          </cell>
        </row>
        <row r="16">
          <cell r="FN16">
            <v>5</v>
          </cell>
          <cell r="FP16">
            <v>17</v>
          </cell>
          <cell r="FQ16">
            <v>20</v>
          </cell>
          <cell r="FR16">
            <v>37</v>
          </cell>
          <cell r="FS16">
            <v>46</v>
          </cell>
          <cell r="FT16">
            <v>47</v>
          </cell>
          <cell r="FU16">
            <v>49</v>
          </cell>
          <cell r="FV16">
            <v>37</v>
          </cell>
          <cell r="FW16">
            <v>24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I19">
            <v>50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FW19">
            <v>48</v>
          </cell>
        </row>
        <row r="32">
          <cell r="FN32">
            <v>852</v>
          </cell>
          <cell r="FP32">
            <v>2019</v>
          </cell>
          <cell r="FQ32">
            <v>2672</v>
          </cell>
          <cell r="FR32">
            <v>4435</v>
          </cell>
          <cell r="FS32">
            <v>6735</v>
          </cell>
          <cell r="FT32">
            <v>7414</v>
          </cell>
          <cell r="FU32">
            <v>7211</v>
          </cell>
          <cell r="FV32">
            <v>5539</v>
          </cell>
          <cell r="FW32">
            <v>3796</v>
          </cell>
        </row>
        <row r="33">
          <cell r="FN33">
            <v>671</v>
          </cell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  <cell r="FT33">
            <v>6448</v>
          </cell>
          <cell r="FU33">
            <v>7240</v>
          </cell>
          <cell r="FV33">
            <v>5600</v>
          </cell>
          <cell r="FW33">
            <v>3249</v>
          </cell>
        </row>
        <row r="37">
          <cell r="FN37">
            <v>20</v>
          </cell>
          <cell r="FP37">
            <v>75</v>
          </cell>
          <cell r="FQ37">
            <v>52</v>
          </cell>
          <cell r="FR37">
            <v>75</v>
          </cell>
          <cell r="FS37">
            <v>64</v>
          </cell>
          <cell r="FT37">
            <v>82</v>
          </cell>
          <cell r="FU37">
            <v>91</v>
          </cell>
          <cell r="FV37">
            <v>71</v>
          </cell>
          <cell r="FW37">
            <v>53</v>
          </cell>
        </row>
        <row r="38">
          <cell r="FN38">
            <v>13</v>
          </cell>
          <cell r="FP38">
            <v>54</v>
          </cell>
          <cell r="FQ38">
            <v>60</v>
          </cell>
          <cell r="FR38">
            <v>82</v>
          </cell>
          <cell r="FS38">
            <v>78</v>
          </cell>
          <cell r="FT38">
            <v>80</v>
          </cell>
          <cell r="FU38">
            <v>141</v>
          </cell>
          <cell r="FV38">
            <v>69</v>
          </cell>
          <cell r="FW38">
            <v>49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I41">
            <v>7502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FW41">
            <v>7045</v>
          </cell>
        </row>
        <row r="47">
          <cell r="FW47">
            <v>16955</v>
          </cell>
        </row>
        <row r="48">
          <cell r="FW48">
            <v>66</v>
          </cell>
        </row>
        <row r="52">
          <cell r="FW52">
            <v>160</v>
          </cell>
        </row>
      </sheetData>
      <sheetData sheetId="17">
        <row r="4">
          <cell r="FW4">
            <v>89</v>
          </cell>
        </row>
        <row r="5">
          <cell r="FW5">
            <v>89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FW19">
            <v>178</v>
          </cell>
        </row>
        <row r="22">
          <cell r="FW22">
            <v>8996</v>
          </cell>
        </row>
        <row r="23">
          <cell r="FW23">
            <v>8530</v>
          </cell>
        </row>
        <row r="27">
          <cell r="FW27">
            <v>258</v>
          </cell>
        </row>
        <row r="28">
          <cell r="FW28">
            <v>240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FW41">
            <v>17526</v>
          </cell>
        </row>
      </sheetData>
      <sheetData sheetId="18"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  <cell r="FS15">
            <v>20</v>
          </cell>
          <cell r="FT15">
            <v>18</v>
          </cell>
          <cell r="FU15">
            <v>17</v>
          </cell>
          <cell r="FV15">
            <v>16</v>
          </cell>
          <cell r="FW15">
            <v>18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  <cell r="FS16">
            <v>20</v>
          </cell>
          <cell r="FT16">
            <v>18</v>
          </cell>
          <cell r="FU16">
            <v>17</v>
          </cell>
          <cell r="FV16">
            <v>16</v>
          </cell>
          <cell r="FW16">
            <v>18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I19">
            <v>28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FW19">
            <v>36</v>
          </cell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  <cell r="FS32">
            <v>5068</v>
          </cell>
          <cell r="FT32">
            <v>4888</v>
          </cell>
          <cell r="FU32">
            <v>4403</v>
          </cell>
          <cell r="FV32">
            <v>3978</v>
          </cell>
          <cell r="FW32">
            <v>4430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  <cell r="FS33">
            <v>5026</v>
          </cell>
          <cell r="FT33">
            <v>3899</v>
          </cell>
          <cell r="FU33">
            <v>4249</v>
          </cell>
          <cell r="FV33">
            <v>3883</v>
          </cell>
          <cell r="FW33">
            <v>3303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  <cell r="FS37">
            <v>47</v>
          </cell>
          <cell r="FT37">
            <v>41</v>
          </cell>
          <cell r="FU37">
            <v>23</v>
          </cell>
          <cell r="FV37">
            <v>16</v>
          </cell>
          <cell r="FW37">
            <v>8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  <cell r="FS38">
            <v>16</v>
          </cell>
          <cell r="FT38">
            <v>37</v>
          </cell>
          <cell r="FU38">
            <v>29</v>
          </cell>
          <cell r="FV38">
            <v>12</v>
          </cell>
          <cell r="FW38">
            <v>15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I41">
            <v>5953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FW41">
            <v>7733</v>
          </cell>
        </row>
        <row r="47">
          <cell r="FW47">
            <v>512325</v>
          </cell>
        </row>
        <row r="52">
          <cell r="FW52">
            <v>121930</v>
          </cell>
        </row>
      </sheetData>
      <sheetData sheetId="19"/>
      <sheetData sheetId="2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</row>
      </sheetData>
      <sheetData sheetId="21">
        <row r="4">
          <cell r="FW4">
            <v>739</v>
          </cell>
        </row>
        <row r="5">
          <cell r="FW5">
            <v>738</v>
          </cell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I19">
            <v>1553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FW19">
            <v>1477</v>
          </cell>
        </row>
        <row r="22">
          <cell r="FW22">
            <v>87771</v>
          </cell>
        </row>
        <row r="23">
          <cell r="FW23">
            <v>90743</v>
          </cell>
        </row>
        <row r="27">
          <cell r="FW27">
            <v>1825</v>
          </cell>
        </row>
        <row r="28">
          <cell r="FW28">
            <v>1998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I41">
            <v>179643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FW41">
            <v>178514</v>
          </cell>
        </row>
        <row r="47">
          <cell r="FW47">
            <v>276345</v>
          </cell>
        </row>
        <row r="52">
          <cell r="FW52">
            <v>102067</v>
          </cell>
        </row>
        <row r="70">
          <cell r="FW70">
            <v>90395</v>
          </cell>
        </row>
        <row r="71">
          <cell r="FW71">
            <v>348</v>
          </cell>
        </row>
      </sheetData>
      <sheetData sheetId="22">
        <row r="4">
          <cell r="FW4">
            <v>301</v>
          </cell>
        </row>
        <row r="5">
          <cell r="FW5">
            <v>301</v>
          </cell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I19">
            <v>780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FW19">
            <v>602</v>
          </cell>
        </row>
        <row r="22">
          <cell r="FW22">
            <v>44374</v>
          </cell>
        </row>
        <row r="23">
          <cell r="FW23">
            <v>44891</v>
          </cell>
        </row>
        <row r="27">
          <cell r="FW27">
            <v>205</v>
          </cell>
        </row>
        <row r="28">
          <cell r="FW28">
            <v>271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I41">
            <v>105443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FW41">
            <v>89265</v>
          </cell>
        </row>
      </sheetData>
      <sheetData sheetId="23">
        <row r="4">
          <cell r="FW4">
            <v>333</v>
          </cell>
        </row>
        <row r="5">
          <cell r="FW5">
            <v>333</v>
          </cell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I19">
            <v>730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FW19">
            <v>666</v>
          </cell>
        </row>
        <row r="22">
          <cell r="FW22">
            <v>42433</v>
          </cell>
        </row>
        <row r="23">
          <cell r="FW23">
            <v>44308</v>
          </cell>
        </row>
        <row r="27">
          <cell r="FW27">
            <v>1444</v>
          </cell>
        </row>
        <row r="28">
          <cell r="FW28">
            <v>1384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I41">
            <v>88591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FW41">
            <v>86741</v>
          </cell>
        </row>
        <row r="47">
          <cell r="FW47">
            <v>48537</v>
          </cell>
        </row>
        <row r="48">
          <cell r="FW48">
            <v>64648</v>
          </cell>
        </row>
        <row r="52">
          <cell r="FW52">
            <v>113185</v>
          </cell>
        </row>
        <row r="53">
          <cell r="FW53">
            <v>26918</v>
          </cell>
        </row>
      </sheetData>
      <sheetData sheetId="24"/>
      <sheetData sheetId="25"/>
      <sheetData sheetId="26"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</row>
      </sheetData>
      <sheetData sheetId="27"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</row>
      </sheetData>
      <sheetData sheetId="28">
        <row r="4">
          <cell r="FW4">
            <v>6</v>
          </cell>
        </row>
        <row r="5">
          <cell r="FW5">
            <v>6</v>
          </cell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I19">
            <v>6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FW19">
            <v>12</v>
          </cell>
        </row>
        <row r="22">
          <cell r="FW22">
            <v>278</v>
          </cell>
        </row>
        <row r="23">
          <cell r="FW23">
            <v>181</v>
          </cell>
        </row>
        <row r="27">
          <cell r="FW27">
            <v>12</v>
          </cell>
        </row>
        <row r="28">
          <cell r="FW28">
            <v>19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I41">
            <v>374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FW41">
            <v>459</v>
          </cell>
        </row>
      </sheetData>
      <sheetData sheetId="29">
        <row r="15">
          <cell r="FN15">
            <v>21</v>
          </cell>
          <cell r="FO15">
            <v>22</v>
          </cell>
          <cell r="FP15">
            <v>2</v>
          </cell>
        </row>
        <row r="16">
          <cell r="FN16">
            <v>23</v>
          </cell>
          <cell r="FO16">
            <v>26</v>
          </cell>
          <cell r="FP16">
            <v>5</v>
          </cell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I19">
            <v>145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</row>
        <row r="32">
          <cell r="FN32">
            <v>1136</v>
          </cell>
          <cell r="FO32">
            <v>1111</v>
          </cell>
          <cell r="FP32">
            <v>122</v>
          </cell>
        </row>
        <row r="33">
          <cell r="FN33">
            <v>1362</v>
          </cell>
          <cell r="FO33">
            <v>1562</v>
          </cell>
          <cell r="FP33">
            <v>242</v>
          </cell>
        </row>
        <row r="37">
          <cell r="FN37">
            <v>17</v>
          </cell>
          <cell r="FO37">
            <v>30</v>
          </cell>
          <cell r="FP37">
            <v>1</v>
          </cell>
        </row>
        <row r="38">
          <cell r="FN38">
            <v>14</v>
          </cell>
          <cell r="FO38">
            <v>17</v>
          </cell>
          <cell r="FP38">
            <v>4</v>
          </cell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I41">
            <v>7685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</row>
      </sheetData>
      <sheetData sheetId="30"/>
      <sheetData sheetId="31"/>
      <sheetData sheetId="32"/>
      <sheetData sheetId="33">
        <row r="15">
          <cell r="FO15">
            <v>1</v>
          </cell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I19">
            <v>348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I41">
            <v>22364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</row>
        <row r="70">
          <cell r="BG70">
            <v>26242</v>
          </cell>
        </row>
        <row r="71">
          <cell r="BG71">
            <v>44562</v>
          </cell>
        </row>
        <row r="73">
          <cell r="BG73">
            <v>1540</v>
          </cell>
        </row>
        <row r="74">
          <cell r="BG74">
            <v>2614</v>
          </cell>
        </row>
      </sheetData>
      <sheetData sheetId="34"/>
      <sheetData sheetId="35"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I19">
            <v>20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FW19">
            <v>0</v>
          </cell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I41">
            <v>785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FW41">
            <v>0</v>
          </cell>
        </row>
      </sheetData>
      <sheetData sheetId="36"/>
      <sheetData sheetId="37">
        <row r="4">
          <cell r="FW4">
            <v>80</v>
          </cell>
        </row>
        <row r="5">
          <cell r="FW5">
            <v>80</v>
          </cell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  <cell r="FS15">
            <v>13</v>
          </cell>
          <cell r="FT15">
            <v>21</v>
          </cell>
          <cell r="FU15">
            <v>28</v>
          </cell>
          <cell r="FV15">
            <v>30</v>
          </cell>
          <cell r="FW15">
            <v>31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  <cell r="FS16">
            <v>12</v>
          </cell>
          <cell r="FT16">
            <v>21</v>
          </cell>
          <cell r="FU16">
            <v>26</v>
          </cell>
          <cell r="FV16">
            <v>30</v>
          </cell>
          <cell r="FW16">
            <v>31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I19">
            <v>121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FW19">
            <v>222</v>
          </cell>
        </row>
        <row r="22">
          <cell r="FW22">
            <v>4671</v>
          </cell>
        </row>
        <row r="23">
          <cell r="FW23">
            <v>5143</v>
          </cell>
        </row>
        <row r="27">
          <cell r="FW27">
            <v>166</v>
          </cell>
        </row>
        <row r="28">
          <cell r="FW28">
            <v>110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  <cell r="FS32">
            <v>849</v>
          </cell>
          <cell r="FT32">
            <v>1484</v>
          </cell>
          <cell r="FU32">
            <v>1821</v>
          </cell>
          <cell r="FV32">
            <v>1891</v>
          </cell>
          <cell r="FW32">
            <v>2093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  <cell r="FS33">
            <v>815</v>
          </cell>
          <cell r="FT33">
            <v>1363</v>
          </cell>
          <cell r="FU33">
            <v>1794</v>
          </cell>
          <cell r="FV33">
            <v>2030</v>
          </cell>
          <cell r="FW33">
            <v>1941</v>
          </cell>
        </row>
        <row r="37">
          <cell r="FN37">
            <v>47</v>
          </cell>
          <cell r="FO37">
            <v>35</v>
          </cell>
          <cell r="FQ37">
            <v>53</v>
          </cell>
          <cell r="FR37">
            <v>60</v>
          </cell>
          <cell r="FS37">
            <v>18</v>
          </cell>
          <cell r="FT37">
            <v>37</v>
          </cell>
          <cell r="FU37">
            <v>22</v>
          </cell>
          <cell r="FV37">
            <v>33</v>
          </cell>
          <cell r="FW37">
            <v>23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  <cell r="FS38">
            <v>20</v>
          </cell>
          <cell r="FT38">
            <v>42</v>
          </cell>
          <cell r="FU38">
            <v>23</v>
          </cell>
          <cell r="FV38">
            <v>27</v>
          </cell>
          <cell r="FW38">
            <v>23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I41">
            <v>7353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FW41">
            <v>13848</v>
          </cell>
        </row>
        <row r="70">
          <cell r="FW70">
            <v>2888</v>
          </cell>
        </row>
        <row r="71">
          <cell r="FW71">
            <v>2255</v>
          </cell>
        </row>
        <row r="73">
          <cell r="FW73">
            <v>1090</v>
          </cell>
        </row>
        <row r="74">
          <cell r="FW74">
            <v>851</v>
          </cell>
        </row>
      </sheetData>
      <sheetData sheetId="38"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I19">
            <v>14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FW19">
            <v>0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I41">
            <v>934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FW41">
            <v>0</v>
          </cell>
        </row>
      </sheetData>
      <sheetData sheetId="39">
        <row r="4">
          <cell r="FW4">
            <v>61</v>
          </cell>
        </row>
        <row r="5">
          <cell r="FW5">
            <v>61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FW19">
            <v>122</v>
          </cell>
        </row>
        <row r="22">
          <cell r="FW22">
            <v>4018</v>
          </cell>
        </row>
        <row r="23">
          <cell r="FW23">
            <v>3873</v>
          </cell>
        </row>
        <row r="27">
          <cell r="FW27">
            <v>97</v>
          </cell>
        </row>
        <row r="28">
          <cell r="FW28">
            <v>82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FW41">
            <v>7891</v>
          </cell>
        </row>
        <row r="47">
          <cell r="FW47">
            <v>12</v>
          </cell>
        </row>
        <row r="48">
          <cell r="FW48">
            <v>2490</v>
          </cell>
        </row>
      </sheetData>
      <sheetData sheetId="40">
        <row r="4">
          <cell r="FW4">
            <v>137</v>
          </cell>
        </row>
        <row r="5">
          <cell r="FW5">
            <v>137</v>
          </cell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I19">
            <v>318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FW19">
            <v>274</v>
          </cell>
        </row>
        <row r="22">
          <cell r="FW22">
            <v>8773</v>
          </cell>
        </row>
        <row r="23">
          <cell r="FW23">
            <v>9041</v>
          </cell>
        </row>
        <row r="27">
          <cell r="FW27">
            <v>290</v>
          </cell>
        </row>
        <row r="28">
          <cell r="FW28">
            <v>251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I41">
            <v>18566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FW41">
            <v>17814</v>
          </cell>
        </row>
      </sheetData>
      <sheetData sheetId="41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</sheetData>
      <sheetData sheetId="42"/>
      <sheetData sheetId="43">
        <row r="4">
          <cell r="FW4">
            <v>950</v>
          </cell>
        </row>
        <row r="5">
          <cell r="FW5">
            <v>949</v>
          </cell>
        </row>
        <row r="9">
          <cell r="FW9">
            <v>1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  <cell r="FS15">
            <v>152</v>
          </cell>
          <cell r="FT15">
            <v>100</v>
          </cell>
          <cell r="FU15">
            <v>69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  <cell r="FS16">
            <v>152</v>
          </cell>
          <cell r="FT16">
            <v>100</v>
          </cell>
          <cell r="FU16">
            <v>70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I19">
            <v>2678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FW19">
            <v>1900</v>
          </cell>
        </row>
        <row r="22">
          <cell r="FW22">
            <v>56411</v>
          </cell>
        </row>
        <row r="23">
          <cell r="FW23">
            <v>56115</v>
          </cell>
        </row>
        <row r="27">
          <cell r="FW27">
            <v>2153</v>
          </cell>
        </row>
        <row r="28">
          <cell r="FW28">
            <v>2046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  <cell r="FS32">
            <v>9734</v>
          </cell>
          <cell r="FT32">
            <v>6677</v>
          </cell>
          <cell r="FU32">
            <v>4790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  <cell r="FS33">
            <v>10134</v>
          </cell>
          <cell r="FT33">
            <v>6305</v>
          </cell>
          <cell r="FU33">
            <v>4848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  <cell r="FS37">
            <v>134</v>
          </cell>
          <cell r="FT37">
            <v>136</v>
          </cell>
          <cell r="FU37">
            <v>95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  <cell r="FS38">
            <v>156</v>
          </cell>
          <cell r="FT38">
            <v>154</v>
          </cell>
          <cell r="FU38">
            <v>115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I41">
            <v>138892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FW41">
            <v>112526</v>
          </cell>
        </row>
        <row r="70">
          <cell r="FW70">
            <v>21834</v>
          </cell>
        </row>
        <row r="71">
          <cell r="FW71">
            <v>34281</v>
          </cell>
        </row>
      </sheetData>
      <sheetData sheetId="44"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I19">
            <v>113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I41">
            <v>5871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</row>
      </sheetData>
      <sheetData sheetId="45">
        <row r="4">
          <cell r="FW4">
            <v>230</v>
          </cell>
        </row>
        <row r="5">
          <cell r="FW5">
            <v>230</v>
          </cell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I19">
            <v>349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FW19">
            <v>460</v>
          </cell>
        </row>
        <row r="22">
          <cell r="FW22">
            <v>13783</v>
          </cell>
        </row>
        <row r="23">
          <cell r="FW23">
            <v>13453</v>
          </cell>
        </row>
        <row r="27">
          <cell r="FW27">
            <v>434</v>
          </cell>
        </row>
        <row r="28">
          <cell r="FW28">
            <v>547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I41">
            <v>19496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FW41">
            <v>27236</v>
          </cell>
        </row>
      </sheetData>
      <sheetData sheetId="46">
        <row r="4">
          <cell r="FW4">
            <v>226</v>
          </cell>
        </row>
        <row r="5">
          <cell r="FW5">
            <v>226</v>
          </cell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I19">
            <v>366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FW19">
            <v>452</v>
          </cell>
        </row>
        <row r="22">
          <cell r="FW22">
            <v>14384</v>
          </cell>
        </row>
        <row r="23">
          <cell r="FW23">
            <v>13708</v>
          </cell>
        </row>
        <row r="27">
          <cell r="FW27">
            <v>532</v>
          </cell>
        </row>
        <row r="28">
          <cell r="FW28">
            <v>652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I41">
            <v>19962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FW41">
            <v>28092</v>
          </cell>
        </row>
      </sheetData>
      <sheetData sheetId="47"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  <cell r="FS15">
            <v>90</v>
          </cell>
          <cell r="FT15">
            <v>91</v>
          </cell>
          <cell r="FU15">
            <v>91</v>
          </cell>
          <cell r="FV15">
            <v>89</v>
          </cell>
          <cell r="FW15">
            <v>93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  <cell r="FS16">
            <v>90</v>
          </cell>
          <cell r="FT16">
            <v>91</v>
          </cell>
          <cell r="FU16">
            <v>91</v>
          </cell>
          <cell r="FV16">
            <v>89</v>
          </cell>
          <cell r="FW16">
            <v>93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I19">
            <v>184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FW19">
            <v>186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  <cell r="FS32">
            <v>5746</v>
          </cell>
          <cell r="FT32">
            <v>6179</v>
          </cell>
          <cell r="FU32">
            <v>5892</v>
          </cell>
          <cell r="FV32">
            <v>5347</v>
          </cell>
          <cell r="FW32">
            <v>6083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  <cell r="FT33">
            <v>5525</v>
          </cell>
          <cell r="FU33">
            <v>6057</v>
          </cell>
          <cell r="FV33">
            <v>5659</v>
          </cell>
          <cell r="FW33">
            <v>5271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  <cell r="FS37">
            <v>46</v>
          </cell>
          <cell r="FT37">
            <v>54</v>
          </cell>
          <cell r="FU37">
            <v>93</v>
          </cell>
          <cell r="FV37">
            <v>52</v>
          </cell>
          <cell r="FW37">
            <v>71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  <cell r="FT38">
            <v>59</v>
          </cell>
          <cell r="FU38">
            <v>89</v>
          </cell>
          <cell r="FV38">
            <v>63</v>
          </cell>
          <cell r="FW38">
            <v>82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I41">
            <v>10235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FW41">
            <v>11354</v>
          </cell>
        </row>
        <row r="47">
          <cell r="FW47">
            <v>3598</v>
          </cell>
        </row>
        <row r="52">
          <cell r="FW52">
            <v>2813</v>
          </cell>
        </row>
      </sheetData>
      <sheetData sheetId="48">
        <row r="4">
          <cell r="FW4">
            <v>3991</v>
          </cell>
        </row>
        <row r="5">
          <cell r="FW5">
            <v>3977</v>
          </cell>
        </row>
        <row r="9">
          <cell r="FW9">
            <v>10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  <cell r="FS15">
            <v>126</v>
          </cell>
          <cell r="FT15">
            <v>141</v>
          </cell>
          <cell r="FU15">
            <v>153</v>
          </cell>
          <cell r="FV15">
            <v>194</v>
          </cell>
          <cell r="FW15">
            <v>198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  <cell r="FS16">
            <v>126</v>
          </cell>
          <cell r="FT16">
            <v>142</v>
          </cell>
          <cell r="FU16">
            <v>154</v>
          </cell>
          <cell r="FV16">
            <v>194</v>
          </cell>
          <cell r="FW16">
            <v>197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I19">
            <v>7052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FW19">
            <v>8373</v>
          </cell>
        </row>
        <row r="22">
          <cell r="FW22">
            <v>187068</v>
          </cell>
        </row>
        <row r="23">
          <cell r="FW23">
            <v>186720</v>
          </cell>
        </row>
        <row r="27">
          <cell r="FW27">
            <v>6967</v>
          </cell>
        </row>
        <row r="28">
          <cell r="FW28">
            <v>6881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  <cell r="FS32">
            <v>7659</v>
          </cell>
          <cell r="FT32">
            <v>9166</v>
          </cell>
          <cell r="FU32">
            <v>10441</v>
          </cell>
          <cell r="FV32">
            <v>12382</v>
          </cell>
          <cell r="FW32">
            <v>12947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  <cell r="FS33">
            <v>8116</v>
          </cell>
          <cell r="FT33">
            <v>8964</v>
          </cell>
          <cell r="FU33">
            <v>10216</v>
          </cell>
          <cell r="FV33">
            <v>12668</v>
          </cell>
          <cell r="FW33">
            <v>12513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  <cell r="FS37">
            <v>59</v>
          </cell>
          <cell r="FT37">
            <v>101</v>
          </cell>
          <cell r="FU37">
            <v>81</v>
          </cell>
          <cell r="FV37">
            <v>169</v>
          </cell>
          <cell r="FW37">
            <v>167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  <cell r="FS38">
            <v>60</v>
          </cell>
          <cell r="FT38">
            <v>98</v>
          </cell>
          <cell r="FU38">
            <v>100</v>
          </cell>
          <cell r="FV38">
            <v>159</v>
          </cell>
          <cell r="FW38">
            <v>143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I41">
            <v>341545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FW41">
            <v>399248</v>
          </cell>
        </row>
        <row r="70">
          <cell r="FW70">
            <v>61094</v>
          </cell>
        </row>
        <row r="71">
          <cell r="FW71">
            <v>125626</v>
          </cell>
        </row>
        <row r="73">
          <cell r="FW73">
            <v>4094</v>
          </cell>
        </row>
        <row r="74">
          <cell r="FW74">
            <v>8419</v>
          </cell>
        </row>
      </sheetData>
      <sheetData sheetId="49">
        <row r="4">
          <cell r="FW4">
            <v>87</v>
          </cell>
        </row>
        <row r="5">
          <cell r="FW5">
            <v>87</v>
          </cell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I19">
            <v>380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FW19">
            <v>174</v>
          </cell>
        </row>
        <row r="22">
          <cell r="FW22">
            <v>5532</v>
          </cell>
        </row>
        <row r="23">
          <cell r="FW23">
            <v>5423</v>
          </cell>
        </row>
        <row r="27">
          <cell r="FW27">
            <v>189</v>
          </cell>
        </row>
        <row r="28">
          <cell r="FW28">
            <v>247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I41">
            <v>24437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FW41">
            <v>10955</v>
          </cell>
        </row>
      </sheetData>
      <sheetData sheetId="5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</row>
      </sheetData>
      <sheetData sheetId="51">
        <row r="4">
          <cell r="FW4">
            <v>34</v>
          </cell>
        </row>
        <row r="5">
          <cell r="FW5">
            <v>34</v>
          </cell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I19">
            <v>90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FW19">
            <v>68</v>
          </cell>
        </row>
        <row r="22">
          <cell r="FW22">
            <v>1936</v>
          </cell>
        </row>
        <row r="23">
          <cell r="FW23">
            <v>1819</v>
          </cell>
        </row>
        <row r="27">
          <cell r="FW27">
            <v>122</v>
          </cell>
        </row>
        <row r="28">
          <cell r="FW28">
            <v>178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I41">
            <v>5887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FW41">
            <v>3755</v>
          </cell>
        </row>
        <row r="47">
          <cell r="FW47">
            <v>720</v>
          </cell>
        </row>
      </sheetData>
      <sheetData sheetId="52"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I19">
            <v>184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FW19">
            <v>0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I41">
            <v>11704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FW41">
            <v>0</v>
          </cell>
        </row>
      </sheetData>
      <sheetData sheetId="53"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FW19">
            <v>0</v>
          </cell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FW41">
            <v>0</v>
          </cell>
        </row>
      </sheetData>
      <sheetData sheetId="54"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</row>
      </sheetData>
      <sheetData sheetId="55"/>
      <sheetData sheetId="56"/>
      <sheetData sheetId="57"/>
      <sheetData sheetId="58"/>
      <sheetData sheetId="59"/>
      <sheetData sheetId="60">
        <row r="9">
          <cell r="FW9">
            <v>1</v>
          </cell>
        </row>
        <row r="22">
          <cell r="FW22">
            <v>162</v>
          </cell>
        </row>
      </sheetData>
      <sheetData sheetId="61">
        <row r="5">
          <cell r="FW5">
            <v>1</v>
          </cell>
        </row>
        <row r="23">
          <cell r="FW23">
            <v>174</v>
          </cell>
        </row>
        <row r="32">
          <cell r="FQ32">
            <v>37</v>
          </cell>
        </row>
      </sheetData>
      <sheetData sheetId="62">
        <row r="4">
          <cell r="FW4">
            <v>32</v>
          </cell>
        </row>
        <row r="5">
          <cell r="FW5">
            <v>32</v>
          </cell>
        </row>
        <row r="47">
          <cell r="FW47">
            <v>1102943</v>
          </cell>
        </row>
        <row r="52">
          <cell r="FW52">
            <v>1067548</v>
          </cell>
        </row>
      </sheetData>
      <sheetData sheetId="63"/>
      <sheetData sheetId="64">
        <row r="4">
          <cell r="FW4">
            <v>23</v>
          </cell>
        </row>
        <row r="5">
          <cell r="FW5">
            <v>23</v>
          </cell>
        </row>
        <row r="12"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D12">
            <v>44</v>
          </cell>
          <cell r="FE12">
            <v>46</v>
          </cell>
          <cell r="FF12">
            <v>44</v>
          </cell>
          <cell r="FG12">
            <v>44</v>
          </cell>
          <cell r="FH12">
            <v>42</v>
          </cell>
          <cell r="FI12">
            <v>44</v>
          </cell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FU12">
            <v>46</v>
          </cell>
          <cell r="FV12">
            <v>40</v>
          </cell>
          <cell r="FW12">
            <v>46</v>
          </cell>
        </row>
        <row r="47">
          <cell r="FW47">
            <v>884979</v>
          </cell>
        </row>
        <row r="52">
          <cell r="FW52">
            <v>595659</v>
          </cell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  <cell r="FI64">
            <v>1254153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FW64">
            <v>1480638</v>
          </cell>
        </row>
      </sheetData>
      <sheetData sheetId="65">
        <row r="4">
          <cell r="FW4">
            <v>23</v>
          </cell>
        </row>
        <row r="5">
          <cell r="FW5">
            <v>23</v>
          </cell>
        </row>
        <row r="12"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D12">
            <v>66</v>
          </cell>
          <cell r="FE12">
            <v>46</v>
          </cell>
          <cell r="FF12">
            <v>32</v>
          </cell>
          <cell r="FG12">
            <v>38</v>
          </cell>
          <cell r="FH12">
            <v>34</v>
          </cell>
          <cell r="FI12">
            <v>36</v>
          </cell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  <cell r="FV12">
            <v>36</v>
          </cell>
          <cell r="FW12">
            <v>46</v>
          </cell>
        </row>
        <row r="47">
          <cell r="FW47">
            <v>26214</v>
          </cell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  <cell r="FI64">
            <v>17704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FW64">
            <v>26214</v>
          </cell>
        </row>
      </sheetData>
      <sheetData sheetId="66"/>
      <sheetData sheetId="67">
        <row r="12"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  <cell r="FI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</row>
      </sheetData>
      <sheetData sheetId="68">
        <row r="4">
          <cell r="FW4">
            <v>150</v>
          </cell>
        </row>
        <row r="5">
          <cell r="FW5">
            <v>150</v>
          </cell>
        </row>
        <row r="12"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D12">
            <v>173</v>
          </cell>
          <cell r="FE12">
            <v>176</v>
          </cell>
          <cell r="FF12">
            <v>120</v>
          </cell>
          <cell r="FG12">
            <v>280</v>
          </cell>
          <cell r="FH12">
            <v>250</v>
          </cell>
          <cell r="FI12">
            <v>262</v>
          </cell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FU12">
            <v>272</v>
          </cell>
          <cell r="FV12">
            <v>252</v>
          </cell>
          <cell r="FW12">
            <v>300</v>
          </cell>
        </row>
        <row r="47">
          <cell r="FW47">
            <v>9740263</v>
          </cell>
        </row>
        <row r="52">
          <cell r="FW52">
            <v>8625774</v>
          </cell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  <cell r="FI64">
            <v>17545340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FW64">
            <v>18366037</v>
          </cell>
        </row>
      </sheetData>
      <sheetData sheetId="69">
        <row r="4">
          <cell r="FW4">
            <v>124</v>
          </cell>
        </row>
        <row r="5">
          <cell r="FW5">
            <v>124</v>
          </cell>
        </row>
        <row r="12"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D12">
            <v>196</v>
          </cell>
          <cell r="FE12">
            <v>198</v>
          </cell>
          <cell r="FF12">
            <v>186</v>
          </cell>
          <cell r="FG12">
            <v>212</v>
          </cell>
          <cell r="FH12">
            <v>184</v>
          </cell>
          <cell r="FI12">
            <v>194</v>
          </cell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FU12">
            <v>232</v>
          </cell>
          <cell r="FV12">
            <v>196</v>
          </cell>
          <cell r="FW12">
            <v>248</v>
          </cell>
        </row>
        <row r="15">
          <cell r="FW15">
            <v>22</v>
          </cell>
        </row>
        <row r="16">
          <cell r="FW16">
            <v>22</v>
          </cell>
        </row>
        <row r="47">
          <cell r="FW47">
            <v>6506838</v>
          </cell>
        </row>
        <row r="48">
          <cell r="FW48">
            <v>1155</v>
          </cell>
        </row>
        <row r="52">
          <cell r="FW52">
            <v>5726958</v>
          </cell>
        </row>
        <row r="53">
          <cell r="FW53">
            <v>583457</v>
          </cell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  <cell r="FI64">
            <v>11845395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FW64">
            <v>12818408</v>
          </cell>
        </row>
      </sheetData>
      <sheetData sheetId="70"/>
      <sheetData sheetId="71"/>
      <sheetData sheetId="72"/>
      <sheetData sheetId="73">
        <row r="4">
          <cell r="FW4">
            <v>284</v>
          </cell>
        </row>
        <row r="5">
          <cell r="FW5">
            <v>284</v>
          </cell>
        </row>
        <row r="12"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D12">
            <v>576</v>
          </cell>
          <cell r="FE12">
            <v>546</v>
          </cell>
          <cell r="FF12">
            <v>528</v>
          </cell>
          <cell r="FG12">
            <v>598</v>
          </cell>
          <cell r="FH12">
            <v>538</v>
          </cell>
          <cell r="FI12">
            <v>568</v>
          </cell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  <cell r="FV12">
            <v>516</v>
          </cell>
          <cell r="FW12">
            <v>568</v>
          </cell>
        </row>
      </sheetData>
      <sheetData sheetId="74">
        <row r="12"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D12">
            <v>48</v>
          </cell>
          <cell r="FE12">
            <v>4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  <cell r="FV12">
            <v>0</v>
          </cell>
          <cell r="FW12">
            <v>0</v>
          </cell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FW64">
            <v>0</v>
          </cell>
        </row>
      </sheetData>
      <sheetData sheetId="75">
        <row r="4">
          <cell r="FW4">
            <v>22</v>
          </cell>
        </row>
        <row r="5">
          <cell r="FW5">
            <v>22</v>
          </cell>
        </row>
        <row r="12"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D12">
            <v>42</v>
          </cell>
          <cell r="FE12">
            <v>44</v>
          </cell>
          <cell r="FF12">
            <v>34</v>
          </cell>
          <cell r="FG12">
            <v>46</v>
          </cell>
          <cell r="FH12">
            <v>46</v>
          </cell>
          <cell r="FI12">
            <v>44</v>
          </cell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  <cell r="FV12">
            <v>42</v>
          </cell>
          <cell r="FW12">
            <v>44</v>
          </cell>
        </row>
        <row r="47">
          <cell r="FW47">
            <v>165067</v>
          </cell>
        </row>
        <row r="52">
          <cell r="FW52">
            <v>62676</v>
          </cell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  <cell r="FI64">
            <v>175883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FW64">
            <v>227743</v>
          </cell>
        </row>
      </sheetData>
      <sheetData sheetId="76">
        <row r="4">
          <cell r="FW4">
            <v>46</v>
          </cell>
        </row>
        <row r="5">
          <cell r="FW5">
            <v>46</v>
          </cell>
        </row>
        <row r="8">
          <cell r="FW8">
            <v>1</v>
          </cell>
        </row>
        <row r="9">
          <cell r="FW9">
            <v>1</v>
          </cell>
        </row>
        <row r="12"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D12">
            <v>46</v>
          </cell>
          <cell r="FE12">
            <v>44</v>
          </cell>
          <cell r="FF12">
            <v>42</v>
          </cell>
          <cell r="FG12">
            <v>50</v>
          </cell>
          <cell r="FH12">
            <v>41</v>
          </cell>
          <cell r="FI12">
            <v>44</v>
          </cell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  <cell r="FV12">
            <v>76</v>
          </cell>
          <cell r="FW12">
            <v>94</v>
          </cell>
        </row>
        <row r="47">
          <cell r="FW47">
            <v>86471</v>
          </cell>
        </row>
        <row r="52">
          <cell r="FW52">
            <v>46476</v>
          </cell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  <cell r="FI64">
            <v>97935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FW64">
            <v>132947</v>
          </cell>
        </row>
      </sheetData>
      <sheetData sheetId="77">
        <row r="4">
          <cell r="FW4">
            <v>48</v>
          </cell>
        </row>
        <row r="5">
          <cell r="FW5">
            <v>48</v>
          </cell>
        </row>
      </sheetData>
      <sheetData sheetId="78">
        <row r="4">
          <cell r="FW4">
            <v>937</v>
          </cell>
        </row>
        <row r="5">
          <cell r="FW5">
            <v>937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L23">
            <v>1694504</v>
          </cell>
          <cell r="M23">
            <v>1716363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D21" sqref="D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8">
        <v>43374</v>
      </c>
      <c r="B2" s="17"/>
      <c r="C2" s="17"/>
      <c r="D2" s="520" t="s">
        <v>211</v>
      </c>
      <c r="E2" s="520" t="s">
        <v>188</v>
      </c>
      <c r="F2" s="8"/>
      <c r="G2" s="8"/>
      <c r="H2" s="8"/>
      <c r="I2" s="8"/>
      <c r="J2" s="23"/>
    </row>
    <row r="3" spans="1:14" ht="13.5" thickBot="1" x14ac:dyDescent="0.25">
      <c r="A3" s="384"/>
      <c r="B3" s="8" t="s">
        <v>0</v>
      </c>
      <c r="C3" s="8" t="s">
        <v>1</v>
      </c>
      <c r="D3" s="521"/>
      <c r="E3" s="522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Stats'!K4</f>
        <v>1240084</v>
      </c>
      <c r="C5" s="296">
        <f>'Major Airline Stats'!K5</f>
        <v>1246056</v>
      </c>
      <c r="D5" s="5">
        <f>'Major Airline Stats'!K6</f>
        <v>2486140</v>
      </c>
      <c r="E5" s="9">
        <f>'[1]Monthly Summary'!D5</f>
        <v>2509197</v>
      </c>
      <c r="F5" s="39">
        <f>(D5-E5)/E5</f>
        <v>-9.1889955232689977E-3</v>
      </c>
      <c r="G5" s="9">
        <f>+D5+'[2]Monthly Summary'!G5</f>
        <v>24639570</v>
      </c>
      <c r="H5" s="9">
        <f>'[1]Monthly Summary'!G5</f>
        <v>24753981</v>
      </c>
      <c r="I5" s="85">
        <f>(G5-H5)/H5</f>
        <v>-4.621923237316858E-3</v>
      </c>
      <c r="J5" s="9"/>
    </row>
    <row r="6" spans="1:14" x14ac:dyDescent="0.2">
      <c r="A6" s="67" t="s">
        <v>5</v>
      </c>
      <c r="B6" s="294">
        <f>'Regional Major'!M5</f>
        <v>317977</v>
      </c>
      <c r="C6" s="294">
        <f>'Regional Major'!M6</f>
        <v>315201</v>
      </c>
      <c r="D6" s="5">
        <f>B6+C6</f>
        <v>633178</v>
      </c>
      <c r="E6" s="9">
        <f>'[1]Monthly Summary'!D6</f>
        <v>636090</v>
      </c>
      <c r="F6" s="39">
        <f>(D6-E6)/E6</f>
        <v>-4.5779685264663809E-3</v>
      </c>
      <c r="G6" s="9">
        <f>+D6+'[2]Monthly Summary'!G6</f>
        <v>6514655</v>
      </c>
      <c r="H6" s="9">
        <f>'[1]Monthly Summary'!G6</f>
        <v>6346868</v>
      </c>
      <c r="I6" s="85">
        <f>(G6-H6)/H6</f>
        <v>2.6436188683930405E-2</v>
      </c>
      <c r="J6" s="20"/>
      <c r="K6" s="2"/>
    </row>
    <row r="7" spans="1:14" x14ac:dyDescent="0.2">
      <c r="A7" s="67" t="s">
        <v>6</v>
      </c>
      <c r="B7" s="9">
        <f>Charter!G5</f>
        <v>162</v>
      </c>
      <c r="C7" s="295">
        <f>Charter!G6</f>
        <v>174</v>
      </c>
      <c r="D7" s="5">
        <f>B7+C7</f>
        <v>336</v>
      </c>
      <c r="E7" s="9">
        <f>'[1]Monthly Summary'!D7</f>
        <v>1199</v>
      </c>
      <c r="F7" s="39">
        <f>(D7-E7)/E7</f>
        <v>-0.71976647206005007</v>
      </c>
      <c r="G7" s="9">
        <f>+D7+'[2]Monthly Summary'!G7</f>
        <v>4091</v>
      </c>
      <c r="H7" s="9">
        <f>'[1]Monthly Summary'!G7</f>
        <v>5247</v>
      </c>
      <c r="I7" s="85">
        <f>(G7-H7)/H7</f>
        <v>-0.2203163712597675</v>
      </c>
      <c r="J7" s="20"/>
      <c r="K7" s="2"/>
    </row>
    <row r="8" spans="1:14" x14ac:dyDescent="0.2">
      <c r="A8" s="70" t="s">
        <v>7</v>
      </c>
      <c r="B8" s="148">
        <f>SUM(B5:B7)</f>
        <v>1558223</v>
      </c>
      <c r="C8" s="148">
        <f>SUM(C5:C7)</f>
        <v>1561431</v>
      </c>
      <c r="D8" s="148">
        <f>SUM(D5:D7)</f>
        <v>3119654</v>
      </c>
      <c r="E8" s="148">
        <f>SUM(E5:E7)</f>
        <v>3146486</v>
      </c>
      <c r="F8" s="92">
        <f>(D8-E8)/E8</f>
        <v>-8.527608258864016E-3</v>
      </c>
      <c r="G8" s="148">
        <f>SUM(G5:G7)</f>
        <v>31158316</v>
      </c>
      <c r="H8" s="148">
        <f>SUM(H5:H7)</f>
        <v>31106096</v>
      </c>
      <c r="I8" s="91">
        <f>(G8-H8)/H8</f>
        <v>1.6787706178235931E-3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Stats'!K9+'Regional Major'!M10</f>
        <v>52957</v>
      </c>
      <c r="C10" s="297">
        <f>'Major Airline Stats'!K10+'Regional Major'!M11</f>
        <v>53332</v>
      </c>
      <c r="D10" s="120">
        <f>SUM(B10:C10)</f>
        <v>106289</v>
      </c>
      <c r="E10" s="120">
        <f>'[1]Monthly Summary'!D10</f>
        <v>104504</v>
      </c>
      <c r="F10" s="93">
        <f>(D10-E10)/E10</f>
        <v>1.7080685906759551E-2</v>
      </c>
      <c r="G10" s="509">
        <f>+D10+'[2]Monthly Summary'!G10</f>
        <v>1065421</v>
      </c>
      <c r="H10" s="120">
        <f>'[1]Monthly Summary'!G10</f>
        <v>1046946</v>
      </c>
      <c r="I10" s="96">
        <f>(G10-H10)/H10</f>
        <v>1.7646564388230146E-2</v>
      </c>
      <c r="J10" s="264"/>
    </row>
    <row r="11" spans="1:14" ht="15.75" thickBot="1" x14ac:dyDescent="0.3">
      <c r="A11" s="69" t="s">
        <v>13</v>
      </c>
      <c r="B11" s="273">
        <f>B10+B8</f>
        <v>1611180</v>
      </c>
      <c r="C11" s="273">
        <f>C10+C8</f>
        <v>1614763</v>
      </c>
      <c r="D11" s="273">
        <f>D10+D8</f>
        <v>3225943</v>
      </c>
      <c r="E11" s="273">
        <f>E10+E8</f>
        <v>3250990</v>
      </c>
      <c r="F11" s="94">
        <f>(D11-E11)/E11</f>
        <v>-7.7044223451933104E-3</v>
      </c>
      <c r="G11" s="273">
        <f>G8+G10</f>
        <v>32223737</v>
      </c>
      <c r="H11" s="273">
        <f>H8+H10</f>
        <v>32153042</v>
      </c>
      <c r="I11" s="97">
        <f>(G11-H11)/H11</f>
        <v>2.1987033139819244E-3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0" t="s">
        <v>211</v>
      </c>
      <c r="E13" s="520" t="s">
        <v>188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208</v>
      </c>
      <c r="C14" s="449" t="s">
        <v>209</v>
      </c>
      <c r="D14" s="521"/>
      <c r="E14" s="522"/>
      <c r="F14" s="449" t="s">
        <v>2</v>
      </c>
      <c r="G14" s="500" t="s">
        <v>212</v>
      </c>
      <c r="H14" s="500" t="s">
        <v>189</v>
      </c>
      <c r="I14" s="449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Stats'!K15+'Major Airline Stats'!K19</f>
        <v>9550</v>
      </c>
      <c r="C16" s="305">
        <f>'Major Airline Stats'!K16+'Major Airline Stats'!K20</f>
        <v>9539</v>
      </c>
      <c r="D16" s="47">
        <f t="shared" ref="D16:D21" si="0">SUM(B16:C16)</f>
        <v>19089</v>
      </c>
      <c r="E16" s="9">
        <f>'[1]Monthly Summary'!D16</f>
        <v>19601</v>
      </c>
      <c r="F16" s="95">
        <f t="shared" ref="F16:F22" si="1">(D16-E16)/E16</f>
        <v>-2.6121116269578082E-2</v>
      </c>
      <c r="G16" s="9">
        <f>+D16+'[2]Monthly Summary'!G16</f>
        <v>187474</v>
      </c>
      <c r="H16" s="9">
        <f>'[1]Monthly Summary'!G16</f>
        <v>192734</v>
      </c>
      <c r="I16" s="262">
        <f t="shared" ref="I16:I22" si="2">(G16-H16)/H16</f>
        <v>-2.7291500202351427E-2</v>
      </c>
      <c r="N16" s="130"/>
    </row>
    <row r="17" spans="1:12" x14ac:dyDescent="0.2">
      <c r="A17" s="68" t="s">
        <v>5</v>
      </c>
      <c r="B17" s="47">
        <f>'Regional Major'!M15+'Regional Major'!M18</f>
        <v>6124</v>
      </c>
      <c r="C17" s="47">
        <f>'Regional Major'!M16+'Regional Major'!M19</f>
        <v>6119</v>
      </c>
      <c r="D17" s="47">
        <f>SUM(B17:C17)</f>
        <v>12243</v>
      </c>
      <c r="E17" s="9">
        <f>'[1]Monthly Summary'!D17</f>
        <v>12368</v>
      </c>
      <c r="F17" s="95">
        <f t="shared" si="1"/>
        <v>-1.010672703751617E-2</v>
      </c>
      <c r="G17" s="9">
        <f>+D17+'[2]Monthly Summary'!G17</f>
        <v>125460</v>
      </c>
      <c r="H17" s="9">
        <f>'[1]Monthly Summary'!G17</f>
        <v>125839</v>
      </c>
      <c r="I17" s="262">
        <f t="shared" si="2"/>
        <v>-3.011784899752859E-3</v>
      </c>
    </row>
    <row r="18" spans="1:12" x14ac:dyDescent="0.2">
      <c r="A18" s="68" t="s">
        <v>10</v>
      </c>
      <c r="B18" s="47">
        <f>Charter!G10</f>
        <v>0</v>
      </c>
      <c r="C18" s="47">
        <f>Charter!G11</f>
        <v>2</v>
      </c>
      <c r="D18" s="47">
        <f t="shared" si="0"/>
        <v>2</v>
      </c>
      <c r="E18" s="9">
        <f>'[1]Monthly Summary'!D18</f>
        <v>6</v>
      </c>
      <c r="F18" s="95">
        <f t="shared" si="1"/>
        <v>-0.66666666666666663</v>
      </c>
      <c r="G18" s="9">
        <f>+D18+'[2]Monthly Summary'!G18</f>
        <v>32</v>
      </c>
      <c r="H18" s="9">
        <f>'[1]Monthly Summary'!G18</f>
        <v>41</v>
      </c>
      <c r="I18" s="262">
        <f t="shared" si="2"/>
        <v>-0.21951219512195122</v>
      </c>
    </row>
    <row r="19" spans="1:12" x14ac:dyDescent="0.2">
      <c r="A19" s="68" t="s">
        <v>11</v>
      </c>
      <c r="B19" s="47">
        <f>Cargo!N4</f>
        <v>726</v>
      </c>
      <c r="C19" s="47">
        <f>Cargo!N5</f>
        <v>726</v>
      </c>
      <c r="D19" s="47">
        <f t="shared" si="0"/>
        <v>1452</v>
      </c>
      <c r="E19" s="9">
        <f>'[1]Monthly Summary'!D19</f>
        <v>1226</v>
      </c>
      <c r="F19" s="95">
        <f t="shared" si="1"/>
        <v>0.18433931484502447</v>
      </c>
      <c r="G19" s="9">
        <f>+D19+'[2]Monthly Summary'!G19</f>
        <v>12784</v>
      </c>
      <c r="H19" s="9">
        <f>'[1]Monthly Summary'!G19</f>
        <v>12114</v>
      </c>
      <c r="I19" s="262">
        <f t="shared" si="2"/>
        <v>5.53079082053822E-2</v>
      </c>
    </row>
    <row r="20" spans="1:12" x14ac:dyDescent="0.2">
      <c r="A20" s="68" t="s">
        <v>153</v>
      </c>
      <c r="B20" s="47">
        <f>'[3]General Avation'!$FW$4</f>
        <v>937</v>
      </c>
      <c r="C20" s="47">
        <f>'[3]General Avation'!$FW$5</f>
        <v>937</v>
      </c>
      <c r="D20" s="47">
        <f>SUM(B20:C20)</f>
        <v>1874</v>
      </c>
      <c r="E20" s="9">
        <f>'[1]Monthly Summary'!D20</f>
        <v>1923</v>
      </c>
      <c r="F20" s="95">
        <f t="shared" si="1"/>
        <v>-2.5481019240769631E-2</v>
      </c>
      <c r="G20" s="9">
        <f>+D20+'[2]Monthly Summary'!G20</f>
        <v>17320</v>
      </c>
      <c r="H20" s="9">
        <f>'[1]Monthly Summary'!G20</f>
        <v>18906</v>
      </c>
      <c r="I20" s="262">
        <f t="shared" si="2"/>
        <v>-8.3888712578017555E-2</v>
      </c>
    </row>
    <row r="21" spans="1:12" ht="12.75" customHeight="1" x14ac:dyDescent="0.2">
      <c r="A21" s="68" t="s">
        <v>12</v>
      </c>
      <c r="B21" s="18">
        <f>'[3]Military '!$FW$4</f>
        <v>48</v>
      </c>
      <c r="C21" s="18">
        <f>'[3]Military '!$FW$5</f>
        <v>48</v>
      </c>
      <c r="D21" s="18">
        <f t="shared" si="0"/>
        <v>96</v>
      </c>
      <c r="E21" s="120">
        <f>'[1]Monthly Summary'!D21</f>
        <v>66</v>
      </c>
      <c r="F21" s="260">
        <f t="shared" si="1"/>
        <v>0.45454545454545453</v>
      </c>
      <c r="G21" s="120">
        <f>+D21+'[2]Monthly Summary'!G21</f>
        <v>985</v>
      </c>
      <c r="H21" s="120">
        <f>'[1]Monthly Summary'!G21</f>
        <v>579</v>
      </c>
      <c r="I21" s="263">
        <f t="shared" si="2"/>
        <v>0.70120898100172713</v>
      </c>
    </row>
    <row r="22" spans="1:12" ht="15.75" thickBot="1" x14ac:dyDescent="0.3">
      <c r="A22" s="69" t="s">
        <v>28</v>
      </c>
      <c r="B22" s="274">
        <f>SUM(B16:B21)</f>
        <v>17385</v>
      </c>
      <c r="C22" s="274">
        <f>SUM(C16:C21)</f>
        <v>17371</v>
      </c>
      <c r="D22" s="274">
        <f>SUM(D16:D21)</f>
        <v>34756</v>
      </c>
      <c r="E22" s="274">
        <f>SUM(E16:E21)</f>
        <v>35190</v>
      </c>
      <c r="F22" s="270">
        <f t="shared" si="1"/>
        <v>-1.2333049161693662E-2</v>
      </c>
      <c r="G22" s="274">
        <f>SUM(G16:G21)</f>
        <v>344055</v>
      </c>
      <c r="H22" s="274">
        <f>SUM(H16:H21)</f>
        <v>350213</v>
      </c>
      <c r="I22" s="271">
        <f t="shared" si="2"/>
        <v>-1.7583584846936007E-2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0" t="s">
        <v>211</v>
      </c>
      <c r="E24" s="520" t="s">
        <v>188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21"/>
      <c r="E25" s="522"/>
      <c r="F25" s="449" t="s">
        <v>2</v>
      </c>
      <c r="G25" s="500" t="s">
        <v>212</v>
      </c>
      <c r="H25" s="500" t="s">
        <v>189</v>
      </c>
      <c r="I25" s="449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(Cargo!N16+'Major Airline Stats'!K28+'Regional Major'!M25)*0.00045359237</f>
        <v>10947.249547752979</v>
      </c>
      <c r="C27" s="22">
        <f>(Cargo!N21+'Major Airline Stats'!K33+'Regional Major'!M30)*0.00045359237</f>
        <v>8547.9005854511506</v>
      </c>
      <c r="D27" s="22">
        <f>(SUM(B27:C27)+('Cargo Summary'!E17*0.00045359237))</f>
        <v>19495.15013320413</v>
      </c>
      <c r="E27" s="9">
        <f>'[1]Monthly Summary'!D27</f>
        <v>17746.075728458</v>
      </c>
      <c r="F27" s="98">
        <f>(D27-E27)/E27</f>
        <v>9.8561193556797225E-2</v>
      </c>
      <c r="G27" s="9">
        <f>+D27+'[2]Monthly Summary'!G27</f>
        <v>177798.52393571578</v>
      </c>
      <c r="H27" s="9">
        <f>'[1]Monthly Summary'!G27</f>
        <v>168492.50675314903</v>
      </c>
      <c r="I27" s="100">
        <f>(G27-H27)/H27</f>
        <v>5.5231044762130498E-2</v>
      </c>
    </row>
    <row r="28" spans="1:12" x14ac:dyDescent="0.2">
      <c r="A28" s="62" t="s">
        <v>16</v>
      </c>
      <c r="B28" s="22">
        <f>(Cargo!N17+'Major Airline Stats'!K29+'Regional Major'!M26)*0.00045359237</f>
        <v>914.30069710056</v>
      </c>
      <c r="C28" s="22">
        <f>(Cargo!N22+'Major Airline Stats'!K34+'Regional Major'!M31)*0.00045359237</f>
        <v>1334.6379424940101</v>
      </c>
      <c r="D28" s="22">
        <f>SUM(B28:C28)</f>
        <v>2248.9386395945703</v>
      </c>
      <c r="E28" s="9">
        <f>'[1]Monthly Summary'!D28</f>
        <v>2024.08836586187</v>
      </c>
      <c r="F28" s="98">
        <f>(D28-E28)/E28</f>
        <v>0.11108718251881143</v>
      </c>
      <c r="G28" s="120">
        <f>+D28+'[2]Monthly Summary'!G28</f>
        <v>20934.814213825048</v>
      </c>
      <c r="H28" s="9">
        <f>'[1]Monthly Summary'!G28</f>
        <v>20572.560832187206</v>
      </c>
      <c r="I28" s="100">
        <f>(G28-H28)/H28</f>
        <v>1.7608570201482703E-2</v>
      </c>
    </row>
    <row r="29" spans="1:12" ht="15.75" thickBot="1" x14ac:dyDescent="0.3">
      <c r="A29" s="63" t="s">
        <v>62</v>
      </c>
      <c r="B29" s="54">
        <f>SUM(B27:B28)</f>
        <v>11861.550244853539</v>
      </c>
      <c r="C29" s="54">
        <f>SUM(C27:C28)</f>
        <v>9882.5385279451602</v>
      </c>
      <c r="D29" s="54">
        <f>SUM(D27:D28)</f>
        <v>21744.088772798699</v>
      </c>
      <c r="E29" s="54">
        <f>SUM(E27:E28)</f>
        <v>19770.164094319869</v>
      </c>
      <c r="F29" s="99">
        <f>(D29-E29)/E29</f>
        <v>9.9843616323141954E-2</v>
      </c>
      <c r="G29" s="54">
        <f>SUM(G27:G28)</f>
        <v>198733.33814954082</v>
      </c>
      <c r="H29" s="54">
        <f>SUM(H27:H28)</f>
        <v>189065.06758533625</v>
      </c>
      <c r="I29" s="101">
        <f>(G29-H29)/H29</f>
        <v>5.1137265533415972E-2</v>
      </c>
    </row>
    <row r="30" spans="1:12" s="7" customFormat="1" ht="4.5" customHeight="1" thickBot="1" x14ac:dyDescent="0.3">
      <c r="A30" s="59"/>
      <c r="B30" s="386"/>
      <c r="C30" s="386"/>
      <c r="D30" s="386"/>
      <c r="E30" s="386"/>
      <c r="F30" s="275"/>
      <c r="G30" s="386"/>
      <c r="H30" s="386"/>
      <c r="I30" s="275"/>
    </row>
    <row r="31" spans="1:12" ht="13.5" thickBot="1" x14ac:dyDescent="0.25">
      <c r="B31" s="519" t="s">
        <v>149</v>
      </c>
      <c r="C31" s="518"/>
      <c r="D31" s="519" t="s">
        <v>156</v>
      </c>
      <c r="E31" s="518"/>
      <c r="F31" s="409"/>
      <c r="G31" s="410"/>
      <c r="H31" s="408"/>
      <c r="I31" s="408"/>
    </row>
    <row r="32" spans="1:12" x14ac:dyDescent="0.2">
      <c r="A32" s="390" t="s">
        <v>150</v>
      </c>
      <c r="B32" s="391">
        <f>C8-B33</f>
        <v>986307</v>
      </c>
      <c r="C32" s="392">
        <f>B32/C8</f>
        <v>0.63166864241839693</v>
      </c>
      <c r="D32" s="393">
        <f>+B32+'[2]Monthly Summary'!$D$32</f>
        <v>9726972</v>
      </c>
      <c r="E32" s="394">
        <f>+D32/D34</f>
        <v>0.62536735696440526</v>
      </c>
      <c r="G32" s="416"/>
      <c r="H32" s="408"/>
      <c r="I32" s="407"/>
    </row>
    <row r="33" spans="1:14" ht="13.5" thickBot="1" x14ac:dyDescent="0.25">
      <c r="A33" s="395" t="s">
        <v>151</v>
      </c>
      <c r="B33" s="396">
        <f>'Major Airline Stats'!K51+'Regional Major'!M45</f>
        <v>575124</v>
      </c>
      <c r="C33" s="397">
        <f>+B33/C8</f>
        <v>0.36833135758160301</v>
      </c>
      <c r="D33" s="398">
        <f>+B33+'[2]Monthly Summary'!$D$33</f>
        <v>5827041</v>
      </c>
      <c r="E33" s="399">
        <f>+D33/D34</f>
        <v>0.37463264303559474</v>
      </c>
      <c r="G33" s="408"/>
      <c r="H33" s="408"/>
      <c r="I33" s="407"/>
    </row>
    <row r="34" spans="1:14" ht="13.5" thickBot="1" x14ac:dyDescent="0.25">
      <c r="B34" s="309"/>
      <c r="D34" s="400">
        <f>SUM(D32:D33)</f>
        <v>15554013</v>
      </c>
    </row>
    <row r="35" spans="1:14" ht="13.5" thickBot="1" x14ac:dyDescent="0.25">
      <c r="B35" s="517" t="s">
        <v>231</v>
      </c>
      <c r="C35" s="518"/>
      <c r="D35" s="519" t="s">
        <v>213</v>
      </c>
      <c r="E35" s="518"/>
    </row>
    <row r="36" spans="1:14" x14ac:dyDescent="0.2">
      <c r="A36" s="390" t="s">
        <v>150</v>
      </c>
      <c r="B36" s="391">
        <f>'[1]Monthly Summary'!$B$32</f>
        <v>947116</v>
      </c>
      <c r="C36" s="392">
        <f>+B36/B38</f>
        <v>0.60110076185108741</v>
      </c>
      <c r="D36" s="393">
        <f>'[1]Monthly Summary'!$D$32</f>
        <v>9263695</v>
      </c>
      <c r="E36" s="394">
        <f>+D36/D38</f>
        <v>0.59682603597567263</v>
      </c>
    </row>
    <row r="37" spans="1:14" ht="13.5" thickBot="1" x14ac:dyDescent="0.25">
      <c r="A37" s="395" t="s">
        <v>151</v>
      </c>
      <c r="B37" s="396">
        <f>'[1]Monthly Summary'!$B$33</f>
        <v>628520</v>
      </c>
      <c r="C37" s="399">
        <f>+B37/B38</f>
        <v>0.39889923814891259</v>
      </c>
      <c r="D37" s="398">
        <f>'[1]Monthly Summary'!$D$33</f>
        <v>6257905</v>
      </c>
      <c r="E37" s="399">
        <f>+D37/D38</f>
        <v>0.40317396402432737</v>
      </c>
      <c r="M37" s="13"/>
    </row>
    <row r="38" spans="1:14" x14ac:dyDescent="0.2">
      <c r="B38" s="415">
        <f>+SUM(B36:B37)</f>
        <v>1575636</v>
      </c>
      <c r="D38" s="400">
        <f>SUM(D36:D37)</f>
        <v>15521600</v>
      </c>
    </row>
    <row r="39" spans="1:14" x14ac:dyDescent="0.2">
      <c r="A39" s="404" t="s">
        <v>152</v>
      </c>
    </row>
    <row r="40" spans="1:14" x14ac:dyDescent="0.2">
      <c r="A40" s="229" t="s">
        <v>154</v>
      </c>
      <c r="I40" s="2"/>
    </row>
    <row r="41" spans="1:14" x14ac:dyDescent="0.2">
      <c r="N41" s="405"/>
    </row>
    <row r="42" spans="1:14" x14ac:dyDescent="0.2">
      <c r="G42" s="2"/>
      <c r="N42" s="405"/>
    </row>
    <row r="43" spans="1:14" x14ac:dyDescent="0.2">
      <c r="B43" s="309"/>
      <c r="J43" s="2"/>
      <c r="N43" s="405"/>
    </row>
    <row r="44" spans="1:14" x14ac:dyDescent="0.2">
      <c r="B44" s="309"/>
      <c r="N44" s="405"/>
    </row>
    <row r="45" spans="1:14" x14ac:dyDescent="0.2">
      <c r="J45" s="2"/>
      <c r="N45" s="405"/>
    </row>
    <row r="46" spans="1:14" x14ac:dyDescent="0.2">
      <c r="B46" s="2"/>
      <c r="F46" s="309"/>
    </row>
    <row r="47" spans="1:14" x14ac:dyDescent="0.2">
      <c r="N47" s="405"/>
    </row>
    <row r="51" spans="12:12" x14ac:dyDescent="0.2">
      <c r="L51" s="4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10" zoomScaleNormal="100" zoomScaleSheetLayoutView="100" workbookViewId="0">
      <selection activeCell="M34" sqref="M3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8">
        <v>43374</v>
      </c>
      <c r="B1" s="12" t="s">
        <v>18</v>
      </c>
      <c r="C1" s="499" t="s">
        <v>222</v>
      </c>
      <c r="D1" s="423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4" t="s">
        <v>144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6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[3]Delta!$FW$32</f>
        <v>74576</v>
      </c>
      <c r="C4" s="21">
        <f>'[3]Atlantic Southeast'!$FW$32</f>
        <v>0</v>
      </c>
      <c r="D4" s="21">
        <f>[3]Pinnacle!$FW$32</f>
        <v>0</v>
      </c>
      <c r="E4" s="21">
        <f>[3]Compass!$FW$32</f>
        <v>0</v>
      </c>
      <c r="F4" s="21">
        <f>'[3]Sky West'!$FW$32</f>
        <v>12947</v>
      </c>
      <c r="G4" s="21">
        <f>'[3]Go Jet'!$FW$32</f>
        <v>2093</v>
      </c>
      <c r="H4" s="21">
        <f>'[3]Sun Country'!$FW$32</f>
        <v>1578</v>
      </c>
      <c r="I4" s="21">
        <f>[3]Icelandair!$FW$32</f>
        <v>3796</v>
      </c>
      <c r="J4" s="21">
        <f>[3]KLM!$FW$32</f>
        <v>4430</v>
      </c>
      <c r="K4" s="21">
        <f>'[3]Air Georgian'!$FW$32</f>
        <v>0</v>
      </c>
      <c r="L4" s="21">
        <f>'[3]Sky Regional'!$FW$32</f>
        <v>6083</v>
      </c>
      <c r="M4" s="21">
        <f>[3]Condor!$FW$32</f>
        <v>0</v>
      </c>
      <c r="N4" s="21">
        <f>'[3]Air France'!$FW$32</f>
        <v>0</v>
      </c>
      <c r="O4" s="21">
        <f>'[3]Charter Misc'!$FW$32+[3]Ryan!$FW$32+[3]Omni!$FW$32</f>
        <v>0</v>
      </c>
      <c r="P4" s="281">
        <f>SUM(B4:O4)</f>
        <v>105503</v>
      </c>
    </row>
    <row r="5" spans="1:16" x14ac:dyDescent="0.2">
      <c r="A5" s="62" t="s">
        <v>31</v>
      </c>
      <c r="B5" s="14">
        <f>[3]Delta!$FW$33</f>
        <v>69977</v>
      </c>
      <c r="C5" s="14">
        <f>'[3]Atlantic Southeast'!$FW$33</f>
        <v>0</v>
      </c>
      <c r="D5" s="14">
        <f>[3]Pinnacle!$FW$33</f>
        <v>0</v>
      </c>
      <c r="E5" s="14">
        <f>[3]Compass!$FW$33</f>
        <v>0</v>
      </c>
      <c r="F5" s="14">
        <f>'[3]Sky West'!$FW$33</f>
        <v>12513</v>
      </c>
      <c r="G5" s="14">
        <f>'[3]Go Jet'!$FW$33</f>
        <v>1941</v>
      </c>
      <c r="H5" s="14">
        <f>'[3]Sun Country'!$FW$33</f>
        <v>1823</v>
      </c>
      <c r="I5" s="14">
        <f>[3]Icelandair!$FW$33</f>
        <v>3249</v>
      </c>
      <c r="J5" s="14">
        <f>[3]KLM!$FW$33</f>
        <v>3303</v>
      </c>
      <c r="K5" s="14">
        <f>'[3]Air Georgian'!$FW$33</f>
        <v>0</v>
      </c>
      <c r="L5" s="14">
        <f>'[3]Sky Regional'!$FW$33</f>
        <v>5271</v>
      </c>
      <c r="M5" s="14">
        <f>[3]Condor!$FW$33</f>
        <v>0</v>
      </c>
      <c r="N5" s="14">
        <f>'[3]Air France'!$FW$33</f>
        <v>0</v>
      </c>
      <c r="O5" s="14">
        <f>'[3]Charter Misc'!$FW$33++[3]Ryan!$FW$33+[3]Omni!$FW$33</f>
        <v>0</v>
      </c>
      <c r="P5" s="282">
        <f>SUM(B5:O5)</f>
        <v>98077</v>
      </c>
    </row>
    <row r="6" spans="1:16" ht="15" x14ac:dyDescent="0.25">
      <c r="A6" s="60" t="s">
        <v>7</v>
      </c>
      <c r="B6" s="34">
        <f t="shared" ref="B6:O6" si="0">SUM(B4:B5)</f>
        <v>144553</v>
      </c>
      <c r="C6" s="34">
        <f t="shared" si="0"/>
        <v>0</v>
      </c>
      <c r="D6" s="34">
        <f t="shared" si="0"/>
        <v>0</v>
      </c>
      <c r="E6" s="34">
        <f t="shared" si="0"/>
        <v>0</v>
      </c>
      <c r="F6" s="34">
        <f t="shared" si="0"/>
        <v>25460</v>
      </c>
      <c r="G6" s="34">
        <f t="shared" ref="G6" si="1">SUM(G4:G5)</f>
        <v>4034</v>
      </c>
      <c r="H6" s="34">
        <f t="shared" si="0"/>
        <v>3401</v>
      </c>
      <c r="I6" s="34">
        <f t="shared" si="0"/>
        <v>7045</v>
      </c>
      <c r="J6" s="34">
        <f t="shared" ref="J6" si="2">SUM(J4:J5)</f>
        <v>7733</v>
      </c>
      <c r="K6" s="34">
        <f t="shared" si="0"/>
        <v>0</v>
      </c>
      <c r="L6" s="34">
        <f t="shared" ref="L6" si="3">SUM(L4:L5)</f>
        <v>11354</v>
      </c>
      <c r="M6" s="34">
        <f t="shared" ref="M6" si="4">SUM(M4:M5)</f>
        <v>0</v>
      </c>
      <c r="N6" s="34">
        <f t="shared" si="0"/>
        <v>0</v>
      </c>
      <c r="O6" s="34">
        <f t="shared" si="0"/>
        <v>0</v>
      </c>
      <c r="P6" s="283">
        <f>SUM(B6:O6)</f>
        <v>203580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[3]Delta!$FW$37</f>
        <v>2311</v>
      </c>
      <c r="C9" s="21">
        <f>'[3]Atlantic Southeast'!$FW$37</f>
        <v>0</v>
      </c>
      <c r="D9" s="21">
        <f>[3]Pinnacle!$FW$37</f>
        <v>0</v>
      </c>
      <c r="E9" s="21">
        <f>[3]Compass!$FW$37</f>
        <v>0</v>
      </c>
      <c r="F9" s="21">
        <f>'[3]Sky West'!$FW$37</f>
        <v>167</v>
      </c>
      <c r="G9" s="21">
        <f>'[3]Go Jet'!$FW$37</f>
        <v>23</v>
      </c>
      <c r="H9" s="21">
        <f>'[3]Sun Country'!$FW$37</f>
        <v>18</v>
      </c>
      <c r="I9" s="21">
        <f>[3]Icelandair!$FW$37</f>
        <v>53</v>
      </c>
      <c r="J9" s="21">
        <f>[3]KLM!$FW$37</f>
        <v>8</v>
      </c>
      <c r="K9" s="21">
        <f>'[3]Air Georgian'!$FW$37</f>
        <v>0</v>
      </c>
      <c r="L9" s="21">
        <f>'[3]Sky Regional'!$FW$37</f>
        <v>71</v>
      </c>
      <c r="M9" s="21">
        <f>[3]Condor!$FW$37</f>
        <v>0</v>
      </c>
      <c r="N9" s="21">
        <f>'[3]Air France'!$FW$37</f>
        <v>0</v>
      </c>
      <c r="O9" s="21">
        <f>'[3]Charter Misc'!$FW$37+[3]Ryan!$FW$37+[3]Omni!$FW$37</f>
        <v>0</v>
      </c>
      <c r="P9" s="281">
        <f>SUM(B9:O9)</f>
        <v>2651</v>
      </c>
    </row>
    <row r="10" spans="1:16" x14ac:dyDescent="0.2">
      <c r="A10" s="62" t="s">
        <v>33</v>
      </c>
      <c r="B10" s="14">
        <f>[3]Delta!$FW$38</f>
        <v>1979</v>
      </c>
      <c r="C10" s="14">
        <f>'[3]Atlantic Southeast'!$FW$38</f>
        <v>0</v>
      </c>
      <c r="D10" s="14">
        <f>[3]Pinnacle!$FW$38</f>
        <v>0</v>
      </c>
      <c r="E10" s="14">
        <f>[3]Compass!$FW$38</f>
        <v>0</v>
      </c>
      <c r="F10" s="14">
        <f>'[3]Sky West'!$FW$38</f>
        <v>143</v>
      </c>
      <c r="G10" s="14">
        <f>'[3]Go Jet'!$FW$38</f>
        <v>23</v>
      </c>
      <c r="H10" s="14">
        <f>'[3]Sun Country'!$FW$38</f>
        <v>23</v>
      </c>
      <c r="I10" s="14">
        <f>[3]Icelandair!$FW$38</f>
        <v>49</v>
      </c>
      <c r="J10" s="14">
        <f>[3]KLM!$FW$38</f>
        <v>15</v>
      </c>
      <c r="K10" s="14">
        <f>'[3]Air Georgian'!$FW$38</f>
        <v>0</v>
      </c>
      <c r="L10" s="14">
        <f>'[3]Sky Regional'!$FW$38</f>
        <v>82</v>
      </c>
      <c r="M10" s="14">
        <f>[3]Condor!$FW$38</f>
        <v>0</v>
      </c>
      <c r="N10" s="14">
        <f>'[3]Air France'!$FW$38</f>
        <v>0</v>
      </c>
      <c r="O10" s="14">
        <f>'[3]Charter Misc'!$FW$38+[3]Ryan!$FW$38+[3]Omni!$FW$38</f>
        <v>0</v>
      </c>
      <c r="P10" s="282">
        <f>SUM(B10:O10)</f>
        <v>2314</v>
      </c>
    </row>
    <row r="11" spans="1:16" ht="15.75" thickBot="1" x14ac:dyDescent="0.3">
      <c r="A11" s="63" t="s">
        <v>34</v>
      </c>
      <c r="B11" s="284">
        <f t="shared" ref="B11:H11" si="5">SUM(B9:B10)</f>
        <v>4290</v>
      </c>
      <c r="C11" s="284">
        <f t="shared" si="5"/>
        <v>0</v>
      </c>
      <c r="D11" s="284">
        <f t="shared" si="5"/>
        <v>0</v>
      </c>
      <c r="E11" s="284">
        <f t="shared" si="5"/>
        <v>0</v>
      </c>
      <c r="F11" s="284">
        <f t="shared" si="5"/>
        <v>310</v>
      </c>
      <c r="G11" s="284">
        <f t="shared" ref="G11" si="6">SUM(G9:G10)</f>
        <v>46</v>
      </c>
      <c r="H11" s="284">
        <f t="shared" si="5"/>
        <v>41</v>
      </c>
      <c r="I11" s="284">
        <f t="shared" ref="I11:O11" si="7">SUM(I9:I10)</f>
        <v>102</v>
      </c>
      <c r="J11" s="284">
        <f t="shared" ref="J11" si="8">SUM(J9:J10)</f>
        <v>23</v>
      </c>
      <c r="K11" s="284">
        <f t="shared" si="7"/>
        <v>0</v>
      </c>
      <c r="L11" s="284">
        <f t="shared" ref="L11" si="9">SUM(L9:L10)</f>
        <v>153</v>
      </c>
      <c r="M11" s="284">
        <f t="shared" si="7"/>
        <v>0</v>
      </c>
      <c r="N11" s="284">
        <f t="shared" si="7"/>
        <v>0</v>
      </c>
      <c r="O11" s="284">
        <f t="shared" si="7"/>
        <v>0</v>
      </c>
      <c r="P11" s="285">
        <f>SUM(B11:O11)</f>
        <v>4965</v>
      </c>
    </row>
    <row r="12" spans="1:16" ht="15" x14ac:dyDescent="0.25">
      <c r="A12" s="383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80"/>
    </row>
    <row r="13" spans="1:16" ht="39" thickBot="1" x14ac:dyDescent="0.25">
      <c r="B13" s="12" t="s">
        <v>18</v>
      </c>
      <c r="C13" s="499" t="s">
        <v>222</v>
      </c>
      <c r="D13" s="423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7" t="s">
        <v>146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9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SUM([3]Delta!$FN$32:$FW$32)</f>
        <v>821241</v>
      </c>
      <c r="C16" s="21">
        <f>SUM('[3]Atlantic Southeast'!$FN$32:$FW$32)</f>
        <v>2369</v>
      </c>
      <c r="D16" s="21">
        <f>SUM([3]Pinnacle!$FN$32:$FW$32)</f>
        <v>46095</v>
      </c>
      <c r="E16" s="21">
        <f>SUM([3]Compass!$FN$32:$FW$32)</f>
        <v>0</v>
      </c>
      <c r="F16" s="21">
        <f>SUM('[3]Sky West'!$FN$32:$FW$32)</f>
        <v>112289</v>
      </c>
      <c r="G16" s="21">
        <f>SUM('[3]Go Jet'!$FN$32:$FW$32)</f>
        <v>20949</v>
      </c>
      <c r="H16" s="21">
        <f>SUM('[3]Sun Country'!$FN$32:$FW$32)</f>
        <v>127849</v>
      </c>
      <c r="I16" s="21">
        <f>SUM([3]Icelandair!$FN$32:$FW$32)</f>
        <v>40673</v>
      </c>
      <c r="J16" s="21">
        <f>SUM([3]KLM!$FN$32:$FW$32)</f>
        <v>37655</v>
      </c>
      <c r="K16" s="21">
        <f>SUM('[3]Air Georgian'!$FN$32:$FW$32)</f>
        <v>0</v>
      </c>
      <c r="L16" s="21">
        <f>SUM('[3]Sky Regional'!$FN$32:$FW$32)</f>
        <v>50993</v>
      </c>
      <c r="M16" s="21">
        <f>SUM([3]Condor!$FN$32:$FW$32)</f>
        <v>14023</v>
      </c>
      <c r="N16" s="21">
        <f>SUM('[3]Air France'!$FN$32:$FW$32)</f>
        <v>29502</v>
      </c>
      <c r="O16" s="21">
        <f>SUM('[3]Charter Misc'!$FN$32:$FW$32)+SUM([3]Ryan!$FN$32:$FW$32)+SUM([3]Omni!$FN$32:$FW$32)</f>
        <v>37</v>
      </c>
      <c r="P16" s="281">
        <f>SUM(B16:O16)</f>
        <v>1303675</v>
      </c>
    </row>
    <row r="17" spans="1:19" x14ac:dyDescent="0.2">
      <c r="A17" s="62" t="s">
        <v>31</v>
      </c>
      <c r="B17" s="14">
        <f>SUM([3]Delta!$FN$33:$FW$33)</f>
        <v>799341</v>
      </c>
      <c r="C17" s="14">
        <f>SUM('[3]Atlantic Southeast'!$FN$33:$FW$33)</f>
        <v>3166</v>
      </c>
      <c r="D17" s="14">
        <f>SUM([3]Pinnacle!$FN$33:$FW$33)</f>
        <v>46645</v>
      </c>
      <c r="E17" s="14">
        <f>SUM([3]Compass!$FN$33:$FW$33)</f>
        <v>0</v>
      </c>
      <c r="F17" s="14">
        <f>SUM('[3]Sky West'!$FN$33:$FW$33)</f>
        <v>114772</v>
      </c>
      <c r="G17" s="14">
        <f>SUM('[3]Go Jet'!$FN$33:$FW$33)</f>
        <v>19785</v>
      </c>
      <c r="H17" s="14">
        <f>SUM('[3]Sun Country'!$FN$33:$FW$33)</f>
        <v>121954</v>
      </c>
      <c r="I17" s="14">
        <f>SUM([3]Icelandair!$FN$33:$FW$33)</f>
        <v>41285</v>
      </c>
      <c r="J17" s="14">
        <f>SUM([3]KLM!$FN$33:$FW$33)</f>
        <v>33725</v>
      </c>
      <c r="K17" s="14">
        <f>SUM('[3]Air Georgian'!$FN$33:$FW$33)</f>
        <v>0</v>
      </c>
      <c r="L17" s="14">
        <f>SUM('[3]Sky Regional'!$FN$33:$FW$33)</f>
        <v>49595</v>
      </c>
      <c r="M17" s="14">
        <f>SUM([3]Condor!$FN$33:$FW$33)</f>
        <v>14817</v>
      </c>
      <c r="N17" s="14">
        <f>SUM('[3]Air France'!$FN$33:$FW$33)</f>
        <v>26538</v>
      </c>
      <c r="O17" s="14">
        <f>SUM('[3]Charter Misc'!$FN$33:$FW$33)++SUM([3]Ryan!$FN$33:$FW$33)+SUM([3]Omni!$FN$33:$FW$33)</f>
        <v>0</v>
      </c>
      <c r="P17" s="282">
        <f>SUM(B17:O17)</f>
        <v>1271623</v>
      </c>
    </row>
    <row r="18" spans="1:19" ht="15" x14ac:dyDescent="0.25">
      <c r="A18" s="60" t="s">
        <v>7</v>
      </c>
      <c r="B18" s="34">
        <f t="shared" ref="B18:O18" si="10">SUM(B16:B17)</f>
        <v>1620582</v>
      </c>
      <c r="C18" s="34">
        <f t="shared" si="10"/>
        <v>5535</v>
      </c>
      <c r="D18" s="34">
        <f t="shared" si="10"/>
        <v>92740</v>
      </c>
      <c r="E18" s="34">
        <f t="shared" si="10"/>
        <v>0</v>
      </c>
      <c r="F18" s="34">
        <f t="shared" si="10"/>
        <v>227061</v>
      </c>
      <c r="G18" s="34">
        <f t="shared" ref="G18" si="11">SUM(G16:G17)</f>
        <v>40734</v>
      </c>
      <c r="H18" s="34">
        <f t="shared" si="10"/>
        <v>249803</v>
      </c>
      <c r="I18" s="34">
        <f t="shared" si="10"/>
        <v>81958</v>
      </c>
      <c r="J18" s="34">
        <f t="shared" ref="J18" si="12">SUM(J16:J17)</f>
        <v>71380</v>
      </c>
      <c r="K18" s="34">
        <f t="shared" si="10"/>
        <v>0</v>
      </c>
      <c r="L18" s="34">
        <f t="shared" ref="L18" si="13">SUM(L16:L17)</f>
        <v>100588</v>
      </c>
      <c r="M18" s="34">
        <f t="shared" ref="M18" si="14">SUM(M16:M17)</f>
        <v>28840</v>
      </c>
      <c r="N18" s="34">
        <f t="shared" si="10"/>
        <v>56040</v>
      </c>
      <c r="O18" s="34">
        <f t="shared" si="10"/>
        <v>37</v>
      </c>
      <c r="P18" s="283">
        <f>SUM(B18:O18)</f>
        <v>2575298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SUM([3]Delta!$FN$37:$FW$37)</f>
        <v>40204</v>
      </c>
      <c r="C21" s="21">
        <f>SUM('[3]Atlantic Southeast'!$FN$37:$FW$37)</f>
        <v>48</v>
      </c>
      <c r="D21" s="21">
        <f>SUM([3]Pinnacle!$FN$37:$FW$37)</f>
        <v>763</v>
      </c>
      <c r="E21" s="21">
        <f>SUM([3]Compass!$FN$37:$FW$37)</f>
        <v>0</v>
      </c>
      <c r="F21" s="21">
        <f>SUM('[3]Sky West'!$FN$37:$FW$37)</f>
        <v>1163</v>
      </c>
      <c r="G21" s="21">
        <f>SUM('[3]Go Jet'!$FN$37:$FW$37)</f>
        <v>328</v>
      </c>
      <c r="H21" s="21">
        <f>SUM('[3]Sun Country'!$FN$37:$FW$37)</f>
        <v>805</v>
      </c>
      <c r="I21" s="21">
        <f>SUM([3]Icelandair!$FN$37:$FW$37)</f>
        <v>583</v>
      </c>
      <c r="J21" s="21">
        <f>SUM([3]KLM!$FN$37:$FW$37)</f>
        <v>246</v>
      </c>
      <c r="K21" s="21">
        <f>SUM('[3]Air Georgian'!$FN$37:$FW$37)</f>
        <v>0</v>
      </c>
      <c r="L21" s="21">
        <f>SUM('[3]Sky Regional'!$FN$37:$FW$37)</f>
        <v>577</v>
      </c>
      <c r="M21" s="21">
        <f>SUM([3]Condor!$FN$37:$FW$37)</f>
        <v>18</v>
      </c>
      <c r="N21" s="21">
        <f>SUM('[3]Air France'!$FN$37:$FW$37)</f>
        <v>61</v>
      </c>
      <c r="O21" s="21">
        <f>SUM('[3]Charter Misc'!$FN$37:$FW$37)++SUM([3]Ryan!$FN$37:$FW$37)+SUM([3]Omni!$FN$37:$FW$37)</f>
        <v>0</v>
      </c>
      <c r="P21" s="281">
        <f>SUM(B21:O21)</f>
        <v>44796</v>
      </c>
    </row>
    <row r="22" spans="1:19" x14ac:dyDescent="0.2">
      <c r="A22" s="62" t="s">
        <v>33</v>
      </c>
      <c r="B22" s="14">
        <f>SUM([3]Delta!$FN$38:$FW$38)</f>
        <v>21922</v>
      </c>
      <c r="C22" s="14">
        <f>SUM('[3]Atlantic Southeast'!$FN$38:$FW$38)</f>
        <v>35</v>
      </c>
      <c r="D22" s="14">
        <f>SUM([3]Pinnacle!$FN$38:$FW$38)</f>
        <v>818</v>
      </c>
      <c r="E22" s="14">
        <f>SUM([3]Compass!$FN$38:$FW$38)</f>
        <v>0</v>
      </c>
      <c r="F22" s="14">
        <f>SUM('[3]Sky West'!$FN$38:$FW$38)</f>
        <v>1145</v>
      </c>
      <c r="G22" s="14">
        <f>SUM('[3]Go Jet'!$FN$38:$FW$38)</f>
        <v>360</v>
      </c>
      <c r="H22" s="14">
        <f>SUM('[3]Sun Country'!$FN$38:$FW$38)</f>
        <v>975</v>
      </c>
      <c r="I22" s="14">
        <f>SUM([3]Icelandair!$FN$38:$FW$38)</f>
        <v>626</v>
      </c>
      <c r="J22" s="14">
        <f>SUM([3]KLM!$FN$38:$FW$38)</f>
        <v>207</v>
      </c>
      <c r="K22" s="14">
        <f>SUM('[3]Air Georgian'!$FN$38:$FW$38)</f>
        <v>0</v>
      </c>
      <c r="L22" s="14">
        <f>SUM('[3]Sky Regional'!$FN$38:$FW$38)</f>
        <v>617</v>
      </c>
      <c r="M22" s="14">
        <f>SUM([3]Condor!$FN$38:$FW$38)</f>
        <v>19</v>
      </c>
      <c r="N22" s="14">
        <f>SUM('[3]Air France'!$FN$38:$FW$38)</f>
        <v>50</v>
      </c>
      <c r="O22" s="14">
        <f>SUM('[3]Charter Misc'!$FN$38:$FW$38)++SUM([3]Ryan!$FN$38:$FW$38)+SUM([3]Omni!$FN$38:$FW$38)</f>
        <v>0</v>
      </c>
      <c r="P22" s="282">
        <f>SUM(B22:O22)</f>
        <v>26774</v>
      </c>
    </row>
    <row r="23" spans="1:19" ht="15.75" thickBot="1" x14ac:dyDescent="0.3">
      <c r="A23" s="63" t="s">
        <v>34</v>
      </c>
      <c r="B23" s="284">
        <f t="shared" ref="B23:O23" si="15">SUM(B21:B22)</f>
        <v>62126</v>
      </c>
      <c r="C23" s="284">
        <f t="shared" si="15"/>
        <v>83</v>
      </c>
      <c r="D23" s="284">
        <f t="shared" si="15"/>
        <v>1581</v>
      </c>
      <c r="E23" s="284">
        <f t="shared" si="15"/>
        <v>0</v>
      </c>
      <c r="F23" s="284">
        <f t="shared" si="15"/>
        <v>2308</v>
      </c>
      <c r="G23" s="284">
        <f t="shared" ref="G23" si="16">SUM(G21:G22)</f>
        <v>688</v>
      </c>
      <c r="H23" s="284">
        <f t="shared" si="15"/>
        <v>1780</v>
      </c>
      <c r="I23" s="284">
        <f t="shared" si="15"/>
        <v>1209</v>
      </c>
      <c r="J23" s="284">
        <f t="shared" ref="J23" si="17">SUM(J21:J22)</f>
        <v>453</v>
      </c>
      <c r="K23" s="284">
        <f t="shared" si="15"/>
        <v>0</v>
      </c>
      <c r="L23" s="284">
        <f t="shared" ref="L23" si="18">SUM(L21:L22)</f>
        <v>1194</v>
      </c>
      <c r="M23" s="284">
        <f t="shared" ref="M23" si="19">SUM(M21:M22)</f>
        <v>37</v>
      </c>
      <c r="N23" s="284">
        <f t="shared" si="15"/>
        <v>111</v>
      </c>
      <c r="O23" s="284">
        <f t="shared" si="15"/>
        <v>0</v>
      </c>
      <c r="P23" s="285">
        <f>SUM(B23:O23)</f>
        <v>71570</v>
      </c>
    </row>
    <row r="25" spans="1:19" ht="39" thickBot="1" x14ac:dyDescent="0.25">
      <c r="B25" s="12" t="s">
        <v>18</v>
      </c>
      <c r="C25" s="499" t="s">
        <v>222</v>
      </c>
      <c r="D25" s="423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60" t="s">
        <v>147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2"/>
    </row>
    <row r="27" spans="1:19" x14ac:dyDescent="0.2">
      <c r="A27" s="62" t="s">
        <v>22</v>
      </c>
      <c r="B27" s="21">
        <f>[3]Delta!$FW$15</f>
        <v>465</v>
      </c>
      <c r="C27" s="21">
        <f>'[3]Atlantic Southeast'!$FW$15</f>
        <v>0</v>
      </c>
      <c r="D27" s="21">
        <f>[3]Pinnacle!$FW$15</f>
        <v>0</v>
      </c>
      <c r="E27" s="21">
        <f>[3]Compass!$FW$15</f>
        <v>0</v>
      </c>
      <c r="F27" s="21">
        <f>'[3]Sky West'!$FW$15</f>
        <v>198</v>
      </c>
      <c r="G27" s="21">
        <f>'[3]Go Jet'!$FW$15</f>
        <v>31</v>
      </c>
      <c r="H27" s="21">
        <f>'[3]Sun Country'!$FW$15</f>
        <v>17</v>
      </c>
      <c r="I27" s="21">
        <f>[3]Icelandair!$FW$15</f>
        <v>24</v>
      </c>
      <c r="J27" s="21">
        <f>[3]KLM!$FW$15</f>
        <v>18</v>
      </c>
      <c r="K27" s="21">
        <f>'[3]Air Georgian'!$FW$15</f>
        <v>0</v>
      </c>
      <c r="L27" s="21">
        <f>'[3]Sky Regional'!$FW$15</f>
        <v>93</v>
      </c>
      <c r="M27" s="21">
        <f>[3]Condor!$FW$15</f>
        <v>0</v>
      </c>
      <c r="N27" s="21">
        <f>'[3]Air France'!$FW$15</f>
        <v>0</v>
      </c>
      <c r="O27" s="21">
        <f>'[3]Charter Misc'!$FW$15+[3]Ryan!$FW$15+[3]Omni!$FW$15</f>
        <v>0</v>
      </c>
      <c r="P27" s="281">
        <f>SUM(B27:O27)</f>
        <v>846</v>
      </c>
    </row>
    <row r="28" spans="1:19" x14ac:dyDescent="0.2">
      <c r="A28" s="62" t="s">
        <v>23</v>
      </c>
      <c r="B28" s="21">
        <f>[3]Delta!$FW$16</f>
        <v>463</v>
      </c>
      <c r="C28" s="21">
        <f>'[3]Atlantic Southeast'!$FW$16</f>
        <v>0</v>
      </c>
      <c r="D28" s="21">
        <f>[3]Pinnacle!$FW$16</f>
        <v>0</v>
      </c>
      <c r="E28" s="21">
        <f>[3]Compass!$FW$16</f>
        <v>0</v>
      </c>
      <c r="F28" s="21">
        <f>'[3]Sky West'!$FW$16</f>
        <v>197</v>
      </c>
      <c r="G28" s="21">
        <f>'[3]Go Jet'!$FW$16</f>
        <v>31</v>
      </c>
      <c r="H28" s="21">
        <f>'[3]Sun Country'!$FW$16</f>
        <v>15</v>
      </c>
      <c r="I28" s="21">
        <f>[3]Icelandair!$FW$16</f>
        <v>24</v>
      </c>
      <c r="J28" s="21">
        <f>[3]KLM!$FW$16</f>
        <v>18</v>
      </c>
      <c r="K28" s="21">
        <f>'[3]Air Georgian'!$FW$16</f>
        <v>0</v>
      </c>
      <c r="L28" s="21">
        <f>'[3]Sky Regional'!$FW$16</f>
        <v>93</v>
      </c>
      <c r="M28" s="21">
        <f>[3]Condor!$FW$16</f>
        <v>0</v>
      </c>
      <c r="N28" s="21">
        <f>'[3]Air France'!$FW$16</f>
        <v>0</v>
      </c>
      <c r="O28" s="21">
        <f>'[3]Charter Misc'!$FW$16+[3]Ryan!$FW$16+[3]Omni!$FW$16</f>
        <v>0</v>
      </c>
      <c r="P28" s="281">
        <f>SUM(B28:O28)</f>
        <v>841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1">
        <f t="shared" ref="B30:K30" si="20">SUM(B27:B28)</f>
        <v>928</v>
      </c>
      <c r="C30" s="381">
        <f t="shared" si="20"/>
        <v>0</v>
      </c>
      <c r="D30" s="381">
        <f t="shared" si="20"/>
        <v>0</v>
      </c>
      <c r="E30" s="381">
        <f t="shared" si="20"/>
        <v>0</v>
      </c>
      <c r="F30" s="381">
        <f>SUM(F27:F28)</f>
        <v>395</v>
      </c>
      <c r="G30" s="381">
        <f>SUM(G27:G28)</f>
        <v>62</v>
      </c>
      <c r="H30" s="381">
        <f t="shared" si="20"/>
        <v>32</v>
      </c>
      <c r="I30" s="381">
        <f t="shared" si="20"/>
        <v>48</v>
      </c>
      <c r="J30" s="381">
        <f t="shared" ref="J30" si="21">SUM(J27:J28)</f>
        <v>36</v>
      </c>
      <c r="K30" s="381">
        <f t="shared" si="20"/>
        <v>0</v>
      </c>
      <c r="L30" s="381">
        <f t="shared" ref="L30" si="22">SUM(L27:L28)</f>
        <v>186</v>
      </c>
      <c r="M30" s="381">
        <f>SUM(M27:M28)</f>
        <v>0</v>
      </c>
      <c r="N30" s="381">
        <f>SUM(N27:N28)</f>
        <v>0</v>
      </c>
      <c r="O30" s="381">
        <f>SUM(O27:O28)</f>
        <v>0</v>
      </c>
      <c r="P30" s="382">
        <f>SUM(B30:O30)</f>
        <v>1687</v>
      </c>
    </row>
    <row r="31" spans="1:19" ht="15" x14ac:dyDescent="0.25">
      <c r="A31" s="383"/>
    </row>
    <row r="32" spans="1:19" ht="39" thickBot="1" x14ac:dyDescent="0.25">
      <c r="B32" s="12" t="s">
        <v>18</v>
      </c>
      <c r="C32" s="499" t="s">
        <v>222</v>
      </c>
      <c r="D32" s="423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3" t="s">
        <v>148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5"/>
    </row>
    <row r="34" spans="1:16" x14ac:dyDescent="0.2">
      <c r="A34" s="62" t="s">
        <v>22</v>
      </c>
      <c r="B34" s="21">
        <f>SUM([3]Delta!$FN$15:$FW$15)</f>
        <v>4923</v>
      </c>
      <c r="C34" s="21">
        <f>SUM('[3]Atlantic Southeast'!$FN$15:$FW$15)</f>
        <v>45</v>
      </c>
      <c r="D34" s="21">
        <f>SUM([3]Pinnacle!$FN$15:$FW$15)</f>
        <v>714</v>
      </c>
      <c r="E34" s="21">
        <f>SUM([3]Compass!$FN$15:$FW$15)</f>
        <v>1</v>
      </c>
      <c r="F34" s="21">
        <f>SUM('[3]Sky West'!$FN$15:$FW$15)</f>
        <v>1793</v>
      </c>
      <c r="G34" s="21">
        <f>SUM('[3]Go Jet'!$FN$15:$FW$15)</f>
        <v>327</v>
      </c>
      <c r="H34" s="21">
        <f>SUM('[3]Sun Country'!$FN$15:$FW$15)</f>
        <v>1051</v>
      </c>
      <c r="I34" s="21">
        <f>SUM([3]Icelandair!$FN$15:$FW$15)</f>
        <v>282</v>
      </c>
      <c r="J34" s="21">
        <f>SUM([3]KLM!$FN$15:$FW$15)</f>
        <v>153</v>
      </c>
      <c r="K34" s="21">
        <f>SUM('[3]Air Georgian'!$FN$15:$FW$15)</f>
        <v>0</v>
      </c>
      <c r="L34" s="21">
        <f>SUM('[3]Sky Regional'!$FN$15:$FW$15)</f>
        <v>867</v>
      </c>
      <c r="M34" s="21">
        <f>SUM([3]Condor!$FN$15:$FW$15)</f>
        <v>59</v>
      </c>
      <c r="N34" s="21">
        <f>SUM('[3]Air France'!$FN$15:$FW$15)</f>
        <v>126</v>
      </c>
      <c r="O34" s="21">
        <f>SUM('[3]Charter Misc'!$FN$15:$FW$15)+SUM([3]Ryan!$FN$15:$FW$15)+SUM([3]Omni!$FN$15:$FW$15)</f>
        <v>0</v>
      </c>
      <c r="P34" s="281">
        <f>SUM(B34:O34)</f>
        <v>10341</v>
      </c>
    </row>
    <row r="35" spans="1:16" x14ac:dyDescent="0.2">
      <c r="A35" s="62" t="s">
        <v>23</v>
      </c>
      <c r="B35" s="21">
        <f>SUM([3]Delta!$FN$16:$FW$16)</f>
        <v>4947</v>
      </c>
      <c r="C35" s="21">
        <f>SUM('[3]Atlantic Southeast'!$FN$16:$FW$16)</f>
        <v>54</v>
      </c>
      <c r="D35" s="21">
        <f>SUM([3]Pinnacle!$FN$16:$FW$16)</f>
        <v>714</v>
      </c>
      <c r="E35" s="21">
        <f>SUM([3]Compass!$FN$16:$FW$16)</f>
        <v>0</v>
      </c>
      <c r="F35" s="21">
        <f>SUM('[3]Sky West'!$FN$16:$FW$16)</f>
        <v>1801</v>
      </c>
      <c r="G35" s="21">
        <f>SUM('[3]Go Jet'!$FN$16:$FW$16)</f>
        <v>318</v>
      </c>
      <c r="H35" s="21">
        <f>SUM('[3]Sun Country'!$FN$16:$FW$16)</f>
        <v>1042</v>
      </c>
      <c r="I35" s="21">
        <f>SUM([3]Icelandair!$FN$16:$FW$16)</f>
        <v>282</v>
      </c>
      <c r="J35" s="21">
        <f>SUM([3]KLM!$FN$16:$FW$16)</f>
        <v>153</v>
      </c>
      <c r="K35" s="21">
        <f>SUM('[3]Air Georgian'!$FN$16:$FW$16)</f>
        <v>0</v>
      </c>
      <c r="L35" s="21">
        <f>SUM('[3]Sky Regional'!$FN$16:$FW$16)</f>
        <v>867</v>
      </c>
      <c r="M35" s="21">
        <f>SUM([3]Condor!$FN$16:$FW$16)</f>
        <v>60</v>
      </c>
      <c r="N35" s="21">
        <f>SUM('[3]Air France'!$FN$16:$FW$16)</f>
        <v>126</v>
      </c>
      <c r="O35" s="21">
        <f>SUM('[3]Charter Misc'!$FN$16:$FW$16)+SUM([3]Ryan!$FN$16:$FW$16)+SUM([3]Omni!$FN$16:$FW$16)</f>
        <v>0</v>
      </c>
      <c r="P35" s="281">
        <f>SUM(B35:O35)</f>
        <v>10364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1">
        <f t="shared" ref="B37:K37" si="23">+SUM(B34:B35)</f>
        <v>9870</v>
      </c>
      <c r="C37" s="381">
        <f t="shared" si="23"/>
        <v>99</v>
      </c>
      <c r="D37" s="381">
        <f t="shared" si="23"/>
        <v>1428</v>
      </c>
      <c r="E37" s="381">
        <f t="shared" si="23"/>
        <v>1</v>
      </c>
      <c r="F37" s="381">
        <f>+SUM(F34:F35)</f>
        <v>3594</v>
      </c>
      <c r="G37" s="381">
        <f>+SUM(G34:G35)</f>
        <v>645</v>
      </c>
      <c r="H37" s="381">
        <f t="shared" si="23"/>
        <v>2093</v>
      </c>
      <c r="I37" s="381">
        <f t="shared" si="23"/>
        <v>564</v>
      </c>
      <c r="J37" s="381">
        <f t="shared" ref="J37" si="24">+SUM(J34:J35)</f>
        <v>306</v>
      </c>
      <c r="K37" s="381">
        <f t="shared" si="23"/>
        <v>0</v>
      </c>
      <c r="L37" s="381">
        <f t="shared" ref="L37" si="25">+SUM(L34:L35)</f>
        <v>1734</v>
      </c>
      <c r="M37" s="381">
        <f>+SUM(M34:M35)</f>
        <v>119</v>
      </c>
      <c r="N37" s="381">
        <f>+SUM(N34:N35)</f>
        <v>252</v>
      </c>
      <c r="O37" s="381">
        <f>+SUM(O34:O35)</f>
        <v>0</v>
      </c>
      <c r="P37" s="382">
        <f>SUM(B37:O37)</f>
        <v>20705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&amp;"Arial,Bold"October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703"/>
  <sheetViews>
    <sheetView topLeftCell="A28" zoomScaleNormal="100" zoomScaleSheetLayoutView="85" workbookViewId="0">
      <selection activeCell="S58" sqref="S58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9" t="s">
        <v>135</v>
      </c>
      <c r="B1" s="570"/>
      <c r="C1" s="452" t="s">
        <v>217</v>
      </c>
      <c r="D1" s="453" t="s">
        <v>192</v>
      </c>
      <c r="E1" s="267" t="s">
        <v>98</v>
      </c>
      <c r="F1" s="266" t="s">
        <v>218</v>
      </c>
      <c r="G1" s="453" t="s">
        <v>193</v>
      </c>
      <c r="H1" s="265" t="s">
        <v>99</v>
      </c>
      <c r="I1" s="267" t="s">
        <v>140</v>
      </c>
      <c r="J1" s="575" t="s">
        <v>139</v>
      </c>
      <c r="K1" s="576"/>
      <c r="L1" s="450" t="s">
        <v>219</v>
      </c>
      <c r="M1" s="451" t="s">
        <v>194</v>
      </c>
      <c r="N1" s="341" t="s">
        <v>99</v>
      </c>
      <c r="O1" s="491" t="s">
        <v>220</v>
      </c>
      <c r="P1" s="268" t="s">
        <v>195</v>
      </c>
      <c r="Q1" s="487" t="s">
        <v>99</v>
      </c>
      <c r="R1" s="492" t="s">
        <v>221</v>
      </c>
    </row>
    <row r="2" spans="1:19" s="224" customFormat="1" ht="13.5" customHeight="1" thickBot="1" x14ac:dyDescent="0.25">
      <c r="A2" s="571">
        <v>43374</v>
      </c>
      <c r="B2" s="572"/>
      <c r="C2" s="573" t="s">
        <v>9</v>
      </c>
      <c r="D2" s="574"/>
      <c r="E2" s="574"/>
      <c r="F2" s="574"/>
      <c r="G2" s="574"/>
      <c r="H2" s="574"/>
      <c r="I2" s="454"/>
      <c r="J2" s="571">
        <f>+A2</f>
        <v>43374</v>
      </c>
      <c r="K2" s="572"/>
      <c r="L2" s="566" t="s">
        <v>141</v>
      </c>
      <c r="M2" s="567"/>
      <c r="N2" s="567"/>
      <c r="O2" s="567"/>
      <c r="P2" s="567"/>
      <c r="Q2" s="567"/>
      <c r="R2" s="568"/>
    </row>
    <row r="3" spans="1:19" x14ac:dyDescent="0.2">
      <c r="A3" s="342"/>
      <c r="B3" s="343"/>
      <c r="C3" s="344"/>
      <c r="D3" s="345"/>
      <c r="E3" s="346"/>
      <c r="F3" s="411"/>
      <c r="G3" s="412"/>
      <c r="H3" s="484"/>
      <c r="I3" s="346"/>
      <c r="J3" s="347"/>
      <c r="K3" s="343"/>
      <c r="L3" s="493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186</v>
      </c>
      <c r="D4" s="352">
        <f>SUM(D5:D7)</f>
        <v>184</v>
      </c>
      <c r="E4" s="353">
        <f>(C4-D4)/D4</f>
        <v>1.0869565217391304E-2</v>
      </c>
      <c r="F4" s="350">
        <f>SUM(F5:F7)</f>
        <v>1734</v>
      </c>
      <c r="G4" s="352">
        <f>SUM(G5:G7)</f>
        <v>1763</v>
      </c>
      <c r="H4" s="351">
        <f>(F4-G4)/G4</f>
        <v>-1.6449234259784458E-2</v>
      </c>
      <c r="I4" s="353">
        <f>F4/$F$66</f>
        <v>5.5411045140508859E-3</v>
      </c>
      <c r="J4" s="349" t="s">
        <v>101</v>
      </c>
      <c r="K4" s="55"/>
      <c r="L4" s="350">
        <f>SUM(L5:L7)</f>
        <v>11354</v>
      </c>
      <c r="M4" s="352">
        <f>SUM(M5:M7)</f>
        <v>10235</v>
      </c>
      <c r="N4" s="353">
        <f>(L4-M4)/M4</f>
        <v>0.10933072789447973</v>
      </c>
      <c r="O4" s="350">
        <f>SUM(O5:O7)</f>
        <v>100588</v>
      </c>
      <c r="P4" s="352">
        <f>SUM(P5:P7)</f>
        <v>86596</v>
      </c>
      <c r="Q4" s="351">
        <f>(O4-P4)/P4</f>
        <v>0.16157790198161578</v>
      </c>
      <c r="R4" s="353">
        <f>O4/$O$66</f>
        <v>3.2287113545594538E-3</v>
      </c>
      <c r="S4" s="20"/>
    </row>
    <row r="5" spans="1:19" ht="14.1" customHeight="1" x14ac:dyDescent="0.2">
      <c r="A5" s="349"/>
      <c r="B5" s="425" t="s">
        <v>101</v>
      </c>
      <c r="C5" s="354">
        <f>+[3]AirCanada!$FW$19</f>
        <v>0</v>
      </c>
      <c r="D5" s="9">
        <f>+[3]AirCanada!$FI$19</f>
        <v>0</v>
      </c>
      <c r="E5" s="86" t="e">
        <f>(C5-D5)/D5</f>
        <v>#DIV/0!</v>
      </c>
      <c r="F5" s="295">
        <f>SUM([3]AirCanada!$FN$19:$FW$19)</f>
        <v>0</v>
      </c>
      <c r="G5" s="295">
        <f>SUM([3]AirCanada!$EZ$19:$FI$19)</f>
        <v>0</v>
      </c>
      <c r="H5" s="432" t="e">
        <f>(F5-G5)/G5</f>
        <v>#DIV/0!</v>
      </c>
      <c r="I5" s="86">
        <f>F5/$F$66</f>
        <v>0</v>
      </c>
      <c r="J5" s="349"/>
      <c r="K5" s="425" t="s">
        <v>101</v>
      </c>
      <c r="L5" s="431">
        <f>+[3]AirCanada!$FW$41</f>
        <v>0</v>
      </c>
      <c r="M5" s="295">
        <f>+[3]AirCanada!$FI$41</f>
        <v>0</v>
      </c>
      <c r="N5" s="433" t="e">
        <f>(L5-M5)/M5</f>
        <v>#DIV/0!</v>
      </c>
      <c r="O5" s="431">
        <f>SUM([3]AirCanada!$FN$41:$FW$41)</f>
        <v>0</v>
      </c>
      <c r="P5" s="295">
        <f>SUM([3]AirCanada!$EZ$41:$FI$41)</f>
        <v>0</v>
      </c>
      <c r="Q5" s="432" t="e">
        <f>(O5-P5)/P5</f>
        <v>#DIV/0!</v>
      </c>
      <c r="R5" s="433">
        <f>O5/$O$66</f>
        <v>0</v>
      </c>
      <c r="S5" s="20"/>
    </row>
    <row r="6" spans="1:19" ht="14.1" customHeight="1" x14ac:dyDescent="0.2">
      <c r="A6" s="349"/>
      <c r="B6" s="425" t="s">
        <v>172</v>
      </c>
      <c r="C6" s="354">
        <f>'[3]Air Georgian'!$FW$19</f>
        <v>0</v>
      </c>
      <c r="D6" s="9">
        <f>'[3]Air Georgian'!$FI$19</f>
        <v>0</v>
      </c>
      <c r="E6" s="86" t="e">
        <f>(C6-D6)/D6</f>
        <v>#DIV/0!</v>
      </c>
      <c r="F6" s="295">
        <f>SUM('[3]Air Georgian'!$FN$19:$FW$19)</f>
        <v>0</v>
      </c>
      <c r="G6" s="295">
        <f>SUM('[3]Air Georgian'!$EZ$19:$FI$19)</f>
        <v>935</v>
      </c>
      <c r="H6" s="432">
        <f>(F6-G6)/G6</f>
        <v>-1</v>
      </c>
      <c r="I6" s="86">
        <f>F6/$F$66</f>
        <v>0</v>
      </c>
      <c r="J6" s="349"/>
      <c r="K6" s="425" t="s">
        <v>172</v>
      </c>
      <c r="L6" s="354">
        <f>'[3]Air Georgian'!$FW$41</f>
        <v>0</v>
      </c>
      <c r="M6" s="9">
        <f>'[3]Air Georgian'!$FI$41</f>
        <v>0</v>
      </c>
      <c r="N6" s="86" t="e">
        <f>(L6-M6)/M6</f>
        <v>#DIV/0!</v>
      </c>
      <c r="O6" s="354">
        <f>SUM('[3]Air Georgian'!$FN$41:$FW$41)</f>
        <v>0</v>
      </c>
      <c r="P6" s="9">
        <f>SUM('[3]Air Georgian'!$EZ$41:$FI$41)</f>
        <v>37149</v>
      </c>
      <c r="Q6" s="39">
        <f>(O6-P6)/P6</f>
        <v>-1</v>
      </c>
      <c r="R6" s="86">
        <f>O6/$O$66</f>
        <v>0</v>
      </c>
      <c r="S6" s="20"/>
    </row>
    <row r="7" spans="1:19" ht="14.1" customHeight="1" x14ac:dyDescent="0.2">
      <c r="A7" s="349"/>
      <c r="B7" s="425" t="s">
        <v>214</v>
      </c>
      <c r="C7" s="354">
        <f>'[3]Sky Regional'!$FW$19</f>
        <v>186</v>
      </c>
      <c r="D7" s="9">
        <f>'[3]Sky Regional'!$FI$19</f>
        <v>184</v>
      </c>
      <c r="E7" s="86">
        <f>(C7-D7)/D7</f>
        <v>1.0869565217391304E-2</v>
      </c>
      <c r="F7" s="295">
        <f>SUM('[3]Sky Regional'!$FN$19:$FW$19)</f>
        <v>1734</v>
      </c>
      <c r="G7" s="295">
        <f>SUM('[3]Sky Regional'!$EZ$19:$FI$19)</f>
        <v>828</v>
      </c>
      <c r="H7" s="432">
        <f>(F7-G7)/G7</f>
        <v>1.0942028985507246</v>
      </c>
      <c r="I7" s="86">
        <f>F7/$F$66</f>
        <v>5.5411045140508859E-3</v>
      </c>
      <c r="J7" s="349"/>
      <c r="K7" s="425" t="s">
        <v>214</v>
      </c>
      <c r="L7" s="354">
        <f>'[3]Sky Regional'!$FW$41</f>
        <v>11354</v>
      </c>
      <c r="M7" s="9">
        <f>'[3]Sky Regional'!$FI$41</f>
        <v>10235</v>
      </c>
      <c r="N7" s="86">
        <f>(L7-M7)/M7</f>
        <v>0.10933072789447973</v>
      </c>
      <c r="O7" s="354">
        <f>SUM('[3]Sky Regional'!$FN$41:$FW$41)</f>
        <v>100588</v>
      </c>
      <c r="P7" s="9">
        <f>SUM('[3]Sky Regional'!$EZ$41:$FI$41)</f>
        <v>49447</v>
      </c>
      <c r="Q7" s="39">
        <f>(O7-P7)/P7</f>
        <v>1.0342589034724048</v>
      </c>
      <c r="R7" s="86">
        <f>O7/$O$66</f>
        <v>3.2287113545594538E-3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One'!$FW$19</f>
        <v>202</v>
      </c>
      <c r="D9" s="352">
        <f>'[3]Air Choice One'!$FI$19</f>
        <v>256</v>
      </c>
      <c r="E9" s="353">
        <f>(C9-D9)/D9</f>
        <v>-0.2109375</v>
      </c>
      <c r="F9" s="352">
        <f>SUM('[3]Air Choice One'!$FN$19:$FW$19)</f>
        <v>1974</v>
      </c>
      <c r="G9" s="352">
        <f>SUM('[3]Air Choice One'!$EZ$19:$FI$19)</f>
        <v>2474</v>
      </c>
      <c r="H9" s="351">
        <f>(F9-G9)/G9</f>
        <v>-0.20210185933710589</v>
      </c>
      <c r="I9" s="353">
        <f>F9/$F$66</f>
        <v>6.3080393948883786E-3</v>
      </c>
      <c r="J9" s="349" t="s">
        <v>196</v>
      </c>
      <c r="K9" s="55"/>
      <c r="L9" s="350">
        <f>'[3]Air Choice One'!$FW$41</f>
        <v>850</v>
      </c>
      <c r="M9" s="352">
        <f>'[3]Air Choice One'!$FI$41</f>
        <v>806</v>
      </c>
      <c r="N9" s="353">
        <f>(L9-M9)/M9</f>
        <v>5.4590570719602979E-2</v>
      </c>
      <c r="O9" s="350">
        <f>SUM('[3]Air Choice One'!$FN$41:$FW$41)</f>
        <v>8324</v>
      </c>
      <c r="P9" s="352">
        <f>SUM('[3]Air Choice One'!$EZ$41:$FI$41)</f>
        <v>8323</v>
      </c>
      <c r="Q9" s="351">
        <f>(O9-P9)/P9</f>
        <v>1.2014898474107894E-4</v>
      </c>
      <c r="R9" s="353">
        <f>O9/$O$66</f>
        <v>2.6718687433245408E-4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France'!$FW$19</f>
        <v>0</v>
      </c>
      <c r="D11" s="352">
        <f>'[3]Air France'!$FI$19</f>
        <v>0</v>
      </c>
      <c r="E11" s="353" t="e">
        <f>(C11-D11)/D11</f>
        <v>#DIV/0!</v>
      </c>
      <c r="F11" s="352">
        <f>SUM('[3]Air France'!$FN$19:$FW$19)</f>
        <v>252</v>
      </c>
      <c r="G11" s="352">
        <f>SUM('[3]Air France'!$EZ$19:$FI$19)</f>
        <v>256</v>
      </c>
      <c r="H11" s="351">
        <f>(F11-G11)/G11</f>
        <v>-1.5625E-2</v>
      </c>
      <c r="I11" s="353">
        <f>F11/$F$66</f>
        <v>8.0528162487936757E-4</v>
      </c>
      <c r="J11" s="349" t="s">
        <v>162</v>
      </c>
      <c r="K11" s="55"/>
      <c r="L11" s="350">
        <f>'[3]Air France'!$FW$41</f>
        <v>0</v>
      </c>
      <c r="M11" s="352">
        <f>'[3]Air France'!$FI$41</f>
        <v>0</v>
      </c>
      <c r="N11" s="353" t="e">
        <f>(L11-M11)/M11</f>
        <v>#DIV/0!</v>
      </c>
      <c r="O11" s="350">
        <f>SUM('[3]Air France'!$FN$41:$FW$41)</f>
        <v>56040</v>
      </c>
      <c r="P11" s="352">
        <f>SUM('[3]Air France'!$EZ$41:$FI$41)</f>
        <v>63570</v>
      </c>
      <c r="Q11" s="351">
        <f>(O11-P11)/P11</f>
        <v>-0.11845210004719207</v>
      </c>
      <c r="R11" s="353">
        <f>O11/$O$66</f>
        <v>1.7987929406043642E-3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248</v>
      </c>
      <c r="D13" s="352">
        <f>SUM(D14:D16)</f>
        <v>308</v>
      </c>
      <c r="E13" s="353">
        <f>(C13-D13)/D13</f>
        <v>-0.19480519480519481</v>
      </c>
      <c r="F13" s="352">
        <f>SUM(F14:F16)</f>
        <v>3002</v>
      </c>
      <c r="G13" s="352">
        <f>SUM(G14:G16)</f>
        <v>2356</v>
      </c>
      <c r="H13" s="351">
        <f>(F13-G13)/G13</f>
        <v>0.27419354838709675</v>
      </c>
      <c r="I13" s="353">
        <f>F13/$F$66</f>
        <v>9.5930771344756409E-3</v>
      </c>
      <c r="J13" s="349" t="s">
        <v>131</v>
      </c>
      <c r="K13" s="55"/>
      <c r="L13" s="350">
        <f>SUM(L14:L16)</f>
        <v>27841</v>
      </c>
      <c r="M13" s="352">
        <f>SUM(M14:M16)</f>
        <v>29503</v>
      </c>
      <c r="N13" s="353">
        <f>(L13-M13)/M13</f>
        <v>-5.6333254245330984E-2</v>
      </c>
      <c r="O13" s="350">
        <f>SUM(O14:O16)</f>
        <v>301439</v>
      </c>
      <c r="P13" s="352">
        <f>SUM(P14:P16)</f>
        <v>259813</v>
      </c>
      <c r="Q13" s="351">
        <f>(O13-P13)/P13</f>
        <v>0.16021523172435559</v>
      </c>
      <c r="R13" s="353">
        <f>O13/$O$66</f>
        <v>9.6757020917708596E-3</v>
      </c>
      <c r="S13" s="20"/>
    </row>
    <row r="14" spans="1:19" ht="14.1" customHeight="1" x14ac:dyDescent="0.2">
      <c r="A14" s="349"/>
      <c r="B14" s="425" t="s">
        <v>131</v>
      </c>
      <c r="C14" s="431">
        <f>[3]Alaska!$FW$19</f>
        <v>126</v>
      </c>
      <c r="D14" s="295">
        <f>[3]Alaska!$FI$19</f>
        <v>124</v>
      </c>
      <c r="E14" s="433">
        <f>(C14-D14)/D14</f>
        <v>1.6129032258064516E-2</v>
      </c>
      <c r="F14" s="295">
        <f>SUM([3]Alaska!$FN$19:$FW$19)</f>
        <v>1194</v>
      </c>
      <c r="G14" s="295">
        <f>SUM([3]Alaska!$EZ$19:$FI$19)</f>
        <v>1335</v>
      </c>
      <c r="H14" s="432">
        <f>(F14-G14)/G14</f>
        <v>-0.10561797752808989</v>
      </c>
      <c r="I14" s="433">
        <f>F14/$F$66</f>
        <v>3.815501032166527E-3</v>
      </c>
      <c r="J14" s="349"/>
      <c r="K14" s="425" t="s">
        <v>131</v>
      </c>
      <c r="L14" s="431">
        <f>[3]Alaska!$FW$41</f>
        <v>19950</v>
      </c>
      <c r="M14" s="295">
        <f>[3]Alaska!$FI$41</f>
        <v>17799</v>
      </c>
      <c r="N14" s="433">
        <f>(L14-M14)/M14</f>
        <v>0.12084948592617563</v>
      </c>
      <c r="O14" s="431">
        <f>SUM([3]Alaska!$FN$41:$FW$41)</f>
        <v>183723</v>
      </c>
      <c r="P14" s="295">
        <f>SUM([3]Alaska!$EZ$41:$FI$41)</f>
        <v>196275</v>
      </c>
      <c r="Q14" s="432">
        <f>(O14-P14)/P14</f>
        <v>-6.3951089033244174E-2</v>
      </c>
      <c r="R14" s="433">
        <f>O14/$O$66</f>
        <v>5.8972097684984945E-3</v>
      </c>
      <c r="S14" s="20"/>
    </row>
    <row r="15" spans="1:19" ht="14.1" customHeight="1" x14ac:dyDescent="0.2">
      <c r="A15" s="349"/>
      <c r="B15" s="425" t="s">
        <v>100</v>
      </c>
      <c r="C15" s="354">
        <f>'[3]Sky West_AS'!$FW$19</f>
        <v>0</v>
      </c>
      <c r="D15" s="9">
        <f>'[3]Sky West_AS'!$FI$19</f>
        <v>184</v>
      </c>
      <c r="E15" s="86">
        <f>(C15-D15)/D15</f>
        <v>-1</v>
      </c>
      <c r="F15" s="9">
        <f>SUM('[3]Sky West_AS'!$FN$19:$FW$19)</f>
        <v>694</v>
      </c>
      <c r="G15" s="9">
        <f>SUM('[3]Sky West_AS'!$EZ$19:$FI$19)</f>
        <v>1021</v>
      </c>
      <c r="H15" s="39">
        <f>(F15-G15)/G15</f>
        <v>-0.32027424094025464</v>
      </c>
      <c r="I15" s="86">
        <f>F15/$F$66</f>
        <v>2.2177200304217505E-3</v>
      </c>
      <c r="J15" s="349"/>
      <c r="K15" s="425" t="s">
        <v>100</v>
      </c>
      <c r="L15" s="354">
        <f>'[3]Sky West_AS'!$FW$41</f>
        <v>0</v>
      </c>
      <c r="M15" s="9">
        <f>'[3]Sky West_AS'!$FI$41</f>
        <v>11704</v>
      </c>
      <c r="N15" s="86">
        <f>(L15-M15)/M15</f>
        <v>-1</v>
      </c>
      <c r="O15" s="354">
        <f>SUM('[3]Sky West_AS'!$FN$41:$FW$41)</f>
        <v>45980</v>
      </c>
      <c r="P15" s="9">
        <f>SUM('[3]Sky West_AS'!$EZ$41:$FI$41)</f>
        <v>63538</v>
      </c>
      <c r="Q15" s="39">
        <f>(O15-P15)/P15</f>
        <v>-0.27633856904529575</v>
      </c>
      <c r="R15" s="433">
        <f>O15/$O$66</f>
        <v>1.4758832870982988E-3</v>
      </c>
      <c r="S15" s="20"/>
    </row>
    <row r="16" spans="1:19" ht="14.1" customHeight="1" x14ac:dyDescent="0.2">
      <c r="A16" s="349"/>
      <c r="B16" s="425" t="s">
        <v>215</v>
      </c>
      <c r="C16" s="354">
        <f>[3]Horizon_AS!$FW$19</f>
        <v>122</v>
      </c>
      <c r="D16" s="9">
        <f>[3]Horizon_AS!$FI$19</f>
        <v>0</v>
      </c>
      <c r="E16" s="86" t="e">
        <f>(C16-D16)/D16</f>
        <v>#DIV/0!</v>
      </c>
      <c r="F16" s="9">
        <f>SUM([3]Horizon_AS!$FN$19:$FW$19)</f>
        <v>1114</v>
      </c>
      <c r="G16" s="9">
        <f>SUM([3]Horizon_AS!$EZ$19:$FI$19)</f>
        <v>0</v>
      </c>
      <c r="H16" s="39" t="e">
        <f>(F16-G16)/G16</f>
        <v>#DIV/0!</v>
      </c>
      <c r="I16" s="86">
        <f>F16/$F$66</f>
        <v>3.5598560718873629E-3</v>
      </c>
      <c r="J16" s="349"/>
      <c r="K16" s="425" t="s">
        <v>215</v>
      </c>
      <c r="L16" s="354">
        <f>[3]Horizon_AS!$FW$41</f>
        <v>7891</v>
      </c>
      <c r="M16" s="9">
        <f>[3]Horizon_AS!$FI$41</f>
        <v>0</v>
      </c>
      <c r="N16" s="86" t="e">
        <f>(L16-M16)/M16</f>
        <v>#DIV/0!</v>
      </c>
      <c r="O16" s="354">
        <f>SUM([3]Horizon_AS!$FN$41:$FW$41)</f>
        <v>71736</v>
      </c>
      <c r="P16" s="9">
        <f>SUM([3]Horizon_AS!$EZ$41:$FI$41)</f>
        <v>0</v>
      </c>
      <c r="Q16" s="39" t="e">
        <f>(O16-P16)/P16</f>
        <v>#DIV/0!</v>
      </c>
      <c r="R16" s="433">
        <f>O16/$O$66</f>
        <v>2.3026090361740661E-3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1"/>
      <c r="C18" s="350">
        <f>SUM(C19:C25)</f>
        <v>1807</v>
      </c>
      <c r="D18" s="352">
        <f>SUM(D19:D25)</f>
        <v>1893</v>
      </c>
      <c r="E18" s="353">
        <f t="shared" ref="E18:E25" si="0">(C18-D18)/D18</f>
        <v>-4.5430533544638142E-2</v>
      </c>
      <c r="F18" s="350">
        <f>SUM(F19:F25)</f>
        <v>17371</v>
      </c>
      <c r="G18" s="352">
        <f>SUM(G19:G25)</f>
        <v>19328</v>
      </c>
      <c r="H18" s="351">
        <f t="shared" ref="H18:H25" si="1">(F18-G18)/G18</f>
        <v>-0.10125206953642384</v>
      </c>
      <c r="I18" s="353">
        <f t="shared" ref="I18:I25" si="2">F18/$F$66</f>
        <v>5.5510107562617039E-2</v>
      </c>
      <c r="J18" s="349" t="s">
        <v>17</v>
      </c>
      <c r="K18" s="357"/>
      <c r="L18" s="350">
        <f>SUM(L19:L25)</f>
        <v>186153</v>
      </c>
      <c r="M18" s="352">
        <f>SUM(M19:M25)</f>
        <v>204220</v>
      </c>
      <c r="N18" s="353">
        <f t="shared" ref="N18:N25" si="3">(L18-M18)/M18</f>
        <v>-8.8468318480070515E-2</v>
      </c>
      <c r="O18" s="350">
        <f>SUM(O19:O25)</f>
        <v>1789843</v>
      </c>
      <c r="P18" s="352">
        <f>SUM(P19:P25)</f>
        <v>2004963</v>
      </c>
      <c r="Q18" s="351">
        <f t="shared" ref="Q18:Q25" si="4">(O18-P18)/P18</f>
        <v>-0.10729375055799034</v>
      </c>
      <c r="R18" s="353">
        <f t="shared" ref="R18:R25" si="5">O18/$O$66</f>
        <v>5.7451051984120934E-2</v>
      </c>
      <c r="S18" s="20"/>
    </row>
    <row r="19" spans="1:22" ht="14.1" customHeight="1" x14ac:dyDescent="0.2">
      <c r="A19" s="53"/>
      <c r="B19" s="359" t="s">
        <v>17</v>
      </c>
      <c r="C19" s="354">
        <f>[3]American!$FW$19</f>
        <v>1267</v>
      </c>
      <c r="D19" s="9">
        <f>[3]American!$FI$19</f>
        <v>1335</v>
      </c>
      <c r="E19" s="86">
        <f t="shared" si="0"/>
        <v>-5.0936329588014979E-2</v>
      </c>
      <c r="F19" s="9">
        <f>SUM([3]American!$FN$19:$FW$19)</f>
        <v>12055</v>
      </c>
      <c r="G19" s="9">
        <f>SUM([3]American!$EZ$19:$FI$19)</f>
        <v>14760</v>
      </c>
      <c r="H19" s="39">
        <f t="shared" si="1"/>
        <v>-0.18326558265582657</v>
      </c>
      <c r="I19" s="86">
        <f t="shared" si="2"/>
        <v>3.8522499952066573E-2</v>
      </c>
      <c r="J19" s="53"/>
      <c r="K19" s="358" t="s">
        <v>17</v>
      </c>
      <c r="L19" s="354">
        <f>[3]American!$FW$41</f>
        <v>154703</v>
      </c>
      <c r="M19" s="9">
        <f>[3]American!$FI$41</f>
        <v>172592</v>
      </c>
      <c r="N19" s="86">
        <f t="shared" si="3"/>
        <v>-0.10364906832298136</v>
      </c>
      <c r="O19" s="354">
        <f>SUM([3]American!$FN$41:$FW$41)</f>
        <v>1487652</v>
      </c>
      <c r="P19" s="9">
        <f>SUM([3]American!$EZ$41:$FI$41)</f>
        <v>1771711</v>
      </c>
      <c r="Q19" s="39">
        <f t="shared" si="4"/>
        <v>-0.16033032475386788</v>
      </c>
      <c r="R19" s="86">
        <f t="shared" si="5"/>
        <v>4.7751211914274873E-2</v>
      </c>
      <c r="S19" s="20"/>
    </row>
    <row r="20" spans="1:22" ht="14.1" customHeight="1" x14ac:dyDescent="0.2">
      <c r="A20" s="53"/>
      <c r="B20" s="426" t="s">
        <v>173</v>
      </c>
      <c r="C20" s="354">
        <f>'[3]American Eagle'!$FW$19</f>
        <v>12</v>
      </c>
      <c r="D20" s="9">
        <f>'[3]American Eagle'!$FI$19</f>
        <v>6</v>
      </c>
      <c r="E20" s="86">
        <f t="shared" si="0"/>
        <v>1</v>
      </c>
      <c r="F20" s="9">
        <f>SUM('[3]American Eagle'!$FN$19:$FW$19)</f>
        <v>390</v>
      </c>
      <c r="G20" s="9">
        <f>SUM('[3]American Eagle'!$EZ$19:$FI$19)</f>
        <v>132</v>
      </c>
      <c r="H20" s="39">
        <f t="shared" si="1"/>
        <v>1.9545454545454546</v>
      </c>
      <c r="I20" s="86">
        <f t="shared" si="2"/>
        <v>1.246269181360926E-3</v>
      </c>
      <c r="J20" s="53"/>
      <c r="K20" s="424" t="s">
        <v>173</v>
      </c>
      <c r="L20" s="354">
        <f>'[3]American Eagle'!$FW$41</f>
        <v>459</v>
      </c>
      <c r="M20" s="9">
        <f>'[3]American Eagle'!$FI$41</f>
        <v>374</v>
      </c>
      <c r="N20" s="86">
        <f t="shared" si="3"/>
        <v>0.22727272727272727</v>
      </c>
      <c r="O20" s="354">
        <f>SUM('[3]American Eagle'!$FN$41:$FW$41)</f>
        <v>23484</v>
      </c>
      <c r="P20" s="9">
        <f>SUM('[3]American Eagle'!$EZ$41:$FI$41)</f>
        <v>6859</v>
      </c>
      <c r="Q20" s="39">
        <f t="shared" si="4"/>
        <v>2.4238227146814406</v>
      </c>
      <c r="R20" s="86">
        <f t="shared" si="5"/>
        <v>7.5379824084855266E-4</v>
      </c>
      <c r="S20" s="20"/>
    </row>
    <row r="21" spans="1:22" ht="14.1" customHeight="1" x14ac:dyDescent="0.2">
      <c r="A21" s="53"/>
      <c r="B21" s="426" t="s">
        <v>52</v>
      </c>
      <c r="C21" s="354">
        <f>[3]Republic!$FW$19</f>
        <v>460</v>
      </c>
      <c r="D21" s="9">
        <f>[3]Republic!$FI$19</f>
        <v>349</v>
      </c>
      <c r="E21" s="86">
        <f t="shared" si="0"/>
        <v>0.31805157593123207</v>
      </c>
      <c r="F21" s="9">
        <f>SUM([3]Republic!$FN$19:$FW$19)</f>
        <v>4223</v>
      </c>
      <c r="G21" s="9">
        <f>SUM([3]Republic!$EZ$19:$FI$19)</f>
        <v>3756</v>
      </c>
      <c r="H21" s="39">
        <f t="shared" si="1"/>
        <v>0.12433439829605963</v>
      </c>
      <c r="I21" s="86">
        <f t="shared" si="2"/>
        <v>1.3494858340736385E-2</v>
      </c>
      <c r="J21" s="363"/>
      <c r="K21" s="360" t="s">
        <v>52</v>
      </c>
      <c r="L21" s="354">
        <f>[3]Republic!$FW$41</f>
        <v>27236</v>
      </c>
      <c r="M21" s="9">
        <f>[3]Republic!$FI$41</f>
        <v>19496</v>
      </c>
      <c r="N21" s="86">
        <f t="shared" si="3"/>
        <v>0.39700451374640949</v>
      </c>
      <c r="O21" s="354">
        <f>SUM([3]Republic!$FN$41:$FW$41)</f>
        <v>239678</v>
      </c>
      <c r="P21" s="9">
        <f>SUM([3]Republic!$EZ$41:$FI$41)</f>
        <v>191813</v>
      </c>
      <c r="Q21" s="39">
        <f t="shared" si="4"/>
        <v>0.24953991648115612</v>
      </c>
      <c r="R21" s="86">
        <f t="shared" si="5"/>
        <v>7.6932743472193582E-3</v>
      </c>
      <c r="S21" s="20"/>
    </row>
    <row r="22" spans="1:22" ht="14.1" customHeight="1" x14ac:dyDescent="0.2">
      <c r="A22" s="53"/>
      <c r="B22" s="426" t="s">
        <v>200</v>
      </c>
      <c r="C22" s="354">
        <f>[3]PSA!$FW$19</f>
        <v>0</v>
      </c>
      <c r="D22" s="9">
        <f>[3]PSA!$FI$19</f>
        <v>113</v>
      </c>
      <c r="E22" s="86">
        <f t="shared" si="0"/>
        <v>-1</v>
      </c>
      <c r="F22" s="9">
        <f>SUM([3]PSA!$FN$19:$FW$19)</f>
        <v>178</v>
      </c>
      <c r="G22" s="9">
        <f>SUM([3]PSA!$EZ$19:$FI$19)</f>
        <v>511</v>
      </c>
      <c r="H22" s="39">
        <f t="shared" si="1"/>
        <v>-0.65166340508806264</v>
      </c>
      <c r="I22" s="86">
        <f t="shared" si="2"/>
        <v>5.6881003662114058E-4</v>
      </c>
      <c r="J22" s="363"/>
      <c r="K22" s="426" t="s">
        <v>200</v>
      </c>
      <c r="L22" s="354">
        <f>[3]PSA!$FW$41</f>
        <v>0</v>
      </c>
      <c r="M22" s="9">
        <f>[3]PSA!$FI$41</f>
        <v>5871</v>
      </c>
      <c r="N22" s="86">
        <f t="shared" si="3"/>
        <v>-1</v>
      </c>
      <c r="O22" s="354">
        <f>SUM([3]PSA!$FN$41:$FW$41)</f>
        <v>7565</v>
      </c>
      <c r="P22" s="9">
        <f>SUM([3]PSA!$EZ$41:$FI$41)</f>
        <v>24619</v>
      </c>
      <c r="Q22" s="39">
        <f t="shared" si="4"/>
        <v>-0.69271700718956908</v>
      </c>
      <c r="R22" s="86">
        <f t="shared" si="5"/>
        <v>2.4282420763154918E-4</v>
      </c>
      <c r="S22" s="20"/>
    </row>
    <row r="23" spans="1:22" ht="14.1" customHeight="1" x14ac:dyDescent="0.2">
      <c r="A23" s="53"/>
      <c r="B23" s="425" t="s">
        <v>100</v>
      </c>
      <c r="C23" s="354">
        <f>'[3]Sky West_AA'!$FW$19</f>
        <v>68</v>
      </c>
      <c r="D23" s="9">
        <f>'[3]Sky West_AA'!$FI$19</f>
        <v>90</v>
      </c>
      <c r="E23" s="86">
        <f>(C23-D23)/D23</f>
        <v>-0.24444444444444444</v>
      </c>
      <c r="F23" s="9">
        <f>SUM('[3]Sky West_AA'!$FN$19:$FW$19)</f>
        <v>525</v>
      </c>
      <c r="G23" s="9">
        <f>SUM('[3]Sky West_AA'!$EZ$19:$FI$19)</f>
        <v>167</v>
      </c>
      <c r="H23" s="39">
        <f>(F23-G23)/G23</f>
        <v>2.1437125748502992</v>
      </c>
      <c r="I23" s="86">
        <f t="shared" si="2"/>
        <v>1.6776700518320157E-3</v>
      </c>
      <c r="J23" s="363"/>
      <c r="K23" s="425" t="s">
        <v>100</v>
      </c>
      <c r="L23" s="354">
        <f>'[3]Sky West_AA'!$FW$41</f>
        <v>3755</v>
      </c>
      <c r="M23" s="9">
        <f>'[3]Sky West_AA'!$FI$41</f>
        <v>5887</v>
      </c>
      <c r="N23" s="86">
        <f>(L23-M23)/M23</f>
        <v>-0.36215389842024798</v>
      </c>
      <c r="O23" s="354">
        <f>SUM('[3]Sky West_AA'!$FN$41:$FW$41)</f>
        <v>31464</v>
      </c>
      <c r="P23" s="9">
        <f>SUM('[3]Sky West_AA'!$EZ$41:$FI$41)</f>
        <v>9871</v>
      </c>
      <c r="Q23" s="39">
        <f>(O23-P23)/P23</f>
        <v>2.1875189950359641</v>
      </c>
      <c r="R23" s="433">
        <f t="shared" si="5"/>
        <v>1.0099432741466044E-3</v>
      </c>
      <c r="S23" s="20"/>
    </row>
    <row r="24" spans="1:22" ht="14.1" customHeight="1" x14ac:dyDescent="0.2">
      <c r="A24" s="53"/>
      <c r="B24" s="426" t="s">
        <v>51</v>
      </c>
      <c r="C24" s="354">
        <f>[3]MESA!$FW$19</f>
        <v>0</v>
      </c>
      <c r="D24" s="9">
        <f>[3]MESA!$FI$19</f>
        <v>0</v>
      </c>
      <c r="E24" s="86" t="e">
        <f t="shared" si="0"/>
        <v>#DIV/0!</v>
      </c>
      <c r="F24" s="9">
        <f>SUM([3]MESA!$FN$19:$FW$19)</f>
        <v>0</v>
      </c>
      <c r="G24" s="9">
        <f>SUM([3]MESA!$EZ$19:$FI$19)</f>
        <v>0</v>
      </c>
      <c r="H24" s="39" t="e">
        <f t="shared" si="1"/>
        <v>#DIV/0!</v>
      </c>
      <c r="I24" s="86">
        <f t="shared" si="2"/>
        <v>0</v>
      </c>
      <c r="J24" s="363"/>
      <c r="K24" s="424" t="s">
        <v>51</v>
      </c>
      <c r="L24" s="354">
        <f>[3]MESA!$FW$41</f>
        <v>0</v>
      </c>
      <c r="M24" s="9">
        <f>[3]MESA!$FI$41</f>
        <v>0</v>
      </c>
      <c r="N24" s="86" t="e">
        <f t="shared" si="3"/>
        <v>#DIV/0!</v>
      </c>
      <c r="O24" s="354">
        <f>SUM([3]MESA!$FN$41:$FW$41)</f>
        <v>0</v>
      </c>
      <c r="P24" s="9">
        <f>SUM([3]MESA!$EZ$41:$FI$41)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6" t="s">
        <v>50</v>
      </c>
      <c r="C25" s="354">
        <f>'[3]Air Wisconsin'!$FW$19</f>
        <v>0</v>
      </c>
      <c r="D25" s="9">
        <f>'[3]Air Wisconsin'!$FI$19</f>
        <v>0</v>
      </c>
      <c r="E25" s="86" t="e">
        <f t="shared" si="0"/>
        <v>#DIV/0!</v>
      </c>
      <c r="F25" s="9">
        <f>SUM('[3]Air Wisconsin'!$FN$19:$FW$19)</f>
        <v>0</v>
      </c>
      <c r="G25" s="9">
        <f>SUM('[3]Air Wisconsin'!$EZ$19:$FI$19)</f>
        <v>2</v>
      </c>
      <c r="H25" s="485">
        <f t="shared" si="1"/>
        <v>-1</v>
      </c>
      <c r="I25" s="86">
        <f t="shared" si="2"/>
        <v>0</v>
      </c>
      <c r="J25" s="53"/>
      <c r="K25" s="427" t="s">
        <v>50</v>
      </c>
      <c r="L25" s="354">
        <f>'[3]Air Wisconsin'!$FW$41</f>
        <v>0</v>
      </c>
      <c r="M25" s="9">
        <f>'[3]Air Wisconsin'!$FI$41</f>
        <v>0</v>
      </c>
      <c r="N25" s="86" t="e">
        <f t="shared" si="3"/>
        <v>#DIV/0!</v>
      </c>
      <c r="O25" s="354">
        <f>SUM('[3]Air Wisconsin'!$FN$41:$FW$41)</f>
        <v>0</v>
      </c>
      <c r="P25" s="9">
        <f>SUM('[3]Air Wisconsin'!$EZ$41:$FI$41)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Air'!$FW$19</f>
        <v>164</v>
      </c>
      <c r="D27" s="352">
        <f>'[3]Boutique Air'!$FI$19</f>
        <v>148</v>
      </c>
      <c r="E27" s="353">
        <f>(C27-D27)/D27</f>
        <v>0.10810810810810811</v>
      </c>
      <c r="F27" s="352">
        <f>SUM('[3]Boutique Air'!$FN$19:$FW$19)</f>
        <v>1524</v>
      </c>
      <c r="G27" s="352">
        <f>SUM('[3]Boutique Air'!$EZ$19:$FI$19)</f>
        <v>1542</v>
      </c>
      <c r="H27" s="351">
        <f>(F27-G27)/G27</f>
        <v>-1.1673151750972763E-2</v>
      </c>
      <c r="I27" s="353">
        <f>F27/$F$66</f>
        <v>4.8700364933180794E-3</v>
      </c>
      <c r="J27" s="349" t="s">
        <v>197</v>
      </c>
      <c r="K27" s="359"/>
      <c r="L27" s="350">
        <f>'[3]Boutique Air'!$FW$41</f>
        <v>933</v>
      </c>
      <c r="M27" s="352">
        <f>'[3]Boutique Air'!$FI$41</f>
        <v>817</v>
      </c>
      <c r="N27" s="353">
        <f>(L27-M27)/M27</f>
        <v>0.14198286413708691</v>
      </c>
      <c r="O27" s="350">
        <f>SUM('[3]Boutique Air'!$FN$41:$FW$41)</f>
        <v>8294</v>
      </c>
      <c r="P27" s="352">
        <f>SUM('[3]Boutique Air'!$EZ$41:$FI$41)</f>
        <v>9573</v>
      </c>
      <c r="Q27" s="351">
        <f>(O27-P27)/P27</f>
        <v>-0.13360493053379296</v>
      </c>
      <c r="R27" s="353">
        <f>O27/$O$66</f>
        <v>2.6622392307945391E-4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[3]Condor!$FW$19</f>
        <v>0</v>
      </c>
      <c r="D29" s="352">
        <f>[3]Condor!$FI$19</f>
        <v>0</v>
      </c>
      <c r="E29" s="353" t="e">
        <f>(C29-D29)/D29</f>
        <v>#DIV/0!</v>
      </c>
      <c r="F29" s="352">
        <f>SUM([3]Condor!$FN$19:$FW$19)</f>
        <v>121</v>
      </c>
      <c r="G29" s="352">
        <f>SUM([3]Condor!$EZ$19:$FI$19)</f>
        <v>121</v>
      </c>
      <c r="H29" s="351">
        <f>(F29-G29)/G29</f>
        <v>0</v>
      </c>
      <c r="I29" s="353">
        <f>F29/$F$66</f>
        <v>3.86663002422236E-4</v>
      </c>
      <c r="J29" s="349" t="s">
        <v>168</v>
      </c>
      <c r="K29" s="359"/>
      <c r="L29" s="350">
        <f>[3]Condor!$FW$41</f>
        <v>0</v>
      </c>
      <c r="M29" s="352">
        <f>[3]Condor!$FI$41</f>
        <v>0</v>
      </c>
      <c r="N29" s="353" t="e">
        <f>(L29-M29)/M29</f>
        <v>#DIV/0!</v>
      </c>
      <c r="O29" s="350">
        <f>SUM([3]Condor!$FN$41:$FW$41)</f>
        <v>28840</v>
      </c>
      <c r="P29" s="352">
        <f>SUM([3]Condor!$EZ$41:$FI$41)</f>
        <v>28112</v>
      </c>
      <c r="Q29" s="351">
        <f>(O29-P29)/P29</f>
        <v>2.5896414342629483E-2</v>
      </c>
      <c r="R29" s="353">
        <f>O29/$O$66</f>
        <v>9.2571713788418741E-4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1"/>
      <c r="C31" s="350">
        <f>SUM(C32:C38)</f>
        <v>23150</v>
      </c>
      <c r="D31" s="352">
        <f>SUM(D32:D38)</f>
        <v>23210</v>
      </c>
      <c r="E31" s="353">
        <f t="shared" ref="E31:E38" si="6">(C31-D31)/D31</f>
        <v>-2.5850926324859974E-3</v>
      </c>
      <c r="F31" s="355">
        <f>SUM(F32:F38)</f>
        <v>230102</v>
      </c>
      <c r="G31" s="355">
        <f>SUM(G32:G38)</f>
        <v>231198</v>
      </c>
      <c r="H31" s="351">
        <f>(F31-G31)/G31</f>
        <v>-4.7405254370712548E-3</v>
      </c>
      <c r="I31" s="353">
        <f t="shared" ref="I31:I38" si="7">F31/$F$66</f>
        <v>0.73530520812695332</v>
      </c>
      <c r="J31" s="349" t="s">
        <v>18</v>
      </c>
      <c r="K31" s="361"/>
      <c r="L31" s="350">
        <f>SUM(L32:L38)</f>
        <v>2236068</v>
      </c>
      <c r="M31" s="352">
        <f>SUM(M32:M38)</f>
        <v>2243258</v>
      </c>
      <c r="N31" s="353">
        <f t="shared" ref="N31:N38" si="8">(L31-M31)/M31</f>
        <v>-3.2051596383474391E-3</v>
      </c>
      <c r="O31" s="350">
        <f>SUM(O32:O38)</f>
        <v>22224888</v>
      </c>
      <c r="P31" s="352">
        <f>SUM(P32:P38)</f>
        <v>22003917</v>
      </c>
      <c r="Q31" s="351">
        <f t="shared" ref="Q31:Q38" si="9">(O31-P31)/P31</f>
        <v>1.0042348369156273E-2</v>
      </c>
      <c r="R31" s="353">
        <f t="shared" ref="R31:R38" si="10">O31/$O$66</f>
        <v>0.71338279157963325</v>
      </c>
      <c r="S31" s="414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[3]Delta!$FW$19</f>
        <v>12655</v>
      </c>
      <c r="D32" s="9">
        <f>[3]Delta!$FI$19</f>
        <v>12866</v>
      </c>
      <c r="E32" s="86">
        <f t="shared" si="6"/>
        <v>-1.6399813461837401E-2</v>
      </c>
      <c r="F32" s="9">
        <f>SUM([3]Delta!$FN$19:$FW$19)</f>
        <v>122161</v>
      </c>
      <c r="G32" s="9">
        <f>SUM([3]Delta!$EZ$19:$FI$19)</f>
        <v>121965</v>
      </c>
      <c r="H32" s="39">
        <f t="shared" ref="H32:H38" si="11">(F32-G32)/G32</f>
        <v>1.6070184069200181E-3</v>
      </c>
      <c r="I32" s="86">
        <f t="shared" si="7"/>
        <v>0.39037304990828736</v>
      </c>
      <c r="J32" s="53"/>
      <c r="K32" s="358" t="s">
        <v>18</v>
      </c>
      <c r="L32" s="354">
        <f>[3]Delta!$FW$41</f>
        <v>1710446</v>
      </c>
      <c r="M32" s="9">
        <f>[3]Delta!$FI$41</f>
        <v>1725419</v>
      </c>
      <c r="N32" s="86">
        <f t="shared" si="8"/>
        <v>-8.677892152572796E-3</v>
      </c>
      <c r="O32" s="354">
        <f>SUM([3]Delta!$FN$41:$FW$41)</f>
        <v>16784834</v>
      </c>
      <c r="P32" s="9">
        <f>SUM([3]Delta!$EZ$41:$FI$41)</f>
        <v>16588334</v>
      </c>
      <c r="Q32" s="39">
        <f t="shared" si="9"/>
        <v>1.184567419488901E-2</v>
      </c>
      <c r="R32" s="86">
        <f t="shared" si="10"/>
        <v>0.53876589772334249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[3]Compass!$FW$19</f>
        <v>0</v>
      </c>
      <c r="D33" s="9">
        <f>[3]Compass!$FI$19</f>
        <v>348</v>
      </c>
      <c r="E33" s="86">
        <f t="shared" si="6"/>
        <v>-1</v>
      </c>
      <c r="F33" s="9">
        <f>SUM([3]Compass!$FN$19:$FW$19)</f>
        <v>2</v>
      </c>
      <c r="G33" s="9">
        <f>SUM([3]Compass!$EZ$19:$FI$19)</f>
        <v>9521</v>
      </c>
      <c r="H33" s="39">
        <f t="shared" si="11"/>
        <v>-0.99978993803171934</v>
      </c>
      <c r="I33" s="86">
        <f t="shared" si="7"/>
        <v>6.3911240069791071E-6</v>
      </c>
      <c r="J33" s="53"/>
      <c r="K33" s="360" t="s">
        <v>120</v>
      </c>
      <c r="L33" s="354">
        <f>[3]Compass!$FW$41</f>
        <v>0</v>
      </c>
      <c r="M33" s="9">
        <f>[3]Compass!$FI$41</f>
        <v>22364</v>
      </c>
      <c r="N33" s="86">
        <f t="shared" si="8"/>
        <v>-1</v>
      </c>
      <c r="O33" s="354">
        <f>SUM([3]Compass!$FN$41:$FW$41)</f>
        <v>0</v>
      </c>
      <c r="P33" s="9">
        <f>SUM([3]Compass!$EZ$41:$FI$41)</f>
        <v>566615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[3]Pinnacle!$FW$19</f>
        <v>1900</v>
      </c>
      <c r="D34" s="9">
        <f>[3]Pinnacle!$FI$19</f>
        <v>2678</v>
      </c>
      <c r="E34" s="86">
        <f t="shared" si="6"/>
        <v>-0.29051530993278568</v>
      </c>
      <c r="F34" s="9">
        <f>SUM([3]Pinnacle!$FN$19:$FW$19)</f>
        <v>20340</v>
      </c>
      <c r="G34" s="9">
        <f>SUM([3]Pinnacle!$EZ$19:$FI$19)</f>
        <v>30713</v>
      </c>
      <c r="H34" s="39">
        <f t="shared" si="11"/>
        <v>-0.33773971933708852</v>
      </c>
      <c r="I34" s="86">
        <f t="shared" si="7"/>
        <v>6.4997731150977525E-2</v>
      </c>
      <c r="J34" s="53"/>
      <c r="K34" s="359" t="s">
        <v>164</v>
      </c>
      <c r="L34" s="354">
        <f>[3]Pinnacle!$FW$41</f>
        <v>112526</v>
      </c>
      <c r="M34" s="9">
        <f>[3]Pinnacle!$FI$41</f>
        <v>138892</v>
      </c>
      <c r="N34" s="86">
        <f t="shared" si="8"/>
        <v>-0.18983094778676957</v>
      </c>
      <c r="O34" s="354">
        <f>SUM([3]Pinnacle!$FN$41:$FW$41)</f>
        <v>1198289</v>
      </c>
      <c r="P34" s="9">
        <f>SUM([3]Pinnacle!$EZ$41:$FI$41)</f>
        <v>1533951</v>
      </c>
      <c r="Q34" s="39">
        <f t="shared" si="9"/>
        <v>-0.21882185284927616</v>
      </c>
      <c r="R34" s="86">
        <f t="shared" si="10"/>
        <v>3.8463129800211687E-2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Jet'!$FW$19</f>
        <v>222</v>
      </c>
      <c r="D35" s="9">
        <f>'[3]Go Jet'!$FI$19</f>
        <v>121</v>
      </c>
      <c r="E35" s="86">
        <f t="shared" si="6"/>
        <v>0.83471074380165289</v>
      </c>
      <c r="F35" s="9">
        <f>SUM('[3]Go Jet'!$FN$19:$FW$19)</f>
        <v>5274</v>
      </c>
      <c r="G35" s="9">
        <f>SUM('[3]Go Jet'!$EZ$19:$FI$19)</f>
        <v>4265</v>
      </c>
      <c r="H35" s="39">
        <f>(F35-G35)/G35</f>
        <v>0.23657678780773739</v>
      </c>
      <c r="I35" s="86">
        <f t="shared" si="7"/>
        <v>1.6853394006403906E-2</v>
      </c>
      <c r="J35" s="53"/>
      <c r="K35" s="358" t="s">
        <v>160</v>
      </c>
      <c r="L35" s="354">
        <f>'[3]Go Jet'!$FW$41</f>
        <v>13848</v>
      </c>
      <c r="M35" s="9">
        <f>'[3]Go Jet'!$FI$41</f>
        <v>7353</v>
      </c>
      <c r="N35" s="86">
        <f t="shared" si="8"/>
        <v>0.88331293349653206</v>
      </c>
      <c r="O35" s="354">
        <f>SUM('[3]Go Jet'!$FN$41:$FW$41)</f>
        <v>312733</v>
      </c>
      <c r="P35" s="9">
        <f>SUM('[3]Go Jet'!$EZ$41:$FI$41)</f>
        <v>240806</v>
      </c>
      <c r="Q35" s="39">
        <f>(O35-P35)/P35</f>
        <v>0.29869272360323246</v>
      </c>
      <c r="R35" s="86">
        <f t="shared" si="10"/>
        <v>1.0038221140150332E-2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West'!$FW$19</f>
        <v>8373</v>
      </c>
      <c r="D36" s="9">
        <f>'[3]Sky West'!$FI$19</f>
        <v>7052</v>
      </c>
      <c r="E36" s="86">
        <f t="shared" si="6"/>
        <v>0.18732274532047646</v>
      </c>
      <c r="F36" s="9">
        <f>SUM('[3]Sky West'!$FN$19:$FW$19)</f>
        <v>80895</v>
      </c>
      <c r="G36" s="9">
        <f>SUM('[3]Sky West'!$EZ$19:$FI$19)</f>
        <v>59798</v>
      </c>
      <c r="H36" s="39">
        <f t="shared" si="11"/>
        <v>0.35280444162012109</v>
      </c>
      <c r="I36" s="86">
        <f t="shared" si="7"/>
        <v>0.25850498827228746</v>
      </c>
      <c r="J36" s="53"/>
      <c r="K36" s="359" t="s">
        <v>100</v>
      </c>
      <c r="L36" s="354">
        <f>'[3]Sky West'!$FW$41</f>
        <v>399248</v>
      </c>
      <c r="M36" s="9">
        <f>'[3]Sky West'!$FI$41</f>
        <v>341545</v>
      </c>
      <c r="N36" s="86">
        <f t="shared" si="8"/>
        <v>0.1689469908796791</v>
      </c>
      <c r="O36" s="354">
        <f>SUM('[3]Sky West'!$FN$41:$FW$41)</f>
        <v>3855621</v>
      </c>
      <c r="P36" s="9">
        <f>SUM('[3]Sky West'!$EZ$41:$FI$41)</f>
        <v>2800676</v>
      </c>
      <c r="Q36" s="39">
        <f t="shared" si="9"/>
        <v>0.37667513128973146</v>
      </c>
      <c r="R36" s="86">
        <f t="shared" si="10"/>
        <v>0.12375916910146216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America_Delta'!$FW$19</f>
        <v>0</v>
      </c>
      <c r="D37" s="9">
        <f>'[3]Shuttle America_Delta'!$FI$19</f>
        <v>0</v>
      </c>
      <c r="E37" s="86" t="e">
        <f t="shared" si="6"/>
        <v>#DIV/0!</v>
      </c>
      <c r="F37" s="9">
        <f>SUM('[3]Shuttle America_Delta'!$FN$19:$FW$19)</f>
        <v>78</v>
      </c>
      <c r="G37" s="9">
        <f>SUM('[3]Shuttle America_Delta'!$EZ$19:$FI$19)</f>
        <v>158</v>
      </c>
      <c r="H37" s="39">
        <f t="shared" si="11"/>
        <v>-0.50632911392405067</v>
      </c>
      <c r="I37" s="86">
        <f t="shared" si="7"/>
        <v>2.4925383627218519E-4</v>
      </c>
      <c r="J37" s="53"/>
      <c r="K37" s="359" t="s">
        <v>134</v>
      </c>
      <c r="L37" s="354">
        <f>'[3]Shuttle America_Delta'!$FW$41</f>
        <v>0</v>
      </c>
      <c r="M37" s="9">
        <f>'[3]Shuttle America_Delta'!$FI$41</f>
        <v>0</v>
      </c>
      <c r="N37" s="86" t="e">
        <f t="shared" si="8"/>
        <v>#DIV/0!</v>
      </c>
      <c r="O37" s="354">
        <f>SUM('[3]Shuttle America_Delta'!$FN$41:$FW$41)</f>
        <v>4612</v>
      </c>
      <c r="P37" s="9">
        <f>SUM('[3]Shuttle America_Delta'!$EZ$41:$FI$41)</f>
        <v>8496</v>
      </c>
      <c r="Q37" s="39">
        <f t="shared" si="9"/>
        <v>-0.4571563088512241</v>
      </c>
      <c r="R37" s="86">
        <f t="shared" si="10"/>
        <v>1.4803770596122999E-4</v>
      </c>
      <c r="S37" s="20"/>
    </row>
    <row r="38" spans="1:22" ht="14.1" customHeight="1" x14ac:dyDescent="0.2">
      <c r="A38" s="53"/>
      <c r="B38" s="426" t="s">
        <v>174</v>
      </c>
      <c r="C38" s="354">
        <f>'[3]Atlantic Southeast'!$FW$19</f>
        <v>0</v>
      </c>
      <c r="D38" s="9">
        <f>'[3]Atlantic Southeast'!$FI$19</f>
        <v>145</v>
      </c>
      <c r="E38" s="86">
        <f t="shared" si="6"/>
        <v>-1</v>
      </c>
      <c r="F38" s="9">
        <f>SUM('[3]Atlantic Southeast'!$FN$19:$FW$19)</f>
        <v>1352</v>
      </c>
      <c r="G38" s="9">
        <f>SUM('[3]Atlantic Southeast'!$EZ$19:$FI$19)</f>
        <v>4778</v>
      </c>
      <c r="H38" s="39">
        <f t="shared" si="11"/>
        <v>-0.7170364169108413</v>
      </c>
      <c r="I38" s="86">
        <f t="shared" si="7"/>
        <v>4.3203998287178764E-3</v>
      </c>
      <c r="J38" s="53"/>
      <c r="K38" s="426" t="s">
        <v>174</v>
      </c>
      <c r="L38" s="354">
        <f>'[3]Atlantic Southeast'!$FW$41</f>
        <v>0</v>
      </c>
      <c r="M38" s="9">
        <f>'[3]Atlantic Southeast'!$FI$41</f>
        <v>7685</v>
      </c>
      <c r="N38" s="86">
        <f t="shared" si="8"/>
        <v>-1</v>
      </c>
      <c r="O38" s="354">
        <f>SUM('[3]Atlantic Southeast'!$FN$41:$FW$41)</f>
        <v>68799</v>
      </c>
      <c r="P38" s="9">
        <f>SUM('[3]Atlantic Southeast'!$EZ$41:$FI$41)</f>
        <v>265039</v>
      </c>
      <c r="Q38" s="39">
        <f t="shared" si="9"/>
        <v>-0.74041933451303388</v>
      </c>
      <c r="R38" s="86">
        <f t="shared" si="10"/>
        <v>2.208336108505347E-3</v>
      </c>
      <c r="S38" s="328"/>
    </row>
    <row r="39" spans="1:22" ht="14.1" customHeight="1" x14ac:dyDescent="0.2">
      <c r="A39" s="53"/>
      <c r="B39" s="426"/>
      <c r="C39" s="354"/>
      <c r="D39" s="9"/>
      <c r="E39" s="86"/>
      <c r="F39" s="9"/>
      <c r="G39" s="9"/>
      <c r="H39" s="39"/>
      <c r="I39" s="86"/>
      <c r="J39" s="53"/>
      <c r="K39" s="426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2"/>
      <c r="C40" s="350">
        <f>[3]Frontier!$FW$19</f>
        <v>286</v>
      </c>
      <c r="D40" s="352">
        <f>[3]Frontier!$FI$19</f>
        <v>206</v>
      </c>
      <c r="E40" s="353">
        <f>(C40-D40)/D40</f>
        <v>0.38834951456310679</v>
      </c>
      <c r="F40" s="352">
        <f>SUM([3]Frontier!$FN$19:$FW$19)</f>
        <v>2834</v>
      </c>
      <c r="G40" s="352">
        <f>SUM([3]Frontier!$EZ$19:$FI$19)</f>
        <v>1809</v>
      </c>
      <c r="H40" s="351">
        <f>(F40-G40)/G40</f>
        <v>0.56661138750690987</v>
      </c>
      <c r="I40" s="353">
        <f>F40/$F$66</f>
        <v>9.0562227178893947E-3</v>
      </c>
      <c r="J40" s="349" t="s">
        <v>47</v>
      </c>
      <c r="K40" s="362"/>
      <c r="L40" s="350">
        <f>[3]Frontier!$FW$41</f>
        <v>40541</v>
      </c>
      <c r="M40" s="352">
        <f>[3]Frontier!$FI$41</f>
        <v>30783</v>
      </c>
      <c r="N40" s="353">
        <f>(L40-M40)/M40</f>
        <v>0.31699314556735858</v>
      </c>
      <c r="O40" s="350">
        <f>SUM([3]Frontier!$FN$41:$FW$41)</f>
        <v>414826</v>
      </c>
      <c r="P40" s="352">
        <f>SUM([3]Frontier!$EZ$41:$FI$41)</f>
        <v>266201</v>
      </c>
      <c r="Q40" s="351">
        <f>(O40-P40)/P40</f>
        <v>0.55831871405441758</v>
      </c>
      <c r="R40" s="353">
        <f>O40/$O$66</f>
        <v>1.3315240549235297E-2</v>
      </c>
      <c r="S40" s="469"/>
      <c r="T40"/>
      <c r="U40" s="4"/>
    </row>
    <row r="41" spans="1:22" s="7" customFormat="1" ht="14.1" customHeight="1" x14ac:dyDescent="0.2">
      <c r="A41" s="349"/>
      <c r="B41" s="362"/>
      <c r="C41" s="350"/>
      <c r="D41" s="352"/>
      <c r="E41" s="353"/>
      <c r="F41" s="352"/>
      <c r="G41" s="352"/>
      <c r="H41" s="351"/>
      <c r="I41" s="353"/>
      <c r="J41" s="349"/>
      <c r="K41" s="362"/>
      <c r="L41" s="354"/>
      <c r="M41" s="9"/>
      <c r="N41" s="86"/>
      <c r="O41" s="354"/>
      <c r="P41" s="9"/>
      <c r="Q41" s="39"/>
      <c r="R41" s="86"/>
      <c r="S41" s="469"/>
    </row>
    <row r="42" spans="1:22" s="7" customFormat="1" ht="14.1" customHeight="1" x14ac:dyDescent="0.2">
      <c r="A42" s="349" t="s">
        <v>48</v>
      </c>
      <c r="B42" s="362"/>
      <c r="C42" s="350">
        <f>[3]Icelandair!$FW$19</f>
        <v>48</v>
      </c>
      <c r="D42" s="352">
        <f>[3]Icelandair!$FI$19</f>
        <v>50</v>
      </c>
      <c r="E42" s="353">
        <f>(C42-D42)/D42</f>
        <v>-0.04</v>
      </c>
      <c r="F42" s="352">
        <f>SUM([3]Icelandair!$FN$19:$FW$19)</f>
        <v>564</v>
      </c>
      <c r="G42" s="352">
        <f>SUM([3]Icelandair!$EZ$19:$FI$19)</f>
        <v>492</v>
      </c>
      <c r="H42" s="351">
        <f>(F42-G42)/G42</f>
        <v>0.14634146341463414</v>
      </c>
      <c r="I42" s="353">
        <f>F42/$F$66</f>
        <v>1.8022969699681083E-3</v>
      </c>
      <c r="J42" s="349" t="s">
        <v>48</v>
      </c>
      <c r="K42" s="362"/>
      <c r="L42" s="350">
        <f>[3]Icelandair!$FW$41</f>
        <v>7045</v>
      </c>
      <c r="M42" s="352">
        <f>[3]Icelandair!$FI$41</f>
        <v>7502</v>
      </c>
      <c r="N42" s="353">
        <f>(L42-M42)/M42</f>
        <v>-6.091708877632631E-2</v>
      </c>
      <c r="O42" s="350">
        <f>SUM([3]Icelandair!$FN$41:$FW$41)</f>
        <v>81958</v>
      </c>
      <c r="P42" s="352">
        <f>SUM([3]Icelandair!$EZ$41:$FI$41)</f>
        <v>89975</v>
      </c>
      <c r="Q42" s="351">
        <f>(O42-P42)/P42</f>
        <v>-8.9102528480133364E-2</v>
      </c>
      <c r="R42" s="353">
        <f>O42/$O$66</f>
        <v>2.6307186264463325E-3</v>
      </c>
      <c r="S42" s="20"/>
    </row>
    <row r="43" spans="1:22" s="7" customFormat="1" ht="14.1" customHeight="1" x14ac:dyDescent="0.2">
      <c r="A43" s="349"/>
      <c r="B43" s="362"/>
      <c r="C43" s="350"/>
      <c r="D43" s="352"/>
      <c r="E43" s="353"/>
      <c r="F43" s="352"/>
      <c r="G43" s="352"/>
      <c r="H43" s="351"/>
      <c r="I43" s="353"/>
      <c r="J43" s="349"/>
      <c r="K43" s="362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229</v>
      </c>
      <c r="B44" s="362"/>
      <c r="C44" s="350">
        <f>'[3]Jet Blue'!$FW$19</f>
        <v>178</v>
      </c>
      <c r="D44" s="352">
        <f>'[3]Jet Blue'!$FI$19</f>
        <v>0</v>
      </c>
      <c r="E44" s="353" t="e">
        <f>(C44-D44)/D44</f>
        <v>#DIV/0!</v>
      </c>
      <c r="F44" s="352">
        <f>SUM('[3]Jet Blue'!$FN$19:$FW$19)</f>
        <v>1067</v>
      </c>
      <c r="G44" s="352">
        <f>SUM('[3]Jet Blue'!$EZ$19:$FI$19)</f>
        <v>0</v>
      </c>
      <c r="H44" s="351" t="e">
        <f>(F44-G44)/G44</f>
        <v>#DIV/0!</v>
      </c>
      <c r="I44" s="353">
        <f>F44/$F$66</f>
        <v>3.4096646577233538E-3</v>
      </c>
      <c r="J44" s="349" t="s">
        <v>229</v>
      </c>
      <c r="K44" s="362"/>
      <c r="L44" s="350">
        <f>'[3]Jet Blue'!$FW$41</f>
        <v>17526</v>
      </c>
      <c r="M44" s="352">
        <f>'[3]Jet Blue'!$FI$41</f>
        <v>0</v>
      </c>
      <c r="N44" s="353" t="e">
        <f>(L44-M44)/M44</f>
        <v>#DIV/0!</v>
      </c>
      <c r="O44" s="350">
        <f>SUM('[3]Jet Blue'!$FN$41:$FW$41)</f>
        <v>122267</v>
      </c>
      <c r="P44" s="352">
        <f>SUM('[3]Jet Blue'!$EZ$41:$FI$41)</f>
        <v>0</v>
      </c>
      <c r="Q44" s="351" t="e">
        <f>(O44-P44)/P44</f>
        <v>#DIV/0!</v>
      </c>
      <c r="R44" s="353">
        <f>O44/$O$66</f>
        <v>3.9245720283524951E-3</v>
      </c>
      <c r="S44" s="20"/>
    </row>
    <row r="45" spans="1:22" s="7" customFormat="1" ht="14.1" customHeight="1" x14ac:dyDescent="0.2">
      <c r="A45" s="349"/>
      <c r="B45" s="362"/>
      <c r="C45" s="350"/>
      <c r="D45" s="352"/>
      <c r="E45" s="353"/>
      <c r="F45" s="352"/>
      <c r="G45" s="352"/>
      <c r="H45" s="351"/>
      <c r="I45" s="353"/>
      <c r="J45" s="349"/>
      <c r="K45" s="362"/>
      <c r="L45" s="354"/>
      <c r="M45" s="9"/>
      <c r="N45" s="86"/>
      <c r="O45" s="354"/>
      <c r="P45" s="9"/>
      <c r="Q45" s="39"/>
      <c r="R45" s="86"/>
      <c r="S45" s="20"/>
    </row>
    <row r="46" spans="1:22" s="7" customFormat="1" ht="14.1" customHeight="1" x14ac:dyDescent="0.2">
      <c r="A46" s="349" t="s">
        <v>216</v>
      </c>
      <c r="B46" s="362"/>
      <c r="C46" s="350">
        <f>[3]KLM!$FW$19</f>
        <v>36</v>
      </c>
      <c r="D46" s="352">
        <f>[3]KLM!$FI$19</f>
        <v>28</v>
      </c>
      <c r="E46" s="353">
        <f>(C46-D46)/D46</f>
        <v>0.2857142857142857</v>
      </c>
      <c r="F46" s="352">
        <f>SUM([3]KLM!$FN$19:$FW$19)</f>
        <v>306</v>
      </c>
      <c r="G46" s="352">
        <f>SUM([3]KLM!$EZ$19:$FI$19)</f>
        <v>182</v>
      </c>
      <c r="H46" s="351">
        <f>(F46-G46)/G46</f>
        <v>0.68131868131868134</v>
      </c>
      <c r="I46" s="353">
        <f>F46/$F$66</f>
        <v>9.7784197306780333E-4</v>
      </c>
      <c r="J46" s="349" t="s">
        <v>216</v>
      </c>
      <c r="K46" s="362"/>
      <c r="L46" s="350">
        <f>[3]KLM!$FW$41</f>
        <v>7733</v>
      </c>
      <c r="M46" s="352">
        <f>[3]KLM!$FI$41</f>
        <v>5953</v>
      </c>
      <c r="N46" s="353">
        <f>(L46-M46)/M46</f>
        <v>0.29900890307408029</v>
      </c>
      <c r="O46" s="350">
        <f>SUM([3]KLM!$FN$41:$FW$41)</f>
        <v>71380</v>
      </c>
      <c r="P46" s="352">
        <f>SUM([3]KLM!$EZ$41:$FI$41)</f>
        <v>42043</v>
      </c>
      <c r="Q46" s="351">
        <f>(O46-P46)/P46</f>
        <v>0.69778560045667526</v>
      </c>
      <c r="R46" s="353">
        <f>O46/$O$66</f>
        <v>2.2911820146384642E-3</v>
      </c>
      <c r="S46" s="20"/>
    </row>
    <row r="47" spans="1:22" s="7" customFormat="1" ht="14.1" customHeight="1" x14ac:dyDescent="0.2">
      <c r="A47" s="349"/>
      <c r="B47" s="362"/>
      <c r="C47" s="350"/>
      <c r="D47" s="352"/>
      <c r="E47" s="353"/>
      <c r="F47" s="352"/>
      <c r="G47" s="352"/>
      <c r="H47" s="351"/>
      <c r="I47" s="353"/>
      <c r="J47" s="349"/>
      <c r="K47" s="362"/>
      <c r="L47" s="354"/>
      <c r="M47" s="9"/>
      <c r="N47" s="86"/>
      <c r="O47" s="354"/>
      <c r="P47" s="9"/>
      <c r="Q47" s="39"/>
      <c r="R47" s="86"/>
      <c r="S47" s="20"/>
    </row>
    <row r="48" spans="1:22" ht="14.1" customHeight="1" x14ac:dyDescent="0.2">
      <c r="A48" s="515" t="s">
        <v>132</v>
      </c>
      <c r="C48" s="350">
        <f>[3]Southwest!$FW$19</f>
        <v>1477</v>
      </c>
      <c r="D48" s="352">
        <f>[3]Southwest!$FI$19</f>
        <v>1553</v>
      </c>
      <c r="E48" s="353">
        <f>(C48-D48)/D48</f>
        <v>-4.8937540244687702E-2</v>
      </c>
      <c r="F48" s="352">
        <f>SUM([3]Southwest!$FN$19:$FW$19)</f>
        <v>13675</v>
      </c>
      <c r="G48" s="352">
        <f>SUM([3]Southwest!$EZ$19:$FI$19)</f>
        <v>15123</v>
      </c>
      <c r="H48" s="351">
        <f>(F48-G48)/G48</f>
        <v>-9.5748198108840832E-2</v>
      </c>
      <c r="I48" s="353">
        <f>F48/$F$66</f>
        <v>4.3699310397719647E-2</v>
      </c>
      <c r="J48" s="357" t="s">
        <v>132</v>
      </c>
      <c r="L48" s="350">
        <f>[3]Southwest!$FW$41</f>
        <v>178514</v>
      </c>
      <c r="M48" s="352">
        <f>[3]Southwest!$FI$41</f>
        <v>179643</v>
      </c>
      <c r="N48" s="353">
        <f>(L48-M48)/M48</f>
        <v>-6.2846868511436576E-3</v>
      </c>
      <c r="O48" s="350">
        <f>SUM([3]Southwest!$FN$41:$FW$41)</f>
        <v>1650650</v>
      </c>
      <c r="P48" s="352">
        <f>SUM([3]Southwest!$EZ$41:$FI$41)</f>
        <v>1751503</v>
      </c>
      <c r="Q48" s="351">
        <f>(O48-P48)/P48</f>
        <v>-5.75808320054262E-2</v>
      </c>
      <c r="R48" s="353">
        <f>O48/$O$66</f>
        <v>5.2983182858825729E-2</v>
      </c>
      <c r="S48" s="20"/>
    </row>
    <row r="49" spans="1:20" ht="14.1" customHeight="1" x14ac:dyDescent="0.2">
      <c r="A49" s="349"/>
      <c r="B49" s="55"/>
      <c r="C49" s="350"/>
      <c r="D49" s="352"/>
      <c r="E49" s="353"/>
      <c r="F49" s="352"/>
      <c r="G49" s="352"/>
      <c r="H49" s="351"/>
      <c r="I49" s="353"/>
      <c r="J49" s="349"/>
      <c r="K49" s="55"/>
      <c r="L49" s="354"/>
      <c r="M49" s="9"/>
      <c r="N49" s="86"/>
      <c r="O49" s="354"/>
      <c r="P49" s="9"/>
      <c r="Q49" s="39"/>
      <c r="R49" s="86"/>
      <c r="S49" s="20"/>
      <c r="T49" s="7"/>
    </row>
    <row r="50" spans="1:20" ht="14.1" customHeight="1" x14ac:dyDescent="0.2">
      <c r="A50" s="349" t="s">
        <v>161</v>
      </c>
      <c r="B50" s="55"/>
      <c r="C50" s="350">
        <f>[3]Spirit!$FW$19</f>
        <v>602</v>
      </c>
      <c r="D50" s="352">
        <f>[3]Spirit!$FI$19</f>
        <v>780</v>
      </c>
      <c r="E50" s="353">
        <f>(C50-D50)/D50</f>
        <v>-0.2282051282051282</v>
      </c>
      <c r="F50" s="352">
        <f>SUM([3]Spirit!$FN$19:$FW$19)</f>
        <v>6995</v>
      </c>
      <c r="G50" s="352">
        <f>SUM([3]Spirit!$EZ$19:$FI$19)</f>
        <v>7701</v>
      </c>
      <c r="H50" s="351">
        <f>(F50-G50)/G50</f>
        <v>-9.1676405661602386E-2</v>
      </c>
      <c r="I50" s="353">
        <f>F50/$F$66</f>
        <v>2.2352956214409428E-2</v>
      </c>
      <c r="J50" s="349" t="s">
        <v>161</v>
      </c>
      <c r="K50" s="55"/>
      <c r="L50" s="350">
        <f>[3]Spirit!$FW$41</f>
        <v>89265</v>
      </c>
      <c r="M50" s="352">
        <f>[3]Spirit!$FI$41</f>
        <v>105443</v>
      </c>
      <c r="N50" s="353">
        <f>(L50-M50)/M50</f>
        <v>-0.15342886678110448</v>
      </c>
      <c r="O50" s="350">
        <f>SUM([3]Spirit!$FN$41:$FW$41)</f>
        <v>967329</v>
      </c>
      <c r="P50" s="352">
        <f>SUM([3]Spirit!$EZ$41:$FI$41)</f>
        <v>1051373</v>
      </c>
      <c r="Q50" s="351">
        <f>(O50-P50)/P50</f>
        <v>-7.9937377124959463E-2</v>
      </c>
      <c r="R50" s="353">
        <f>O50/$O$66</f>
        <v>3.1049689087114189E-2</v>
      </c>
      <c r="S50" s="20"/>
      <c r="T50" s="7"/>
    </row>
    <row r="51" spans="1:20" ht="14.1" customHeight="1" x14ac:dyDescent="0.2">
      <c r="A51" s="349"/>
      <c r="B51" s="55"/>
      <c r="C51" s="350"/>
      <c r="D51" s="352"/>
      <c r="E51" s="353"/>
      <c r="F51" s="352"/>
      <c r="G51" s="352"/>
      <c r="H51" s="351"/>
      <c r="I51" s="353"/>
      <c r="J51" s="349"/>
      <c r="K51" s="55"/>
      <c r="L51" s="354"/>
      <c r="M51" s="9"/>
      <c r="N51" s="86"/>
      <c r="O51" s="354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49" t="s">
        <v>49</v>
      </c>
      <c r="B52" s="362"/>
      <c r="C52" s="350">
        <f>'[3]Sun Country'!$FW$19</f>
        <v>1382</v>
      </c>
      <c r="D52" s="352">
        <f>'[3]Sun Country'!$FI$19</f>
        <v>1525</v>
      </c>
      <c r="E52" s="353">
        <f>(C52-D52)/D52</f>
        <v>-9.3770491803278691E-2</v>
      </c>
      <c r="F52" s="352">
        <f>SUM('[3]Sun Country'!$FN$19:$FW$19)</f>
        <v>16378</v>
      </c>
      <c r="G52" s="352">
        <f>SUM('[3]Sun Country'!$EZ$19:$FI$19)</f>
        <v>17404</v>
      </c>
      <c r="H52" s="351">
        <f>(F52-G52)/G52</f>
        <v>-5.8951965065502182E-2</v>
      </c>
      <c r="I52" s="353">
        <f>F52/$F$66</f>
        <v>5.2336914493151913E-2</v>
      </c>
      <c r="J52" s="349" t="s">
        <v>49</v>
      </c>
      <c r="K52" s="362"/>
      <c r="L52" s="350">
        <f>'[3]Sun Country'!$FW$41</f>
        <v>171893</v>
      </c>
      <c r="M52" s="352">
        <f>'[3]Sun Country'!$FI$41</f>
        <v>173849</v>
      </c>
      <c r="N52" s="353">
        <f>(L52-M52)/M52</f>
        <v>-1.1251143233495735E-2</v>
      </c>
      <c r="O52" s="350">
        <f>SUM('[3]Sun Country'!$FN$41:$FW$41)</f>
        <v>1978651</v>
      </c>
      <c r="P52" s="352">
        <f>SUM('[3]Sun Country'!$EZ$41:$FI$41)</f>
        <v>1999347</v>
      </c>
      <c r="Q52" s="351">
        <f>(O52-P52)/P52</f>
        <v>-1.0351379725480369E-2</v>
      </c>
      <c r="R52" s="353">
        <f>O52/$O$66</f>
        <v>6.3511481990002963E-2</v>
      </c>
      <c r="S52" s="20"/>
    </row>
    <row r="53" spans="1:20" s="7" customFormat="1" ht="14.1" customHeight="1" x14ac:dyDescent="0.2">
      <c r="A53" s="349"/>
      <c r="B53" s="362"/>
      <c r="C53" s="350"/>
      <c r="D53" s="352"/>
      <c r="E53" s="353"/>
      <c r="F53" s="352"/>
      <c r="G53" s="352"/>
      <c r="H53" s="351"/>
      <c r="I53" s="353"/>
      <c r="J53" s="349"/>
      <c r="K53" s="362"/>
      <c r="L53" s="354"/>
      <c r="M53" s="9"/>
      <c r="N53" s="86"/>
      <c r="O53" s="354"/>
      <c r="P53" s="9"/>
      <c r="Q53" s="39"/>
      <c r="R53" s="86"/>
      <c r="S53" s="20"/>
    </row>
    <row r="54" spans="1:20" s="7" customFormat="1" ht="14.1" customHeight="1" x14ac:dyDescent="0.2">
      <c r="A54" s="349" t="s">
        <v>19</v>
      </c>
      <c r="B54" s="357"/>
      <c r="C54" s="350">
        <f>SUM(C55:C61)</f>
        <v>1566</v>
      </c>
      <c r="D54" s="352">
        <f>SUM(D55:D61)</f>
        <v>1828</v>
      </c>
      <c r="E54" s="353">
        <f t="shared" ref="E54:E61" si="12">(C54-D54)/D54</f>
        <v>-0.14332603938730853</v>
      </c>
      <c r="F54" s="352">
        <f>SUM(F55:F61)</f>
        <v>15035</v>
      </c>
      <c r="G54" s="352">
        <f>SUM(G55:G61)</f>
        <v>16824</v>
      </c>
      <c r="H54" s="351">
        <f t="shared" ref="H54:H61" si="13">(F54-G54)/G54</f>
        <v>-0.10633618640038041</v>
      </c>
      <c r="I54" s="353">
        <f t="shared" ref="I54:I61" si="14">F54/$F$66</f>
        <v>4.8045274722465441E-2</v>
      </c>
      <c r="J54" s="349" t="s">
        <v>19</v>
      </c>
      <c r="K54" s="357"/>
      <c r="L54" s="350">
        <f>SUM(L55:L61)</f>
        <v>143602</v>
      </c>
      <c r="M54" s="352">
        <f>SUM(M55:M61)</f>
        <v>153275</v>
      </c>
      <c r="N54" s="353">
        <f t="shared" ref="N54:N61" si="15">(L54-M54)/M54</f>
        <v>-6.3108791388028052E-2</v>
      </c>
      <c r="O54" s="350">
        <f>SUM(O55:O61)</f>
        <v>1348908</v>
      </c>
      <c r="P54" s="352">
        <f>SUM(P55:P61)</f>
        <v>1435540</v>
      </c>
      <c r="Q54" s="351">
        <f t="shared" ref="Q54:Q61" si="16">(O54-P54)/P54</f>
        <v>-6.0348022346991374E-2</v>
      </c>
      <c r="R54" s="353">
        <f t="shared" ref="R54:R61" si="17">O54/$O$66</f>
        <v>4.3297754959399568E-2</v>
      </c>
      <c r="S54" s="20"/>
      <c r="T54"/>
    </row>
    <row r="55" spans="1:20" s="7" customFormat="1" ht="14.1" customHeight="1" x14ac:dyDescent="0.2">
      <c r="A55" s="363"/>
      <c r="B55" s="424" t="s">
        <v>19</v>
      </c>
      <c r="C55" s="354">
        <f>[3]United!$FW$19</f>
        <v>666</v>
      </c>
      <c r="D55" s="9">
        <f>[3]United!$FI$19+[3]Continental!$FI$19</f>
        <v>730</v>
      </c>
      <c r="E55" s="86">
        <f t="shared" si="12"/>
        <v>-8.7671232876712329E-2</v>
      </c>
      <c r="F55" s="9">
        <f>SUM([3]United!$FN$19:$FW$19)</f>
        <v>6374</v>
      </c>
      <c r="G55" s="9">
        <f>SUM([3]United!$EZ$19:$FI$19)+SUM([3]Continental!$EZ$19:$FI$19)</f>
        <v>7570</v>
      </c>
      <c r="H55" s="39">
        <f t="shared" si="13"/>
        <v>-0.15799207397622192</v>
      </c>
      <c r="I55" s="86">
        <f t="shared" si="14"/>
        <v>2.0368512210242416E-2</v>
      </c>
      <c r="J55" s="363"/>
      <c r="K55" s="424" t="s">
        <v>19</v>
      </c>
      <c r="L55" s="354">
        <f>[3]United!$FW$41</f>
        <v>86741</v>
      </c>
      <c r="M55" s="9">
        <f>[3]United!$FI$41+[3]Continental!$FI$41</f>
        <v>88591</v>
      </c>
      <c r="N55" s="86">
        <f t="shared" si="15"/>
        <v>-2.0882482419207368E-2</v>
      </c>
      <c r="O55" s="354">
        <f>SUM([3]United!$FN$41:$FW$41)</f>
        <v>794802</v>
      </c>
      <c r="P55" s="9">
        <f>SUM([3]United!$EZ$41:$FI$41)+SUM([3]Continental!$EZ$41:$FI$41)</f>
        <v>887641</v>
      </c>
      <c r="Q55" s="39">
        <f t="shared" si="16"/>
        <v>-0.10459070727918156</v>
      </c>
      <c r="R55" s="86">
        <f t="shared" si="17"/>
        <v>2.5511852726235365E-2</v>
      </c>
      <c r="S55" s="20"/>
    </row>
    <row r="56" spans="1:20" s="7" customFormat="1" ht="14.1" customHeight="1" x14ac:dyDescent="0.2">
      <c r="A56" s="363"/>
      <c r="B56" s="426" t="s">
        <v>174</v>
      </c>
      <c r="C56" s="354">
        <f>'[3]Continental Express'!$FW$19</f>
        <v>0</v>
      </c>
      <c r="D56" s="9">
        <f>'[3]Continental Express'!$FI$19</f>
        <v>20</v>
      </c>
      <c r="E56" s="86">
        <f t="shared" si="12"/>
        <v>-1</v>
      </c>
      <c r="F56" s="9">
        <f>SUM('[3]Continental Express'!$FN$19:$FW$19)</f>
        <v>64</v>
      </c>
      <c r="G56" s="9">
        <f>SUM('[3]Continental Express'!$EZ$19:$FI$19)</f>
        <v>166</v>
      </c>
      <c r="H56" s="39">
        <f t="shared" si="13"/>
        <v>-0.61445783132530118</v>
      </c>
      <c r="I56" s="86">
        <f t="shared" si="14"/>
        <v>2.0451596822333143E-4</v>
      </c>
      <c r="J56" s="53"/>
      <c r="K56" s="424" t="s">
        <v>174</v>
      </c>
      <c r="L56" s="354">
        <f>'[3]Continental Express'!$FW$41</f>
        <v>0</v>
      </c>
      <c r="M56" s="9">
        <f>'[3]Continental Express'!$FI$41</f>
        <v>785</v>
      </c>
      <c r="N56" s="86">
        <f t="shared" si="15"/>
        <v>-1</v>
      </c>
      <c r="O56" s="354">
        <f>SUM('[3]Continental Express'!$FN$41:$FW$41)</f>
        <v>2069</v>
      </c>
      <c r="P56" s="9">
        <f>SUM('[3]Continental Express'!$EZ$41:$FI$41)</f>
        <v>6735</v>
      </c>
      <c r="Q56" s="39">
        <f t="shared" si="16"/>
        <v>-0.69279881217520412</v>
      </c>
      <c r="R56" s="86">
        <f t="shared" si="17"/>
        <v>6.6411538081913443E-5</v>
      </c>
      <c r="S56" s="20"/>
    </row>
    <row r="57" spans="1:20" s="7" customFormat="1" ht="14.1" customHeight="1" x14ac:dyDescent="0.2">
      <c r="A57" s="363"/>
      <c r="B57" s="359" t="s">
        <v>160</v>
      </c>
      <c r="C57" s="354">
        <f>'[3]Go Jet_UA'!$FW$19</f>
        <v>0</v>
      </c>
      <c r="D57" s="9">
        <f>'[3]Go Jet_UA'!$FI$19</f>
        <v>14</v>
      </c>
      <c r="E57" s="86">
        <f t="shared" si="12"/>
        <v>-1</v>
      </c>
      <c r="F57" s="9">
        <f>SUM('[3]Go Jet_UA'!$FN$19:$FW$19)</f>
        <v>157</v>
      </c>
      <c r="G57" s="9">
        <f>SUM('[3]Go Jet_UA'!$EZ$19:$FI$19)</f>
        <v>230</v>
      </c>
      <c r="H57" s="39">
        <f t="shared" si="13"/>
        <v>-0.31739130434782609</v>
      </c>
      <c r="I57" s="86">
        <f t="shared" si="14"/>
        <v>5.0170323454785991E-4</v>
      </c>
      <c r="J57" s="363"/>
      <c r="K57" s="358" t="s">
        <v>160</v>
      </c>
      <c r="L57" s="354">
        <f>'[3]Go Jet_UA'!$FW$41</f>
        <v>0</v>
      </c>
      <c r="M57" s="9">
        <f>'[3]Go Jet_UA'!$FI$41</f>
        <v>934</v>
      </c>
      <c r="N57" s="86">
        <f t="shared" si="15"/>
        <v>-1</v>
      </c>
      <c r="O57" s="354">
        <f>SUM('[3]Go Jet_UA'!$FN$41:$FW$41)</f>
        <v>10365</v>
      </c>
      <c r="P57" s="9">
        <f>SUM('[3]Go Jet_UA'!$EZ$41:$FI$41)</f>
        <v>14850</v>
      </c>
      <c r="Q57" s="39">
        <f t="shared" si="16"/>
        <v>-0.30202020202020202</v>
      </c>
      <c r="R57" s="86">
        <f t="shared" si="17"/>
        <v>3.326996579115674E-4</v>
      </c>
      <c r="S57" s="20"/>
    </row>
    <row r="58" spans="1:20" s="7" customFormat="1" ht="14.1" customHeight="1" x14ac:dyDescent="0.2">
      <c r="A58" s="363"/>
      <c r="B58" s="359" t="s">
        <v>51</v>
      </c>
      <c r="C58" s="354">
        <f>[3]MESA_UA!$FW$19</f>
        <v>274</v>
      </c>
      <c r="D58" s="9">
        <f>[3]MESA_UA!$FI$19</f>
        <v>318</v>
      </c>
      <c r="E58" s="86">
        <f t="shared" si="12"/>
        <v>-0.13836477987421383</v>
      </c>
      <c r="F58" s="9">
        <f>SUM([3]MESA_UA!$FN$19:$FW$19)</f>
        <v>2748</v>
      </c>
      <c r="G58" s="9">
        <f>SUM([3]MESA_UA!$EZ$19:$FI$19)</f>
        <v>3050</v>
      </c>
      <c r="H58" s="39">
        <f>(F58-G58)/G58</f>
        <v>-9.9016393442622946E-2</v>
      </c>
      <c r="I58" s="86">
        <f t="shared" si="14"/>
        <v>8.7814043855892927E-3</v>
      </c>
      <c r="J58" s="363"/>
      <c r="K58" s="358" t="s">
        <v>51</v>
      </c>
      <c r="L58" s="354">
        <f>[3]MESA_UA!$FW$41</f>
        <v>17814</v>
      </c>
      <c r="M58" s="9">
        <f>[3]MESA_UA!$FI$41</f>
        <v>18566</v>
      </c>
      <c r="N58" s="86">
        <f t="shared" si="15"/>
        <v>-4.0504147366153181E-2</v>
      </c>
      <c r="O58" s="354">
        <f>SUM([3]MESA_UA!$FN$41:$FW$41)</f>
        <v>178002</v>
      </c>
      <c r="P58" s="9">
        <f>SUM([3]MESA_UA!$EZ$41:$FI$41)</f>
        <v>174707</v>
      </c>
      <c r="Q58" s="39">
        <f t="shared" si="16"/>
        <v>1.8860148706119389E-2</v>
      </c>
      <c r="R58" s="86">
        <f t="shared" si="17"/>
        <v>5.7135749645513571E-3</v>
      </c>
      <c r="S58" s="20"/>
    </row>
    <row r="59" spans="1:20" s="7" customFormat="1" ht="14.1" customHeight="1" x14ac:dyDescent="0.2">
      <c r="A59" s="363"/>
      <c r="B59" s="426" t="s">
        <v>52</v>
      </c>
      <c r="C59" s="354">
        <f>[3]Republic_UA!$FW$19</f>
        <v>452</v>
      </c>
      <c r="D59" s="9">
        <f>[3]Republic_UA!$FI$19</f>
        <v>366</v>
      </c>
      <c r="E59" s="86">
        <f t="shared" si="12"/>
        <v>0.23497267759562843</v>
      </c>
      <c r="F59" s="9">
        <f>SUM([3]Republic_UA!$FN$19:$FW$19)</f>
        <v>4084</v>
      </c>
      <c r="G59" s="9">
        <f>SUM([3]Republic_UA!$EZ$19:$FI$19)</f>
        <v>3192</v>
      </c>
      <c r="H59" s="39">
        <f t="shared" ref="H59" si="18">(F59-G59)/G59</f>
        <v>0.27944862155388472</v>
      </c>
      <c r="I59" s="86">
        <f t="shared" si="14"/>
        <v>1.3050675222251337E-2</v>
      </c>
      <c r="J59" s="363"/>
      <c r="K59" s="426" t="s">
        <v>52</v>
      </c>
      <c r="L59" s="354">
        <f>[3]Republic_UA!$FW$41</f>
        <v>28092</v>
      </c>
      <c r="M59" s="9">
        <f>[3]Republic_UA!$FI$41</f>
        <v>19962</v>
      </c>
      <c r="N59" s="86">
        <f t="shared" si="15"/>
        <v>0.40727382025849113</v>
      </c>
      <c r="O59" s="354">
        <f>SUM([3]Republic_UA!$FN$41:$FW$41)</f>
        <v>258912</v>
      </c>
      <c r="P59" s="9">
        <f>SUM([3]Republic_UA!$EZ$41:$FI$41)</f>
        <v>180725</v>
      </c>
      <c r="Q59" s="39">
        <f t="shared" si="16"/>
        <v>0.4326296859869968</v>
      </c>
      <c r="R59" s="86">
        <f t="shared" si="17"/>
        <v>8.3106544938928821E-3</v>
      </c>
      <c r="S59" s="20"/>
    </row>
    <row r="60" spans="1:20" s="7" customFormat="1" ht="14.1" customHeight="1" x14ac:dyDescent="0.2">
      <c r="A60" s="363"/>
      <c r="B60" s="359" t="s">
        <v>100</v>
      </c>
      <c r="C60" s="354">
        <f>'[3]Sky West_UA'!$FW$19</f>
        <v>174</v>
      </c>
      <c r="D60" s="9">
        <f>'[3]Sky West_UA'!$FI$19+'[3]Sky West_CO'!$FI$19</f>
        <v>380</v>
      </c>
      <c r="E60" s="86">
        <f t="shared" si="12"/>
        <v>-0.54210526315789476</v>
      </c>
      <c r="F60" s="9">
        <f>SUM('[3]Sky West_UA'!$FN$19:$FW$19)</f>
        <v>1608</v>
      </c>
      <c r="G60" s="9">
        <f>SUM('[3]Sky West_UA'!$EZ$19:$FI$19)+SUM('[3]Sky West_CO'!$EZ$19:$FI$19)</f>
        <v>2592</v>
      </c>
      <c r="H60" s="39">
        <f t="shared" si="13"/>
        <v>-0.37962962962962965</v>
      </c>
      <c r="I60" s="86">
        <f t="shared" si="14"/>
        <v>5.1384637016112025E-3</v>
      </c>
      <c r="J60" s="363"/>
      <c r="K60" s="358" t="s">
        <v>100</v>
      </c>
      <c r="L60" s="354">
        <f>'[3]Sky West_UA'!$FW$41</f>
        <v>10955</v>
      </c>
      <c r="M60" s="9">
        <f>'[3]Sky West_UA'!$FI$41+'[3]Sky West_CO'!$FI$41</f>
        <v>24437</v>
      </c>
      <c r="N60" s="86">
        <f t="shared" si="15"/>
        <v>-0.55170438269836719</v>
      </c>
      <c r="O60" s="354">
        <f>SUM('[3]Sky West_UA'!$FN$41:$FW$41)</f>
        <v>104758</v>
      </c>
      <c r="P60" s="9">
        <f>SUM('[3]Sky West_UA'!$EZ$41:$FI$41)+SUM('[3]Sky West_CO'!$EZ$41:$FI$41)</f>
        <v>169609</v>
      </c>
      <c r="Q60" s="39">
        <f t="shared" si="16"/>
        <v>-0.38235588913324176</v>
      </c>
      <c r="R60" s="86">
        <f t="shared" si="17"/>
        <v>3.3625615787264808E-3</v>
      </c>
      <c r="S60" s="20"/>
    </row>
    <row r="61" spans="1:20" s="7" customFormat="1" ht="14.1" customHeight="1" x14ac:dyDescent="0.2">
      <c r="A61" s="363"/>
      <c r="B61" s="360" t="s">
        <v>134</v>
      </c>
      <c r="C61" s="354">
        <f>'[3]Shuttle America'!$FW$19</f>
        <v>0</v>
      </c>
      <c r="D61" s="9">
        <f>'[3]Shuttle America'!$FI$19</f>
        <v>0</v>
      </c>
      <c r="E61" s="86" t="e">
        <f t="shared" si="12"/>
        <v>#DIV/0!</v>
      </c>
      <c r="F61" s="9">
        <f>SUM('[3]Shuttle America'!$FN$19:$FW$19)</f>
        <v>0</v>
      </c>
      <c r="G61" s="9">
        <f>SUM('[3]Shuttle America'!$EZ$19:$FI$19)</f>
        <v>24</v>
      </c>
      <c r="H61" s="39">
        <f t="shared" si="13"/>
        <v>-1</v>
      </c>
      <c r="I61" s="86">
        <f t="shared" si="14"/>
        <v>0</v>
      </c>
      <c r="J61" s="363"/>
      <c r="K61" s="360" t="s">
        <v>134</v>
      </c>
      <c r="L61" s="354">
        <f>'[3]Shuttle America'!$FW$41</f>
        <v>0</v>
      </c>
      <c r="M61" s="9">
        <f>'[3]Shuttle America'!$FI$41</f>
        <v>0</v>
      </c>
      <c r="N61" s="86" t="e">
        <f t="shared" si="15"/>
        <v>#DIV/0!</v>
      </c>
      <c r="O61" s="354">
        <f>SUM('[3]Shuttle America'!$FN$41:$FW$41)</f>
        <v>0</v>
      </c>
      <c r="P61" s="9">
        <f>SUM('[3]Shuttle America'!$EZ$41:$FI$41)</f>
        <v>1273</v>
      </c>
      <c r="Q61" s="39">
        <f t="shared" si="16"/>
        <v>-1</v>
      </c>
      <c r="R61" s="86">
        <f t="shared" si="17"/>
        <v>0</v>
      </c>
      <c r="S61" s="20"/>
    </row>
    <row r="62" spans="1:20" s="7" customFormat="1" ht="14.1" customHeight="1" thickBot="1" x14ac:dyDescent="0.25">
      <c r="A62" s="429"/>
      <c r="B62" s="430"/>
      <c r="C62" s="364"/>
      <c r="D62" s="366"/>
      <c r="E62" s="367"/>
      <c r="F62" s="368"/>
      <c r="G62" s="368"/>
      <c r="H62" s="365"/>
      <c r="I62" s="367"/>
      <c r="J62" s="429"/>
      <c r="K62" s="430"/>
      <c r="L62" s="364"/>
      <c r="M62" s="368"/>
      <c r="N62" s="367"/>
      <c r="O62" s="364"/>
      <c r="P62" s="368"/>
      <c r="Q62" s="365"/>
      <c r="R62" s="471"/>
      <c r="S62" s="20"/>
    </row>
    <row r="63" spans="1:20" s="229" customFormat="1" ht="14.1" customHeight="1" thickBot="1" x14ac:dyDescent="0.25">
      <c r="B63" s="264"/>
      <c r="C63" s="352"/>
      <c r="D63" s="352"/>
      <c r="E63" s="351"/>
      <c r="F63" s="428"/>
      <c r="G63" s="352"/>
      <c r="H63" s="351"/>
      <c r="I63" s="351"/>
      <c r="J63" s="369"/>
      <c r="K63" s="264"/>
      <c r="L63" s="370"/>
      <c r="M63" s="371"/>
      <c r="N63" s="369"/>
      <c r="O63" s="230"/>
      <c r="P63" s="230"/>
      <c r="Q63" s="230"/>
      <c r="R63" s="490"/>
      <c r="S63" s="228"/>
      <c r="T63"/>
    </row>
    <row r="64" spans="1:20" ht="14.1" customHeight="1" x14ac:dyDescent="0.2">
      <c r="B64" s="372" t="s">
        <v>136</v>
      </c>
      <c r="C64" s="438">
        <f>+C66-C65</f>
        <v>19089</v>
      </c>
      <c r="D64" s="439">
        <f>+D66-D65</f>
        <v>19601</v>
      </c>
      <c r="E64" s="440">
        <f>(C64-D64)/D64</f>
        <v>-2.6121116269578082E-2</v>
      </c>
      <c r="F64" s="438">
        <f t="shared" ref="F64:G64" si="19">+F66-F65</f>
        <v>187474</v>
      </c>
      <c r="G64" s="439">
        <f t="shared" si="19"/>
        <v>192734</v>
      </c>
      <c r="H64" s="445">
        <f>(F64-G64)/G64</f>
        <v>-2.7291500202351427E-2</v>
      </c>
      <c r="I64" s="501">
        <f>F64/$F$66</f>
        <v>0.59908479104220058</v>
      </c>
      <c r="K64" s="372" t="s">
        <v>136</v>
      </c>
      <c r="L64" s="438">
        <f>+L66-L65</f>
        <v>2486140</v>
      </c>
      <c r="M64" s="439">
        <f>+M66-M65</f>
        <v>2509197</v>
      </c>
      <c r="N64" s="440">
        <f>(L64-M64)/M64</f>
        <v>-9.1889955232689977E-3</v>
      </c>
      <c r="O64" s="438">
        <f t="shared" ref="O64" si="20">+O66-O65</f>
        <v>24639570</v>
      </c>
      <c r="P64" s="439">
        <f>+P66-P65</f>
        <v>24753981</v>
      </c>
      <c r="Q64" s="488">
        <f>(O64-P64)/P64</f>
        <v>-4.621923237316858E-3</v>
      </c>
      <c r="R64" s="494">
        <f>+O64/O66</f>
        <v>0.79089016016286717</v>
      </c>
    </row>
    <row r="65" spans="2:18" ht="14.1" customHeight="1" x14ac:dyDescent="0.2">
      <c r="B65" s="329" t="s">
        <v>137</v>
      </c>
      <c r="C65" s="441">
        <f>C61+C38+C36+C34+C33+C37+C20+C60+C57+C35+C56+C58+C25+C24+C21+C15+C6+C59+C22+C23+C7+C16</f>
        <v>12243</v>
      </c>
      <c r="D65" s="373">
        <f>D61+D38+D36+D34+D33+D37+D20+D60+D57+D35+D56+D58+D25+D24+D21+D15+D6+D59+D22+D23+D7+D16+D5</f>
        <v>12368</v>
      </c>
      <c r="E65" s="374">
        <f>(C65-D65)/D65</f>
        <v>-1.010672703751617E-2</v>
      </c>
      <c r="F65" s="441">
        <f>F61+F38+F36+F34+F33+F37+F20+F60+F57+F35+F56+F58+F25+F24+F21+F15+F6+F59+F22+F23+F7+F16</f>
        <v>125460</v>
      </c>
      <c r="G65" s="373">
        <f>G61+G38+G36+G34+G33+G37+G20+G60+G57+G35+G56+G58+G25+G24+G21+G15+G6+G59+G22+G23+G7+G16</f>
        <v>125839</v>
      </c>
      <c r="H65" s="446">
        <f>(F65-G65)/G65</f>
        <v>-3.011784899752859E-3</v>
      </c>
      <c r="I65" s="502">
        <f>F65/$F$66</f>
        <v>0.40091520895779942</v>
      </c>
      <c r="K65" s="329" t="s">
        <v>137</v>
      </c>
      <c r="L65" s="441">
        <f>L61+L38+L36+L34+L33+L37+L20+L60+L57+L35+L56+L58+L25+L24+L21+L15+L6+L59+L22+L23+L7+L16</f>
        <v>633178</v>
      </c>
      <c r="M65" s="373">
        <f>M61+M38+M36+M34+M33+M37+M20+M60+M57+M35+M56+M58+M25+M24+M21+M15+M6+M59+M22+M23+M7+M16</f>
        <v>636090</v>
      </c>
      <c r="N65" s="374">
        <f>(L65-M65)/M65</f>
        <v>-4.5779685264663809E-3</v>
      </c>
      <c r="O65" s="441">
        <f>O61+O38+O36+O34+O33+O37+O20+O60+O57+O35+O56+O58+O25+O24+O21+O15+O6+O59+O22+O23+O7+O16</f>
        <v>6514655</v>
      </c>
      <c r="P65" s="373">
        <f>P61+P38+P36+P34+P33+P37+P20+P60+P57+P35+P56+P58+P25+P24+P21+P15+P6+P59+P22+P23+P7+P16</f>
        <v>6346868</v>
      </c>
      <c r="Q65" s="486">
        <f>(O65-P65)/P65</f>
        <v>2.6436188683930405E-2</v>
      </c>
      <c r="R65" s="495">
        <f>+O65/O66</f>
        <v>0.20910983983713285</v>
      </c>
    </row>
    <row r="66" spans="2:18" ht="14.1" customHeight="1" thickBot="1" x14ac:dyDescent="0.25">
      <c r="B66" s="329" t="s">
        <v>138</v>
      </c>
      <c r="C66" s="442">
        <f>C54+C52+C42+C40+C31+C18+C13+C4+C50+C29+C27+C9+C46+C11+C44+C48</f>
        <v>31332</v>
      </c>
      <c r="D66" s="443">
        <f>D54+D52+D42+D40+D31+D18+D13+D4+D50+D29+D27+D9+D46+D11+D44+D48</f>
        <v>31969</v>
      </c>
      <c r="E66" s="444">
        <f>(C66-D66)/D66</f>
        <v>-1.9925552879351872E-2</v>
      </c>
      <c r="F66" s="442">
        <f>F54+F52+F42+F40+F31+F18+F13+F4+F50+F29+F27+F9+F46+F11+F44+F48</f>
        <v>312934</v>
      </c>
      <c r="G66" s="443">
        <f>G54+G52+G42+G40+G31+G18+G13+G4+G50+G29+G27+G9+G46+G11+G44+G48</f>
        <v>318573</v>
      </c>
      <c r="H66" s="447">
        <f>(F66-G66)/G66</f>
        <v>-1.7700809547576222E-2</v>
      </c>
      <c r="I66" s="503">
        <f>+H66/H66</f>
        <v>1</v>
      </c>
      <c r="K66" s="329" t="s">
        <v>138</v>
      </c>
      <c r="L66" s="442">
        <f>L54+L52+L42+L40+L31+L18+L13+L4+L50+L29+L27+L9+L46+L11+L44+L48</f>
        <v>3119318</v>
      </c>
      <c r="M66" s="443">
        <f>M54+M52+M42+M40+M31+M18+M13+M4+M50+M29+M27+M9+M46+M11+M44+M48</f>
        <v>3145287</v>
      </c>
      <c r="N66" s="444">
        <f>(L66-M66)/M66</f>
        <v>-8.2564802512457534E-3</v>
      </c>
      <c r="O66" s="442">
        <f>O54+O52+O42+O40+O31+O18+O13+O4+O50+O29+O27+O9+O46+O11+O44+O48</f>
        <v>31154225</v>
      </c>
      <c r="P66" s="443">
        <f>P54+P52+P42+P40+P31+P18+P13+P4+P50+P29+P27+P9+P46+P11+P44+P48</f>
        <v>31100849</v>
      </c>
      <c r="Q66" s="489">
        <f>(O66-P66)/P66</f>
        <v>1.7162232452239488E-3</v>
      </c>
      <c r="R66" s="496">
        <f>+O66/O66</f>
        <v>1</v>
      </c>
    </row>
    <row r="67" spans="2:18" x14ac:dyDescent="0.2">
      <c r="D67" s="227"/>
      <c r="E67" s="227"/>
      <c r="F67" s="4"/>
      <c r="G67" s="7"/>
      <c r="H67"/>
      <c r="I67"/>
      <c r="J67"/>
      <c r="K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E136" s="37"/>
      <c r="F136" s="231"/>
      <c r="G136" s="5"/>
      <c r="H136" s="37"/>
      <c r="I136" s="37"/>
      <c r="K136" s="11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October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B4" sqref="B4:K5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78">
        <v>43374</v>
      </c>
      <c r="B1" s="512" t="s">
        <v>17</v>
      </c>
      <c r="C1" s="512" t="s">
        <v>18</v>
      </c>
      <c r="D1" s="512" t="s">
        <v>19</v>
      </c>
      <c r="E1" s="512" t="s">
        <v>161</v>
      </c>
      <c r="F1" s="512" t="s">
        <v>168</v>
      </c>
      <c r="G1" s="512" t="s">
        <v>162</v>
      </c>
      <c r="H1" s="505" t="s">
        <v>229</v>
      </c>
      <c r="I1" s="505" t="s">
        <v>216</v>
      </c>
      <c r="J1" s="512" t="s">
        <v>20</v>
      </c>
      <c r="K1" s="513" t="s">
        <v>21</v>
      </c>
    </row>
    <row r="2" spans="1:20" ht="15" x14ac:dyDescent="0.25">
      <c r="A2" s="64" t="s">
        <v>3</v>
      </c>
      <c r="B2" s="58"/>
      <c r="C2" s="58"/>
      <c r="D2" s="58"/>
      <c r="E2" s="58"/>
      <c r="F2" s="58"/>
      <c r="G2" s="58"/>
      <c r="H2" s="504"/>
      <c r="I2" s="504"/>
      <c r="J2" s="58"/>
      <c r="K2" s="280"/>
    </row>
    <row r="3" spans="1:20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2" t="s">
        <v>30</v>
      </c>
      <c r="B4" s="21">
        <f>[3]American!$FW$22</f>
        <v>77709</v>
      </c>
      <c r="C4" s="21">
        <f>[3]Delta!$FW$22+[3]Delta!$FW$32</f>
        <v>856075</v>
      </c>
      <c r="D4" s="21">
        <f>[3]United!$FW$22</f>
        <v>42433</v>
      </c>
      <c r="E4" s="21">
        <f>[3]Spirit!$FW$22</f>
        <v>44374</v>
      </c>
      <c r="F4" s="21">
        <f>[3]Condor!$FW$22+[3]Condor!$FW$32</f>
        <v>0</v>
      </c>
      <c r="G4" s="21">
        <f>'[3]Air France'!$FW$22+'[3]Air France'!$FW$32</f>
        <v>0</v>
      </c>
      <c r="H4" s="21">
        <f>'[3]Jet Blue'!$FW$22</f>
        <v>8996</v>
      </c>
      <c r="I4" s="21">
        <f>[3]KLM!$FW$22+[3]KLM!$FW$32</f>
        <v>4430</v>
      </c>
      <c r="J4" s="21">
        <f>'Other Major Airline Stats'!J5</f>
        <v>206067</v>
      </c>
      <c r="K4" s="281">
        <f>SUM(B4:J4)</f>
        <v>1240084</v>
      </c>
    </row>
    <row r="5" spans="1:20" x14ac:dyDescent="0.2">
      <c r="A5" s="62" t="s">
        <v>31</v>
      </c>
      <c r="B5" s="14">
        <f>[3]American!$FW$23</f>
        <v>76994</v>
      </c>
      <c r="C5" s="14">
        <f>[3]Delta!$FW$23+[3]Delta!$FW$33</f>
        <v>854371</v>
      </c>
      <c r="D5" s="14">
        <f>[3]United!$FW$23</f>
        <v>44308</v>
      </c>
      <c r="E5" s="14">
        <f>[3]Spirit!$FW$23</f>
        <v>44891</v>
      </c>
      <c r="F5" s="14">
        <f>[3]Condor!$FW$23+[3]Condor!$FW$33</f>
        <v>0</v>
      </c>
      <c r="G5" s="14">
        <f>'[3]Air France'!$FW$23+'[3]Air France'!$FW$33</f>
        <v>0</v>
      </c>
      <c r="H5" s="14">
        <f>'[3]Jet Blue'!$FW$23</f>
        <v>8530</v>
      </c>
      <c r="I5" s="14">
        <f>[3]KLM!$FW$23+[3]KLM!$FW$33</f>
        <v>3303</v>
      </c>
      <c r="J5" s="14">
        <f>'Other Major Airline Stats'!J6</f>
        <v>213659</v>
      </c>
      <c r="K5" s="282">
        <f>SUM(B5:J5)</f>
        <v>1246056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0" t="s">
        <v>7</v>
      </c>
      <c r="B6" s="34">
        <f t="shared" ref="B6:J6" si="0">SUM(B4:B5)</f>
        <v>154703</v>
      </c>
      <c r="C6" s="34">
        <f t="shared" si="0"/>
        <v>1710446</v>
      </c>
      <c r="D6" s="34">
        <f t="shared" si="0"/>
        <v>86741</v>
      </c>
      <c r="E6" s="34">
        <f t="shared" si="0"/>
        <v>89265</v>
      </c>
      <c r="F6" s="34">
        <f t="shared" ref="F6:I6" si="1">SUM(F4:F5)</f>
        <v>0</v>
      </c>
      <c r="G6" s="34">
        <f t="shared" si="1"/>
        <v>0</v>
      </c>
      <c r="H6" s="34">
        <f t="shared" si="1"/>
        <v>17526</v>
      </c>
      <c r="I6" s="34">
        <f t="shared" si="1"/>
        <v>7733</v>
      </c>
      <c r="J6" s="34">
        <f t="shared" si="0"/>
        <v>419726</v>
      </c>
      <c r="K6" s="283">
        <f>SUM(B6:J6)</f>
        <v>2486140</v>
      </c>
    </row>
    <row r="7" spans="1:20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81"/>
    </row>
    <row r="8" spans="1:20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1">
        <f>SUM(B8:J8)</f>
        <v>0</v>
      </c>
    </row>
    <row r="9" spans="1:20" x14ac:dyDescent="0.2">
      <c r="A9" s="62" t="s">
        <v>30</v>
      </c>
      <c r="B9" s="21">
        <f>[3]American!$FW$27</f>
        <v>3293</v>
      </c>
      <c r="C9" s="21">
        <f>[3]Delta!$FW$27+[3]Delta!$FW$37</f>
        <v>32754</v>
      </c>
      <c r="D9" s="21">
        <f>[3]United!$FW$27</f>
        <v>1444</v>
      </c>
      <c r="E9" s="21">
        <f>[3]Spirit!$FW$27</f>
        <v>205</v>
      </c>
      <c r="F9" s="21">
        <f>[3]Condor!$FW$27+[3]Condor!$FW$37</f>
        <v>0</v>
      </c>
      <c r="G9" s="21">
        <f>'[3]Air France'!$FW$27+'[3]Air France'!$FW$37</f>
        <v>0</v>
      </c>
      <c r="H9" s="21">
        <f>'[3]Jet Blue'!$FW$27</f>
        <v>258</v>
      </c>
      <c r="I9" s="21">
        <f>[3]KLM!$FW$27+[3]KLM!$FW$37</f>
        <v>8</v>
      </c>
      <c r="J9" s="21">
        <f>'Other Major Airline Stats'!J10</f>
        <v>3772</v>
      </c>
      <c r="K9" s="281">
        <f>SUM(B9:J9)</f>
        <v>41734</v>
      </c>
    </row>
    <row r="10" spans="1:20" x14ac:dyDescent="0.2">
      <c r="A10" s="62" t="s">
        <v>33</v>
      </c>
      <c r="B10" s="14">
        <f>[3]American!$FW$28</f>
        <v>3487</v>
      </c>
      <c r="C10" s="14">
        <f>[3]Delta!$FW$28+[3]Delta!$FW$38</f>
        <v>32634</v>
      </c>
      <c r="D10" s="14">
        <f>[3]United!$FW$28</f>
        <v>1384</v>
      </c>
      <c r="E10" s="14">
        <f>[3]Spirit!$FW$28</f>
        <v>271</v>
      </c>
      <c r="F10" s="14">
        <f>[3]Condor!$FW$28+[3]Condor!$FW$38</f>
        <v>0</v>
      </c>
      <c r="G10" s="14">
        <f>'[3]Air France'!$FW$28+'[3]Air France'!$FW$38</f>
        <v>0</v>
      </c>
      <c r="H10" s="14">
        <f>'[3]Jet Blue'!$FW$28</f>
        <v>240</v>
      </c>
      <c r="I10" s="14">
        <f>[3]KLM!$FW$28+[3]KLM!$FW$38</f>
        <v>15</v>
      </c>
      <c r="J10" s="14">
        <f>'Other Major Airline Stats'!J11</f>
        <v>4040</v>
      </c>
      <c r="K10" s="282">
        <f>SUM(B10:J10)</f>
        <v>42071</v>
      </c>
    </row>
    <row r="11" spans="1:20" ht="15.75" thickBot="1" x14ac:dyDescent="0.3">
      <c r="A11" s="63" t="s">
        <v>34</v>
      </c>
      <c r="B11" s="284">
        <f t="shared" ref="B11:J11" si="2">SUM(B9:B10)</f>
        <v>6780</v>
      </c>
      <c r="C11" s="284">
        <f t="shared" si="2"/>
        <v>65388</v>
      </c>
      <c r="D11" s="284">
        <f t="shared" si="2"/>
        <v>2828</v>
      </c>
      <c r="E11" s="284">
        <f t="shared" si="2"/>
        <v>476</v>
      </c>
      <c r="F11" s="284">
        <f t="shared" ref="F11:I11" si="3">SUM(F9:F10)</f>
        <v>0</v>
      </c>
      <c r="G11" s="284">
        <f t="shared" si="3"/>
        <v>0</v>
      </c>
      <c r="H11" s="284">
        <f t="shared" si="3"/>
        <v>498</v>
      </c>
      <c r="I11" s="284">
        <f t="shared" si="3"/>
        <v>23</v>
      </c>
      <c r="J11" s="284">
        <f t="shared" si="2"/>
        <v>7812</v>
      </c>
      <c r="K11" s="285">
        <f>SUM(B11:J11)</f>
        <v>83805</v>
      </c>
    </row>
    <row r="13" spans="1:20" ht="13.5" thickBot="1" x14ac:dyDescent="0.25"/>
    <row r="14" spans="1:20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2" t="s">
        <v>22</v>
      </c>
      <c r="B15" s="21">
        <f>[3]American!$FW$4</f>
        <v>634</v>
      </c>
      <c r="C15" s="21">
        <f>[3]Delta!$FW$4+[3]Delta!$FW$15</f>
        <v>6329</v>
      </c>
      <c r="D15" s="21">
        <f>[3]United!$FW$4</f>
        <v>333</v>
      </c>
      <c r="E15" s="21">
        <f>[3]Spirit!$FW$4</f>
        <v>301</v>
      </c>
      <c r="F15" s="21">
        <f>[3]Condor!$FW$4+[3]Condor!$FW$15</f>
        <v>0</v>
      </c>
      <c r="G15" s="21">
        <f>'[3]Air France'!$FW$4+'[3]Air France'!$FW$15</f>
        <v>0</v>
      </c>
      <c r="H15" s="21">
        <f>'[3]Jet Blue'!$FW$4</f>
        <v>89</v>
      </c>
      <c r="I15" s="21">
        <f>[3]KLM!$FW$4+[3]KLM!$FW$15</f>
        <v>18</v>
      </c>
      <c r="J15" s="21">
        <f>'Other Major Airline Stats'!J16</f>
        <v>1787</v>
      </c>
      <c r="K15" s="27">
        <f>SUM(B15:J15)</f>
        <v>9491</v>
      </c>
    </row>
    <row r="16" spans="1:20" x14ac:dyDescent="0.2">
      <c r="A16" s="62" t="s">
        <v>23</v>
      </c>
      <c r="B16" s="14">
        <f>[3]American!$FW$5</f>
        <v>633</v>
      </c>
      <c r="C16" s="14">
        <f>[3]Delta!$FW$5+[3]Delta!$FW$16</f>
        <v>6317</v>
      </c>
      <c r="D16" s="14">
        <f>[3]United!$FW$5</f>
        <v>333</v>
      </c>
      <c r="E16" s="14">
        <f>[3]Spirit!$FW$5</f>
        <v>301</v>
      </c>
      <c r="F16" s="14">
        <f>[3]Condor!$FW$5+[3]Condor!$FW$16</f>
        <v>0</v>
      </c>
      <c r="G16" s="14">
        <f>'[3]Air France'!$FW$5+'[3]Air France'!$FW$16</f>
        <v>0</v>
      </c>
      <c r="H16" s="14">
        <f>'[3]Jet Blue'!$FW$5</f>
        <v>89</v>
      </c>
      <c r="I16" s="14">
        <f>[3]KLM!$FW$5+[3]KLM!$FW$16</f>
        <v>18</v>
      </c>
      <c r="J16" s="14">
        <f>'Other Major Airline Stats'!J17</f>
        <v>1788</v>
      </c>
      <c r="K16" s="33">
        <f>SUM(B16:J16)</f>
        <v>9479</v>
      </c>
    </row>
    <row r="17" spans="1:11" x14ac:dyDescent="0.2">
      <c r="A17" s="62" t="s">
        <v>24</v>
      </c>
      <c r="B17" s="288">
        <f t="shared" ref="B17:J17" si="4">SUM(B15:B16)</f>
        <v>1267</v>
      </c>
      <c r="C17" s="286">
        <f t="shared" si="4"/>
        <v>12646</v>
      </c>
      <c r="D17" s="286">
        <f t="shared" si="4"/>
        <v>666</v>
      </c>
      <c r="E17" s="286">
        <f t="shared" si="4"/>
        <v>602</v>
      </c>
      <c r="F17" s="286">
        <f t="shared" ref="F17:I17" si="5">SUM(F15:F16)</f>
        <v>0</v>
      </c>
      <c r="G17" s="286">
        <f t="shared" si="5"/>
        <v>0</v>
      </c>
      <c r="H17" s="286">
        <f t="shared" si="5"/>
        <v>178</v>
      </c>
      <c r="I17" s="286">
        <f t="shared" si="5"/>
        <v>36</v>
      </c>
      <c r="J17" s="286">
        <f t="shared" si="4"/>
        <v>3575</v>
      </c>
      <c r="K17" s="287">
        <f>SUM(B17:J17)</f>
        <v>18970</v>
      </c>
    </row>
    <row r="18" spans="1:11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2" t="s">
        <v>25</v>
      </c>
      <c r="B19" s="21">
        <f>[3]American!$FW$8</f>
        <v>0</v>
      </c>
      <c r="C19" s="21">
        <f>[3]Delta!$FW$8</f>
        <v>3</v>
      </c>
      <c r="D19" s="21">
        <f>[3]United!$FW$8</f>
        <v>0</v>
      </c>
      <c r="E19" s="21">
        <f>[3]Spirit!$FW$8</f>
        <v>0</v>
      </c>
      <c r="F19" s="21">
        <f>[3]Condor!$FW$8</f>
        <v>0</v>
      </c>
      <c r="G19" s="21">
        <f>'[3]Air France'!$FW$8</f>
        <v>0</v>
      </c>
      <c r="H19" s="21">
        <f>'[3]Jet Blue'!$FW$8</f>
        <v>0</v>
      </c>
      <c r="I19" s="21">
        <f>[3]KLM!$FW$8</f>
        <v>0</v>
      </c>
      <c r="J19" s="21">
        <f>'Other Major Airline Stats'!J20</f>
        <v>56</v>
      </c>
      <c r="K19" s="27">
        <f>SUM(B19:J19)</f>
        <v>59</v>
      </c>
    </row>
    <row r="20" spans="1:11" x14ac:dyDescent="0.2">
      <c r="A20" s="62" t="s">
        <v>26</v>
      </c>
      <c r="B20" s="14">
        <f>[3]American!$FW$9</f>
        <v>0</v>
      </c>
      <c r="C20" s="14">
        <f>[3]Delta!$FW$9</f>
        <v>6</v>
      </c>
      <c r="D20" s="14">
        <f>[3]United!$FW$9</f>
        <v>0</v>
      </c>
      <c r="E20" s="14">
        <f>[3]Spirit!$FW$9</f>
        <v>0</v>
      </c>
      <c r="F20" s="14">
        <f>[3]Condor!$FW$9</f>
        <v>0</v>
      </c>
      <c r="G20" s="14">
        <f>'[3]Air France'!$FW$9</f>
        <v>0</v>
      </c>
      <c r="H20" s="14">
        <f>'[3]Jet Blue'!$FW$9</f>
        <v>0</v>
      </c>
      <c r="I20" s="14">
        <f>[3]KLM!$FW$9</f>
        <v>0</v>
      </c>
      <c r="J20" s="14">
        <f>'Other Major Airline Stats'!J21</f>
        <v>54</v>
      </c>
      <c r="K20" s="33">
        <f>SUM(B20:J20)</f>
        <v>60</v>
      </c>
    </row>
    <row r="21" spans="1:11" x14ac:dyDescent="0.2">
      <c r="A21" s="62" t="s">
        <v>27</v>
      </c>
      <c r="B21" s="288">
        <f t="shared" ref="B21:J21" si="6">SUM(B19:B20)</f>
        <v>0</v>
      </c>
      <c r="C21" s="286">
        <f t="shared" si="6"/>
        <v>9</v>
      </c>
      <c r="D21" s="286">
        <f t="shared" si="6"/>
        <v>0</v>
      </c>
      <c r="E21" s="286">
        <f t="shared" si="6"/>
        <v>0</v>
      </c>
      <c r="F21" s="286">
        <f t="shared" ref="F21:I21" si="7">SUM(F19:F20)</f>
        <v>0</v>
      </c>
      <c r="G21" s="286">
        <f t="shared" si="7"/>
        <v>0</v>
      </c>
      <c r="H21" s="286">
        <f t="shared" si="7"/>
        <v>0</v>
      </c>
      <c r="I21" s="286">
        <f t="shared" si="7"/>
        <v>0</v>
      </c>
      <c r="J21" s="286">
        <f t="shared" si="6"/>
        <v>110</v>
      </c>
      <c r="K21" s="176">
        <f>SUM(B21:J21)</f>
        <v>119</v>
      </c>
    </row>
    <row r="22" spans="1:11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3" t="s">
        <v>28</v>
      </c>
      <c r="B23" s="28">
        <f t="shared" ref="B23:J23" si="8">B17+B21</f>
        <v>1267</v>
      </c>
      <c r="C23" s="28">
        <f t="shared" si="8"/>
        <v>12655</v>
      </c>
      <c r="D23" s="28">
        <f t="shared" si="8"/>
        <v>666</v>
      </c>
      <c r="E23" s="28">
        <f>E17+E21</f>
        <v>602</v>
      </c>
      <c r="F23" s="28">
        <f t="shared" ref="F23:I23" si="9">F17+F21</f>
        <v>0</v>
      </c>
      <c r="G23" s="28">
        <f t="shared" si="9"/>
        <v>0</v>
      </c>
      <c r="H23" s="28">
        <f t="shared" si="9"/>
        <v>178</v>
      </c>
      <c r="I23" s="28">
        <f t="shared" si="9"/>
        <v>36</v>
      </c>
      <c r="J23" s="28">
        <f t="shared" si="8"/>
        <v>3685</v>
      </c>
      <c r="K23" s="29">
        <f>SUM(B23:J23)</f>
        <v>19089</v>
      </c>
    </row>
    <row r="25" spans="1:11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413"/>
    </row>
    <row r="26" spans="1:11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2" t="s">
        <v>37</v>
      </c>
      <c r="B28" s="21">
        <f>[3]American!$FW$47</f>
        <v>53572</v>
      </c>
      <c r="C28" s="21">
        <f>[3]Delta!$FW$47</f>
        <v>4586353</v>
      </c>
      <c r="D28" s="21">
        <f>[3]United!$FW$47</f>
        <v>48537</v>
      </c>
      <c r="E28" s="21">
        <f>[3]Spirit!$FW$47</f>
        <v>0</v>
      </c>
      <c r="F28" s="21">
        <f>[3]Condor!$FW$47</f>
        <v>0</v>
      </c>
      <c r="G28" s="21">
        <f>'[3]Air France'!$FW$47</f>
        <v>0</v>
      </c>
      <c r="H28" s="21">
        <f>'[3]Jet Blue'!$FW$47</f>
        <v>0</v>
      </c>
      <c r="I28" s="21">
        <f>[3]KLM!$FW$47</f>
        <v>512325</v>
      </c>
      <c r="J28" s="21">
        <f>'Other Major Airline Stats'!J28</f>
        <v>416662</v>
      </c>
      <c r="K28" s="27">
        <f>SUM(B28:J28)</f>
        <v>5617449</v>
      </c>
    </row>
    <row r="29" spans="1:11" x14ac:dyDescent="0.2">
      <c r="A29" s="62" t="s">
        <v>38</v>
      </c>
      <c r="B29" s="14">
        <f>[3]American!$FW$48</f>
        <v>16272</v>
      </c>
      <c r="C29" s="14">
        <f>[3]Delta!$FW$48</f>
        <v>1701489</v>
      </c>
      <c r="D29" s="14">
        <f>[3]United!$FW$48</f>
        <v>64648</v>
      </c>
      <c r="E29" s="14">
        <f>[3]Spirit!$FW$48</f>
        <v>0</v>
      </c>
      <c r="F29" s="14">
        <f>[3]Condor!$FW$48</f>
        <v>0</v>
      </c>
      <c r="G29" s="14">
        <f>'[3]Air France'!$FW$48</f>
        <v>0</v>
      </c>
      <c r="H29" s="14">
        <f>'[3]Jet Blue'!$FW$48</f>
        <v>0</v>
      </c>
      <c r="I29" s="14">
        <f>[3]KLM!$FW$48</f>
        <v>0</v>
      </c>
      <c r="J29" s="14">
        <f>'Other Major Airline Stats'!J29</f>
        <v>229634</v>
      </c>
      <c r="K29" s="33">
        <f>SUM(B29:J29)</f>
        <v>2012043</v>
      </c>
    </row>
    <row r="30" spans="1:11" x14ac:dyDescent="0.2">
      <c r="A30" s="66" t="s">
        <v>39</v>
      </c>
      <c r="B30" s="288">
        <f t="shared" ref="B30:J30" si="10">SUM(B28:B29)</f>
        <v>69844</v>
      </c>
      <c r="C30" s="288">
        <f t="shared" si="10"/>
        <v>6287842</v>
      </c>
      <c r="D30" s="288">
        <f t="shared" si="10"/>
        <v>113185</v>
      </c>
      <c r="E30" s="288">
        <f t="shared" si="10"/>
        <v>0</v>
      </c>
      <c r="F30" s="288">
        <f t="shared" ref="F30:I30" si="11">SUM(F28:F29)</f>
        <v>0</v>
      </c>
      <c r="G30" s="288">
        <f t="shared" si="11"/>
        <v>0</v>
      </c>
      <c r="H30" s="288">
        <f t="shared" si="11"/>
        <v>0</v>
      </c>
      <c r="I30" s="288">
        <f t="shared" si="11"/>
        <v>512325</v>
      </c>
      <c r="J30" s="288">
        <f t="shared" si="10"/>
        <v>646296</v>
      </c>
      <c r="K30" s="27">
        <f>SUM(B30:J30)</f>
        <v>7629492</v>
      </c>
    </row>
    <row r="31" spans="1:11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2">SUM(B32:J32)</f>
        <v>0</v>
      </c>
    </row>
    <row r="33" spans="1:11" x14ac:dyDescent="0.2">
      <c r="A33" s="62" t="s">
        <v>37</v>
      </c>
      <c r="B33" s="21">
        <f>[3]American!$FW$52</f>
        <v>12585</v>
      </c>
      <c r="C33" s="21">
        <f>[3]Delta!$FW$52</f>
        <v>2283821</v>
      </c>
      <c r="D33" s="21">
        <f>[3]United!$FW$52</f>
        <v>113185</v>
      </c>
      <c r="E33" s="21">
        <f>[3]Spirit!$FW$52</f>
        <v>0</v>
      </c>
      <c r="F33" s="21">
        <f>[3]Condor!$FW$52</f>
        <v>0</v>
      </c>
      <c r="G33" s="21">
        <f>'[3]Air France'!$FW$52</f>
        <v>0</v>
      </c>
      <c r="H33" s="21">
        <f>'[3]Jet Blue'!$FW$52</f>
        <v>0</v>
      </c>
      <c r="I33" s="21">
        <f>[3]KLM!$FW$52</f>
        <v>121930</v>
      </c>
      <c r="J33" s="21">
        <f>'Other Major Airline Stats'!J33</f>
        <v>185470</v>
      </c>
      <c r="K33" s="27">
        <f t="shared" si="12"/>
        <v>2716991</v>
      </c>
    </row>
    <row r="34" spans="1:11" x14ac:dyDescent="0.2">
      <c r="A34" s="62" t="s">
        <v>38</v>
      </c>
      <c r="B34" s="14">
        <f>[3]American!$FW$53</f>
        <v>40176</v>
      </c>
      <c r="C34" s="14">
        <f>[3]Delta!$FW$53</f>
        <v>1909869</v>
      </c>
      <c r="D34" s="14">
        <f>[3]United!$FW$53</f>
        <v>26918</v>
      </c>
      <c r="E34" s="14">
        <f>[3]Spirit!$FW$53</f>
        <v>0</v>
      </c>
      <c r="F34" s="14">
        <f>[3]Condor!$FW$53</f>
        <v>0</v>
      </c>
      <c r="G34" s="14">
        <f>'[3]Air France'!$FW$53</f>
        <v>0</v>
      </c>
      <c r="H34" s="14">
        <f>'[3]Jet Blue'!$FW$53</f>
        <v>0</v>
      </c>
      <c r="I34" s="14">
        <f>[3]KLM!$FW$53</f>
        <v>0</v>
      </c>
      <c r="J34" s="14">
        <f>'Other Major Airline Stats'!J34</f>
        <v>381953</v>
      </c>
      <c r="K34" s="33">
        <f t="shared" si="12"/>
        <v>2358916</v>
      </c>
    </row>
    <row r="35" spans="1:11" x14ac:dyDescent="0.2">
      <c r="A35" s="66" t="s">
        <v>41</v>
      </c>
      <c r="B35" s="288">
        <f t="shared" ref="B35:J35" si="13">SUM(B33:B34)</f>
        <v>52761</v>
      </c>
      <c r="C35" s="288">
        <f t="shared" si="13"/>
        <v>4193690</v>
      </c>
      <c r="D35" s="288">
        <f t="shared" si="13"/>
        <v>140103</v>
      </c>
      <c r="E35" s="288">
        <f t="shared" si="13"/>
        <v>0</v>
      </c>
      <c r="F35" s="288">
        <f t="shared" ref="F35:I35" si="14">SUM(F33:F34)</f>
        <v>0</v>
      </c>
      <c r="G35" s="288">
        <f t="shared" si="14"/>
        <v>0</v>
      </c>
      <c r="H35" s="288">
        <f t="shared" si="14"/>
        <v>0</v>
      </c>
      <c r="I35" s="288">
        <f t="shared" si="14"/>
        <v>121930</v>
      </c>
      <c r="J35" s="288">
        <f t="shared" si="13"/>
        <v>567423</v>
      </c>
      <c r="K35" s="27">
        <f t="shared" si="12"/>
        <v>5075907</v>
      </c>
    </row>
    <row r="36" spans="1:11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2"/>
        <v>0</v>
      </c>
    </row>
    <row r="37" spans="1:11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2"/>
        <v>0</v>
      </c>
    </row>
    <row r="38" spans="1:11" hidden="1" x14ac:dyDescent="0.2">
      <c r="A38" s="62" t="s">
        <v>37</v>
      </c>
      <c r="B38" s="21">
        <f>[3]American!$FW$57</f>
        <v>0</v>
      </c>
      <c r="C38" s="21">
        <f>[3]Delta!$FW$57</f>
        <v>0</v>
      </c>
      <c r="D38" s="21">
        <f>[3]United!$FW$57</f>
        <v>0</v>
      </c>
      <c r="E38" s="21">
        <f>[3]Spirit!$FW$57</f>
        <v>0</v>
      </c>
      <c r="F38" s="21">
        <f>[3]Condor!$FW$57</f>
        <v>0</v>
      </c>
      <c r="G38" s="21">
        <f>'[3]Air France'!$FW$57</f>
        <v>0</v>
      </c>
      <c r="H38" s="21">
        <f>'[3]Jet Blue'!$FW$57</f>
        <v>0</v>
      </c>
      <c r="I38" s="21">
        <f>[3]KLM!$FW$57</f>
        <v>0</v>
      </c>
      <c r="J38" s="21">
        <f>'Other Major Airline Stats'!J38</f>
        <v>0</v>
      </c>
      <c r="K38" s="27">
        <f t="shared" si="12"/>
        <v>0</v>
      </c>
    </row>
    <row r="39" spans="1:11" hidden="1" x14ac:dyDescent="0.2">
      <c r="A39" s="62" t="s">
        <v>38</v>
      </c>
      <c r="B39" s="14">
        <f>[3]American!$FW$58</f>
        <v>0</v>
      </c>
      <c r="C39" s="14">
        <f>[3]Delta!$FW$58</f>
        <v>0</v>
      </c>
      <c r="D39" s="14">
        <f>[3]United!$FW$58</f>
        <v>0</v>
      </c>
      <c r="E39" s="14">
        <f>[3]Spirit!$FW$58</f>
        <v>0</v>
      </c>
      <c r="F39" s="14">
        <f>[3]Condor!$FW$58</f>
        <v>0</v>
      </c>
      <c r="G39" s="14">
        <f>'[3]Air France'!$FW$58</f>
        <v>0</v>
      </c>
      <c r="H39" s="14">
        <f>'[3]Jet Blue'!$FW$58</f>
        <v>0</v>
      </c>
      <c r="I39" s="14">
        <f>[3]KLM!$FW$58</f>
        <v>0</v>
      </c>
      <c r="J39" s="14">
        <f>'Other Major Airline Stats'!J39</f>
        <v>0</v>
      </c>
      <c r="K39" s="33">
        <f t="shared" si="12"/>
        <v>0</v>
      </c>
    </row>
    <row r="40" spans="1:11" hidden="1" x14ac:dyDescent="0.2">
      <c r="A40" s="66" t="s">
        <v>43</v>
      </c>
      <c r="B40" s="288">
        <f t="shared" ref="B40:J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I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6"/>
        <v>0</v>
      </c>
      <c r="J40" s="288">
        <f t="shared" si="15"/>
        <v>0</v>
      </c>
      <c r="K40" s="27">
        <f t="shared" si="12"/>
        <v>0</v>
      </c>
    </row>
    <row r="41" spans="1:11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2" t="s">
        <v>45</v>
      </c>
      <c r="B43" s="21">
        <f t="shared" ref="B43:J44" si="17">B28+B33+B38</f>
        <v>66157</v>
      </c>
      <c r="C43" s="21">
        <f t="shared" si="17"/>
        <v>6870174</v>
      </c>
      <c r="D43" s="21">
        <f t="shared" si="17"/>
        <v>161722</v>
      </c>
      <c r="E43" s="21">
        <f>E28+E33+E38</f>
        <v>0</v>
      </c>
      <c r="F43" s="21">
        <f t="shared" ref="F43:I43" si="18">F28+F33+F38</f>
        <v>0</v>
      </c>
      <c r="G43" s="21">
        <f t="shared" si="18"/>
        <v>0</v>
      </c>
      <c r="H43" s="21">
        <f t="shared" si="18"/>
        <v>0</v>
      </c>
      <c r="I43" s="21">
        <f t="shared" si="18"/>
        <v>634255</v>
      </c>
      <c r="J43" s="21">
        <f t="shared" si="17"/>
        <v>602132</v>
      </c>
      <c r="K43" s="27">
        <f>SUM(B43:J43)</f>
        <v>8334440</v>
      </c>
    </row>
    <row r="44" spans="1:11" x14ac:dyDescent="0.2">
      <c r="A44" s="62" t="s">
        <v>38</v>
      </c>
      <c r="B44" s="14">
        <f t="shared" si="17"/>
        <v>56448</v>
      </c>
      <c r="C44" s="14">
        <f t="shared" si="17"/>
        <v>3611358</v>
      </c>
      <c r="D44" s="14">
        <f t="shared" si="17"/>
        <v>91566</v>
      </c>
      <c r="E44" s="14">
        <f>E29+E34+E39</f>
        <v>0</v>
      </c>
      <c r="F44" s="14">
        <f t="shared" ref="F44:I44" si="19">F29+F34+F39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7"/>
        <v>611587</v>
      </c>
      <c r="K44" s="27">
        <f>SUM(B44:J44)</f>
        <v>4370959</v>
      </c>
    </row>
    <row r="45" spans="1:11" ht="15.75" thickBot="1" x14ac:dyDescent="0.3">
      <c r="A45" s="63" t="s">
        <v>46</v>
      </c>
      <c r="B45" s="289">
        <f t="shared" ref="B45:J45" si="20">SUM(B43:B44)</f>
        <v>122605</v>
      </c>
      <c r="C45" s="289">
        <f t="shared" si="20"/>
        <v>10481532</v>
      </c>
      <c r="D45" s="289">
        <f t="shared" si="20"/>
        <v>253288</v>
      </c>
      <c r="E45" s="289">
        <f t="shared" si="20"/>
        <v>0</v>
      </c>
      <c r="F45" s="289">
        <f t="shared" ref="F45:I45" si="21">SUM(F43:F44)</f>
        <v>0</v>
      </c>
      <c r="G45" s="289">
        <f t="shared" si="21"/>
        <v>0</v>
      </c>
      <c r="H45" s="289">
        <f t="shared" si="21"/>
        <v>0</v>
      </c>
      <c r="I45" s="289">
        <f t="shared" si="21"/>
        <v>634255</v>
      </c>
      <c r="J45" s="289">
        <f t="shared" si="20"/>
        <v>1213719</v>
      </c>
      <c r="K45" s="290">
        <f>SUM(B45:J45)</f>
        <v>12705399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5" t="s">
        <v>124</v>
      </c>
      <c r="C47" s="319">
        <f>[3]Delta!$FW$70+[3]Delta!$FW$73</f>
        <v>452253</v>
      </c>
      <c r="D47" s="306"/>
      <c r="E47" s="306"/>
      <c r="F47" s="306"/>
      <c r="G47" s="306"/>
      <c r="H47" s="306"/>
      <c r="I47" s="306"/>
      <c r="J47" s="306"/>
      <c r="K47" s="307">
        <f>SUM(B47:J47)</f>
        <v>452253</v>
      </c>
    </row>
    <row r="48" spans="1:11" hidden="1" x14ac:dyDescent="0.2">
      <c r="A48" s="376" t="s">
        <v>125</v>
      </c>
      <c r="C48" s="319">
        <f>[3]Delta!$FW$71+[3]Delta!$FW$74</f>
        <v>402118</v>
      </c>
      <c r="D48" s="306"/>
      <c r="E48" s="306"/>
      <c r="F48" s="306"/>
      <c r="G48" s="306"/>
      <c r="H48" s="306"/>
      <c r="I48" s="306"/>
      <c r="J48" s="306"/>
      <c r="K48" s="307">
        <f>SUM(B48:J48)</f>
        <v>402118</v>
      </c>
    </row>
    <row r="49" spans="1:11" hidden="1" x14ac:dyDescent="0.2">
      <c r="A49" s="377" t="s">
        <v>126</v>
      </c>
      <c r="C49" s="320">
        <f>SUM(C47:C48)</f>
        <v>854371</v>
      </c>
      <c r="K49" s="307">
        <f>SUM(B49:J49)</f>
        <v>854371</v>
      </c>
    </row>
    <row r="50" spans="1:11" x14ac:dyDescent="0.2">
      <c r="A50" s="375" t="s">
        <v>124</v>
      </c>
      <c r="B50" s="387"/>
      <c r="C50" s="322">
        <f>[3]Delta!$FW$70+[3]Delta!$FW$73</f>
        <v>452253</v>
      </c>
      <c r="D50" s="387"/>
      <c r="E50" s="322">
        <f>[3]Spirit!$FW$70+[3]Spirit!$FW$73</f>
        <v>0</v>
      </c>
      <c r="F50" s="387"/>
      <c r="G50" s="387"/>
      <c r="H50" s="387"/>
      <c r="I50" s="387"/>
      <c r="J50" s="321">
        <f>'Other Major Airline Stats'!J48</f>
        <v>177245</v>
      </c>
      <c r="K50" s="310">
        <f>SUM(B50:J50)</f>
        <v>629498</v>
      </c>
    </row>
    <row r="51" spans="1:11" x14ac:dyDescent="0.2">
      <c r="A51" s="389" t="s">
        <v>125</v>
      </c>
      <c r="B51" s="387"/>
      <c r="C51" s="322">
        <f>[3]Delta!$FW$71+[3]Delta!$FW$74</f>
        <v>402118</v>
      </c>
      <c r="D51" s="387"/>
      <c r="E51" s="322">
        <f>[3]Spirit!$FW$71+[3]Spirit!$FW$74</f>
        <v>0</v>
      </c>
      <c r="F51" s="387"/>
      <c r="G51" s="387"/>
      <c r="H51" s="387"/>
      <c r="I51" s="387"/>
      <c r="J51" s="321">
        <f>+'Other Major Airline Stats'!J49</f>
        <v>1574</v>
      </c>
      <c r="K51" s="310">
        <f>SUM(B51:J51)</f>
        <v>403692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topLeftCell="A8" zoomScaleNormal="100" workbookViewId="0">
      <selection activeCell="B5" sqref="B5:J50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8">
        <v>43374</v>
      </c>
      <c r="B2" s="436" t="s">
        <v>47</v>
      </c>
      <c r="C2" s="436" t="s">
        <v>159</v>
      </c>
      <c r="D2" s="435" t="s">
        <v>196</v>
      </c>
      <c r="E2" s="435" t="s">
        <v>197</v>
      </c>
      <c r="F2" s="436" t="s">
        <v>48</v>
      </c>
      <c r="G2" s="435" t="s">
        <v>132</v>
      </c>
      <c r="H2" s="435" t="s">
        <v>49</v>
      </c>
      <c r="I2" s="435" t="s">
        <v>131</v>
      </c>
      <c r="J2" s="514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[3]Frontier!$FW$22</f>
        <v>19912</v>
      </c>
      <c r="C5" s="146">
        <f>'[3]Great Lakes'!$FW$22</f>
        <v>0</v>
      </c>
      <c r="D5" s="118">
        <f>'[3]Air Choice One'!$FW$22</f>
        <v>426</v>
      </c>
      <c r="E5" s="118">
        <f>'[3]Boutique Air'!$FW$22</f>
        <v>472</v>
      </c>
      <c r="F5" s="146">
        <f>[3]Icelandair!$FW$32</f>
        <v>3796</v>
      </c>
      <c r="G5" s="118">
        <f>[3]Southwest!$FW$22</f>
        <v>87771</v>
      </c>
      <c r="H5" s="118">
        <f>'[3]Sun Country'!$FW$22+'[3]Sun Country'!$FW$32</f>
        <v>83817</v>
      </c>
      <c r="I5" s="118">
        <f>[3]Alaska!$FW$22</f>
        <v>9873</v>
      </c>
      <c r="J5" s="147">
        <f>SUM(B5:I5)</f>
        <v>206067</v>
      </c>
      <c r="M5" s="130"/>
    </row>
    <row r="6" spans="1:13" x14ac:dyDescent="0.2">
      <c r="A6" s="62" t="s">
        <v>31</v>
      </c>
      <c r="B6" s="146">
        <f>[3]Frontier!$FW$23</f>
        <v>20629</v>
      </c>
      <c r="C6" s="146">
        <f>'[3]Great Lakes'!$FW$23</f>
        <v>0</v>
      </c>
      <c r="D6" s="118">
        <f>'[3]Air Choice One'!$FW$23</f>
        <v>424</v>
      </c>
      <c r="E6" s="118">
        <f>'[3]Boutique Air'!$FW$23</f>
        <v>461</v>
      </c>
      <c r="F6" s="146">
        <f>[3]Icelandair!$FW$33</f>
        <v>3249</v>
      </c>
      <c r="G6" s="118">
        <f>[3]Southwest!$FW$23</f>
        <v>90743</v>
      </c>
      <c r="H6" s="118">
        <f>'[3]Sun Country'!$FW$23+'[3]Sun Country'!$FW$33</f>
        <v>88076</v>
      </c>
      <c r="I6" s="118">
        <f>[3]Alaska!$FW$23</f>
        <v>10077</v>
      </c>
      <c r="J6" s="147">
        <f>SUM(B6:I6)</f>
        <v>213659</v>
      </c>
    </row>
    <row r="7" spans="1:13" ht="15" x14ac:dyDescent="0.25">
      <c r="A7" s="60" t="s">
        <v>7</v>
      </c>
      <c r="B7" s="155">
        <f t="shared" ref="B7:I7" si="0">SUM(B5:B6)</f>
        <v>40541</v>
      </c>
      <c r="C7" s="155">
        <f t="shared" si="0"/>
        <v>0</v>
      </c>
      <c r="D7" s="155">
        <f t="shared" ref="D7:E7" si="1">SUM(D5:D6)</f>
        <v>850</v>
      </c>
      <c r="E7" s="155">
        <f t="shared" si="1"/>
        <v>933</v>
      </c>
      <c r="F7" s="155">
        <f t="shared" si="0"/>
        <v>7045</v>
      </c>
      <c r="G7" s="155">
        <f t="shared" si="0"/>
        <v>178514</v>
      </c>
      <c r="H7" s="155">
        <f>SUM(H5:H6)</f>
        <v>171893</v>
      </c>
      <c r="I7" s="155">
        <f t="shared" si="0"/>
        <v>19950</v>
      </c>
      <c r="J7" s="156">
        <f>SUM(B7:I7)</f>
        <v>419726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[3]Frontier!$FW$27</f>
        <v>199</v>
      </c>
      <c r="C10" s="154">
        <f>'[3]Great Lakes'!$FW$27</f>
        <v>0</v>
      </c>
      <c r="D10" s="154">
        <f>'[3]Air Choice One'!$FW$27</f>
        <v>0</v>
      </c>
      <c r="E10" s="154">
        <f>'[3]Boutique Air'!$FW$27</f>
        <v>0</v>
      </c>
      <c r="F10" s="154">
        <f>[3]Icelandair!$FW$37</f>
        <v>53</v>
      </c>
      <c r="G10" s="154">
        <f>[3]Southwest!$FW$27</f>
        <v>1825</v>
      </c>
      <c r="H10" s="154">
        <f>'[3]Sun Country'!$FW$27+'[3]Sun Country'!$FW$37</f>
        <v>1354</v>
      </c>
      <c r="I10" s="154">
        <f>[3]Alaska!$FW$27</f>
        <v>341</v>
      </c>
      <c r="J10" s="147">
        <f>SUM(B10:I10)</f>
        <v>3772</v>
      </c>
    </row>
    <row r="11" spans="1:13" x14ac:dyDescent="0.2">
      <c r="A11" s="62" t="s">
        <v>33</v>
      </c>
      <c r="B11" s="157">
        <f>[3]Frontier!$FW$28</f>
        <v>187</v>
      </c>
      <c r="C11" s="157">
        <f>'[3]Great Lakes'!$FW$28</f>
        <v>0</v>
      </c>
      <c r="D11" s="157">
        <f>'[3]Air Choice One'!$FW$28</f>
        <v>0</v>
      </c>
      <c r="E11" s="157">
        <f>'[3]Boutique Air'!$FW$28</f>
        <v>0</v>
      </c>
      <c r="F11" s="157">
        <f>[3]Icelandair!$FW$38</f>
        <v>49</v>
      </c>
      <c r="G11" s="157">
        <f>[3]Southwest!$FW$28</f>
        <v>1998</v>
      </c>
      <c r="H11" s="157">
        <f>'[3]Sun Country'!$FW$28+'[3]Sun Country'!$FW$38</f>
        <v>1406</v>
      </c>
      <c r="I11" s="157">
        <f>[3]Alaska!$FW$28</f>
        <v>400</v>
      </c>
      <c r="J11" s="147">
        <f>SUM(B11:I11)</f>
        <v>4040</v>
      </c>
    </row>
    <row r="12" spans="1:13" ht="15.75" thickBot="1" x14ac:dyDescent="0.3">
      <c r="A12" s="63" t="s">
        <v>34</v>
      </c>
      <c r="B12" s="150">
        <f t="shared" ref="B12:I12" si="2">SUM(B10:B11)</f>
        <v>386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102</v>
      </c>
      <c r="G12" s="150">
        <f t="shared" si="2"/>
        <v>3823</v>
      </c>
      <c r="H12" s="150">
        <f>SUM(H10:H11)</f>
        <v>2760</v>
      </c>
      <c r="I12" s="150">
        <f t="shared" si="2"/>
        <v>741</v>
      </c>
      <c r="J12" s="158">
        <f>SUM(B12:I12)</f>
        <v>7812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[3]Frontier!$FW$4</f>
        <v>143</v>
      </c>
      <c r="C16" s="146">
        <f>'[3]Great Lakes'!$FW$4</f>
        <v>0</v>
      </c>
      <c r="D16" s="106">
        <f>'[3]Air Choice One'!$FW$4</f>
        <v>101</v>
      </c>
      <c r="E16" s="106">
        <f>'[3]Boutique Air'!$FW$4</f>
        <v>82</v>
      </c>
      <c r="F16" s="146">
        <f>[3]Icelandair!$FW$15</f>
        <v>24</v>
      </c>
      <c r="G16" s="106">
        <f>[3]Southwest!$FW$4</f>
        <v>739</v>
      </c>
      <c r="H16" s="118">
        <f>'[3]Sun Country'!$FW$4+'[3]Sun Country'!$FW$15</f>
        <v>635</v>
      </c>
      <c r="I16" s="118">
        <f>[3]Alaska!$FW$4</f>
        <v>63</v>
      </c>
      <c r="J16" s="147">
        <f>SUM(B16:I16)</f>
        <v>1787</v>
      </c>
    </row>
    <row r="17" spans="1:257" x14ac:dyDescent="0.2">
      <c r="A17" s="62" t="s">
        <v>23</v>
      </c>
      <c r="B17" s="146">
        <f>[3]Frontier!$FW$5</f>
        <v>143</v>
      </c>
      <c r="C17" s="146">
        <f>'[3]Great Lakes'!$FW$5</f>
        <v>0</v>
      </c>
      <c r="D17" s="106">
        <f>'[3]Air Choice One'!$FW$5</f>
        <v>101</v>
      </c>
      <c r="E17" s="106">
        <f>'[3]Boutique Air'!$FW$5</f>
        <v>82</v>
      </c>
      <c r="F17" s="146">
        <f>[3]Icelandair!$FW$16</f>
        <v>24</v>
      </c>
      <c r="G17" s="106">
        <f>[3]Southwest!$FW$5</f>
        <v>738</v>
      </c>
      <c r="H17" s="118">
        <f>'[3]Sun Country'!$FW$5+'[3]Sun Country'!$FW$16</f>
        <v>637</v>
      </c>
      <c r="I17" s="118">
        <f>[3]Alaska!$FW$5</f>
        <v>63</v>
      </c>
      <c r="J17" s="147">
        <f>SUM(B17:I17)</f>
        <v>1788</v>
      </c>
    </row>
    <row r="18" spans="1:257" x14ac:dyDescent="0.2">
      <c r="A18" s="66" t="s">
        <v>24</v>
      </c>
      <c r="B18" s="148">
        <f t="shared" ref="B18:I18" si="4">SUM(B16:B17)</f>
        <v>286</v>
      </c>
      <c r="C18" s="148">
        <f t="shared" si="4"/>
        <v>0</v>
      </c>
      <c r="D18" s="148">
        <f t="shared" ref="D18:E18" si="5">SUM(D16:D17)</f>
        <v>202</v>
      </c>
      <c r="E18" s="148">
        <f t="shared" si="5"/>
        <v>164</v>
      </c>
      <c r="F18" s="148">
        <f t="shared" si="4"/>
        <v>48</v>
      </c>
      <c r="G18" s="148">
        <f t="shared" si="4"/>
        <v>1477</v>
      </c>
      <c r="H18" s="148">
        <f t="shared" si="4"/>
        <v>1272</v>
      </c>
      <c r="I18" s="148">
        <f t="shared" si="4"/>
        <v>126</v>
      </c>
      <c r="J18" s="149">
        <f>SUM(B18:I18)</f>
        <v>3575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[3]Frontier!$FW$8</f>
        <v>0</v>
      </c>
      <c r="C20" s="146">
        <f>'[3]Great Lakes'!$FW$8</f>
        <v>0</v>
      </c>
      <c r="D20" s="118">
        <f>'[3]Air Choice One'!$FW$8</f>
        <v>0</v>
      </c>
      <c r="E20" s="118">
        <f>'[3]Boutique Air'!$FW$8</f>
        <v>0</v>
      </c>
      <c r="F20" s="146">
        <f>[3]Icelandair!$FW$8</f>
        <v>0</v>
      </c>
      <c r="G20" s="118">
        <f>[3]Southwest!$FW$8</f>
        <v>0</v>
      </c>
      <c r="H20" s="118">
        <f>'[3]Sun Country'!$FW$8</f>
        <v>56</v>
      </c>
      <c r="I20" s="118">
        <f>[3]Alaska!$FW$8</f>
        <v>0</v>
      </c>
      <c r="J20" s="147">
        <f>SUM(B20:I20)</f>
        <v>56</v>
      </c>
    </row>
    <row r="21" spans="1:257" x14ac:dyDescent="0.2">
      <c r="A21" s="62" t="s">
        <v>26</v>
      </c>
      <c r="B21" s="146">
        <f>[3]Frontier!$FW$9</f>
        <v>0</v>
      </c>
      <c r="C21" s="146">
        <f>'[3]Great Lakes'!$FW$9</f>
        <v>0</v>
      </c>
      <c r="D21" s="118">
        <f>'[3]Air Choice One'!$FW$9</f>
        <v>0</v>
      </c>
      <c r="E21" s="118">
        <f>'[3]Boutique Air'!$FW$9</f>
        <v>0</v>
      </c>
      <c r="F21" s="146">
        <f>[3]Icelandair!$FW$9</f>
        <v>0</v>
      </c>
      <c r="G21" s="118">
        <f>[3]Southwest!$FW$9</f>
        <v>0</v>
      </c>
      <c r="H21" s="118">
        <f>'[3]Sun Country'!$FW$9</f>
        <v>54</v>
      </c>
      <c r="I21" s="118">
        <f>[3]Alaska!$FW$9</f>
        <v>0</v>
      </c>
      <c r="J21" s="147">
        <f>SUM(B21:I21)</f>
        <v>54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110</v>
      </c>
      <c r="I22" s="148">
        <f t="shared" si="6"/>
        <v>0</v>
      </c>
      <c r="J22" s="149">
        <f>SUM(B22:I22)</f>
        <v>110</v>
      </c>
    </row>
    <row r="23" spans="1:257" ht="15.75" thickBot="1" x14ac:dyDescent="0.3">
      <c r="A23" s="63" t="s">
        <v>28</v>
      </c>
      <c r="B23" s="150">
        <f t="shared" ref="B23:I23" si="8">B22+B18</f>
        <v>286</v>
      </c>
      <c r="C23" s="150">
        <f t="shared" si="8"/>
        <v>0</v>
      </c>
      <c r="D23" s="150">
        <f t="shared" ref="D23:E23" si="9">D22+D18</f>
        <v>202</v>
      </c>
      <c r="E23" s="150">
        <f t="shared" si="9"/>
        <v>164</v>
      </c>
      <c r="F23" s="150">
        <f t="shared" si="8"/>
        <v>48</v>
      </c>
      <c r="G23" s="150">
        <f t="shared" si="8"/>
        <v>1477</v>
      </c>
      <c r="H23" s="150">
        <f t="shared" si="8"/>
        <v>1382</v>
      </c>
      <c r="I23" s="150">
        <f t="shared" si="8"/>
        <v>126</v>
      </c>
      <c r="J23" s="151">
        <f>SUM(B23:I23)</f>
        <v>3685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[3]Frontier!$FW$47</f>
        <v>0</v>
      </c>
      <c r="C28" s="146">
        <f>'[3]Great Lakes'!$FW$47</f>
        <v>0</v>
      </c>
      <c r="D28" s="118">
        <f>'[3]Air Choice One'!$FW$47</f>
        <v>0</v>
      </c>
      <c r="E28" s="118">
        <f>'[3]Boutique Air'!$FW$47</f>
        <v>0</v>
      </c>
      <c r="F28" s="146">
        <f>[3]Icelandair!$FW$47</f>
        <v>16955</v>
      </c>
      <c r="G28" s="118">
        <f>[3]Southwest!$FW$47</f>
        <v>276345</v>
      </c>
      <c r="H28" s="118">
        <f>'[3]Sun Country'!$FW$47</f>
        <v>105135</v>
      </c>
      <c r="I28" s="118">
        <f>[3]Alaska!$FW$47</f>
        <v>18227</v>
      </c>
      <c r="J28" s="147">
        <f>SUM(B28:I28)</f>
        <v>416662</v>
      </c>
    </row>
    <row r="29" spans="1:257" x14ac:dyDescent="0.2">
      <c r="A29" s="62" t="s">
        <v>38</v>
      </c>
      <c r="B29" s="146">
        <f>[3]Frontier!$FW$48</f>
        <v>0</v>
      </c>
      <c r="C29" s="146">
        <f>'[3]Great Lakes'!$FW$48</f>
        <v>0</v>
      </c>
      <c r="D29" s="118">
        <f>'[3]Air Choice One'!$FW$48</f>
        <v>0</v>
      </c>
      <c r="E29" s="118">
        <f>'[3]Boutique Air'!$FW$48</f>
        <v>0</v>
      </c>
      <c r="F29" s="146">
        <f>[3]Icelandair!$FW$48</f>
        <v>66</v>
      </c>
      <c r="G29" s="118">
        <f>[3]Southwest!$FW$48</f>
        <v>0</v>
      </c>
      <c r="H29" s="118">
        <f>'[3]Sun Country'!$FW$48</f>
        <v>223102</v>
      </c>
      <c r="I29" s="118">
        <f>[3]Alaska!$FW$48</f>
        <v>6466</v>
      </c>
      <c r="J29" s="147">
        <f>SUM(B29:I29)</f>
        <v>229634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17021</v>
      </c>
      <c r="G30" s="162">
        <f t="shared" si="10"/>
        <v>276345</v>
      </c>
      <c r="H30" s="162">
        <f t="shared" si="10"/>
        <v>328237</v>
      </c>
      <c r="I30" s="162">
        <f t="shared" si="10"/>
        <v>24693</v>
      </c>
      <c r="J30" s="165">
        <f>SUM(B30:I30)</f>
        <v>646296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[3]Frontier!$FW$52</f>
        <v>0</v>
      </c>
      <c r="C33" s="146">
        <f>'[3]Great Lakes'!$FW$52</f>
        <v>0</v>
      </c>
      <c r="D33" s="118">
        <f>'[3]Air Choice One'!$FW$52</f>
        <v>0</v>
      </c>
      <c r="E33" s="118">
        <f>'[3]Boutique Air'!$FW$52</f>
        <v>0</v>
      </c>
      <c r="F33" s="146">
        <f>[3]Icelandair!$FW$52</f>
        <v>160</v>
      </c>
      <c r="G33" s="118">
        <f>[3]Southwest!$FW$52</f>
        <v>102067</v>
      </c>
      <c r="H33" s="118">
        <f>'[3]Sun Country'!$FW$52</f>
        <v>75142</v>
      </c>
      <c r="I33" s="118">
        <f>[3]Alaska!$FW$52</f>
        <v>8101</v>
      </c>
      <c r="J33" s="147">
        <f>SUM(B33:I33)</f>
        <v>185470</v>
      </c>
    </row>
    <row r="34" spans="1:10" x14ac:dyDescent="0.2">
      <c r="A34" s="62" t="s">
        <v>38</v>
      </c>
      <c r="B34" s="146">
        <f>[3]Frontier!$FW$53</f>
        <v>0</v>
      </c>
      <c r="C34" s="146">
        <f>'[3]Great Lakes'!$FW$53</f>
        <v>0</v>
      </c>
      <c r="D34" s="118">
        <f>'[3]Air Choice One'!$FW$53</f>
        <v>0</v>
      </c>
      <c r="E34" s="118">
        <f>'[3]Boutique Air'!$FW$53</f>
        <v>0</v>
      </c>
      <c r="F34" s="146">
        <f>[3]Icelandair!$FW$53</f>
        <v>0</v>
      </c>
      <c r="G34" s="118">
        <f>[3]Southwest!$FW$53</f>
        <v>0</v>
      </c>
      <c r="H34" s="118">
        <f>'[3]Sun Country'!$FW$53</f>
        <v>377925</v>
      </c>
      <c r="I34" s="118">
        <f>[3]Alaska!$FW$53</f>
        <v>4028</v>
      </c>
      <c r="J34" s="163">
        <f>SUM(B34:I34)</f>
        <v>381953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160</v>
      </c>
      <c r="G35" s="164">
        <f t="shared" si="12"/>
        <v>102067</v>
      </c>
      <c r="H35" s="164">
        <f t="shared" si="12"/>
        <v>453067</v>
      </c>
      <c r="I35" s="164">
        <f t="shared" si="12"/>
        <v>12129</v>
      </c>
      <c r="J35" s="165">
        <f>SUM(B35:I35)</f>
        <v>567423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[3]Frontier!$FW$57</f>
        <v>0</v>
      </c>
      <c r="C38" s="154">
        <f>'[3]Great Lakes'!$FW$57</f>
        <v>0</v>
      </c>
      <c r="D38" s="154">
        <f>'[3]Air Choice One'!$FW$57</f>
        <v>0</v>
      </c>
      <c r="E38" s="154">
        <f>'[3]Boutique Air'!$FW$57</f>
        <v>0</v>
      </c>
      <c r="F38" s="154">
        <f>[3]Icelandair!$FW$57</f>
        <v>0</v>
      </c>
      <c r="G38" s="154">
        <f>[3]Southwest!$FW$57</f>
        <v>0</v>
      </c>
      <c r="H38" s="154">
        <f>'[3]Sun Country'!$FW$57</f>
        <v>0</v>
      </c>
      <c r="I38" s="154">
        <f>[3]Alaska!$FW$57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[3]Frontier!$FW$58</f>
        <v>0</v>
      </c>
      <c r="C39" s="157">
        <f>'[3]Great Lakes'!$FW$58</f>
        <v>0</v>
      </c>
      <c r="D39" s="157">
        <f>'[3]Air Choice One'!$FW$58</f>
        <v>0</v>
      </c>
      <c r="E39" s="157">
        <f>'[3]Boutique Air'!$FW$58</f>
        <v>0</v>
      </c>
      <c r="F39" s="157">
        <f>[3]Icelandair!$FW$58</f>
        <v>0</v>
      </c>
      <c r="G39" s="157">
        <f>[3]Southwest!$FW$58</f>
        <v>0</v>
      </c>
      <c r="H39" s="157">
        <f>'[3]Sun Country'!$FW$58</f>
        <v>0</v>
      </c>
      <c r="I39" s="157">
        <f>[3]Alaska!$FW$58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17115</v>
      </c>
      <c r="G43" s="154">
        <f t="shared" si="16"/>
        <v>378412</v>
      </c>
      <c r="H43" s="154">
        <f t="shared" si="16"/>
        <v>180277</v>
      </c>
      <c r="I43" s="154">
        <f t="shared" si="16"/>
        <v>26328</v>
      </c>
      <c r="J43" s="147">
        <f>SUM(B43:I43)</f>
        <v>602132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66</v>
      </c>
      <c r="G44" s="157">
        <f t="shared" si="18"/>
        <v>0</v>
      </c>
      <c r="H44" s="157">
        <f t="shared" si="18"/>
        <v>601027</v>
      </c>
      <c r="I44" s="157">
        <f t="shared" si="18"/>
        <v>10494</v>
      </c>
      <c r="J44" s="147">
        <f>SUM(B44:I44)</f>
        <v>611587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17181</v>
      </c>
      <c r="G45" s="167">
        <f t="shared" si="20"/>
        <v>378412</v>
      </c>
      <c r="H45" s="167">
        <f t="shared" si="20"/>
        <v>781304</v>
      </c>
      <c r="I45" s="167">
        <f t="shared" si="20"/>
        <v>36822</v>
      </c>
      <c r="J45" s="168">
        <f>SUM(B45:I45)</f>
        <v>1213719</v>
      </c>
    </row>
    <row r="48" spans="1:10" x14ac:dyDescent="0.2">
      <c r="A48" s="375" t="s">
        <v>124</v>
      </c>
      <c r="B48" s="387"/>
      <c r="C48" s="387"/>
      <c r="D48" s="387"/>
      <c r="E48" s="387"/>
      <c r="G48" s="322">
        <f>[3]Southwest!$FW$70+[3]Southwest!$FW$73</f>
        <v>90395</v>
      </c>
      <c r="H48" s="322">
        <f>'[3]Sun Country'!$FW$70+'[3]Sun Country'!$FW$73</f>
        <v>86850</v>
      </c>
      <c r="I48" s="387"/>
      <c r="J48" s="310">
        <f>SUM(B48:I48)</f>
        <v>177245</v>
      </c>
    </row>
    <row r="49" spans="1:10" x14ac:dyDescent="0.2">
      <c r="A49" s="389" t="s">
        <v>125</v>
      </c>
      <c r="B49" s="387"/>
      <c r="C49" s="387"/>
      <c r="D49" s="387"/>
      <c r="E49" s="387"/>
      <c r="G49" s="322">
        <f>[3]Southwest!$FW$71+[3]Southwest!$FW$74</f>
        <v>348</v>
      </c>
      <c r="H49" s="322">
        <f>'[3]Sun Country'!$FW$71+'[3]Sun Country'!$FW$74</f>
        <v>1226</v>
      </c>
      <c r="I49" s="387"/>
      <c r="J49" s="310">
        <f>SUM(B49:I49)</f>
        <v>1574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October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topLeftCell="A3" zoomScaleNormal="100" workbookViewId="0">
      <selection activeCell="B4" sqref="B4:N4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5"/>
    </row>
    <row r="2" spans="1:13" s="7" customFormat="1" ht="51.75" thickBot="1" x14ac:dyDescent="0.25">
      <c r="A2" s="378">
        <v>43374</v>
      </c>
      <c r="B2" s="434" t="s">
        <v>163</v>
      </c>
      <c r="C2" s="434" t="s">
        <v>166</v>
      </c>
      <c r="D2" s="434" t="s">
        <v>176</v>
      </c>
      <c r="E2" s="434" t="s">
        <v>175</v>
      </c>
      <c r="F2" s="434" t="s">
        <v>177</v>
      </c>
      <c r="G2" s="434" t="s">
        <v>228</v>
      </c>
      <c r="H2" s="434" t="s">
        <v>181</v>
      </c>
      <c r="I2" s="434" t="s">
        <v>198</v>
      </c>
      <c r="J2" s="434" t="s">
        <v>223</v>
      </c>
      <c r="K2" s="434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[3]Pinnacle!$FW$22+[3]Pinnacle!$FW$32</f>
        <v>56411</v>
      </c>
      <c r="C5" s="132">
        <f>[3]MESA_UA!$FW$22</f>
        <v>8773</v>
      </c>
      <c r="D5" s="130">
        <f>'[3]Sky West'!$FW$22+'[3]Sky West'!$FW$32</f>
        <v>200015</v>
      </c>
      <c r="E5" s="130">
        <f>'[3]Sky West_UA'!$FW$22</f>
        <v>5532</v>
      </c>
      <c r="F5" s="130">
        <f>'[3]Sky West_AS'!$FW$22</f>
        <v>0</v>
      </c>
      <c r="G5" s="130">
        <f>'[3]Sky West_AA'!$FW$22</f>
        <v>1936</v>
      </c>
      <c r="H5" s="130">
        <f>[3]Republic!$FW$22</f>
        <v>13783</v>
      </c>
      <c r="I5" s="130">
        <f>[3]Republic_UA!$FW$22</f>
        <v>14384</v>
      </c>
      <c r="J5" s="130">
        <f>'[3]Sky Regional'!$FW$32</f>
        <v>6083</v>
      </c>
      <c r="K5" s="130">
        <f>'[3]American Eagle'!$FW$22</f>
        <v>278</v>
      </c>
      <c r="L5" s="130">
        <f>'Other Regional'!M5</f>
        <v>10782</v>
      </c>
      <c r="M5" s="110">
        <f>SUM(B5:L5)</f>
        <v>317977</v>
      </c>
    </row>
    <row r="6" spans="1:13" s="10" customFormat="1" x14ac:dyDescent="0.2">
      <c r="A6" s="62" t="s">
        <v>31</v>
      </c>
      <c r="B6" s="131">
        <f>[3]Pinnacle!$FW$23+[3]Pinnacle!$FW$33</f>
        <v>56115</v>
      </c>
      <c r="C6" s="132">
        <f>[3]MESA_UA!$FW$23</f>
        <v>9041</v>
      </c>
      <c r="D6" s="130">
        <f>'[3]Sky West'!$FW$23+'[3]Sky West'!$FW$33</f>
        <v>199233</v>
      </c>
      <c r="E6" s="130">
        <f>'[3]Sky West_UA'!$FW$23</f>
        <v>5423</v>
      </c>
      <c r="F6" s="130">
        <f>'[3]Sky West_AS'!$FW$23</f>
        <v>0</v>
      </c>
      <c r="G6" s="130">
        <f>'[3]Sky West_AA'!$FW$23</f>
        <v>1819</v>
      </c>
      <c r="H6" s="130">
        <f>[3]Republic!$FW$23</f>
        <v>13453</v>
      </c>
      <c r="I6" s="130">
        <f>[3]Republic_UA!$FW$23</f>
        <v>13708</v>
      </c>
      <c r="J6" s="130">
        <f>'[3]Sky Regional'!$FW$33</f>
        <v>5271</v>
      </c>
      <c r="K6" s="130">
        <f>'[3]American Eagle'!$FW$23</f>
        <v>181</v>
      </c>
      <c r="L6" s="130">
        <f>'Other Regional'!M6</f>
        <v>10957</v>
      </c>
      <c r="M6" s="115">
        <f>SUM(B6:L6)</f>
        <v>315201</v>
      </c>
    </row>
    <row r="7" spans="1:13" ht="15" thickBot="1" x14ac:dyDescent="0.25">
      <c r="A7" s="73" t="s">
        <v>7</v>
      </c>
      <c r="B7" s="133">
        <f>SUM(B5:B6)</f>
        <v>112526</v>
      </c>
      <c r="C7" s="133">
        <f t="shared" ref="C7:L7" si="0">SUM(C5:C6)</f>
        <v>17814</v>
      </c>
      <c r="D7" s="133">
        <f t="shared" si="0"/>
        <v>399248</v>
      </c>
      <c r="E7" s="133">
        <f t="shared" si="0"/>
        <v>10955</v>
      </c>
      <c r="F7" s="133">
        <f t="shared" ref="F7:G7" si="1">SUM(F5:F6)</f>
        <v>0</v>
      </c>
      <c r="G7" s="133">
        <f t="shared" si="1"/>
        <v>3755</v>
      </c>
      <c r="H7" s="133">
        <f t="shared" si="0"/>
        <v>27236</v>
      </c>
      <c r="I7" s="133">
        <f t="shared" si="0"/>
        <v>28092</v>
      </c>
      <c r="J7" s="133">
        <f t="shared" si="0"/>
        <v>11354</v>
      </c>
      <c r="K7" s="133">
        <f t="shared" si="0"/>
        <v>459</v>
      </c>
      <c r="L7" s="133">
        <f t="shared" si="0"/>
        <v>21739</v>
      </c>
      <c r="M7" s="134">
        <f>SUM(B7:L7)</f>
        <v>633178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[3]Pinnacle!$FW$27+[3]Pinnacle!$FW$37</f>
        <v>2153</v>
      </c>
      <c r="C10" s="132">
        <f>[3]MESA_UA!$FW$27</f>
        <v>290</v>
      </c>
      <c r="D10" s="130">
        <f>'[3]Sky West'!$FW$27+'[3]Sky West'!$FW$37</f>
        <v>7134</v>
      </c>
      <c r="E10" s="130">
        <f>'[3]Sky West_UA'!$FW$27</f>
        <v>189</v>
      </c>
      <c r="F10" s="130">
        <f>'[3]Sky West_AS'!$FW$27</f>
        <v>0</v>
      </c>
      <c r="G10" s="130">
        <f>'[3]Sky West_AA'!$FW$27</f>
        <v>122</v>
      </c>
      <c r="H10" s="130">
        <f>[3]Republic!$FW$27</f>
        <v>434</v>
      </c>
      <c r="I10" s="130">
        <f>[3]Republic_UA!$FW$27</f>
        <v>532</v>
      </c>
      <c r="J10" s="130">
        <f>'[3]Sky Regional'!$FW$37</f>
        <v>71</v>
      </c>
      <c r="K10" s="130">
        <f>'[3]American Eagle'!$FW$27</f>
        <v>12</v>
      </c>
      <c r="L10" s="130">
        <f>'Other Regional'!M10</f>
        <v>286</v>
      </c>
      <c r="M10" s="110">
        <f>SUM(B10:L10)</f>
        <v>11223</v>
      </c>
    </row>
    <row r="11" spans="1:13" x14ac:dyDescent="0.2">
      <c r="A11" s="62" t="s">
        <v>33</v>
      </c>
      <c r="B11" s="131">
        <f>[3]Pinnacle!$FW$28+[3]Pinnacle!$FW$38</f>
        <v>2046</v>
      </c>
      <c r="C11" s="132">
        <f>[3]MESA_UA!$FW$28</f>
        <v>251</v>
      </c>
      <c r="D11" s="130">
        <f>'[3]Sky West'!$FW$28+'[3]Sky West'!$FW$38</f>
        <v>7024</v>
      </c>
      <c r="E11" s="130">
        <f>'[3]Sky West_UA'!$FW$28</f>
        <v>247</v>
      </c>
      <c r="F11" s="130">
        <f>'[3]Sky West_AS'!$FW$28</f>
        <v>0</v>
      </c>
      <c r="G11" s="130">
        <f>'[3]Sky West_AA'!$FW$28</f>
        <v>178</v>
      </c>
      <c r="H11" s="130">
        <f>[3]Republic!$FW$28</f>
        <v>547</v>
      </c>
      <c r="I11" s="130">
        <f>[3]Republic_UA!$FW$28</f>
        <v>652</v>
      </c>
      <c r="J11" s="130">
        <f>'[3]Sky Regional'!$FW$38</f>
        <v>82</v>
      </c>
      <c r="K11" s="130">
        <f>'[3]American Eagle'!$FW$28</f>
        <v>19</v>
      </c>
      <c r="L11" s="130">
        <f>'Other Regional'!M11</f>
        <v>215</v>
      </c>
      <c r="M11" s="115">
        <f>SUM(B11:L11)</f>
        <v>11261</v>
      </c>
    </row>
    <row r="12" spans="1:13" ht="15" thickBot="1" x14ac:dyDescent="0.25">
      <c r="A12" s="74" t="s">
        <v>34</v>
      </c>
      <c r="B12" s="136">
        <f t="shared" ref="B12:L12" si="2">SUM(B10:B11)</f>
        <v>4199</v>
      </c>
      <c r="C12" s="136">
        <f t="shared" si="2"/>
        <v>541</v>
      </c>
      <c r="D12" s="136">
        <f t="shared" si="2"/>
        <v>14158</v>
      </c>
      <c r="E12" s="136">
        <f t="shared" si="2"/>
        <v>436</v>
      </c>
      <c r="F12" s="136">
        <f t="shared" ref="F12:G12" si="3">SUM(F10:F11)</f>
        <v>0</v>
      </c>
      <c r="G12" s="136">
        <f t="shared" si="3"/>
        <v>300</v>
      </c>
      <c r="H12" s="136">
        <f t="shared" si="2"/>
        <v>981</v>
      </c>
      <c r="I12" s="136">
        <f t="shared" si="2"/>
        <v>1184</v>
      </c>
      <c r="J12" s="136">
        <f t="shared" si="2"/>
        <v>153</v>
      </c>
      <c r="K12" s="136">
        <f t="shared" si="2"/>
        <v>31</v>
      </c>
      <c r="L12" s="136">
        <f t="shared" si="2"/>
        <v>501</v>
      </c>
      <c r="M12" s="137">
        <f>SUM(B12:L12)</f>
        <v>22484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[3]Pinnacle!$FW$4+[3]Pinnacle!$FW$15</f>
        <v>950</v>
      </c>
      <c r="C15" s="108">
        <f>[3]MESA_UA!$FW$4</f>
        <v>137</v>
      </c>
      <c r="D15" s="106">
        <f>'[3]Sky West'!$FW$4+'[3]Sky West'!$FW$15</f>
        <v>4189</v>
      </c>
      <c r="E15" s="106">
        <f>'[3]Sky West_UA'!$FW$4</f>
        <v>87</v>
      </c>
      <c r="F15" s="106">
        <f>'[3]Sky West_AS'!$FW$4</f>
        <v>0</v>
      </c>
      <c r="G15" s="106">
        <f>'[3]Sky West_AA'!$FW$4</f>
        <v>34</v>
      </c>
      <c r="H15" s="109">
        <f>[3]Republic!$FW$4</f>
        <v>230</v>
      </c>
      <c r="I15" s="455">
        <f>[3]Republic_UA!$FW$4</f>
        <v>226</v>
      </c>
      <c r="J15" s="455">
        <f>'[3]Sky Regional'!$FW$15</f>
        <v>93</v>
      </c>
      <c r="K15" s="109">
        <f>'[3]American Eagle'!$FW$4</f>
        <v>6</v>
      </c>
      <c r="L15" s="107">
        <f>'Other Regional'!M15</f>
        <v>172</v>
      </c>
      <c r="M15" s="110">
        <f t="shared" ref="M15:M21" si="5">SUM(B15:L15)</f>
        <v>6124</v>
      </c>
    </row>
    <row r="16" spans="1:13" x14ac:dyDescent="0.2">
      <c r="A16" s="62" t="s">
        <v>54</v>
      </c>
      <c r="B16" s="14">
        <f>[3]Pinnacle!$FW$5+[3]Pinnacle!$FW$16</f>
        <v>949</v>
      </c>
      <c r="C16" s="113">
        <f>[3]MESA_UA!$FW$5</f>
        <v>137</v>
      </c>
      <c r="D16" s="111">
        <f>'[3]Sky West'!$FW$5+'[3]Sky West'!$FW$16</f>
        <v>4174</v>
      </c>
      <c r="E16" s="111">
        <f>'[3]Sky West_UA'!$FW$5</f>
        <v>87</v>
      </c>
      <c r="F16" s="111">
        <f>'[3]Sky West_AS'!$FW$5</f>
        <v>0</v>
      </c>
      <c r="G16" s="111">
        <f>'[3]Sky West_AA'!$FW$5</f>
        <v>34</v>
      </c>
      <c r="H16" s="114">
        <f>[3]Republic!$FW$5</f>
        <v>230</v>
      </c>
      <c r="I16" s="297">
        <f>[3]Republic_UA!$FW$5</f>
        <v>226</v>
      </c>
      <c r="J16" s="297">
        <f>'[3]Sky Regional'!$FW$16</f>
        <v>93</v>
      </c>
      <c r="K16" s="114">
        <f>'[3]American Eagle'!$FW$5</f>
        <v>6</v>
      </c>
      <c r="L16" s="112">
        <f>'Other Regional'!M16</f>
        <v>172</v>
      </c>
      <c r="M16" s="115">
        <f t="shared" si="5"/>
        <v>6108</v>
      </c>
    </row>
    <row r="17" spans="1:13" x14ac:dyDescent="0.2">
      <c r="A17" s="71" t="s">
        <v>55</v>
      </c>
      <c r="B17" s="116">
        <f t="shared" ref="B17:K17" si="6">SUM(B15:B16)</f>
        <v>1899</v>
      </c>
      <c r="C17" s="116">
        <f t="shared" si="6"/>
        <v>274</v>
      </c>
      <c r="D17" s="116">
        <f t="shared" si="6"/>
        <v>8363</v>
      </c>
      <c r="E17" s="116">
        <f t="shared" si="6"/>
        <v>174</v>
      </c>
      <c r="F17" s="116">
        <f t="shared" ref="F17:G17" si="7">SUM(F15:F16)</f>
        <v>0</v>
      </c>
      <c r="G17" s="116">
        <f t="shared" si="7"/>
        <v>68</v>
      </c>
      <c r="H17" s="116">
        <f t="shared" si="6"/>
        <v>460</v>
      </c>
      <c r="I17" s="116">
        <f t="shared" ref="I17:J17" si="8">SUM(I15:I16)</f>
        <v>452</v>
      </c>
      <c r="J17" s="116">
        <f t="shared" si="8"/>
        <v>186</v>
      </c>
      <c r="K17" s="116">
        <f t="shared" si="6"/>
        <v>12</v>
      </c>
      <c r="L17" s="116">
        <f>SUM(L15:L16)</f>
        <v>344</v>
      </c>
      <c r="M17" s="117">
        <f t="shared" si="5"/>
        <v>12232</v>
      </c>
    </row>
    <row r="18" spans="1:13" x14ac:dyDescent="0.2">
      <c r="A18" s="62" t="s">
        <v>56</v>
      </c>
      <c r="B18" s="118">
        <f>[3]Pinnacle!$FW$8</f>
        <v>0</v>
      </c>
      <c r="C18" s="119">
        <f>[3]MESA_UA!$FW$8</f>
        <v>0</v>
      </c>
      <c r="D18" s="118">
        <f>'[3]Sky West'!$FW$8</f>
        <v>0</v>
      </c>
      <c r="E18" s="118">
        <f>'[3]Sky West_UA'!$FW$8</f>
        <v>0</v>
      </c>
      <c r="F18" s="118">
        <f>'[3]Sky West_AS'!$FW$8</f>
        <v>0</v>
      </c>
      <c r="G18" s="118">
        <f>'[3]Sky West_AA'!$FW$8</f>
        <v>0</v>
      </c>
      <c r="H18" s="118">
        <f>[3]Republic!$FW$8</f>
        <v>0</v>
      </c>
      <c r="I18" s="118">
        <f>[3]Republic_UA!$FW$8</f>
        <v>0</v>
      </c>
      <c r="J18" s="118">
        <f>'[3]Sky Regional'!$FW$8</f>
        <v>0</v>
      </c>
      <c r="K18" s="118">
        <f>'[3]American Eagle'!$FW$8</f>
        <v>0</v>
      </c>
      <c r="L18" s="118">
        <f>'Other Regional'!M18</f>
        <v>0</v>
      </c>
      <c r="M18" s="110">
        <f t="shared" si="5"/>
        <v>0</v>
      </c>
    </row>
    <row r="19" spans="1:13" x14ac:dyDescent="0.2">
      <c r="A19" s="62" t="s">
        <v>57</v>
      </c>
      <c r="B19" s="120">
        <f>[3]Pinnacle!$FW$9</f>
        <v>1</v>
      </c>
      <c r="C19" s="121">
        <f>[3]MESA_UA!$FW$9</f>
        <v>0</v>
      </c>
      <c r="D19" s="120">
        <f>'[3]Sky West'!$FW$9</f>
        <v>10</v>
      </c>
      <c r="E19" s="120">
        <f>'[3]Sky West_UA'!$FW$9</f>
        <v>0</v>
      </c>
      <c r="F19" s="120">
        <f>'[3]Sky West_AS'!$FW$9</f>
        <v>0</v>
      </c>
      <c r="G19" s="120">
        <f>'[3]Sky West_AA'!$FW$9</f>
        <v>0</v>
      </c>
      <c r="H19" s="120">
        <f>[3]Republic!$FW$9</f>
        <v>0</v>
      </c>
      <c r="I19" s="120">
        <f>[3]Republic_UA!$FW$9</f>
        <v>0</v>
      </c>
      <c r="J19" s="120">
        <f>'[3]Sky Regional'!$FW$9</f>
        <v>0</v>
      </c>
      <c r="K19" s="120">
        <f>'[3]American Eagle'!$FW$9</f>
        <v>0</v>
      </c>
      <c r="L19" s="120">
        <f>'Other Regional'!M19</f>
        <v>0</v>
      </c>
      <c r="M19" s="115">
        <f t="shared" si="5"/>
        <v>11</v>
      </c>
    </row>
    <row r="20" spans="1:13" x14ac:dyDescent="0.2">
      <c r="A20" s="71" t="s">
        <v>58</v>
      </c>
      <c r="B20" s="116">
        <f t="shared" ref="B20:L20" si="9">SUM(B18:B19)</f>
        <v>1</v>
      </c>
      <c r="C20" s="116">
        <f t="shared" si="9"/>
        <v>0</v>
      </c>
      <c r="D20" s="116">
        <f t="shared" si="9"/>
        <v>10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11</v>
      </c>
    </row>
    <row r="21" spans="1:13" ht="15.75" thickBot="1" x14ac:dyDescent="0.3">
      <c r="A21" s="72" t="s">
        <v>28</v>
      </c>
      <c r="B21" s="122">
        <f t="shared" ref="B21:K21" si="11">SUM(B20,B17)</f>
        <v>1900</v>
      </c>
      <c r="C21" s="122">
        <f t="shared" si="11"/>
        <v>274</v>
      </c>
      <c r="D21" s="122">
        <f t="shared" si="11"/>
        <v>8373</v>
      </c>
      <c r="E21" s="122">
        <f t="shared" si="11"/>
        <v>174</v>
      </c>
      <c r="F21" s="122">
        <f t="shared" ref="F21:G21" si="12">SUM(F20,F17)</f>
        <v>0</v>
      </c>
      <c r="G21" s="122">
        <f t="shared" si="12"/>
        <v>68</v>
      </c>
      <c r="H21" s="122">
        <f t="shared" si="11"/>
        <v>460</v>
      </c>
      <c r="I21" s="122">
        <f t="shared" si="11"/>
        <v>452</v>
      </c>
      <c r="J21" s="122">
        <f t="shared" si="11"/>
        <v>186</v>
      </c>
      <c r="K21" s="122">
        <f t="shared" si="11"/>
        <v>12</v>
      </c>
      <c r="L21" s="122">
        <f>SUM(L20,L17)</f>
        <v>344</v>
      </c>
      <c r="M21" s="123">
        <f t="shared" si="5"/>
        <v>12243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[3]Pinnacle!$FW$47</f>
        <v>0</v>
      </c>
      <c r="C25" s="132">
        <f>[3]MESA_UA!$FW$47</f>
        <v>0</v>
      </c>
      <c r="D25" s="130">
        <f>'[3]Sky West'!$FW$47</f>
        <v>0</v>
      </c>
      <c r="E25" s="130">
        <f>'[3]Sky West_UA'!$FW$47</f>
        <v>0</v>
      </c>
      <c r="F25" s="130">
        <f>'[3]Sky West_AS'!$FW$47</f>
        <v>0</v>
      </c>
      <c r="G25" s="130">
        <f>'[3]Sky West_AA'!$FW$47</f>
        <v>720</v>
      </c>
      <c r="H25" s="130">
        <f>[3]Republic!$FW$47</f>
        <v>0</v>
      </c>
      <c r="I25" s="130">
        <f>[3]Republic_UA!$FW$47</f>
        <v>0</v>
      </c>
      <c r="J25" s="130">
        <f>'[3]Sky Regional'!$FW$47</f>
        <v>3598</v>
      </c>
      <c r="K25" s="130">
        <f>'[3]American Eagle'!$FW$47</f>
        <v>0</v>
      </c>
      <c r="L25" s="130">
        <f>'Other Regional'!M25</f>
        <v>12</v>
      </c>
      <c r="M25" s="110">
        <f>SUM(B25:L25)</f>
        <v>4330</v>
      </c>
    </row>
    <row r="26" spans="1:13" x14ac:dyDescent="0.2">
      <c r="A26" s="75" t="s">
        <v>38</v>
      </c>
      <c r="B26" s="130">
        <f>[3]Pinnacle!$FW$48</f>
        <v>0</v>
      </c>
      <c r="C26" s="132">
        <f>[3]MESA_UA!$FW$48</f>
        <v>0</v>
      </c>
      <c r="D26" s="130">
        <f>'[3]Sky West'!$FW$48</f>
        <v>0</v>
      </c>
      <c r="E26" s="130">
        <f>'[3]Sky West_UA'!$FW$48</f>
        <v>0</v>
      </c>
      <c r="F26" s="130">
        <f>'[3]Sky West_AS'!$FW$48</f>
        <v>0</v>
      </c>
      <c r="G26" s="130">
        <f>'[3]Sky West_AA'!$FW$48</f>
        <v>0</v>
      </c>
      <c r="H26" s="130">
        <f>[3]Republic!$FW$48</f>
        <v>0</v>
      </c>
      <c r="I26" s="130">
        <f>[3]Republic_UA!$FW$48</f>
        <v>0</v>
      </c>
      <c r="J26" s="130">
        <f>'[3]Sky Regional'!$FW$48</f>
        <v>0</v>
      </c>
      <c r="K26" s="130">
        <f>'[3]American Eagle'!$FW$48</f>
        <v>0</v>
      </c>
      <c r="L26" s="130">
        <f>'Other Regional'!M26</f>
        <v>2490</v>
      </c>
      <c r="M26" s="110">
        <f>SUM(B26:L26)</f>
        <v>2490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720</v>
      </c>
      <c r="H27" s="133">
        <f t="shared" si="13"/>
        <v>0</v>
      </c>
      <c r="I27" s="133">
        <f t="shared" si="13"/>
        <v>0</v>
      </c>
      <c r="J27" s="133">
        <f t="shared" si="13"/>
        <v>3598</v>
      </c>
      <c r="K27" s="133">
        <f t="shared" si="13"/>
        <v>0</v>
      </c>
      <c r="L27" s="133">
        <f t="shared" si="13"/>
        <v>2502</v>
      </c>
      <c r="M27" s="134">
        <f>SUM(B27:L27)</f>
        <v>6820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[3]Pinnacle!$FW$52</f>
        <v>0</v>
      </c>
      <c r="C30" s="132">
        <f>[3]MESA_UA!$FW$52</f>
        <v>0</v>
      </c>
      <c r="D30" s="130">
        <f>'[3]Sky West'!$FW$52</f>
        <v>0</v>
      </c>
      <c r="E30" s="130">
        <f>'[3]Sky West_UA'!$FW$52</f>
        <v>0</v>
      </c>
      <c r="F30" s="130">
        <f>'[3]Sky West_AS'!$FW$52</f>
        <v>0</v>
      </c>
      <c r="G30" s="130">
        <f>'[3]Sky West_AA'!$FW$52</f>
        <v>0</v>
      </c>
      <c r="H30" s="130">
        <f>[3]Republic!$FW$52</f>
        <v>0</v>
      </c>
      <c r="I30" s="130">
        <f>[3]Republic_UA!$FW$52</f>
        <v>0</v>
      </c>
      <c r="J30" s="130">
        <f>'[3]Sky Regional'!$FW$52</f>
        <v>2813</v>
      </c>
      <c r="K30" s="130">
        <f>'[3]American Eagle'!$FW$52</f>
        <v>0</v>
      </c>
      <c r="L30" s="130">
        <f>'Other Regional'!M30</f>
        <v>0</v>
      </c>
      <c r="M30" s="110">
        <f t="shared" ref="M30:M37" si="15">SUM(B30:L30)</f>
        <v>2813</v>
      </c>
    </row>
    <row r="31" spans="1:13" x14ac:dyDescent="0.2">
      <c r="A31" s="75" t="s">
        <v>60</v>
      </c>
      <c r="B31" s="130">
        <f>[3]Pinnacle!$FW$53</f>
        <v>0</v>
      </c>
      <c r="C31" s="132">
        <f>[3]MESA_UA!$FW$53</f>
        <v>0</v>
      </c>
      <c r="D31" s="130">
        <f>'[3]Sky West'!$FW$53</f>
        <v>0</v>
      </c>
      <c r="E31" s="130">
        <f>'[3]Sky West_UA'!$FW$53</f>
        <v>0</v>
      </c>
      <c r="F31" s="130">
        <f>'[3]Sky West_AS'!$FW$53</f>
        <v>0</v>
      </c>
      <c r="G31" s="130">
        <f>'[3]Sky West_AA'!$FW$53</f>
        <v>0</v>
      </c>
      <c r="H31" s="130">
        <f>[3]Republic!$FW$53</f>
        <v>0</v>
      </c>
      <c r="I31" s="130">
        <f>[3]Republic_UA!$FW$53</f>
        <v>0</v>
      </c>
      <c r="J31" s="130">
        <f>'[3]Sky Regional'!$FW$53</f>
        <v>0</v>
      </c>
      <c r="K31" s="130">
        <f>'[3]American Eagle'!$FW$53</f>
        <v>0</v>
      </c>
      <c r="L31" s="130">
        <f>'Other Regional'!M31</f>
        <v>0</v>
      </c>
      <c r="M31" s="110">
        <f t="shared" si="15"/>
        <v>0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0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2813</v>
      </c>
      <c r="K32" s="133">
        <f t="shared" si="16"/>
        <v>0</v>
      </c>
      <c r="L32" s="133">
        <f>SUM(L30:L31)</f>
        <v>0</v>
      </c>
      <c r="M32" s="134">
        <f t="shared" si="15"/>
        <v>2813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[3]Pinnacle!$FW$57</f>
        <v>0</v>
      </c>
      <c r="C35" s="132">
        <f>[3]MESA_UA!$FW$57</f>
        <v>0</v>
      </c>
      <c r="D35" s="130">
        <f>'[3]Sky West'!$FW$57</f>
        <v>0</v>
      </c>
      <c r="E35" s="130">
        <f>'[3]Sky West_UA'!$FW$57</f>
        <v>0</v>
      </c>
      <c r="F35" s="130">
        <f>'[3]Sky West_AS'!$FW$57</f>
        <v>0</v>
      </c>
      <c r="G35" s="130">
        <f>'[3]Sky West_AA'!$FW$57</f>
        <v>0</v>
      </c>
      <c r="H35" s="130">
        <f>[3]Republic!$FW$57</f>
        <v>0</v>
      </c>
      <c r="I35" s="130">
        <f>[3]Republic!$FW$57</f>
        <v>0</v>
      </c>
      <c r="J35" s="130">
        <f>[3]Republic!$FW$57</f>
        <v>0</v>
      </c>
      <c r="K35" s="130">
        <f>'[3]American Eagle'!$FW$57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[3]Pinnacle!$FW$58</f>
        <v>0</v>
      </c>
      <c r="C36" s="132">
        <f>[3]MESA_UA!$FW$58</f>
        <v>0</v>
      </c>
      <c r="D36" s="130">
        <f>'[3]Sky West'!$FW$58</f>
        <v>0</v>
      </c>
      <c r="E36" s="130">
        <f>'[3]Sky West_UA'!$FW$58</f>
        <v>0</v>
      </c>
      <c r="F36" s="130">
        <f>'[3]Sky West_AS'!$FW$58</f>
        <v>0</v>
      </c>
      <c r="G36" s="130">
        <f>'[3]Sky West_AA'!$FW$58</f>
        <v>0</v>
      </c>
      <c r="H36" s="130">
        <f>[3]Republic!$FW$58</f>
        <v>0</v>
      </c>
      <c r="I36" s="130">
        <f>[3]Republic!$FW$58</f>
        <v>0</v>
      </c>
      <c r="J36" s="130">
        <f>[3]Republic!$FW$58</f>
        <v>0</v>
      </c>
      <c r="K36" s="130">
        <f>'[3]American Eagle'!$FW$58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0</v>
      </c>
      <c r="G40" s="130">
        <f t="shared" ref="G40" si="22">SUM(G35,G30,G25)</f>
        <v>720</v>
      </c>
      <c r="H40" s="130">
        <f t="shared" si="20"/>
        <v>0</v>
      </c>
      <c r="I40" s="130">
        <f t="shared" si="20"/>
        <v>0</v>
      </c>
      <c r="J40" s="130">
        <f t="shared" si="20"/>
        <v>6411</v>
      </c>
      <c r="K40" s="130">
        <f>SUM(K35,K30,K25)</f>
        <v>0</v>
      </c>
      <c r="L40" s="130">
        <f>L35+L30+L25</f>
        <v>12</v>
      </c>
      <c r="M40" s="110">
        <f>SUM(B40:L40)</f>
        <v>7143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0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2490</v>
      </c>
      <c r="M41" s="110">
        <f>SUM(B41:L41)</f>
        <v>2490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0</v>
      </c>
      <c r="G42" s="136">
        <f t="shared" ref="G42" si="24">SUM(G37,G32,G27)</f>
        <v>720</v>
      </c>
      <c r="H42" s="136">
        <f t="shared" si="20"/>
        <v>0</v>
      </c>
      <c r="I42" s="136">
        <f t="shared" si="20"/>
        <v>0</v>
      </c>
      <c r="J42" s="136">
        <f t="shared" si="20"/>
        <v>6411</v>
      </c>
      <c r="K42" s="136">
        <f>SUM(K37,K32,K27)</f>
        <v>0</v>
      </c>
      <c r="L42" s="136">
        <f>SUM(L37,L32,L27)</f>
        <v>2502</v>
      </c>
      <c r="M42" s="137">
        <f>SUM(B42:L42)</f>
        <v>9633</v>
      </c>
    </row>
    <row r="44" spans="1:13" x14ac:dyDescent="0.2">
      <c r="A44" s="375" t="s">
        <v>124</v>
      </c>
      <c r="B44" s="321">
        <f>[3]Pinnacle!$FW$70+[3]Pinnacle!$FW$73</f>
        <v>21834</v>
      </c>
      <c r="D44" s="322">
        <f>'[3]Sky West'!$FW$70+'[3]Sky West'!$FW$73</f>
        <v>65188</v>
      </c>
      <c r="E44" s="5"/>
      <c r="F44" s="5"/>
      <c r="G44" s="5"/>
      <c r="L44" s="322">
        <f>+'Other Regional'!M46</f>
        <v>3978</v>
      </c>
      <c r="M44" s="310">
        <f>SUM(B44:L44)</f>
        <v>91000</v>
      </c>
    </row>
    <row r="45" spans="1:13" x14ac:dyDescent="0.2">
      <c r="A45" s="389" t="s">
        <v>125</v>
      </c>
      <c r="B45" s="321">
        <f>[3]Pinnacle!$FW$71+[3]Pinnacle!$FW$74</f>
        <v>34281</v>
      </c>
      <c r="D45" s="322">
        <f>'[3]Sky West'!$FW$71+'[3]Sky West'!$FW$74</f>
        <v>134045</v>
      </c>
      <c r="E45" s="5"/>
      <c r="F45" s="5"/>
      <c r="G45" s="5"/>
      <c r="L45" s="322">
        <f>+'Other Regional'!M47</f>
        <v>3106</v>
      </c>
      <c r="M45" s="310">
        <f>SUM(B45:L45)</f>
        <v>171432</v>
      </c>
    </row>
    <row r="46" spans="1:13" x14ac:dyDescent="0.2">
      <c r="A46" s="312" t="s">
        <v>126</v>
      </c>
      <c r="B46" s="313">
        <f>SUM(B44:B45)</f>
        <v>56115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October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7"/>
  <sheetViews>
    <sheetView topLeftCell="A3" zoomScaleNormal="100" zoomScaleSheetLayoutView="100" workbookViewId="0">
      <selection activeCell="B5" sqref="B5:M4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5"/>
    </row>
    <row r="2" spans="1:13" s="7" customFormat="1" ht="55.5" customHeight="1" thickBot="1" x14ac:dyDescent="0.25">
      <c r="A2" s="378">
        <v>43374</v>
      </c>
      <c r="B2" s="434" t="s">
        <v>179</v>
      </c>
      <c r="C2" s="434" t="s">
        <v>178</v>
      </c>
      <c r="D2" s="434" t="s">
        <v>227</v>
      </c>
      <c r="E2" s="434" t="s">
        <v>199</v>
      </c>
      <c r="F2" s="434" t="s">
        <v>170</v>
      </c>
      <c r="G2" s="434" t="s">
        <v>184</v>
      </c>
      <c r="H2" s="434" t="s">
        <v>183</v>
      </c>
      <c r="I2" s="434" t="s">
        <v>165</v>
      </c>
      <c r="J2" s="434" t="s">
        <v>169</v>
      </c>
      <c r="K2" s="434" t="s">
        <v>185</v>
      </c>
      <c r="L2" s="434" t="s">
        <v>182</v>
      </c>
      <c r="M2" s="291" t="s">
        <v>21</v>
      </c>
    </row>
    <row r="3" spans="1:13" ht="15.75" thickTop="1" x14ac:dyDescent="0.25">
      <c r="A3" s="279" t="s">
        <v>3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  <c r="L3" s="401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America'!$FW$22</f>
        <v>0</v>
      </c>
      <c r="C5" s="131">
        <f>'[3]Shuttle America_Delta'!$FW$22</f>
        <v>0</v>
      </c>
      <c r="D5" s="456">
        <f>[3]Horizon_AS!$FW$22</f>
        <v>4018</v>
      </c>
      <c r="E5" s="456">
        <f>[3]PSA!$FW$22</f>
        <v>0</v>
      </c>
      <c r="F5" s="21">
        <f>[3]Compass!$FW$22+[3]Compass!$FW$32</f>
        <v>0</v>
      </c>
      <c r="G5" s="131">
        <f>'[3]Atlantic Southeast'!$FW$22+'[3]Atlantic Southeast'!$FW$32</f>
        <v>0</v>
      </c>
      <c r="H5" s="131">
        <f>'[3]Continental Express'!$FW$22</f>
        <v>0</v>
      </c>
      <c r="I5" s="130">
        <f>'[3]Go Jet_UA'!$FW$22</f>
        <v>0</v>
      </c>
      <c r="J5" s="21">
        <f>'[3]Go Jet'!$FW$22+'[3]Go Jet'!$FW$32</f>
        <v>6764</v>
      </c>
      <c r="K5" s="132">
        <f>'[3]Air Wisconsin'!$FW$22</f>
        <v>0</v>
      </c>
      <c r="L5" s="130">
        <f>[3]MESA!$FW$22</f>
        <v>0</v>
      </c>
      <c r="M5" s="110">
        <f>SUM(B5:L5)</f>
        <v>10782</v>
      </c>
    </row>
    <row r="6" spans="1:13" s="10" customFormat="1" x14ac:dyDescent="0.2">
      <c r="A6" s="62" t="s">
        <v>31</v>
      </c>
      <c r="B6" s="131">
        <f>'[3]Shuttle America'!$FW$23</f>
        <v>0</v>
      </c>
      <c r="C6" s="131">
        <f>'[3]Shuttle America_Delta'!$FW$23</f>
        <v>0</v>
      </c>
      <c r="D6" s="456">
        <f>[3]Horizon_AS!$FW$23</f>
        <v>3873</v>
      </c>
      <c r="E6" s="456">
        <f>[3]PSA!$FW$23</f>
        <v>0</v>
      </c>
      <c r="F6" s="14">
        <f>[3]Compass!$FW$23+[3]Compass!$FW$33</f>
        <v>0</v>
      </c>
      <c r="G6" s="131">
        <f>'[3]Atlantic Southeast'!$FW$23+'[3]Atlantic Southeast'!$FW$33</f>
        <v>0</v>
      </c>
      <c r="H6" s="131">
        <f>'[3]Continental Express'!$FW$23</f>
        <v>0</v>
      </c>
      <c r="I6" s="130">
        <f>'[3]Go Jet_UA'!$FW$23</f>
        <v>0</v>
      </c>
      <c r="J6" s="14">
        <f>'[3]Go Jet'!$FW$23+'[3]Go Jet'!$FW$33</f>
        <v>7084</v>
      </c>
      <c r="K6" s="132">
        <f>'[3]Air Wisconsin'!$FW$23</f>
        <v>0</v>
      </c>
      <c r="L6" s="130">
        <f>[3]MESA!$FW$23</f>
        <v>0</v>
      </c>
      <c r="M6" s="115">
        <f>SUM(B6:L6)</f>
        <v>10957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0</v>
      </c>
      <c r="D7" s="133">
        <f t="shared" ref="D7" si="1">SUM(D5:D6)</f>
        <v>7891</v>
      </c>
      <c r="E7" s="133">
        <f t="shared" si="0"/>
        <v>0</v>
      </c>
      <c r="F7" s="133">
        <f>SUM(F5:F6)</f>
        <v>0</v>
      </c>
      <c r="G7" s="133">
        <f t="shared" si="0"/>
        <v>0</v>
      </c>
      <c r="H7" s="133">
        <f t="shared" si="0"/>
        <v>0</v>
      </c>
      <c r="I7" s="133">
        <f t="shared" si="0"/>
        <v>0</v>
      </c>
      <c r="J7" s="133">
        <f>SUM(J5:J6)</f>
        <v>13848</v>
      </c>
      <c r="K7" s="133">
        <f t="shared" si="0"/>
        <v>0</v>
      </c>
      <c r="L7" s="133">
        <f t="shared" si="0"/>
        <v>0</v>
      </c>
      <c r="M7" s="134">
        <f>SUM(B7:L7)</f>
        <v>21739</v>
      </c>
    </row>
    <row r="8" spans="1:13" ht="13.5" thickTop="1" x14ac:dyDescent="0.2">
      <c r="A8" s="62"/>
      <c r="B8" s="131"/>
      <c r="C8" s="131"/>
      <c r="D8" s="456"/>
      <c r="E8" s="456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6"/>
      <c r="E9" s="456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America'!$FW$27</f>
        <v>0</v>
      </c>
      <c r="C10" s="131">
        <f>'[3]Shuttle America_Delta'!$FW$27</f>
        <v>0</v>
      </c>
      <c r="D10" s="456">
        <f>[3]Horizon_AS!$FW$27</f>
        <v>97</v>
      </c>
      <c r="E10" s="456">
        <f>[3]PSA!$FW$27</f>
        <v>0</v>
      </c>
      <c r="F10" s="21">
        <f>[3]Compass!$FW$27+[3]Compass!$FW$37</f>
        <v>0</v>
      </c>
      <c r="G10" s="21">
        <f>'[3]Atlantic Southeast'!$FW$27+'[3]Atlantic Southeast'!$FW$37</f>
        <v>0</v>
      </c>
      <c r="H10" s="131">
        <f>'[3]Continental Express'!$FW$27</f>
        <v>0</v>
      </c>
      <c r="I10" s="130">
        <f>'[3]Go Jet_UA'!$FW$27</f>
        <v>0</v>
      </c>
      <c r="J10" s="21">
        <f>'[3]Go Jet'!$FW$27+'[3]Go Jet'!$FW$37</f>
        <v>189</v>
      </c>
      <c r="K10" s="132">
        <f>'[3]Air Wisconsin'!$FW$27</f>
        <v>0</v>
      </c>
      <c r="L10" s="130">
        <f>[3]MESA!$FW$27</f>
        <v>0</v>
      </c>
      <c r="M10" s="110">
        <f>SUM(B10:L10)</f>
        <v>286</v>
      </c>
    </row>
    <row r="11" spans="1:13" x14ac:dyDescent="0.2">
      <c r="A11" s="62" t="s">
        <v>33</v>
      </c>
      <c r="B11" s="131">
        <f>'[3]Shuttle America'!$FW$28</f>
        <v>0</v>
      </c>
      <c r="C11" s="131">
        <f>'[3]Shuttle America_Delta'!$FW$28</f>
        <v>0</v>
      </c>
      <c r="D11" s="456">
        <f>[3]Horizon_AS!$FW$28</f>
        <v>82</v>
      </c>
      <c r="E11" s="456">
        <f>[3]PSA!$FW$28</f>
        <v>0</v>
      </c>
      <c r="F11" s="14">
        <f>[3]Compass!$FW$28+[3]Compass!$FW$38</f>
        <v>0</v>
      </c>
      <c r="G11" s="14">
        <f>'[3]Atlantic Southeast'!$FW$28+'[3]Atlantic Southeast'!$FW$38</f>
        <v>0</v>
      </c>
      <c r="H11" s="131">
        <f>'[3]Continental Express'!$FW$28</f>
        <v>0</v>
      </c>
      <c r="I11" s="130">
        <f>'[3]Go Jet_UA'!$FW$28</f>
        <v>0</v>
      </c>
      <c r="J11" s="14">
        <f>'[3]Go Jet'!$FW$28+'[3]Go Jet'!$FW$38</f>
        <v>133</v>
      </c>
      <c r="K11" s="132">
        <f>'[3]Air Wisconsin'!$FW$28</f>
        <v>0</v>
      </c>
      <c r="L11" s="130">
        <f>[3]MESA!$FW$28</f>
        <v>0</v>
      </c>
      <c r="M11" s="115">
        <f>SUM(B11:L11)</f>
        <v>215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:E12" si="2">SUM(D10:D11)</f>
        <v>179</v>
      </c>
      <c r="E12" s="136">
        <f t="shared" si="2"/>
        <v>0</v>
      </c>
      <c r="F12" s="136">
        <f t="shared" ref="F12:L12" si="3">SUM(F10:F11)</f>
        <v>0</v>
      </c>
      <c r="G12" s="136">
        <f t="shared" si="3"/>
        <v>0</v>
      </c>
      <c r="H12" s="136">
        <f t="shared" si="3"/>
        <v>0</v>
      </c>
      <c r="I12" s="136">
        <f t="shared" si="3"/>
        <v>0</v>
      </c>
      <c r="J12" s="136">
        <f t="shared" ref="J12" si="4">SUM(J10:J11)</f>
        <v>322</v>
      </c>
      <c r="K12" s="136">
        <f t="shared" si="3"/>
        <v>0</v>
      </c>
      <c r="L12" s="136">
        <f t="shared" si="3"/>
        <v>0</v>
      </c>
      <c r="M12" s="137">
        <f>SUM(B12:L12)</f>
        <v>501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America'!$FW$4</f>
        <v>0</v>
      </c>
      <c r="C15" s="106">
        <f>'[3]Shuttle America_Delta'!$FW$4</f>
        <v>0</v>
      </c>
      <c r="D15" s="457">
        <f>[3]Horizon_AS!$FW$4</f>
        <v>61</v>
      </c>
      <c r="E15" s="457">
        <f>[3]PSA!$FW$4</f>
        <v>0</v>
      </c>
      <c r="F15" s="21">
        <f>[3]Compass!$FW$4+[3]Compass!$FW$15</f>
        <v>0</v>
      </c>
      <c r="G15" s="107">
        <f>'[3]Atlantic Southeast'!$FW$4+'[3]Atlantic Southeast'!$FW$15</f>
        <v>0</v>
      </c>
      <c r="H15" s="107">
        <f>'[3]Continental Express'!$FW$4</f>
        <v>0</v>
      </c>
      <c r="I15" s="106">
        <f>'[3]Go Jet_UA'!$FW$4</f>
        <v>0</v>
      </c>
      <c r="J15" s="21">
        <f>'[3]Go Jet'!$FW$4+'[3]Go Jet'!$FW$15</f>
        <v>111</v>
      </c>
      <c r="K15" s="108">
        <f>'[3]Air Wisconsin'!$FW$4</f>
        <v>0</v>
      </c>
      <c r="L15" s="106">
        <f>[3]MESA!$FW$4</f>
        <v>0</v>
      </c>
      <c r="M15" s="110">
        <f t="shared" ref="M15:M21" si="5">SUM(B15:L15)</f>
        <v>172</v>
      </c>
    </row>
    <row r="16" spans="1:13" x14ac:dyDescent="0.2">
      <c r="A16" s="62" t="s">
        <v>54</v>
      </c>
      <c r="B16" s="111">
        <f>'[3]Shuttle America'!$FW$5</f>
        <v>0</v>
      </c>
      <c r="C16" s="111">
        <f>'[3]Shuttle America_Delta'!$FW$5</f>
        <v>0</v>
      </c>
      <c r="D16" s="458">
        <f>[3]Horizon_AS!$FW$5</f>
        <v>61</v>
      </c>
      <c r="E16" s="458">
        <f>[3]PSA!$FW$5</f>
        <v>0</v>
      </c>
      <c r="F16" s="14">
        <f>[3]Compass!$FW$5+[3]Compass!$FW$16</f>
        <v>0</v>
      </c>
      <c r="G16" s="112">
        <f>'[3]Atlantic Southeast'!$FW$5+'[3]Atlantic Southeast'!$FW$16</f>
        <v>0</v>
      </c>
      <c r="H16" s="112">
        <f>'[3]Continental Express'!$FW$5</f>
        <v>0</v>
      </c>
      <c r="I16" s="111">
        <f>'[3]Go Jet_UA'!$FW$5</f>
        <v>0</v>
      </c>
      <c r="J16" s="14">
        <f>'[3]Go Jet'!$FW$5+'[3]Go Jet'!$FW$16</f>
        <v>111</v>
      </c>
      <c r="K16" s="113">
        <f>'[3]Air Wisconsin'!$FW$5</f>
        <v>0</v>
      </c>
      <c r="L16" s="111">
        <f>[3]MESA!$FW$5</f>
        <v>0</v>
      </c>
      <c r="M16" s="115">
        <f t="shared" si="5"/>
        <v>172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0</v>
      </c>
      <c r="D17" s="116">
        <f t="shared" ref="D17:E17" si="6">SUM(D15:D16)</f>
        <v>122</v>
      </c>
      <c r="E17" s="116">
        <f t="shared" si="6"/>
        <v>0</v>
      </c>
      <c r="F17" s="286">
        <f>SUM(F15:F16)</f>
        <v>0</v>
      </c>
      <c r="G17" s="116">
        <f t="shared" ref="G17:L17" si="7">SUM(G15:G16)</f>
        <v>0</v>
      </c>
      <c r="H17" s="116">
        <f t="shared" si="7"/>
        <v>0</v>
      </c>
      <c r="I17" s="116">
        <f t="shared" si="7"/>
        <v>0</v>
      </c>
      <c r="J17" s="286">
        <f>SUM(J15:J16)</f>
        <v>222</v>
      </c>
      <c r="K17" s="116">
        <f t="shared" si="7"/>
        <v>0</v>
      </c>
      <c r="L17" s="116">
        <f t="shared" si="7"/>
        <v>0</v>
      </c>
      <c r="M17" s="117">
        <f t="shared" si="5"/>
        <v>344</v>
      </c>
    </row>
    <row r="18" spans="1:13" x14ac:dyDescent="0.2">
      <c r="A18" s="62" t="s">
        <v>56</v>
      </c>
      <c r="B18" s="118">
        <f>'[3]Shuttle America'!$FW$8</f>
        <v>0</v>
      </c>
      <c r="C18" s="118">
        <f>'[3]Shuttle America_Delta'!$FW$8</f>
        <v>0</v>
      </c>
      <c r="D18" s="118">
        <f>[3]Horizon_AS!$FW$8</f>
        <v>0</v>
      </c>
      <c r="E18" s="118">
        <f>[3]PSA!$FW$8</f>
        <v>0</v>
      </c>
      <c r="F18" s="21">
        <f>[3]Compass!$FW$8</f>
        <v>0</v>
      </c>
      <c r="G18" s="109">
        <f>'[3]Atlantic Southeast'!$FW$8</f>
        <v>0</v>
      </c>
      <c r="H18" s="109">
        <f>'[3]Continental Express'!$FW$8</f>
        <v>0</v>
      </c>
      <c r="I18" s="118">
        <f>'[3]Go Jet_UA'!$FW$8</f>
        <v>0</v>
      </c>
      <c r="J18" s="21">
        <f>'[3]Go Jet'!$FW$8</f>
        <v>0</v>
      </c>
      <c r="K18" s="119">
        <f>'[3]Air Wisconsin'!$FW$8</f>
        <v>0</v>
      </c>
      <c r="L18" s="118">
        <f>[3]MESA!$FW$8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America'!$FW$9</f>
        <v>0</v>
      </c>
      <c r="C19" s="120">
        <f>'[3]Shuttle America_Delta'!$FW$9</f>
        <v>0</v>
      </c>
      <c r="D19" s="120">
        <f>[3]Horizon_AS!$FW$9</f>
        <v>0</v>
      </c>
      <c r="E19" s="120">
        <f>[3]PSA!$FW$9</f>
        <v>0</v>
      </c>
      <c r="F19" s="14">
        <f>[3]Compass!$FW$9</f>
        <v>0</v>
      </c>
      <c r="G19" s="114">
        <f>'[3]Atlantic Southeast'!$FW$9</f>
        <v>0</v>
      </c>
      <c r="H19" s="114">
        <f>'[3]Continental Express'!$FW$9</f>
        <v>0</v>
      </c>
      <c r="I19" s="120">
        <f>'[3]Go Jet_UA'!$FW$9</f>
        <v>0</v>
      </c>
      <c r="J19" s="14">
        <f>'[3]Go Jet'!$FW$9</f>
        <v>0</v>
      </c>
      <c r="K19" s="121">
        <f>'[3]Air Wisconsin'!$FW$9</f>
        <v>0</v>
      </c>
      <c r="L19" s="120">
        <f>[3]MESA!$FW$9</f>
        <v>0</v>
      </c>
      <c r="M19" s="115">
        <f t="shared" si="5"/>
        <v>0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0</v>
      </c>
      <c r="K20" s="116">
        <f t="shared" si="9"/>
        <v>0</v>
      </c>
      <c r="L20" s="116">
        <f t="shared" si="9"/>
        <v>0</v>
      </c>
      <c r="M20" s="117">
        <f t="shared" si="5"/>
        <v>0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0</v>
      </c>
      <c r="D21" s="122">
        <f t="shared" ref="D21:E21" si="10">SUM(D20,D17)</f>
        <v>122</v>
      </c>
      <c r="E21" s="122">
        <f t="shared" si="10"/>
        <v>0</v>
      </c>
      <c r="F21" s="122">
        <f t="shared" ref="F21:L21" si="11">SUM(F20,F17)</f>
        <v>0</v>
      </c>
      <c r="G21" s="122">
        <f t="shared" si="11"/>
        <v>0</v>
      </c>
      <c r="H21" s="122">
        <f t="shared" si="11"/>
        <v>0</v>
      </c>
      <c r="I21" s="122">
        <f t="shared" si="11"/>
        <v>0</v>
      </c>
      <c r="J21" s="122">
        <f t="shared" ref="J21" si="12">SUM(J20,J17)</f>
        <v>222</v>
      </c>
      <c r="K21" s="122">
        <f t="shared" si="11"/>
        <v>0</v>
      </c>
      <c r="L21" s="122">
        <f t="shared" si="11"/>
        <v>0</v>
      </c>
      <c r="M21" s="123">
        <f t="shared" si="5"/>
        <v>344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America'!$FW$47</f>
        <v>0</v>
      </c>
      <c r="C25" s="130">
        <f>'[3]Shuttle America_Delta'!$FW$47</f>
        <v>0</v>
      </c>
      <c r="D25" s="130">
        <f>[3]Horizon_AS!$FW$47</f>
        <v>12</v>
      </c>
      <c r="E25" s="130">
        <f>[3]PSA!$FW$47</f>
        <v>0</v>
      </c>
      <c r="F25" s="130">
        <f>[3]Compass!$FW$47</f>
        <v>0</v>
      </c>
      <c r="G25" s="131">
        <f>'[3]Atlantic Southeast'!$FW$47</f>
        <v>0</v>
      </c>
      <c r="H25" s="131">
        <f>'[3]Continental Express'!$FW$47</f>
        <v>0</v>
      </c>
      <c r="I25" s="130">
        <f>'[3]Go Jet_UA'!$FW$47</f>
        <v>0</v>
      </c>
      <c r="J25" s="130">
        <f>'[3]Go Jet'!$FW$47</f>
        <v>0</v>
      </c>
      <c r="K25" s="132">
        <f>'[3]Air Wisconsin'!$FW$47</f>
        <v>0</v>
      </c>
      <c r="L25" s="130">
        <f>[3]MESA!$FW$47</f>
        <v>0</v>
      </c>
      <c r="M25" s="110">
        <f>SUM(B25:L25)</f>
        <v>12</v>
      </c>
    </row>
    <row r="26" spans="1:13" x14ac:dyDescent="0.2">
      <c r="A26" s="75" t="s">
        <v>38</v>
      </c>
      <c r="B26" s="130">
        <f>'[3]Shuttle America'!$FW$48</f>
        <v>0</v>
      </c>
      <c r="C26" s="130">
        <f>'[3]Shuttle America_Delta'!$FW$48</f>
        <v>0</v>
      </c>
      <c r="D26" s="130">
        <f>[3]Horizon_AS!$FW$48</f>
        <v>2490</v>
      </c>
      <c r="E26" s="130">
        <f>[3]PSA!$FW$48</f>
        <v>0</v>
      </c>
      <c r="F26" s="130">
        <f>[3]Compass!$FW$48</f>
        <v>0</v>
      </c>
      <c r="G26" s="131">
        <f>'[3]Atlantic Southeast'!$FW$48</f>
        <v>0</v>
      </c>
      <c r="H26" s="131">
        <f>'[3]Continental Express'!$FW$48</f>
        <v>0</v>
      </c>
      <c r="I26" s="130">
        <f>'[3]Go Jet_UA'!$FW$48</f>
        <v>0</v>
      </c>
      <c r="J26" s="130">
        <f>'[3]Go Jet'!$FW$48</f>
        <v>0</v>
      </c>
      <c r="K26" s="132">
        <f>'[3]Air Wisconsin'!$FW$48</f>
        <v>0</v>
      </c>
      <c r="L26" s="130">
        <f>[3]MESA!$FW$48</f>
        <v>0</v>
      </c>
      <c r="M26" s="110">
        <f>SUM(B26:L26)</f>
        <v>2490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2502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0</v>
      </c>
      <c r="K27" s="133">
        <f t="shared" si="14"/>
        <v>0</v>
      </c>
      <c r="L27" s="133">
        <f t="shared" si="14"/>
        <v>0</v>
      </c>
      <c r="M27" s="134">
        <f>SUM(B27:L27)</f>
        <v>2502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America'!$FW$52</f>
        <v>0</v>
      </c>
      <c r="C30" s="130">
        <f>'[3]Shuttle America_Delta'!$FW$52</f>
        <v>0</v>
      </c>
      <c r="D30" s="130">
        <f>[3]Horizon_AS!$FW$52</f>
        <v>0</v>
      </c>
      <c r="E30" s="130">
        <f>[3]PSA!$FW$52</f>
        <v>0</v>
      </c>
      <c r="F30" s="130">
        <f>[3]Compass!$FW$52</f>
        <v>0</v>
      </c>
      <c r="G30" s="131">
        <f>'[3]Atlantic Southeast'!$FW$52</f>
        <v>0</v>
      </c>
      <c r="H30" s="131">
        <f>'[3]Continental Express'!$FW$52</f>
        <v>0</v>
      </c>
      <c r="I30" s="130">
        <f>'[3]Go Jet_UA'!$FW$52</f>
        <v>0</v>
      </c>
      <c r="J30" s="130">
        <f>'[3]Go Jet'!$FW$52</f>
        <v>0</v>
      </c>
      <c r="K30" s="132">
        <f>'[3]Air Wisconsin'!BH$52</f>
        <v>0</v>
      </c>
      <c r="L30" s="130">
        <f>[3]MESA!$FW$52</f>
        <v>0</v>
      </c>
      <c r="M30" s="110">
        <f>SUM(B30:L30)</f>
        <v>0</v>
      </c>
    </row>
    <row r="31" spans="1:13" x14ac:dyDescent="0.2">
      <c r="A31" s="75" t="s">
        <v>60</v>
      </c>
      <c r="B31" s="130">
        <f>'[3]Shuttle America'!$FW$53</f>
        <v>0</v>
      </c>
      <c r="C31" s="130">
        <f>'[3]Shuttle America_Delta'!$FW$53</f>
        <v>0</v>
      </c>
      <c r="D31" s="130">
        <f>[3]Horizon_AS!$FW$53</f>
        <v>0</v>
      </c>
      <c r="E31" s="130">
        <f>[3]PSA!$FW$53</f>
        <v>0</v>
      </c>
      <c r="F31" s="130">
        <f>[3]Compass!$FW$53</f>
        <v>0</v>
      </c>
      <c r="G31" s="131">
        <f>'[3]Atlantic Southeast'!$FW$53</f>
        <v>0</v>
      </c>
      <c r="H31" s="131">
        <f>'[3]Continental Express'!$FW$53</f>
        <v>0</v>
      </c>
      <c r="I31" s="130">
        <f>'[3]Go Jet_UA'!$FW$53</f>
        <v>0</v>
      </c>
      <c r="J31" s="130">
        <f>'[3]Go Jet'!$FW$53</f>
        <v>0</v>
      </c>
      <c r="K31" s="132">
        <f>'[3]Air Wisconsin'!$FW$53</f>
        <v>0</v>
      </c>
      <c r="L31" s="130">
        <f>[3]MESA!$FW$53</f>
        <v>0</v>
      </c>
      <c r="M31" s="110">
        <f>SUM(B31:L31)</f>
        <v>0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0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0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America'!$FW$57</f>
        <v>0</v>
      </c>
      <c r="C35" s="130">
        <f>'[3]Shuttle America_Delta'!$FW$57</f>
        <v>0</v>
      </c>
      <c r="D35" s="130">
        <f>[3]Horizon_AS!$FW$57</f>
        <v>0</v>
      </c>
      <c r="E35" s="130">
        <f>[3]PSA!$FW$57</f>
        <v>0</v>
      </c>
      <c r="F35" s="130">
        <f>[3]Compass!$FW$57</f>
        <v>0</v>
      </c>
      <c r="G35" s="131">
        <f>'[3]Atlantic Southeast'!$FW$57</f>
        <v>0</v>
      </c>
      <c r="H35" s="131">
        <f>'[3]Continental Express'!$FW$57</f>
        <v>0</v>
      </c>
      <c r="I35" s="130">
        <f>'[3]Go Jet_UA'!$AJ$57</f>
        <v>0</v>
      </c>
      <c r="J35" s="130">
        <f>'[3]Go Jet'!$FW$57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12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0</v>
      </c>
      <c r="K40" s="130">
        <f t="shared" si="20"/>
        <v>0</v>
      </c>
      <c r="L40" s="130">
        <f t="shared" si="20"/>
        <v>0</v>
      </c>
      <c r="M40" s="110">
        <f>SUM(B40:L40)</f>
        <v>12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2490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2490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2502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0</v>
      </c>
      <c r="K42" s="136">
        <f t="shared" si="26"/>
        <v>0</v>
      </c>
      <c r="L42" s="136">
        <f t="shared" si="26"/>
        <v>0</v>
      </c>
      <c r="M42" s="137">
        <f>SUM(B42:L42)</f>
        <v>2502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5" t="s">
        <v>124</v>
      </c>
      <c r="C46" s="322">
        <f>'[3]Shuttle America_Delta'!$FW$70+'[3]Shuttle America_Delta'!$FW$73</f>
        <v>0</v>
      </c>
      <c r="D46" s="5"/>
      <c r="F46" s="322">
        <f>[3]Compass!$FW$70+[3]Compass!$FW$73</f>
        <v>0</v>
      </c>
      <c r="G46" s="322">
        <f>'[3]Atlantic Southeast'!$FW$70+'[3]Atlantic Southeast'!$FW$73</f>
        <v>0</v>
      </c>
      <c r="J46" s="322">
        <f>'[3]Go Jet'!$FW$70+'[3]Go Jet'!$FW$73</f>
        <v>3978</v>
      </c>
      <c r="M46" s="388">
        <f>SUM(B46:L46)</f>
        <v>3978</v>
      </c>
    </row>
    <row r="47" spans="1:13" x14ac:dyDescent="0.2">
      <c r="A47" s="389" t="s">
        <v>125</v>
      </c>
      <c r="C47" s="322">
        <f>'[3]Shuttle America_Delta'!$FW$71+'[3]Shuttle America_Delta'!$FW$74</f>
        <v>0</v>
      </c>
      <c r="D47" s="5"/>
      <c r="F47" s="322">
        <f>[3]Compass!$FW$71+[3]Compass!$FW$74</f>
        <v>0</v>
      </c>
      <c r="G47" s="322">
        <f>'[3]Atlantic Southeast'!$FW$71+'[3]Atlantic Southeast'!$FW$74</f>
        <v>0</v>
      </c>
      <c r="J47" s="322">
        <f>'[3]Go Jet'!$FW$71+'[3]Go Jet'!$FW$74</f>
        <v>3106</v>
      </c>
      <c r="M47" s="388">
        <f>SUM(B47:L47)</f>
        <v>3106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October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B17" sqref="B17:P17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8">
        <v>43374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7"/>
      <c r="C4" s="184"/>
      <c r="D4" s="184"/>
      <c r="E4" s="184"/>
      <c r="F4" s="184"/>
      <c r="G4" s="254"/>
    </row>
    <row r="5" spans="1:17" x14ac:dyDescent="0.2">
      <c r="A5" s="62" t="s">
        <v>30</v>
      </c>
      <c r="B5" s="417">
        <f>'[3]Charter Misc'!$FW$22</f>
        <v>0</v>
      </c>
      <c r="C5" s="184">
        <f>[3]Ryan!$FW$22</f>
        <v>0</v>
      </c>
      <c r="D5" s="184">
        <f>'[3]Charter Misc'!$FW$32</f>
        <v>0</v>
      </c>
      <c r="E5" s="184">
        <f>[3]Omni!$FW$32+[3]Omni!$FW$22</f>
        <v>162</v>
      </c>
      <c r="F5" s="184">
        <f>[3]Xtra!$FW$32+[3]Xtra!$FW$22</f>
        <v>0</v>
      </c>
      <c r="G5" s="339">
        <f>SUM(B5:F5)</f>
        <v>162</v>
      </c>
    </row>
    <row r="6" spans="1:17" x14ac:dyDescent="0.2">
      <c r="A6" s="62" t="s">
        <v>31</v>
      </c>
      <c r="B6" s="418">
        <f>'[3]Charter Misc'!$FW$23</f>
        <v>174</v>
      </c>
      <c r="C6" s="187">
        <f>[3]Ryan!$FW$23</f>
        <v>0</v>
      </c>
      <c r="D6" s="187">
        <f>'[3]Charter Misc'!$FW$33</f>
        <v>0</v>
      </c>
      <c r="E6" s="187">
        <f>[3]Omni!$FW$33</f>
        <v>0</v>
      </c>
      <c r="F6" s="187">
        <f>[3]Xtra!$FW$33+[3]Xtra!$FW$23</f>
        <v>0</v>
      </c>
      <c r="G6" s="338">
        <f>SUM(B6:F6)</f>
        <v>174</v>
      </c>
    </row>
    <row r="7" spans="1:17" ht="15.75" thickBot="1" x14ac:dyDescent="0.3">
      <c r="A7" s="183" t="s">
        <v>7</v>
      </c>
      <c r="B7" s="419">
        <f>SUM(B5:B6)</f>
        <v>174</v>
      </c>
      <c r="C7" s="298">
        <f>SUM(C5:C6)</f>
        <v>0</v>
      </c>
      <c r="D7" s="298">
        <f>SUM(D5:D6)</f>
        <v>0</v>
      </c>
      <c r="E7" s="298">
        <f>SUM(E5:E6)</f>
        <v>162</v>
      </c>
      <c r="F7" s="298">
        <f>SUM(F5:F6)</f>
        <v>0</v>
      </c>
      <c r="G7" s="299">
        <f>SUM(B7:F7)</f>
        <v>336</v>
      </c>
    </row>
    <row r="8" spans="1:17" ht="13.5" thickBot="1" x14ac:dyDescent="0.25"/>
    <row r="9" spans="1:17" x14ac:dyDescent="0.2">
      <c r="A9" s="181" t="s">
        <v>9</v>
      </c>
      <c r="B9" s="420"/>
      <c r="C9" s="45"/>
      <c r="D9" s="45"/>
      <c r="E9" s="45"/>
      <c r="F9" s="45"/>
      <c r="G9" s="57"/>
    </row>
    <row r="10" spans="1:17" x14ac:dyDescent="0.2">
      <c r="A10" s="182" t="s">
        <v>80</v>
      </c>
      <c r="B10" s="417">
        <f>'[3]Charter Misc'!$FW$4</f>
        <v>0</v>
      </c>
      <c r="C10" s="184">
        <f>[3]Ryan!$FW$4</f>
        <v>0</v>
      </c>
      <c r="D10" s="184">
        <f>'[3]Charter Misc'!$FW$15</f>
        <v>0</v>
      </c>
      <c r="E10" s="184">
        <f>[3]Omni!$FW$15</f>
        <v>0</v>
      </c>
      <c r="F10" s="184">
        <f>[3]Xtra!$FW$15+[3]Xtra!$FW$4</f>
        <v>0</v>
      </c>
      <c r="G10" s="338">
        <f>SUM(B10:F10)</f>
        <v>0</v>
      </c>
    </row>
    <row r="11" spans="1:17" x14ac:dyDescent="0.2">
      <c r="A11" s="182" t="s">
        <v>81</v>
      </c>
      <c r="B11" s="417">
        <f>'[3]Charter Misc'!$FW$5</f>
        <v>1</v>
      </c>
      <c r="C11" s="184">
        <f>[3]Ryan!$FW$5</f>
        <v>0</v>
      </c>
      <c r="D11" s="184">
        <f>'[3]Charter Misc'!$FW$16</f>
        <v>0</v>
      </c>
      <c r="E11" s="184">
        <f>[3]Omni!$FW$16+[3]Omni!$FW$9</f>
        <v>1</v>
      </c>
      <c r="F11" s="184">
        <f>[3]Xtra!$FW$16+[3]Xtra!$FW$5</f>
        <v>0</v>
      </c>
      <c r="G11" s="338">
        <f>SUM(B11:F11)</f>
        <v>2</v>
      </c>
    </row>
    <row r="12" spans="1:17" ht="15.75" thickBot="1" x14ac:dyDescent="0.3">
      <c r="A12" s="277" t="s">
        <v>28</v>
      </c>
      <c r="B12" s="421">
        <f>SUM(B10:B11)</f>
        <v>1</v>
      </c>
      <c r="C12" s="300">
        <f>SUM(C10:C11)</f>
        <v>0</v>
      </c>
      <c r="D12" s="300">
        <f>SUM(D10:D11)</f>
        <v>0</v>
      </c>
      <c r="E12" s="300">
        <f>SUM(E10:E11)</f>
        <v>1</v>
      </c>
      <c r="F12" s="300">
        <f>SUM(F10:F11)</f>
        <v>0</v>
      </c>
      <c r="G12" s="301">
        <f>SUM(B12:F12)</f>
        <v>2</v>
      </c>
      <c r="Q12" s="130"/>
    </row>
    <row r="17" spans="1:16" x14ac:dyDescent="0.2">
      <c r="B17" s="523" t="s">
        <v>155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3"/>
      <c r="B19" s="526" t="s">
        <v>121</v>
      </c>
      <c r="C19" s="527"/>
      <c r="D19" s="527"/>
      <c r="E19" s="528"/>
      <c r="G19" s="526" t="s">
        <v>122</v>
      </c>
      <c r="H19" s="529"/>
      <c r="I19" s="529"/>
      <c r="J19" s="530"/>
      <c r="L19" s="531" t="s">
        <v>123</v>
      </c>
      <c r="M19" s="532"/>
      <c r="N19" s="532"/>
      <c r="O19" s="533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0" t="s">
        <v>226</v>
      </c>
      <c r="J20" s="500" t="s">
        <v>190</v>
      </c>
      <c r="K20" s="243" t="s">
        <v>99</v>
      </c>
      <c r="L20" s="242" t="s">
        <v>103</v>
      </c>
      <c r="M20" s="236" t="s">
        <v>104</v>
      </c>
      <c r="N20" s="500" t="s">
        <v>226</v>
      </c>
      <c r="O20" s="500" t="s">
        <v>190</v>
      </c>
      <c r="P20" s="243" t="s">
        <v>99</v>
      </c>
    </row>
    <row r="21" spans="1:16" ht="14.1" customHeight="1" x14ac:dyDescent="0.2">
      <c r="A21" s="246" t="s">
        <v>105</v>
      </c>
      <c r="B21" s="510">
        <f>+[4]Charter!$B$21</f>
        <v>137179</v>
      </c>
      <c r="C21" s="511">
        <f>+[4]Charter!$C$21</f>
        <v>131658</v>
      </c>
      <c r="D21" s="508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0">
        <f>+[4]Charter!$G$21</f>
        <v>1202691</v>
      </c>
      <c r="H21" s="511">
        <f>+[4]Charter!$H$21</f>
        <v>1213282</v>
      </c>
      <c r="I21" s="508">
        <f t="shared" ref="I21:I26" si="2">SUM(G21:H21)</f>
        <v>2415973</v>
      </c>
      <c r="J21" s="335">
        <f>[5]Charter!$I$21</f>
        <v>2435679</v>
      </c>
      <c r="K21" s="247">
        <f t="shared" ref="K21:K32" si="3">(I21-J21)/J21</f>
        <v>-8.0905570890088558E-3</v>
      </c>
      <c r="L21" s="510">
        <f>+[4]Charter!$L$21</f>
        <v>1339870</v>
      </c>
      <c r="M21" s="511">
        <f>+[4]Charter!$M$21</f>
        <v>1344940</v>
      </c>
      <c r="N21" s="508">
        <f t="shared" ref="N21:N32" si="4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07">
        <f t="shared" ref="D22" si="5">SUM(B22:C22)</f>
        <v>285115</v>
      </c>
      <c r="E22" s="336">
        <f>[7]Charter!D22</f>
        <v>272463</v>
      </c>
      <c r="F22" s="334">
        <f t="shared" si="1"/>
        <v>4.6435662823943069E-2</v>
      </c>
      <c r="G22" s="506">
        <f t="shared" ref="G22:G23" si="6">L22-B22</f>
        <v>1192631</v>
      </c>
      <c r="H22" s="507">
        <f t="shared" ref="H22:H23" si="7">M22-C22</f>
        <v>1233627</v>
      </c>
      <c r="I22" s="507">
        <f t="shared" si="2"/>
        <v>2426258</v>
      </c>
      <c r="J22" s="336">
        <f>[7]Charter!I22</f>
        <v>2337959</v>
      </c>
      <c r="K22" s="250">
        <f t="shared" si="3"/>
        <v>3.7767557087185877E-2</v>
      </c>
      <c r="L22" s="331">
        <f>+[6]Charter!$L22</f>
        <v>1334274</v>
      </c>
      <c r="M22" s="333">
        <f>+[6]Charter!$M22</f>
        <v>1377099</v>
      </c>
      <c r="N22" s="507">
        <f t="shared" ref="N22" si="8">SUM(L22:M22)</f>
        <v>2711373</v>
      </c>
      <c r="O22" s="336">
        <f>[7]Charter!N22</f>
        <v>2610422</v>
      </c>
      <c r="P22" s="249">
        <f t="shared" ref="P22:P32" si="9">(N22-O22)/O22</f>
        <v>3.8672291300027355E-2</v>
      </c>
    </row>
    <row r="23" spans="1:16" ht="14.1" customHeight="1" x14ac:dyDescent="0.2">
      <c r="A23" s="248" t="s">
        <v>107</v>
      </c>
      <c r="B23" s="331">
        <f>+[8]Charter!$B23</f>
        <v>183302</v>
      </c>
      <c r="C23" s="333">
        <f>+[8]Charter!$C23</f>
        <v>184526</v>
      </c>
      <c r="D23" s="332">
        <f t="shared" si="0"/>
        <v>367828</v>
      </c>
      <c r="E23" s="336">
        <f>[9]Charter!D23</f>
        <v>348451</v>
      </c>
      <c r="F23" s="249">
        <f t="shared" si="1"/>
        <v>5.5608966540489191E-2</v>
      </c>
      <c r="G23" s="506">
        <f t="shared" si="6"/>
        <v>1511202</v>
      </c>
      <c r="H23" s="507">
        <f t="shared" si="7"/>
        <v>1531837</v>
      </c>
      <c r="I23" s="332">
        <f t="shared" si="2"/>
        <v>3043039</v>
      </c>
      <c r="J23" s="336">
        <f>[9]Charter!I23</f>
        <v>3083230</v>
      </c>
      <c r="K23" s="250">
        <f t="shared" si="3"/>
        <v>-1.3035355779490988E-2</v>
      </c>
      <c r="L23" s="331">
        <f>+[8]Charter!$L23</f>
        <v>1694504</v>
      </c>
      <c r="M23" s="333">
        <f>+[8]Charter!$M23</f>
        <v>1716363</v>
      </c>
      <c r="N23" s="332">
        <f t="shared" si="4"/>
        <v>3410867</v>
      </c>
      <c r="O23" s="336">
        <f>[9]Charter!N23</f>
        <v>3431681</v>
      </c>
      <c r="P23" s="249">
        <f t="shared" si="9"/>
        <v>-6.0652490718105792E-3</v>
      </c>
    </row>
    <row r="24" spans="1:16" ht="14.1" customHeight="1" x14ac:dyDescent="0.2">
      <c r="A24" s="248" t="s">
        <v>108</v>
      </c>
      <c r="B24" s="331">
        <f>+[10]Charter!$B24</f>
        <v>130702</v>
      </c>
      <c r="C24" s="333">
        <f>+[10]Charter!$C24</f>
        <v>111716</v>
      </c>
      <c r="D24" s="332">
        <f t="shared" ref="D24" si="10">SUM(B24:C24)</f>
        <v>242418</v>
      </c>
      <c r="E24" s="336">
        <f>[11]Charter!D24</f>
        <v>251391</v>
      </c>
      <c r="F24" s="249">
        <f t="shared" si="1"/>
        <v>-3.5693401911762949E-2</v>
      </c>
      <c r="G24" s="506">
        <f t="shared" ref="G24:H26" si="11">L24-B24</f>
        <v>1413434</v>
      </c>
      <c r="H24" s="507">
        <f t="shared" si="11"/>
        <v>1337410</v>
      </c>
      <c r="I24" s="332">
        <f t="shared" si="2"/>
        <v>2750844</v>
      </c>
      <c r="J24" s="336">
        <f>[11]Charter!I24</f>
        <v>2843673</v>
      </c>
      <c r="K24" s="250">
        <f t="shared" si="3"/>
        <v>-3.2644048735561371E-2</v>
      </c>
      <c r="L24" s="331">
        <f>+[10]Charter!$L24</f>
        <v>1544136</v>
      </c>
      <c r="M24" s="333">
        <f>+[10]Charter!$M24</f>
        <v>1449126</v>
      </c>
      <c r="N24" s="332">
        <f t="shared" ref="N24" si="12">SUM(L24:M24)</f>
        <v>2993262</v>
      </c>
      <c r="O24" s="336">
        <f>[11]Charter!N24</f>
        <v>3095064</v>
      </c>
      <c r="P24" s="249">
        <f t="shared" si="9"/>
        <v>-3.2891726956211564E-2</v>
      </c>
    </row>
    <row r="25" spans="1:16" ht="14.1" customHeight="1" x14ac:dyDescent="0.2">
      <c r="A25" s="235" t="s">
        <v>76</v>
      </c>
      <c r="B25" s="331">
        <f>+[12]Charter!$B25</f>
        <v>128052</v>
      </c>
      <c r="C25" s="333">
        <f>+[12]Charter!$C25</f>
        <v>118282</v>
      </c>
      <c r="D25" s="332">
        <f t="shared" ref="D25" si="13">SUM(B25:C25)</f>
        <v>246334</v>
      </c>
      <c r="E25" s="336">
        <f>[13]Charter!D25</f>
        <v>225442</v>
      </c>
      <c r="F25" s="238">
        <f t="shared" si="1"/>
        <v>9.2671285740900097E-2</v>
      </c>
      <c r="G25" s="506">
        <f t="shared" si="11"/>
        <v>1504357</v>
      </c>
      <c r="H25" s="507">
        <f t="shared" si="11"/>
        <v>1476799</v>
      </c>
      <c r="I25" s="332">
        <f t="shared" si="2"/>
        <v>2981156</v>
      </c>
      <c r="J25" s="336">
        <f>[13]Charter!I25</f>
        <v>2980236</v>
      </c>
      <c r="K25" s="244">
        <f t="shared" si="3"/>
        <v>3.0870038480174052E-4</v>
      </c>
      <c r="L25" s="331">
        <f>+[12]Charter!$L25</f>
        <v>1632409</v>
      </c>
      <c r="M25" s="333">
        <f>+[12]Charter!$M25</f>
        <v>1595081</v>
      </c>
      <c r="N25" s="332">
        <f t="shared" ref="N25" si="14">SUM(L25:M25)</f>
        <v>3227490</v>
      </c>
      <c r="O25" s="336">
        <f>[13]Charter!N25</f>
        <v>3205678</v>
      </c>
      <c r="P25" s="238">
        <f t="shared" si="9"/>
        <v>6.8041768387217929E-3</v>
      </c>
    </row>
    <row r="26" spans="1:16" ht="14.1" customHeight="1" x14ac:dyDescent="0.2">
      <c r="A26" s="248" t="s">
        <v>109</v>
      </c>
      <c r="B26" s="331">
        <f>+[14]Charter!$B26</f>
        <v>128004</v>
      </c>
      <c r="C26" s="333">
        <f>+[14]Charter!$C26</f>
        <v>132185</v>
      </c>
      <c r="D26" s="332">
        <f t="shared" ref="D26" si="15">SUM(B26:C26)</f>
        <v>260189</v>
      </c>
      <c r="E26" s="336">
        <f>[15]Charter!D26</f>
        <v>248451</v>
      </c>
      <c r="F26" s="249">
        <f t="shared" si="1"/>
        <v>4.7244728336774656E-2</v>
      </c>
      <c r="G26" s="506">
        <f t="shared" si="11"/>
        <v>1634622</v>
      </c>
      <c r="H26" s="507">
        <f t="shared" si="11"/>
        <v>1620854</v>
      </c>
      <c r="I26" s="332">
        <f t="shared" si="2"/>
        <v>3255476</v>
      </c>
      <c r="J26" s="336">
        <f>[15]Charter!I26</f>
        <v>3247151</v>
      </c>
      <c r="K26" s="250">
        <f t="shared" si="3"/>
        <v>2.5637859157150375E-3</v>
      </c>
      <c r="L26" s="331">
        <f>+[14]Charter!$L26</f>
        <v>1762626</v>
      </c>
      <c r="M26" s="333">
        <f>+[14]Charter!$M26</f>
        <v>1753039</v>
      </c>
      <c r="N26" s="332">
        <f t="shared" ref="N26" si="16">SUM(L26:M26)</f>
        <v>3515665</v>
      </c>
      <c r="O26" s="336">
        <f>[15]Charter!N26</f>
        <v>3495602</v>
      </c>
      <c r="P26" s="249">
        <f t="shared" si="9"/>
        <v>5.7394978032396134E-3</v>
      </c>
    </row>
    <row r="27" spans="1:16" ht="14.1" customHeight="1" x14ac:dyDescent="0.2">
      <c r="A27" s="235" t="s">
        <v>110</v>
      </c>
      <c r="B27" s="331">
        <f>+[16]Charter!$B27</f>
        <v>139361</v>
      </c>
      <c r="C27" s="333">
        <f>+[16]Charter!$C27</f>
        <v>126713</v>
      </c>
      <c r="D27" s="332">
        <f t="shared" ref="D27" si="17">SUM(B27:C27)</f>
        <v>266074</v>
      </c>
      <c r="E27" s="336">
        <f>[17]Charter!D27</f>
        <v>263710</v>
      </c>
      <c r="F27" s="238">
        <f t="shared" si="1"/>
        <v>8.9643927041067831E-3</v>
      </c>
      <c r="G27" s="506">
        <f t="shared" ref="G27" si="18">L27-B27</f>
        <v>1694875</v>
      </c>
      <c r="H27" s="507">
        <f t="shared" ref="H27" si="19">M27-C27</f>
        <v>1704059</v>
      </c>
      <c r="I27" s="332">
        <f t="shared" ref="I27" si="20">SUM(G27:H27)</f>
        <v>3398934</v>
      </c>
      <c r="J27" s="336">
        <f>[17]Charter!I27</f>
        <v>3397860</v>
      </c>
      <c r="K27" s="244">
        <f t="shared" si="3"/>
        <v>3.1608129822888523E-4</v>
      </c>
      <c r="L27" s="331">
        <f>+[16]Charter!$L27</f>
        <v>1834236</v>
      </c>
      <c r="M27" s="333">
        <f>+[16]Charter!$M27</f>
        <v>1830772</v>
      </c>
      <c r="N27" s="332">
        <f t="shared" ref="N27" si="21">SUM(L27:M27)</f>
        <v>3665008</v>
      </c>
      <c r="O27" s="336">
        <f>[17]Charter!N27</f>
        <v>3661570</v>
      </c>
      <c r="P27" s="238">
        <f t="shared" si="9"/>
        <v>9.3894149231067551E-4</v>
      </c>
    </row>
    <row r="28" spans="1:16" ht="14.1" customHeight="1" x14ac:dyDescent="0.2">
      <c r="A28" s="248" t="s">
        <v>111</v>
      </c>
      <c r="B28" s="331">
        <f>+[18]Charter!$B28</f>
        <v>139687</v>
      </c>
      <c r="C28" s="333">
        <f>+[18]Charter!$C28</f>
        <v>136180</v>
      </c>
      <c r="D28" s="332">
        <f t="shared" ref="D28" si="22">SUM(B28:C28)</f>
        <v>275867</v>
      </c>
      <c r="E28" s="336">
        <f>[19]Charter!D28</f>
        <v>267158</v>
      </c>
      <c r="F28" s="249">
        <f t="shared" si="1"/>
        <v>3.2598686919351097E-2</v>
      </c>
      <c r="G28" s="506">
        <f t="shared" ref="G28" si="23">L28-B28</f>
        <v>1736320</v>
      </c>
      <c r="H28" s="507">
        <f t="shared" ref="H28" si="24">M28-C28</f>
        <v>1726918</v>
      </c>
      <c r="I28" s="332">
        <f t="shared" ref="I28" si="25">SUM(G28:H28)</f>
        <v>3463238</v>
      </c>
      <c r="J28" s="336">
        <f>[19]Charter!I28</f>
        <v>3401041</v>
      </c>
      <c r="K28" s="250">
        <f t="shared" si="3"/>
        <v>1.8287636050256378E-2</v>
      </c>
      <c r="L28" s="331">
        <f>+[18]Charter!$L28</f>
        <v>1876007</v>
      </c>
      <c r="M28" s="333">
        <f>+[18]Charter!$M28</f>
        <v>1863098</v>
      </c>
      <c r="N28" s="332">
        <f t="shared" ref="N28" si="26">SUM(L28:M28)</f>
        <v>3739105</v>
      </c>
      <c r="O28" s="336">
        <f>[19]Charter!N28</f>
        <v>3668199</v>
      </c>
      <c r="P28" s="249">
        <f t="shared" si="9"/>
        <v>1.932992184993235E-2</v>
      </c>
    </row>
    <row r="29" spans="1:16" ht="14.1" customHeight="1" x14ac:dyDescent="0.2">
      <c r="A29" s="235" t="s">
        <v>112</v>
      </c>
      <c r="B29" s="331">
        <f>+[2]Charter!$B29</f>
        <v>112387</v>
      </c>
      <c r="C29" s="333">
        <f>+[2]Charter!$C29</f>
        <v>113274</v>
      </c>
      <c r="D29" s="332">
        <f t="shared" ref="D29" si="27">SUM(B29:C29)</f>
        <v>225661</v>
      </c>
      <c r="E29" s="336">
        <f>[20]Charter!D29</f>
        <v>219794</v>
      </c>
      <c r="F29" s="238">
        <f t="shared" si="1"/>
        <v>2.6693176337843617E-2</v>
      </c>
      <c r="G29" s="506">
        <f t="shared" ref="G29" si="28">L29-B29</f>
        <v>1404094</v>
      </c>
      <c r="H29" s="507">
        <f t="shared" ref="H29" si="29">M29-C29</f>
        <v>1420459</v>
      </c>
      <c r="I29" s="332">
        <f t="shared" ref="I29" si="30">SUM(G29:H29)</f>
        <v>2824553</v>
      </c>
      <c r="J29" s="336">
        <f>[20]Charter!I29</f>
        <v>2821616</v>
      </c>
      <c r="K29" s="244">
        <f t="shared" si="3"/>
        <v>1.0408928784072674E-3</v>
      </c>
      <c r="L29" s="331">
        <f>+[2]Charter!$L29</f>
        <v>1516481</v>
      </c>
      <c r="M29" s="333">
        <f>+[2]Charter!$M29</f>
        <v>1533733</v>
      </c>
      <c r="N29" s="332">
        <f t="shared" ref="N29" si="31">SUM(L29:M29)</f>
        <v>3050214</v>
      </c>
      <c r="O29" s="336">
        <f>[20]Charter!N29</f>
        <v>3041410</v>
      </c>
      <c r="P29" s="238">
        <f t="shared" si="9"/>
        <v>2.8947100193660179E-3</v>
      </c>
    </row>
    <row r="30" spans="1:16" ht="14.1" customHeight="1" x14ac:dyDescent="0.2">
      <c r="A30" s="248" t="s">
        <v>113</v>
      </c>
      <c r="B30" s="506">
        <f>'Intl Detail'!$P$4+'Intl Detail'!$P$9</f>
        <v>108154</v>
      </c>
      <c r="C30" s="507">
        <f>'Intl Detail'!$P$5+'Intl Detail'!$P$10</f>
        <v>100391</v>
      </c>
      <c r="D30" s="332">
        <f t="shared" ref="D30" si="32">SUM(B30:C30)</f>
        <v>208545</v>
      </c>
      <c r="E30" s="336">
        <f>[1]Charter!D30</f>
        <v>203624</v>
      </c>
      <c r="F30" s="249">
        <f t="shared" si="1"/>
        <v>2.4167092287746043E-2</v>
      </c>
      <c r="G30" s="506">
        <f t="shared" ref="G30" si="33">L30-B30</f>
        <v>1503026</v>
      </c>
      <c r="H30" s="507">
        <f t="shared" ref="H30" si="34">M30-C30</f>
        <v>1514372</v>
      </c>
      <c r="I30" s="332">
        <f t="shared" ref="I30" si="35">SUM(G30:H30)</f>
        <v>3017398</v>
      </c>
      <c r="J30" s="336">
        <f>[1]Charter!I30</f>
        <v>3047366</v>
      </c>
      <c r="K30" s="250">
        <f t="shared" si="3"/>
        <v>-9.8340665348369705E-3</v>
      </c>
      <c r="L30" s="506">
        <f>'Monthly Summary'!$B$11</f>
        <v>1611180</v>
      </c>
      <c r="M30" s="507">
        <f>'Monthly Summary'!$C$11</f>
        <v>1614763</v>
      </c>
      <c r="N30" s="332">
        <f t="shared" ref="N30" si="36">SUM(L30:M30)</f>
        <v>3225943</v>
      </c>
      <c r="O30" s="336">
        <f>[1]Charter!N30</f>
        <v>3250990</v>
      </c>
      <c r="P30" s="249">
        <f t="shared" si="9"/>
        <v>-7.7044223451933104E-3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6"/>
      <c r="F31" s="238" t="e">
        <f t="shared" si="1"/>
        <v>#DIV/0!</v>
      </c>
      <c r="G31" s="331"/>
      <c r="H31" s="333"/>
      <c r="I31" s="332">
        <f t="shared" ref="I31:I32" si="37">SUM(G31:H31)</f>
        <v>0</v>
      </c>
      <c r="J31" s="336"/>
      <c r="K31" s="244" t="e">
        <f t="shared" si="3"/>
        <v>#DIV/0!</v>
      </c>
      <c r="L31" s="331"/>
      <c r="M31" s="333"/>
      <c r="N31" s="332">
        <f>SUM(L31:M31)</f>
        <v>0</v>
      </c>
      <c r="O31" s="336"/>
      <c r="P31" s="238" t="e">
        <f t="shared" si="9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si="37"/>
        <v>0</v>
      </c>
      <c r="J32" s="336"/>
      <c r="K32" s="252" t="e">
        <f t="shared" si="3"/>
        <v>#DIV/0!</v>
      </c>
      <c r="L32" s="331"/>
      <c r="M32" s="333"/>
      <c r="N32" s="161">
        <f t="shared" si="4"/>
        <v>0</v>
      </c>
      <c r="O32" s="336"/>
      <c r="P32" s="252" t="e">
        <f t="shared" si="9"/>
        <v>#DIV/0!</v>
      </c>
    </row>
    <row r="33" spans="1:16" ht="13.5" thickBot="1" x14ac:dyDescent="0.25">
      <c r="A33" s="245" t="s">
        <v>77</v>
      </c>
      <c r="B33" s="255">
        <f>SUM(B21:B32)</f>
        <v>1348471</v>
      </c>
      <c r="C33" s="256">
        <f>SUM(C21:C32)</f>
        <v>1298397</v>
      </c>
      <c r="D33" s="256">
        <f>SUM(D21:D32)</f>
        <v>2646868</v>
      </c>
      <c r="E33" s="257">
        <f>SUM(E21:E32)</f>
        <v>2557231</v>
      </c>
      <c r="F33" s="240">
        <f>(D33-E33)/E33</f>
        <v>3.5052367189354422E-2</v>
      </c>
      <c r="G33" s="258">
        <f>SUM(G21:G32)</f>
        <v>14797252</v>
      </c>
      <c r="H33" s="256">
        <f>SUM(H21:H32)</f>
        <v>14779617</v>
      </c>
      <c r="I33" s="256">
        <f>SUM(I21:I32)</f>
        <v>29576869</v>
      </c>
      <c r="J33" s="259">
        <f>SUM(J21:J32)</f>
        <v>29595811</v>
      </c>
      <c r="K33" s="241">
        <f>(I33-J33)/J33</f>
        <v>-6.4002300866159746E-4</v>
      </c>
      <c r="L33" s="258">
        <f>SUM(L21:L32)</f>
        <v>16145723</v>
      </c>
      <c r="M33" s="256">
        <f>SUM(M21:M32)</f>
        <v>16078014</v>
      </c>
      <c r="N33" s="256">
        <f>SUM(N21:N32)</f>
        <v>32223737</v>
      </c>
      <c r="O33" s="257">
        <f>SUM(O21:O32)</f>
        <v>32153042</v>
      </c>
      <c r="P33" s="239">
        <f>(N33-O33)/O33</f>
        <v>2.1987033139819244E-3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D37" s="130"/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October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3"/>
  <sheetViews>
    <sheetView zoomScaleNormal="100" workbookViewId="0">
      <selection activeCell="B4" sqref="B4:N34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9" width="11.28515625" customWidth="1"/>
    <col min="11" max="12" width="11.28515625" bestFit="1" customWidth="1"/>
    <col min="14" max="14" width="11.28515625" bestFit="1" customWidth="1"/>
  </cols>
  <sheetData>
    <row r="1" spans="1:21" s="190" customFormat="1" ht="15.75" thickBot="1" x14ac:dyDescent="0.3">
      <c r="B1" s="537"/>
      <c r="C1" s="537"/>
      <c r="D1" s="537"/>
      <c r="E1" s="537"/>
      <c r="F1" s="448"/>
      <c r="G1" s="538" t="s">
        <v>94</v>
      </c>
      <c r="H1" s="539"/>
      <c r="I1" s="539"/>
      <c r="J1" s="539"/>
      <c r="K1" s="539"/>
      <c r="L1" s="539"/>
      <c r="M1" s="540"/>
    </row>
    <row r="2" spans="1:21" s="191" customFormat="1" ht="30.75" customHeight="1" thickBot="1" x14ac:dyDescent="0.25">
      <c r="A2" s="378">
        <v>43374</v>
      </c>
      <c r="B2" s="437" t="s">
        <v>186</v>
      </c>
      <c r="C2" s="516" t="s">
        <v>230</v>
      </c>
      <c r="D2" s="8" t="s">
        <v>82</v>
      </c>
      <c r="E2" s="8" t="s">
        <v>83</v>
      </c>
      <c r="F2" s="199"/>
      <c r="G2" s="180" t="s">
        <v>84</v>
      </c>
      <c r="H2" s="180" t="s">
        <v>187</v>
      </c>
      <c r="I2" s="180" t="s">
        <v>167</v>
      </c>
      <c r="J2" s="102" t="s">
        <v>85</v>
      </c>
      <c r="K2" s="8" t="s">
        <v>86</v>
      </c>
      <c r="L2" s="180" t="s">
        <v>87</v>
      </c>
      <c r="M2" s="180" t="s">
        <v>130</v>
      </c>
      <c r="N2" s="180" t="s">
        <v>21</v>
      </c>
    </row>
    <row r="3" spans="1:21" ht="15" x14ac:dyDescent="0.25">
      <c r="A3" s="200" t="s">
        <v>9</v>
      </c>
      <c r="B3" s="201"/>
      <c r="C3" s="201"/>
      <c r="D3" s="201"/>
      <c r="E3" s="201"/>
      <c r="F3" s="202"/>
      <c r="G3" s="45"/>
      <c r="H3" s="45"/>
      <c r="I3" s="45"/>
      <c r="J3" s="45"/>
      <c r="K3" s="56"/>
      <c r="L3" s="45"/>
      <c r="M3" s="45"/>
      <c r="N3" s="203"/>
    </row>
    <row r="4" spans="1:21" x14ac:dyDescent="0.2">
      <c r="A4" s="53" t="s">
        <v>53</v>
      </c>
      <c r="B4" s="161">
        <f>[3]DHL!$FW$4</f>
        <v>23</v>
      </c>
      <c r="C4" s="161">
        <f>'[3]Atlas Air'!$FW$4</f>
        <v>32</v>
      </c>
      <c r="D4" s="161">
        <f>[3]FedEx!$FW$4+[3]FedEx!$FW$15</f>
        <v>150</v>
      </c>
      <c r="E4" s="161">
        <f>[3]UPS!$FW$4+[3]UPS!$FW$15</f>
        <v>146</v>
      </c>
      <c r="F4" s="192"/>
      <c r="G4" s="118">
        <f>[3]ATI_BAX!$FW$4</f>
        <v>0</v>
      </c>
      <c r="H4" s="161">
        <f>[3]IFL!$FW$4+[3]IFL!$FW$15</f>
        <v>23</v>
      </c>
      <c r="I4" s="118">
        <f>'[3]Suburban Air Freight'!$FW$15</f>
        <v>0</v>
      </c>
      <c r="J4" s="118">
        <f>[3]Bemidji!$FW$4</f>
        <v>284</v>
      </c>
      <c r="K4" s="118">
        <f>'[3]CSA Air'!$FW$4</f>
        <v>0</v>
      </c>
      <c r="L4" s="118">
        <f>'[3]Mountain Cargo'!$FW$4</f>
        <v>22</v>
      </c>
      <c r="M4" s="118">
        <f>'[3]Misc Cargo'!$FW$4</f>
        <v>46</v>
      </c>
      <c r="N4" s="204">
        <f>SUM(B4:M4)</f>
        <v>726</v>
      </c>
    </row>
    <row r="5" spans="1:21" x14ac:dyDescent="0.2">
      <c r="A5" s="53" t="s">
        <v>54</v>
      </c>
      <c r="B5" s="198">
        <f>[3]DHL!$FW$5</f>
        <v>23</v>
      </c>
      <c r="C5" s="198">
        <f>'[3]Atlas Air'!$FW$5</f>
        <v>32</v>
      </c>
      <c r="D5" s="198">
        <f>[3]FedEx!$FW$5</f>
        <v>150</v>
      </c>
      <c r="E5" s="198">
        <f>[3]UPS!$FW$5+[3]UPS!$FW$16</f>
        <v>146</v>
      </c>
      <c r="F5" s="192"/>
      <c r="G5" s="120">
        <f>[3]ATI_BAX!$FW$5</f>
        <v>0</v>
      </c>
      <c r="H5" s="198">
        <f>[3]IFL!$FW$5</f>
        <v>23</v>
      </c>
      <c r="I5" s="120">
        <f>'[3]Suburban Air Freight'!$FW$16</f>
        <v>0</v>
      </c>
      <c r="J5" s="120">
        <f>[3]Bemidji!$FW$5</f>
        <v>284</v>
      </c>
      <c r="K5" s="120">
        <f>'[3]CSA Air'!$FW$5</f>
        <v>0</v>
      </c>
      <c r="L5" s="120">
        <f>'[3]Mountain Cargo'!$FW$5</f>
        <v>22</v>
      </c>
      <c r="M5" s="120">
        <f>'[3]Misc Cargo'!$FW$5</f>
        <v>46</v>
      </c>
      <c r="N5" s="208">
        <f>SUM(B5:M5)</f>
        <v>726</v>
      </c>
    </row>
    <row r="6" spans="1:21" s="189" customFormat="1" x14ac:dyDescent="0.2">
      <c r="A6" s="205" t="s">
        <v>55</v>
      </c>
      <c r="B6" s="206">
        <f>SUM(B4:B5)</f>
        <v>46</v>
      </c>
      <c r="C6" s="206">
        <f>SUM(C4:C5)</f>
        <v>64</v>
      </c>
      <c r="D6" s="206">
        <f>SUM(D4:D5)</f>
        <v>300</v>
      </c>
      <c r="E6" s="206">
        <f>SUM(E4:E5)</f>
        <v>292</v>
      </c>
      <c r="F6" s="193"/>
      <c r="G6" s="188">
        <f t="shared" ref="G6:M6" si="0">SUM(G4:G5)</f>
        <v>0</v>
      </c>
      <c r="H6" s="206">
        <f>SUM(H4:H5)</f>
        <v>46</v>
      </c>
      <c r="I6" s="188">
        <f t="shared" si="0"/>
        <v>0</v>
      </c>
      <c r="J6" s="188">
        <f t="shared" si="0"/>
        <v>568</v>
      </c>
      <c r="K6" s="188">
        <f t="shared" si="0"/>
        <v>0</v>
      </c>
      <c r="L6" s="188">
        <f t="shared" si="0"/>
        <v>44</v>
      </c>
      <c r="M6" s="188">
        <f t="shared" si="0"/>
        <v>92</v>
      </c>
      <c r="N6" s="207">
        <f>SUM(B6:M6)</f>
        <v>1452</v>
      </c>
    </row>
    <row r="7" spans="1:21" x14ac:dyDescent="0.2">
      <c r="A7" s="53"/>
      <c r="B7" s="161"/>
      <c r="C7" s="161"/>
      <c r="D7" s="161"/>
      <c r="E7" s="161"/>
      <c r="F7" s="192"/>
      <c r="G7" s="118"/>
      <c r="H7" s="161"/>
      <c r="I7" s="118"/>
      <c r="J7" s="118"/>
      <c r="K7" s="118"/>
      <c r="L7" s="118"/>
      <c r="M7" s="118"/>
      <c r="N7" s="204"/>
    </row>
    <row r="8" spans="1:21" x14ac:dyDescent="0.2">
      <c r="A8" s="53" t="s">
        <v>56</v>
      </c>
      <c r="B8" s="161"/>
      <c r="C8" s="161"/>
      <c r="D8" s="161"/>
      <c r="E8" s="161"/>
      <c r="F8" s="192"/>
      <c r="G8" s="118"/>
      <c r="H8" s="161"/>
      <c r="I8" s="118"/>
      <c r="J8" s="118"/>
      <c r="K8" s="118"/>
      <c r="L8" s="118"/>
      <c r="M8" s="118">
        <f>'[3]Misc Cargo'!$FW$8</f>
        <v>1</v>
      </c>
      <c r="N8" s="204">
        <f>SUM(B8:M8)</f>
        <v>1</v>
      </c>
    </row>
    <row r="9" spans="1:21" ht="15" x14ac:dyDescent="0.25">
      <c r="A9" s="53" t="s">
        <v>57</v>
      </c>
      <c r="B9" s="198"/>
      <c r="C9" s="198"/>
      <c r="D9" s="198"/>
      <c r="E9" s="198"/>
      <c r="F9" s="192"/>
      <c r="G9" s="120"/>
      <c r="H9" s="198"/>
      <c r="I9" s="120"/>
      <c r="J9" s="120"/>
      <c r="K9" s="120"/>
      <c r="L9" s="120"/>
      <c r="M9" s="120">
        <f>'[3]Misc Cargo'!$FW$9</f>
        <v>1</v>
      </c>
      <c r="N9" s="208">
        <f>SUM(B9:M9)</f>
        <v>1</v>
      </c>
      <c r="Q9" s="15"/>
      <c r="R9" s="327"/>
      <c r="S9" s="327"/>
      <c r="T9" s="327"/>
      <c r="U9" s="327"/>
    </row>
    <row r="10" spans="1:21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206">
        <f>SUM(E8:E9)</f>
        <v>0</v>
      </c>
      <c r="F10" s="193"/>
      <c r="G10" s="188">
        <f t="shared" ref="G10:M10" si="1">SUM(G8:G9)</f>
        <v>0</v>
      </c>
      <c r="H10" s="206">
        <f>SUM(H8:H9)</f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188">
        <f t="shared" si="1"/>
        <v>2</v>
      </c>
      <c r="N10" s="207">
        <f>SUM(B10:M10)</f>
        <v>2</v>
      </c>
    </row>
    <row r="11" spans="1:21" x14ac:dyDescent="0.2">
      <c r="A11" s="53"/>
      <c r="B11" s="161"/>
      <c r="C11" s="161"/>
      <c r="D11" s="161"/>
      <c r="E11" s="161"/>
      <c r="F11" s="192"/>
      <c r="G11" s="118"/>
      <c r="H11" s="161"/>
      <c r="I11" s="118"/>
      <c r="J11" s="118"/>
      <c r="K11" s="118"/>
      <c r="L11" s="118"/>
      <c r="M11" s="118"/>
      <c r="N11" s="170"/>
    </row>
    <row r="12" spans="1:21" ht="18" customHeight="1" thickBot="1" x14ac:dyDescent="0.25">
      <c r="A12" s="209" t="s">
        <v>28</v>
      </c>
      <c r="B12" s="210">
        <f>B6+B10</f>
        <v>46</v>
      </c>
      <c r="C12" s="210">
        <f>C6+C10</f>
        <v>64</v>
      </c>
      <c r="D12" s="210">
        <f>D6+D10</f>
        <v>300</v>
      </c>
      <c r="E12" s="210">
        <f>E6+E10</f>
        <v>292</v>
      </c>
      <c r="F12" s="211"/>
      <c r="G12" s="212">
        <f t="shared" ref="G12:M12" si="2">G6+G10</f>
        <v>0</v>
      </c>
      <c r="H12" s="210">
        <f>H6+H10</f>
        <v>46</v>
      </c>
      <c r="I12" s="212">
        <f t="shared" si="2"/>
        <v>0</v>
      </c>
      <c r="J12" s="212">
        <f t="shared" si="2"/>
        <v>568</v>
      </c>
      <c r="K12" s="212">
        <f t="shared" si="2"/>
        <v>0</v>
      </c>
      <c r="L12" s="212">
        <f t="shared" si="2"/>
        <v>44</v>
      </c>
      <c r="M12" s="212">
        <f t="shared" si="2"/>
        <v>94</v>
      </c>
      <c r="N12" s="213">
        <f>SUM(B12:M12)</f>
        <v>1454</v>
      </c>
    </row>
    <row r="13" spans="1:21" ht="18" customHeight="1" thickBot="1" x14ac:dyDescent="0.25">
      <c r="A13" s="177"/>
      <c r="B13" s="194"/>
      <c r="C13" s="194"/>
      <c r="D13" s="194"/>
      <c r="E13" s="194"/>
      <c r="F13" s="195"/>
      <c r="G13" s="196"/>
      <c r="H13" s="194"/>
      <c r="I13" s="196"/>
      <c r="J13" s="178"/>
      <c r="K13" s="178"/>
      <c r="L13" s="178"/>
      <c r="M13" s="178"/>
      <c r="N13" s="5"/>
    </row>
    <row r="14" spans="1:21" ht="15" x14ac:dyDescent="0.25">
      <c r="A14" s="214" t="s">
        <v>95</v>
      </c>
      <c r="B14" s="215"/>
      <c r="C14" s="215"/>
      <c r="D14" s="215"/>
      <c r="E14" s="215"/>
      <c r="F14" s="216"/>
      <c r="G14" s="175"/>
      <c r="H14" s="215"/>
      <c r="I14" s="175"/>
      <c r="J14" s="81"/>
      <c r="K14" s="81"/>
      <c r="L14" s="81"/>
      <c r="M14" s="81"/>
      <c r="N14" s="217"/>
    </row>
    <row r="15" spans="1:21" x14ac:dyDescent="0.2">
      <c r="A15" s="218" t="s">
        <v>96</v>
      </c>
      <c r="B15" s="161"/>
      <c r="C15" s="161"/>
      <c r="D15" s="161"/>
      <c r="E15" s="161"/>
      <c r="F15" s="192"/>
      <c r="G15" s="118"/>
      <c r="H15" s="161"/>
      <c r="I15" s="118"/>
      <c r="J15" s="5"/>
      <c r="K15" s="5"/>
      <c r="L15" s="5"/>
      <c r="M15" s="5"/>
      <c r="N15" s="179"/>
    </row>
    <row r="16" spans="1:21" x14ac:dyDescent="0.2">
      <c r="A16" s="53" t="s">
        <v>37</v>
      </c>
      <c r="B16" s="161">
        <f>[3]DHL!$FW$47</f>
        <v>884979</v>
      </c>
      <c r="C16" s="161">
        <f>'[3]Atlas Air'!$FW$47</f>
        <v>1102943</v>
      </c>
      <c r="D16" s="161">
        <f>[3]FedEx!$FW$47</f>
        <v>9740263</v>
      </c>
      <c r="E16" s="161">
        <f>[3]UPS!$FW$47</f>
        <v>6506838</v>
      </c>
      <c r="F16" s="192"/>
      <c r="G16" s="118">
        <f>[3]ATI_BAX!$FW$47</f>
        <v>0</v>
      </c>
      <c r="H16" s="161">
        <f>[3]IFL!$FW$47</f>
        <v>26214</v>
      </c>
      <c r="I16" s="118">
        <f>'[3]Suburban Air Freight'!$FW$47</f>
        <v>0</v>
      </c>
      <c r="J16" s="534" t="s">
        <v>88</v>
      </c>
      <c r="K16" s="118">
        <f>'[3]CSA Air'!$FW$47</f>
        <v>0</v>
      </c>
      <c r="L16" s="118">
        <f>'[3]Mountain Cargo'!$FW$47</f>
        <v>165067</v>
      </c>
      <c r="M16" s="118">
        <f>'[3]Misc Cargo'!$FW$47</f>
        <v>86471</v>
      </c>
      <c r="N16" s="204">
        <f>SUM(B16:I16)+SUM(K16:M16)</f>
        <v>18512775</v>
      </c>
    </row>
    <row r="17" spans="1:15" x14ac:dyDescent="0.2">
      <c r="A17" s="53" t="s">
        <v>38</v>
      </c>
      <c r="B17" s="161">
        <f>[3]DHL!$FW$48</f>
        <v>0</v>
      </c>
      <c r="C17" s="161">
        <f>'[3]Atlas Air'!$FW$48</f>
        <v>0</v>
      </c>
      <c r="D17" s="161">
        <f>[3]FedEx!$FW$48</f>
        <v>0</v>
      </c>
      <c r="E17" s="161">
        <f>[3]UPS!$FW$48</f>
        <v>1155</v>
      </c>
      <c r="F17" s="192"/>
      <c r="G17" s="118">
        <f>[3]ATI_BAX!$FW$48</f>
        <v>0</v>
      </c>
      <c r="H17" s="161">
        <f>[3]IFL!$FW$48</f>
        <v>0</v>
      </c>
      <c r="I17" s="118">
        <f>'[3]Suburban Air Freight'!$FW$48</f>
        <v>0</v>
      </c>
      <c r="J17" s="535"/>
      <c r="K17" s="118">
        <f>'[3]CSA Air'!$FW$48</f>
        <v>0</v>
      </c>
      <c r="L17" s="118">
        <f>'[3]Mountain Cargo'!$FW$48</f>
        <v>0</v>
      </c>
      <c r="M17" s="118">
        <f>'[3]Misc Cargo'!$FW$48</f>
        <v>0</v>
      </c>
      <c r="N17" s="204">
        <f>SUM(B17:I17)+SUM(K17:M17)</f>
        <v>1155</v>
      </c>
    </row>
    <row r="18" spans="1:15" ht="18" customHeight="1" x14ac:dyDescent="0.2">
      <c r="A18" s="219" t="s">
        <v>39</v>
      </c>
      <c r="B18" s="302">
        <f>SUM(B16:B17)</f>
        <v>884979</v>
      </c>
      <c r="C18" s="302">
        <f>SUM(C16:C17)</f>
        <v>1102943</v>
      </c>
      <c r="D18" s="302">
        <f>SUM(D16:D17)</f>
        <v>9740263</v>
      </c>
      <c r="E18" s="302">
        <f>SUM(E16:E17)</f>
        <v>6507993</v>
      </c>
      <c r="F18" s="197"/>
      <c r="G18" s="303">
        <f>SUM(G16:G17)</f>
        <v>0</v>
      </c>
      <c r="H18" s="302">
        <f>SUM(H16:H17)</f>
        <v>26214</v>
      </c>
      <c r="I18" s="303">
        <f>SUM(I16:I17)</f>
        <v>0</v>
      </c>
      <c r="J18" s="535"/>
      <c r="K18" s="303">
        <f>SUM(K16:K17)</f>
        <v>0</v>
      </c>
      <c r="L18" s="303">
        <f>SUM(L16:L17)</f>
        <v>165067</v>
      </c>
      <c r="M18" s="303">
        <f>SUM(M16:M17)</f>
        <v>86471</v>
      </c>
      <c r="N18" s="220">
        <f>SUM(B18:I18)+SUM(K18:M18)</f>
        <v>18513930</v>
      </c>
      <c r="O18" s="7"/>
    </row>
    <row r="19" spans="1:15" x14ac:dyDescent="0.2">
      <c r="A19" s="53"/>
      <c r="B19" s="161"/>
      <c r="C19" s="161"/>
      <c r="D19" s="161"/>
      <c r="E19" s="161"/>
      <c r="F19" s="192"/>
      <c r="G19" s="118"/>
      <c r="H19" s="161"/>
      <c r="I19" s="118"/>
      <c r="J19" s="535"/>
      <c r="K19" s="118"/>
      <c r="L19" s="118"/>
      <c r="M19" s="118"/>
      <c r="N19" s="204"/>
    </row>
    <row r="20" spans="1:15" x14ac:dyDescent="0.2">
      <c r="A20" s="221" t="s">
        <v>89</v>
      </c>
      <c r="B20" s="161"/>
      <c r="C20" s="161"/>
      <c r="D20" s="161"/>
      <c r="E20" s="161"/>
      <c r="F20" s="192"/>
      <c r="G20" s="118"/>
      <c r="H20" s="161"/>
      <c r="I20" s="118"/>
      <c r="J20" s="535"/>
      <c r="K20" s="118"/>
      <c r="L20" s="118"/>
      <c r="M20" s="118"/>
      <c r="N20" s="204"/>
    </row>
    <row r="21" spans="1:15" x14ac:dyDescent="0.2">
      <c r="A21" s="53" t="s">
        <v>59</v>
      </c>
      <c r="B21" s="161">
        <f>[3]DHL!$FW$52</f>
        <v>595659</v>
      </c>
      <c r="C21" s="161">
        <f>'[3]Atlas Air'!$FW$52</f>
        <v>1067548</v>
      </c>
      <c r="D21" s="161">
        <f>[3]FedEx!$FW$52</f>
        <v>8625774</v>
      </c>
      <c r="E21" s="161">
        <f>[3]UPS!$FW$52</f>
        <v>5726958</v>
      </c>
      <c r="F21" s="192"/>
      <c r="G21" s="118">
        <f>[3]ATI_BAX!$FW$52</f>
        <v>0</v>
      </c>
      <c r="H21" s="161">
        <f>[3]IFL!$FW$52</f>
        <v>0</v>
      </c>
      <c r="I21" s="118">
        <f>'[3]Suburban Air Freight'!$FW$52</f>
        <v>0</v>
      </c>
      <c r="J21" s="535"/>
      <c r="K21" s="118">
        <f>'[3]CSA Air'!$FW$52</f>
        <v>0</v>
      </c>
      <c r="L21" s="118">
        <f>'[3]Mountain Cargo'!$FW$52</f>
        <v>62676</v>
      </c>
      <c r="M21" s="118">
        <f>'[3]Misc Cargo'!$FW$52</f>
        <v>46476</v>
      </c>
      <c r="N21" s="204">
        <f>SUM(B21:I21)+SUM(K21:M21)</f>
        <v>16125091</v>
      </c>
    </row>
    <row r="22" spans="1:15" x14ac:dyDescent="0.2">
      <c r="A22" s="53" t="s">
        <v>60</v>
      </c>
      <c r="B22" s="161">
        <f>[3]DHL!$FW$53</f>
        <v>0</v>
      </c>
      <c r="C22" s="161">
        <f>'[3]Atlas Air'!$FW$53</f>
        <v>0</v>
      </c>
      <c r="D22" s="161">
        <f>[3]FedEx!$FW$53</f>
        <v>0</v>
      </c>
      <c r="E22" s="161">
        <f>[3]UPS!$FW$53</f>
        <v>583457</v>
      </c>
      <c r="F22" s="192"/>
      <c r="G22" s="118">
        <f>[3]ATI_BAX!$FW$53</f>
        <v>0</v>
      </c>
      <c r="H22" s="161">
        <f>[3]IFL!$FW$53</f>
        <v>0</v>
      </c>
      <c r="I22" s="118">
        <f>'[3]Suburban Air Freight'!$FW$53</f>
        <v>0</v>
      </c>
      <c r="J22" s="535"/>
      <c r="K22" s="118">
        <f>'[3]CSA Air'!$FW$53</f>
        <v>0</v>
      </c>
      <c r="L22" s="118">
        <f>'[3]Mountain Cargo'!$FW$53</f>
        <v>0</v>
      </c>
      <c r="M22" s="118">
        <f>'[3]Misc Cargo'!$FW$53</f>
        <v>0</v>
      </c>
      <c r="N22" s="204">
        <f>SUM(B22:I22)+SUM(K22:M22)</f>
        <v>583457</v>
      </c>
    </row>
    <row r="23" spans="1:15" ht="18" customHeight="1" x14ac:dyDescent="0.2">
      <c r="A23" s="219" t="s">
        <v>41</v>
      </c>
      <c r="B23" s="302">
        <f>SUM(B21:B22)</f>
        <v>595659</v>
      </c>
      <c r="C23" s="302">
        <f>SUM(C21:C22)</f>
        <v>1067548</v>
      </c>
      <c r="D23" s="302">
        <f>SUM(D21:D22)</f>
        <v>8625774</v>
      </c>
      <c r="E23" s="302">
        <f>SUM(E21:E22)</f>
        <v>6310415</v>
      </c>
      <c r="F23" s="197"/>
      <c r="G23" s="303">
        <f>SUM(G21:G22)</f>
        <v>0</v>
      </c>
      <c r="H23" s="302">
        <f>SUM(H21:H22)</f>
        <v>0</v>
      </c>
      <c r="I23" s="303">
        <f>SUM(I21:I22)</f>
        <v>0</v>
      </c>
      <c r="J23" s="535"/>
      <c r="K23" s="303">
        <f>SUM(K21:K22)</f>
        <v>0</v>
      </c>
      <c r="L23" s="303">
        <f>SUM(L21:L22)</f>
        <v>62676</v>
      </c>
      <c r="M23" s="303">
        <f>SUM(M21:M22)</f>
        <v>46476</v>
      </c>
      <c r="N23" s="220">
        <f>SUM(B23:I23)+SUM(K23:M23)</f>
        <v>16708548</v>
      </c>
    </row>
    <row r="24" spans="1:15" x14ac:dyDescent="0.2">
      <c r="A24" s="53"/>
      <c r="B24" s="161"/>
      <c r="C24" s="161"/>
      <c r="D24" s="161"/>
      <c r="E24" s="161"/>
      <c r="F24" s="192"/>
      <c r="G24" s="118"/>
      <c r="H24" s="161"/>
      <c r="I24" s="118"/>
      <c r="J24" s="535"/>
      <c r="K24" s="118"/>
      <c r="L24" s="118"/>
      <c r="M24" s="118"/>
      <c r="N24" s="204"/>
    </row>
    <row r="25" spans="1:15" x14ac:dyDescent="0.2">
      <c r="A25" s="221" t="s">
        <v>97</v>
      </c>
      <c r="B25" s="161"/>
      <c r="C25" s="161"/>
      <c r="D25" s="161"/>
      <c r="E25" s="161"/>
      <c r="F25" s="192"/>
      <c r="G25" s="118"/>
      <c r="H25" s="161"/>
      <c r="I25" s="118"/>
      <c r="J25" s="535"/>
      <c r="K25" s="118"/>
      <c r="L25" s="118"/>
      <c r="M25" s="118"/>
      <c r="N25" s="204"/>
    </row>
    <row r="26" spans="1:15" x14ac:dyDescent="0.2">
      <c r="A26" s="53" t="s">
        <v>59</v>
      </c>
      <c r="B26" s="161">
        <f>[3]DHL!$FW$57</f>
        <v>0</v>
      </c>
      <c r="C26" s="161">
        <f>'[3]Atlas Air'!$FW$57</f>
        <v>0</v>
      </c>
      <c r="D26" s="161">
        <f>[3]FedEx!$FW$57</f>
        <v>0</v>
      </c>
      <c r="E26" s="161">
        <f>[3]UPS!$FW$57</f>
        <v>0</v>
      </c>
      <c r="F26" s="192"/>
      <c r="G26" s="118">
        <f>[3]ATI_BAX!$FW$57</f>
        <v>0</v>
      </c>
      <c r="H26" s="161">
        <f>[3]IFL!$FW$57</f>
        <v>0</v>
      </c>
      <c r="I26" s="118">
        <f>'[3]Suburban Air Freight'!$FW$57</f>
        <v>0</v>
      </c>
      <c r="J26" s="535"/>
      <c r="K26" s="118">
        <f>'[3]CSA Air'!$FW$57</f>
        <v>0</v>
      </c>
      <c r="L26" s="118">
        <f>'[3]Mountain Cargo'!$FW$57</f>
        <v>0</v>
      </c>
      <c r="M26" s="118">
        <f>'[3]Misc Cargo'!$FW$57</f>
        <v>0</v>
      </c>
      <c r="N26" s="204">
        <f>SUM(B26:I26)+SUM(K26:M26)</f>
        <v>0</v>
      </c>
    </row>
    <row r="27" spans="1:15" x14ac:dyDescent="0.2">
      <c r="A27" s="53" t="s">
        <v>60</v>
      </c>
      <c r="B27" s="161">
        <f>[3]DHL!$FW$58</f>
        <v>0</v>
      </c>
      <c r="C27" s="161">
        <f>'[3]Atlas Air'!$FW$58</f>
        <v>0</v>
      </c>
      <c r="D27" s="161">
        <f>[3]FedEx!$FW$58</f>
        <v>0</v>
      </c>
      <c r="E27" s="161">
        <f>[3]UPS!$FW$58</f>
        <v>0</v>
      </c>
      <c r="F27" s="192"/>
      <c r="G27" s="118">
        <f>[3]ATI_BAX!$FW$58</f>
        <v>0</v>
      </c>
      <c r="H27" s="161">
        <f>[3]IFL!$FW$58</f>
        <v>0</v>
      </c>
      <c r="I27" s="118">
        <f>'[3]Suburban Air Freight'!$FW$58</f>
        <v>0</v>
      </c>
      <c r="J27" s="535"/>
      <c r="K27" s="118">
        <f>'[3]CSA Air'!$FW$58</f>
        <v>0</v>
      </c>
      <c r="L27" s="118">
        <f>'[3]Mountain Cargo'!$FW$58</f>
        <v>0</v>
      </c>
      <c r="M27" s="118">
        <f>'[3]Misc Cargo'!$FW$58</f>
        <v>0</v>
      </c>
      <c r="N27" s="204">
        <f>SUM(B27:I27)+SUM(K27:M27)</f>
        <v>0</v>
      </c>
    </row>
    <row r="28" spans="1:15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302">
        <f>SUM(E26:E27)</f>
        <v>0</v>
      </c>
      <c r="F28" s="197"/>
      <c r="G28" s="303">
        <f>SUM(G26:G27)</f>
        <v>0</v>
      </c>
      <c r="H28" s="302">
        <f>SUM(H26:H27)</f>
        <v>0</v>
      </c>
      <c r="I28" s="303">
        <f>SUM(I26:I27)</f>
        <v>0</v>
      </c>
      <c r="J28" s="535"/>
      <c r="K28" s="303">
        <f>SUM(K26:K27)</f>
        <v>0</v>
      </c>
      <c r="L28" s="303">
        <f>SUM(L26:L27)</f>
        <v>0</v>
      </c>
      <c r="M28" s="303">
        <f>SUM(M26:M27)</f>
        <v>0</v>
      </c>
      <c r="N28" s="220">
        <f>SUM(B28:I28)+SUM(K28:M28)</f>
        <v>0</v>
      </c>
    </row>
    <row r="29" spans="1:15" x14ac:dyDescent="0.2">
      <c r="A29" s="53"/>
      <c r="B29" s="161"/>
      <c r="C29" s="161"/>
      <c r="D29" s="161"/>
      <c r="E29" s="161"/>
      <c r="F29" s="192"/>
      <c r="G29" s="118"/>
      <c r="H29" s="161"/>
      <c r="I29" s="118"/>
      <c r="J29" s="535"/>
      <c r="K29" s="118"/>
      <c r="L29" s="118"/>
      <c r="M29" s="118"/>
      <c r="N29" s="204"/>
    </row>
    <row r="30" spans="1:15" x14ac:dyDescent="0.2">
      <c r="A30" s="222" t="s">
        <v>44</v>
      </c>
      <c r="B30" s="161"/>
      <c r="C30" s="161"/>
      <c r="D30" s="161"/>
      <c r="E30" s="161"/>
      <c r="F30" s="192"/>
      <c r="G30" s="118"/>
      <c r="H30" s="161"/>
      <c r="I30" s="118"/>
      <c r="J30" s="535"/>
      <c r="K30" s="118"/>
      <c r="L30" s="118"/>
      <c r="M30" s="118"/>
      <c r="N30" s="204"/>
    </row>
    <row r="31" spans="1:15" x14ac:dyDescent="0.2">
      <c r="A31" s="53" t="s">
        <v>90</v>
      </c>
      <c r="B31" s="161">
        <f t="shared" ref="B31:E33" si="3">B26+B21+B16</f>
        <v>1480638</v>
      </c>
      <c r="C31" s="161">
        <f t="shared" ref="C31" si="4">C26+C21+C16</f>
        <v>2170491</v>
      </c>
      <c r="D31" s="161">
        <f t="shared" si="3"/>
        <v>18366037</v>
      </c>
      <c r="E31" s="161">
        <f t="shared" si="3"/>
        <v>12233796</v>
      </c>
      <c r="F31" s="192"/>
      <c r="G31" s="118">
        <f t="shared" ref="G31:I33" si="5">G26+G21+G16</f>
        <v>0</v>
      </c>
      <c r="H31" s="161">
        <f t="shared" si="5"/>
        <v>26214</v>
      </c>
      <c r="I31" s="118">
        <f t="shared" si="5"/>
        <v>0</v>
      </c>
      <c r="J31" s="535"/>
      <c r="K31" s="118">
        <f t="shared" ref="K31:M33" si="6">K26+K21+K16</f>
        <v>0</v>
      </c>
      <c r="L31" s="118">
        <f t="shared" si="6"/>
        <v>227743</v>
      </c>
      <c r="M31" s="118">
        <f>M26+M21+M16</f>
        <v>132947</v>
      </c>
      <c r="N31" s="204">
        <f>SUM(B31:I31)+SUM(K31:M31)</f>
        <v>34637866</v>
      </c>
    </row>
    <row r="32" spans="1:15" x14ac:dyDescent="0.2">
      <c r="A32" s="53" t="s">
        <v>60</v>
      </c>
      <c r="B32" s="161">
        <f t="shared" si="3"/>
        <v>0</v>
      </c>
      <c r="C32" s="161">
        <f t="shared" ref="C32" si="7">C27+C22+C17</f>
        <v>0</v>
      </c>
      <c r="D32" s="161">
        <f t="shared" si="3"/>
        <v>0</v>
      </c>
      <c r="E32" s="161">
        <f t="shared" si="3"/>
        <v>584612</v>
      </c>
      <c r="F32" s="192"/>
      <c r="G32" s="118">
        <f t="shared" si="5"/>
        <v>0</v>
      </c>
      <c r="H32" s="161">
        <f t="shared" si="5"/>
        <v>0</v>
      </c>
      <c r="I32" s="118">
        <f t="shared" si="5"/>
        <v>0</v>
      </c>
      <c r="J32" s="536"/>
      <c r="K32" s="118">
        <f t="shared" si="6"/>
        <v>0</v>
      </c>
      <c r="L32" s="118">
        <f t="shared" si="6"/>
        <v>0</v>
      </c>
      <c r="M32" s="118">
        <f>M27+M22+M17</f>
        <v>0</v>
      </c>
      <c r="N32" s="208">
        <f>SUM(B32:I32)+SUM(K32:M32)</f>
        <v>584612</v>
      </c>
    </row>
    <row r="33" spans="1:14" ht="18" customHeight="1" thickBot="1" x14ac:dyDescent="0.25">
      <c r="A33" s="209" t="s">
        <v>46</v>
      </c>
      <c r="B33" s="210">
        <f t="shared" si="3"/>
        <v>1480638</v>
      </c>
      <c r="C33" s="210">
        <f t="shared" ref="C33" si="8">C28+C23+C18</f>
        <v>2170491</v>
      </c>
      <c r="D33" s="210">
        <f t="shared" si="3"/>
        <v>18366037</v>
      </c>
      <c r="E33" s="210">
        <f t="shared" si="3"/>
        <v>12818408</v>
      </c>
      <c r="F33" s="223"/>
      <c r="G33" s="212">
        <f t="shared" si="5"/>
        <v>0</v>
      </c>
      <c r="H33" s="210">
        <f t="shared" si="5"/>
        <v>26214</v>
      </c>
      <c r="I33" s="212">
        <f t="shared" si="5"/>
        <v>0</v>
      </c>
      <c r="J33" s="304">
        <f>J28+J23+J18</f>
        <v>0</v>
      </c>
      <c r="K33" s="212">
        <f t="shared" si="6"/>
        <v>0</v>
      </c>
      <c r="L33" s="212">
        <f t="shared" si="6"/>
        <v>227743</v>
      </c>
      <c r="M33" s="212">
        <f t="shared" si="6"/>
        <v>132947</v>
      </c>
      <c r="N33" s="213">
        <f>SUM(B33:I33)+SUM(K33:M33)</f>
        <v>35222478</v>
      </c>
    </row>
    <row r="34" spans="1:14" x14ac:dyDescent="0.2"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</row>
    <row r="35" spans="1:14" x14ac:dyDescent="0.2">
      <c r="A35" t="s">
        <v>91</v>
      </c>
      <c r="B35" s="2"/>
      <c r="C35" s="2"/>
      <c r="D35" s="2"/>
      <c r="E35" s="2"/>
      <c r="F35" s="2"/>
    </row>
    <row r="36" spans="1:14" x14ac:dyDescent="0.2">
      <c r="A36" t="s">
        <v>92</v>
      </c>
    </row>
    <row r="37" spans="1:14" x14ac:dyDescent="0.2">
      <c r="A37" t="s">
        <v>93</v>
      </c>
    </row>
    <row r="43" spans="1:14" ht="15" x14ac:dyDescent="0.25">
      <c r="J43" s="190"/>
    </row>
  </sheetData>
  <mergeCells count="3">
    <mergeCell ref="J16:J32"/>
    <mergeCell ref="B1:E1"/>
    <mergeCell ref="G1:M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October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6" sqref="I6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8">
        <v>43374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Stats'!K28</f>
        <v>5617449</v>
      </c>
      <c r="C5" s="118">
        <f>'Regional Major'!M25</f>
        <v>4330</v>
      </c>
      <c r="D5" s="118">
        <f>Cargo!N16</f>
        <v>18512775</v>
      </c>
      <c r="E5" s="118">
        <f>SUM(B5:D5)</f>
        <v>24134554</v>
      </c>
      <c r="F5" s="118">
        <f>E5*0.00045359237</f>
        <v>10947.249547752979</v>
      </c>
      <c r="G5" s="146">
        <f>'[1]Cargo Summary'!F5</f>
        <v>9656.422731500159</v>
      </c>
      <c r="H5" s="98">
        <f>(F5-G5)/G5</f>
        <v>0.13367546680014553</v>
      </c>
      <c r="I5" s="146">
        <f>+F5+'[2]Cargo Summary'!I5</f>
        <v>99689.184362853455</v>
      </c>
      <c r="J5" s="146">
        <f>'[1]Cargo Summary'!I5</f>
        <v>91045.703700380662</v>
      </c>
      <c r="K5" s="85">
        <f>(I5-J5)/J5</f>
        <v>9.4935623661247567E-2</v>
      </c>
      <c r="M5" s="35"/>
    </row>
    <row r="6" spans="1:18" x14ac:dyDescent="0.2">
      <c r="A6" s="62" t="s">
        <v>16</v>
      </c>
      <c r="B6" s="169">
        <f>'Major Airline Stats'!K29</f>
        <v>2012043</v>
      </c>
      <c r="C6" s="118">
        <f>'Regional Major'!M26</f>
        <v>2490</v>
      </c>
      <c r="D6" s="118">
        <f>Cargo!N17</f>
        <v>1155</v>
      </c>
      <c r="E6" s="118">
        <f>SUM(B6:D6)</f>
        <v>2015688</v>
      </c>
      <c r="F6" s="118">
        <f>E6*0.00045359237</f>
        <v>914.30069710056</v>
      </c>
      <c r="G6" s="146">
        <f>'[1]Cargo Summary'!F6</f>
        <v>763.51071757960995</v>
      </c>
      <c r="H6" s="37">
        <f>(F6-G6)/G6</f>
        <v>0.1974955636496713</v>
      </c>
      <c r="I6" s="146">
        <f>+F6+'[2]Cargo Summary'!I6</f>
        <v>8543.2775720161117</v>
      </c>
      <c r="J6" s="146">
        <f>'[1]Cargo Summary'!I6</f>
        <v>9055.6849966721584</v>
      </c>
      <c r="K6" s="85">
        <f>(I6-J6)/J6</f>
        <v>-5.6584060161583523E-2</v>
      </c>
      <c r="M6" s="35"/>
    </row>
    <row r="7" spans="1:18" ht="18" customHeight="1" thickBot="1" x14ac:dyDescent="0.25">
      <c r="A7" s="73" t="s">
        <v>72</v>
      </c>
      <c r="B7" s="171">
        <f>SUM(B5:B6)</f>
        <v>7629492</v>
      </c>
      <c r="C7" s="133">
        <f t="shared" ref="C7:J7" si="0">SUM(C5:C6)</f>
        <v>6820</v>
      </c>
      <c r="D7" s="133">
        <f t="shared" si="0"/>
        <v>18513930</v>
      </c>
      <c r="E7" s="133">
        <f t="shared" si="0"/>
        <v>26150242</v>
      </c>
      <c r="F7" s="133">
        <f t="shared" si="0"/>
        <v>11861.550244853539</v>
      </c>
      <c r="G7" s="133">
        <f t="shared" si="0"/>
        <v>10419.933449079768</v>
      </c>
      <c r="H7" s="44">
        <f>(F7-G7)/G7</f>
        <v>0.1383518237250437</v>
      </c>
      <c r="I7" s="133">
        <f t="shared" si="0"/>
        <v>108232.46193486957</v>
      </c>
      <c r="J7" s="133">
        <f t="shared" si="0"/>
        <v>100101.38869705283</v>
      </c>
      <c r="K7" s="318">
        <f>(I7-J7)/J7</f>
        <v>8.1228375986117957E-2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Stats'!K33</f>
        <v>2716991</v>
      </c>
      <c r="C10" s="118">
        <f>'Regional Major'!M30</f>
        <v>2813</v>
      </c>
      <c r="D10" s="118">
        <f>Cargo!N21</f>
        <v>16125091</v>
      </c>
      <c r="E10" s="118">
        <f>SUM(B10:D10)</f>
        <v>18844895</v>
      </c>
      <c r="F10" s="118">
        <f>E10*0.00045359237</f>
        <v>8547.9005854511506</v>
      </c>
      <c r="G10" s="146">
        <f>'[1]Cargo Summary'!F10</f>
        <v>8089.6529969578396</v>
      </c>
      <c r="H10" s="37">
        <f>(F10-G10)/G10</f>
        <v>5.6646136572933062E-2</v>
      </c>
      <c r="I10" s="146">
        <f>+F10+'[2]Cargo Summary'!I10</f>
        <v>78109.339572862285</v>
      </c>
      <c r="J10" s="146">
        <f>'[1]Cargo Summary'!I10</f>
        <v>77446.803052768373</v>
      </c>
      <c r="K10" s="85">
        <f>(I10-J10)/J10</f>
        <v>8.5547303952946008E-3</v>
      </c>
      <c r="M10" s="35"/>
    </row>
    <row r="11" spans="1:18" x14ac:dyDescent="0.2">
      <c r="A11" s="62" t="s">
        <v>16</v>
      </c>
      <c r="B11" s="169">
        <f>'Major Airline Stats'!K34</f>
        <v>2358916</v>
      </c>
      <c r="C11" s="118">
        <f>'Regional Major'!M31</f>
        <v>0</v>
      </c>
      <c r="D11" s="118">
        <f>Cargo!N22</f>
        <v>583457</v>
      </c>
      <c r="E11" s="118">
        <f>SUM(B11:D11)</f>
        <v>2942373</v>
      </c>
      <c r="F11" s="118">
        <f>E11*0.00045359237</f>
        <v>1334.6379424940101</v>
      </c>
      <c r="G11" s="146">
        <f>'[1]Cargo Summary'!F11</f>
        <v>1260.57764828226</v>
      </c>
      <c r="H11" s="35">
        <f>(F11-G11)/G11</f>
        <v>5.8751076788224117E-2</v>
      </c>
      <c r="I11" s="146">
        <f>+F11+'[2]Cargo Summary'!I11</f>
        <v>12391.53664180894</v>
      </c>
      <c r="J11" s="146">
        <f>'[1]Cargo Summary'!I11</f>
        <v>11516.875835515049</v>
      </c>
      <c r="K11" s="85">
        <f>(I11-J11)/J11</f>
        <v>7.5946013379484728E-2</v>
      </c>
      <c r="M11" s="35"/>
    </row>
    <row r="12" spans="1:18" ht="18" customHeight="1" thickBot="1" x14ac:dyDescent="0.25">
      <c r="A12" s="73" t="s">
        <v>73</v>
      </c>
      <c r="B12" s="171">
        <f>SUM(B10:B11)</f>
        <v>5075907</v>
      </c>
      <c r="C12" s="133">
        <f t="shared" ref="C12:J12" si="1">SUM(C10:C11)</f>
        <v>2813</v>
      </c>
      <c r="D12" s="133">
        <f t="shared" si="1"/>
        <v>16708548</v>
      </c>
      <c r="E12" s="133">
        <f t="shared" si="1"/>
        <v>21787268</v>
      </c>
      <c r="F12" s="133">
        <f t="shared" si="1"/>
        <v>9882.5385279451602</v>
      </c>
      <c r="G12" s="133">
        <f t="shared" si="1"/>
        <v>9350.230645240099</v>
      </c>
      <c r="H12" s="44">
        <f>(F12-G12)/G12</f>
        <v>5.6929920009624796E-2</v>
      </c>
      <c r="I12" s="133">
        <f t="shared" si="1"/>
        <v>90500.876214671225</v>
      </c>
      <c r="J12" s="133">
        <f t="shared" si="1"/>
        <v>88963.678888283423</v>
      </c>
      <c r="K12" s="318">
        <f>(I12-J12)/J12</f>
        <v>1.7278931644881118E-2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Stats'!K38</f>
        <v>0</v>
      </c>
      <c r="C15" s="118">
        <f>'Regional Major'!M35</f>
        <v>0</v>
      </c>
      <c r="D15" s="118">
        <f>Cargo!N26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2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Stats'!K39</f>
        <v>0</v>
      </c>
      <c r="C16" s="118">
        <f>'Regional Major'!M36</f>
        <v>0</v>
      </c>
      <c r="D16" s="118">
        <f>Cargo!N27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8334440</v>
      </c>
      <c r="C20" s="118">
        <f t="shared" si="3"/>
        <v>7143</v>
      </c>
      <c r="D20" s="118">
        <f t="shared" si="3"/>
        <v>34637866</v>
      </c>
      <c r="E20" s="118">
        <f>SUM(B20:D20)</f>
        <v>42979449</v>
      </c>
      <c r="F20" s="118">
        <f>E20*0.00045359237</f>
        <v>19495.15013320413</v>
      </c>
      <c r="G20" s="146">
        <f>'[1]Cargo Summary'!F20</f>
        <v>17746.075728458</v>
      </c>
      <c r="H20" s="37">
        <f>(F20-G20)/G20</f>
        <v>9.8561193556797225E-2</v>
      </c>
      <c r="I20" s="146">
        <f>+F20+'[2]Cargo Summary'!I20</f>
        <v>177798.52393571578</v>
      </c>
      <c r="J20" s="146">
        <f>+J5+J10+J15</f>
        <v>168492.50675314903</v>
      </c>
      <c r="K20" s="85">
        <f>(I20-J20)/J20</f>
        <v>5.5231044762130498E-2</v>
      </c>
      <c r="M20" s="35"/>
    </row>
    <row r="21" spans="1:13" x14ac:dyDescent="0.2">
      <c r="A21" s="62" t="s">
        <v>16</v>
      </c>
      <c r="B21" s="169">
        <f t="shared" si="3"/>
        <v>4370959</v>
      </c>
      <c r="C21" s="120">
        <f t="shared" si="3"/>
        <v>2490</v>
      </c>
      <c r="D21" s="120">
        <f t="shared" si="3"/>
        <v>584612</v>
      </c>
      <c r="E21" s="118">
        <f>SUM(B21:D21)</f>
        <v>4958061</v>
      </c>
      <c r="F21" s="118">
        <f>E21*0.00045359237</f>
        <v>2248.9386395945698</v>
      </c>
      <c r="G21" s="146">
        <f>'[1]Cargo Summary'!F21</f>
        <v>2024.08836586187</v>
      </c>
      <c r="H21" s="37">
        <f>(F21-G21)/G21</f>
        <v>0.11108718251881121</v>
      </c>
      <c r="I21" s="146">
        <f>+F21+'[2]Cargo Summary'!I21</f>
        <v>20934.814213825048</v>
      </c>
      <c r="J21" s="146">
        <f>+J6+J11+J16</f>
        <v>20572.560832187206</v>
      </c>
      <c r="K21" s="85">
        <f>(I21-J21)/J21</f>
        <v>1.7608570201482703E-2</v>
      </c>
      <c r="M21" s="35"/>
    </row>
    <row r="22" spans="1:13" ht="18" customHeight="1" thickBot="1" x14ac:dyDescent="0.25">
      <c r="A22" s="88" t="s">
        <v>62</v>
      </c>
      <c r="B22" s="172">
        <f>SUM(B20:B21)</f>
        <v>12705399</v>
      </c>
      <c r="C22" s="173">
        <f t="shared" ref="C22:J22" si="4">SUM(C20:C21)</f>
        <v>9633</v>
      </c>
      <c r="D22" s="173">
        <f t="shared" si="4"/>
        <v>35222478</v>
      </c>
      <c r="E22" s="173">
        <f t="shared" si="4"/>
        <v>47937510</v>
      </c>
      <c r="F22" s="173">
        <f t="shared" si="4"/>
        <v>21744.088772798699</v>
      </c>
      <c r="G22" s="173">
        <f t="shared" si="4"/>
        <v>19770.164094319869</v>
      </c>
      <c r="H22" s="324">
        <f>(F22-G22)/G22</f>
        <v>9.9843616323141954E-2</v>
      </c>
      <c r="I22" s="173">
        <f t="shared" si="4"/>
        <v>198733.33814954082</v>
      </c>
      <c r="J22" s="173">
        <f t="shared" si="4"/>
        <v>189065.06758533625</v>
      </c>
      <c r="K22" s="325">
        <f>(I22-J22)/J22</f>
        <v>5.1137265533415972E-2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October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1"/>
  <sheetViews>
    <sheetView zoomScaleNormal="100" workbookViewId="0">
      <selection activeCell="C5" sqref="C5:R26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7" t="s">
        <v>206</v>
      </c>
      <c r="B2" s="548"/>
      <c r="C2" s="459" t="s">
        <v>217</v>
      </c>
      <c r="D2" s="461" t="s">
        <v>192</v>
      </c>
      <c r="E2" s="462" t="s">
        <v>98</v>
      </c>
      <c r="F2" s="463" t="s">
        <v>218</v>
      </c>
      <c r="G2" s="461" t="s">
        <v>193</v>
      </c>
      <c r="H2" s="460" t="s">
        <v>99</v>
      </c>
      <c r="I2" s="462" t="s">
        <v>140</v>
      </c>
      <c r="J2" s="547" t="s">
        <v>201</v>
      </c>
      <c r="K2" s="548"/>
      <c r="L2" s="459" t="s">
        <v>219</v>
      </c>
      <c r="M2" s="461" t="s">
        <v>194</v>
      </c>
      <c r="N2" s="464" t="s">
        <v>99</v>
      </c>
      <c r="O2" s="465" t="s">
        <v>220</v>
      </c>
      <c r="P2" s="465" t="s">
        <v>195</v>
      </c>
      <c r="Q2" s="498" t="s">
        <v>99</v>
      </c>
      <c r="R2" s="462" t="s">
        <v>224</v>
      </c>
    </row>
    <row r="3" spans="1:19" s="224" customFormat="1" ht="13.5" customHeight="1" thickBot="1" x14ac:dyDescent="0.25">
      <c r="A3" s="549">
        <v>43374</v>
      </c>
      <c r="B3" s="550"/>
      <c r="C3" s="551" t="s">
        <v>9</v>
      </c>
      <c r="D3" s="552"/>
      <c r="E3" s="552"/>
      <c r="F3" s="552"/>
      <c r="G3" s="552"/>
      <c r="H3" s="553"/>
      <c r="I3" s="466"/>
      <c r="J3" s="549">
        <f>+A3</f>
        <v>43374</v>
      </c>
      <c r="K3" s="550"/>
      <c r="L3" s="541" t="s">
        <v>202</v>
      </c>
      <c r="M3" s="542"/>
      <c r="N3" s="542"/>
      <c r="O3" s="542"/>
      <c r="P3" s="542"/>
      <c r="Q3" s="542"/>
      <c r="R3" s="543"/>
    </row>
    <row r="4" spans="1:19" x14ac:dyDescent="0.2">
      <c r="A4" s="342"/>
      <c r="B4" s="343"/>
      <c r="C4" s="344"/>
      <c r="D4" s="345"/>
      <c r="E4" s="346"/>
      <c r="F4" s="467"/>
      <c r="G4" s="412"/>
      <c r="H4" s="484"/>
      <c r="I4" s="346"/>
      <c r="J4" s="347"/>
      <c r="K4" s="343"/>
      <c r="L4" s="493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+[3]DHL!$FW$12</f>
        <v>46</v>
      </c>
      <c r="D5" s="352">
        <f>+[3]DHL!$FI$12</f>
        <v>44</v>
      </c>
      <c r="E5" s="353">
        <f>(C5-D5)/D5</f>
        <v>4.5454545454545456E-2</v>
      </c>
      <c r="F5" s="350">
        <f>+SUM([3]DHL!$FN$12:$FW$12)</f>
        <v>412</v>
      </c>
      <c r="G5" s="352">
        <f>+SUM([3]DHL!$EZ$12:$FI$12)</f>
        <v>432</v>
      </c>
      <c r="H5" s="351">
        <f>(F5-G5)/G5</f>
        <v>-4.6296296296296294E-2</v>
      </c>
      <c r="I5" s="353">
        <f>+F5/$F$24</f>
        <v>3.4001815630931749E-2</v>
      </c>
      <c r="J5" s="349" t="s">
        <v>203</v>
      </c>
      <c r="K5" s="55"/>
      <c r="L5" s="350">
        <f>+[3]DHL!$FW$64</f>
        <v>1480638</v>
      </c>
      <c r="M5" s="352">
        <f>+[3]DHL!$FI$64</f>
        <v>1254153</v>
      </c>
      <c r="N5" s="353">
        <f>(L5-M5)/M5</f>
        <v>0.18058801438102048</v>
      </c>
      <c r="O5" s="350">
        <f>+SUM([3]DHL!$FN$64:$FW$64)</f>
        <v>12698011</v>
      </c>
      <c r="P5" s="352">
        <f>+SUM([3]DHL!$EZ$64:$FI$64)</f>
        <v>12693104</v>
      </c>
      <c r="Q5" s="351">
        <f>(O5-P5)/P5</f>
        <v>3.8658786692364607E-4</v>
      </c>
      <c r="R5" s="353">
        <f>O5/$O$24</f>
        <v>4.2269302747383795E-2</v>
      </c>
      <c r="S5" s="20"/>
    </row>
    <row r="6" spans="1:19" ht="14.1" customHeight="1" x14ac:dyDescent="0.2">
      <c r="A6" s="349"/>
      <c r="B6" s="362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2"/>
      <c r="C7" s="350">
        <f>+[3]FedEx!$FW$12</f>
        <v>300</v>
      </c>
      <c r="D7" s="352">
        <f>+[3]FedEx!$FI$12</f>
        <v>262</v>
      </c>
      <c r="E7" s="353">
        <f>(C7-D7)/D7</f>
        <v>0.14503816793893129</v>
      </c>
      <c r="F7" s="350">
        <f>+SUM([3]FedEx!$FN$12:$FW$12)</f>
        <v>2454</v>
      </c>
      <c r="G7" s="352">
        <f>+SUM([3]FedEx!$EZ$12:$FI$12)</f>
        <v>1979</v>
      </c>
      <c r="H7" s="351">
        <f t="shared" ref="H7" si="0">(F7-G7)/G7</f>
        <v>0.24002021222839817</v>
      </c>
      <c r="I7" s="353">
        <f>+F7/$F$24</f>
        <v>0.20252537756870512</v>
      </c>
      <c r="J7" s="349" t="s">
        <v>204</v>
      </c>
      <c r="K7" s="55"/>
      <c r="L7" s="350">
        <f>+[3]FedEx!$FW$64</f>
        <v>18366037</v>
      </c>
      <c r="M7" s="352">
        <f>+[3]FedEx!$FI$64</f>
        <v>17545340</v>
      </c>
      <c r="N7" s="353">
        <f>(L7-M7)/M7</f>
        <v>4.6775782059509816E-2</v>
      </c>
      <c r="O7" s="350">
        <f>+SUM([3]FedEx!$FN$64:$FW$64)</f>
        <v>169764080</v>
      </c>
      <c r="P7" s="352">
        <f>+SUM([3]FedEx!$EZ$64:$FI$64)</f>
        <v>168194300</v>
      </c>
      <c r="Q7" s="351">
        <f t="shared" ref="Q7" si="1">(O7-P7)/P7</f>
        <v>9.3331343571096056E-3</v>
      </c>
      <c r="R7" s="353">
        <f>O7/$O$24</f>
        <v>0.56511285847453452</v>
      </c>
      <c r="S7" s="20"/>
    </row>
    <row r="8" spans="1:19" ht="14.1" customHeight="1" x14ac:dyDescent="0.2">
      <c r="A8" s="349"/>
      <c r="B8" s="362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2"/>
      <c r="C9" s="350">
        <f>+[3]UPS!$FW$12</f>
        <v>248</v>
      </c>
      <c r="D9" s="352">
        <f>+[3]UPS!$FI$12</f>
        <v>194</v>
      </c>
      <c r="E9" s="353">
        <f>(C9-D9)/D9</f>
        <v>0.27835051546391754</v>
      </c>
      <c r="F9" s="350">
        <f>+SUM([3]UPS!$FN$12:$FW$12)</f>
        <v>2096</v>
      </c>
      <c r="G9" s="352">
        <f>+SUM([3]UPS!$EZ$12:$FI$12)</f>
        <v>1902</v>
      </c>
      <c r="H9" s="351">
        <f>(F9-G9)/G9</f>
        <v>0.10199789695057834</v>
      </c>
      <c r="I9" s="353">
        <f>+F9/$F$24</f>
        <v>0.17298011058842949</v>
      </c>
      <c r="J9" s="349" t="s">
        <v>83</v>
      </c>
      <c r="K9" s="55"/>
      <c r="L9" s="350">
        <f>+[3]UPS!$FW$64</f>
        <v>12818408</v>
      </c>
      <c r="M9" s="352">
        <f>+[3]UPS!$FI$64</f>
        <v>11845395</v>
      </c>
      <c r="N9" s="353">
        <f>(L9-M9)/M9</f>
        <v>8.21427229737801E-2</v>
      </c>
      <c r="O9" s="350">
        <f>+SUM([3]UPS!$FN$64:$FW$64)</f>
        <v>115155290</v>
      </c>
      <c r="P9" s="352">
        <f>+SUM([3]UPS!$EZ$64:$FI$64)</f>
        <v>103887894</v>
      </c>
      <c r="Q9" s="351">
        <f>(O9-P9)/P9</f>
        <v>0.1084572568195482</v>
      </c>
      <c r="R9" s="353">
        <f>O9/$O$24</f>
        <v>0.383330414186346</v>
      </c>
      <c r="S9" s="20"/>
    </row>
    <row r="10" spans="1:19" ht="14.1" customHeight="1" x14ac:dyDescent="0.2">
      <c r="A10" s="349"/>
      <c r="B10" s="362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187</v>
      </c>
      <c r="B11" s="362"/>
      <c r="C11" s="350">
        <f>+[3]IFL!$FW$12</f>
        <v>46</v>
      </c>
      <c r="D11" s="352">
        <f>+[3]IFL!$FI$12</f>
        <v>36</v>
      </c>
      <c r="E11" s="353">
        <f>(C11-D11)/D11</f>
        <v>0.27777777777777779</v>
      </c>
      <c r="F11" s="350">
        <f>+SUM([3]IFL!$FN$12:$FW$12)</f>
        <v>432</v>
      </c>
      <c r="G11" s="352">
        <f>+SUM([3]IFL!$EZ$12:$FI$12)</f>
        <v>510</v>
      </c>
      <c r="H11" s="351">
        <f>(F11-G11)/G11</f>
        <v>-0.15294117647058825</v>
      </c>
      <c r="I11" s="353">
        <f>+F11/$F$24</f>
        <v>3.5652389205248824E-2</v>
      </c>
      <c r="J11" s="349" t="s">
        <v>187</v>
      </c>
      <c r="K11" s="55"/>
      <c r="L11" s="350">
        <f>+[3]IFL!$FW$64</f>
        <v>26214</v>
      </c>
      <c r="M11" s="352">
        <f>+[3]IFL!$FI$64</f>
        <v>17704</v>
      </c>
      <c r="N11" s="353">
        <f>(L11-M11)/M11</f>
        <v>0.4806823316764573</v>
      </c>
      <c r="O11" s="350">
        <f>+SUM([3]IFL!$FN$64:$FW$64)</f>
        <v>220963</v>
      </c>
      <c r="P11" s="352">
        <f>+SUM([3]IFL!$EZ$64:$FI$64)</f>
        <v>543844</v>
      </c>
      <c r="Q11" s="351">
        <f>(O11-P11)/P11</f>
        <v>-0.59370150263678556</v>
      </c>
      <c r="R11" s="353">
        <f>O11/$O$24</f>
        <v>7.355444835392067E-4</v>
      </c>
      <c r="S11" s="20"/>
    </row>
    <row r="12" spans="1:19" ht="14.1" customHeight="1" x14ac:dyDescent="0.2">
      <c r="A12" s="349"/>
      <c r="B12" s="362"/>
      <c r="C12" s="350"/>
      <c r="D12" s="355"/>
      <c r="E12" s="353"/>
      <c r="F12" s="468"/>
      <c r="G12" s="355"/>
      <c r="H12" s="351"/>
      <c r="I12" s="353"/>
      <c r="J12" s="349"/>
      <c r="K12" s="55"/>
      <c r="L12" s="356"/>
      <c r="M12" s="146"/>
      <c r="N12" s="86"/>
      <c r="O12" s="356"/>
      <c r="P12" s="146"/>
      <c r="Q12" s="39"/>
      <c r="R12" s="86"/>
      <c r="S12" s="20"/>
    </row>
    <row r="13" spans="1:19" ht="14.1" customHeight="1" x14ac:dyDescent="0.2">
      <c r="A13" s="349" t="s">
        <v>167</v>
      </c>
      <c r="B13" s="361"/>
      <c r="C13" s="350">
        <f>+'[3]Suburban Air Freight'!$FW$12</f>
        <v>0</v>
      </c>
      <c r="D13" s="352">
        <f>+'[3]Suburban Air Freight'!$FI$12</f>
        <v>0</v>
      </c>
      <c r="E13" s="353" t="e">
        <f>(C13-D13)/D13</f>
        <v>#DIV/0!</v>
      </c>
      <c r="F13" s="350">
        <f>+SUM('[3]Suburban Air Freight'!$FN$12:$FW$12)</f>
        <v>0</v>
      </c>
      <c r="G13" s="352">
        <f>+SUM('[3]Suburban Air Freight'!$EZ$12:$FI$12)</f>
        <v>0</v>
      </c>
      <c r="H13" s="351" t="e">
        <f t="shared" ref="H13" si="2">(F13-G13)/G13</f>
        <v>#DIV/0!</v>
      </c>
      <c r="I13" s="353">
        <f>+F13/$F$24</f>
        <v>0</v>
      </c>
      <c r="J13" s="349" t="s">
        <v>167</v>
      </c>
      <c r="K13" s="357"/>
      <c r="L13" s="350">
        <f>+'[3]Suburban Air Freight'!$FW$64</f>
        <v>0</v>
      </c>
      <c r="M13" s="352">
        <f>+'[3]Suburban Air Freight'!$FI$64</f>
        <v>0</v>
      </c>
      <c r="N13" s="353" t="e">
        <f>(L13-M13)/M13</f>
        <v>#DIV/0!</v>
      </c>
      <c r="O13" s="350">
        <f>+SUM('[3]Suburban Air Freight'!$FN$64:$FW$64)</f>
        <v>0</v>
      </c>
      <c r="P13" s="352">
        <f>+SUM('[3]Suburban Air Freight'!$EZ$64:$FI$64)</f>
        <v>779480</v>
      </c>
      <c r="Q13" s="351">
        <f t="shared" ref="Q13" si="3">(O13-P13)/P13</f>
        <v>-1</v>
      </c>
      <c r="R13" s="353">
        <f>O13/$O$24</f>
        <v>0</v>
      </c>
      <c r="S13" s="20"/>
    </row>
    <row r="14" spans="1:19" ht="14.1" customHeight="1" x14ac:dyDescent="0.2">
      <c r="A14" s="53"/>
      <c r="B14" s="359"/>
      <c r="C14" s="350"/>
      <c r="D14" s="9"/>
      <c r="E14" s="86"/>
      <c r="F14" s="354"/>
      <c r="G14" s="9"/>
      <c r="H14" s="39"/>
      <c r="I14" s="86"/>
      <c r="J14" s="53"/>
      <c r="K14" s="359"/>
      <c r="L14" s="354"/>
      <c r="M14" s="9"/>
      <c r="N14" s="86"/>
      <c r="O14" s="354"/>
      <c r="P14" s="9"/>
      <c r="Q14" s="39"/>
      <c r="R14" s="86"/>
      <c r="S14" s="20"/>
    </row>
    <row r="15" spans="1:19" ht="14.1" customHeight="1" x14ac:dyDescent="0.2">
      <c r="A15" s="349" t="s">
        <v>85</v>
      </c>
      <c r="B15" s="359"/>
      <c r="C15" s="350">
        <f>+[3]Bemidji!$FW$12</f>
        <v>568</v>
      </c>
      <c r="D15" s="352">
        <f>+[3]Bemidji!$FI$12</f>
        <v>568</v>
      </c>
      <c r="E15" s="353">
        <f>(C15-D15)/D15</f>
        <v>0</v>
      </c>
      <c r="F15" s="350">
        <f>+SUM([3]Bemidji!$FN$12:$FW$12)</f>
        <v>5548</v>
      </c>
      <c r="G15" s="352">
        <f>+SUM([3]Bemidji!$EZ$12:$FI$12)</f>
        <v>5446</v>
      </c>
      <c r="H15" s="351">
        <f t="shared" ref="H15" si="4">(F15-G15)/G15</f>
        <v>1.8729342636797649E-2</v>
      </c>
      <c r="I15" s="353">
        <f>+F15/$F$24</f>
        <v>0.45786910951555665</v>
      </c>
      <c r="J15" s="349" t="s">
        <v>85</v>
      </c>
      <c r="K15" s="359"/>
      <c r="L15" s="544" t="s">
        <v>207</v>
      </c>
      <c r="M15" s="545"/>
      <c r="N15" s="545"/>
      <c r="O15" s="545"/>
      <c r="P15" s="545"/>
      <c r="Q15" s="545"/>
      <c r="R15" s="546"/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86</v>
      </c>
      <c r="B17" s="359"/>
      <c r="C17" s="350">
        <f>+'[3]CSA Air'!$FW$12</f>
        <v>0</v>
      </c>
      <c r="D17" s="352">
        <f>+'[3]CSA Air'!$FI$12</f>
        <v>0</v>
      </c>
      <c r="E17" s="353" t="e">
        <f>(C17-D17)/D17</f>
        <v>#DIV/0!</v>
      </c>
      <c r="F17" s="350">
        <f>+SUM('[3]CSA Air'!$FN$12:$FW$12)</f>
        <v>7</v>
      </c>
      <c r="G17" s="352">
        <f>+SUM('[3]CSA Air'!$EZ$12:$FI$12)</f>
        <v>222</v>
      </c>
      <c r="H17" s="351">
        <f t="shared" ref="H17" si="5">(F17-G17)/G17</f>
        <v>-0.96846846846846846</v>
      </c>
      <c r="I17" s="353">
        <f>+F17/$F$24</f>
        <v>5.7770075101097628E-4</v>
      </c>
      <c r="J17" s="349" t="s">
        <v>86</v>
      </c>
      <c r="K17" s="359"/>
      <c r="L17" s="350">
        <f>+'[3]CSA Air'!$FW$64</f>
        <v>0</v>
      </c>
      <c r="M17" s="352">
        <f>+'[3]CSA Air'!$FI$64</f>
        <v>0</v>
      </c>
      <c r="N17" s="353" t="e">
        <f>(L17-M17)/M17</f>
        <v>#DIV/0!</v>
      </c>
      <c r="O17" s="350">
        <f>+SUM('[3]CSA Air'!$FN$64:$FW$64)</f>
        <v>4785</v>
      </c>
      <c r="P17" s="352">
        <f>+SUM('[3]CSA Air'!$EZ$64:$FI$64)</f>
        <v>316444</v>
      </c>
      <c r="Q17" s="351">
        <f t="shared" ref="Q17" si="6">(O17-P17)/P17</f>
        <v>-0.98487884112196789</v>
      </c>
      <c r="R17" s="353">
        <f>O17/$O$24</f>
        <v>1.5928369698705684E-5</v>
      </c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87</v>
      </c>
      <c r="B19" s="361"/>
      <c r="C19" s="350">
        <f>+'[3]Mountain Cargo'!$FW$12</f>
        <v>44</v>
      </c>
      <c r="D19" s="352">
        <f>+'[3]Mountain Cargo'!$FI$12</f>
        <v>44</v>
      </c>
      <c r="E19" s="353">
        <f>(C19-D19)/D19</f>
        <v>0</v>
      </c>
      <c r="F19" s="350">
        <f>+SUM('[3]Mountain Cargo'!$FN$12:$FW$12)</f>
        <v>410</v>
      </c>
      <c r="G19" s="352">
        <f>+SUM('[3]Mountain Cargo'!$EZ$12:$FI$12)</f>
        <v>418</v>
      </c>
      <c r="H19" s="351">
        <f>(F19-G19)/G19</f>
        <v>-1.9138755980861243E-2</v>
      </c>
      <c r="I19" s="353">
        <f>+F19/$F$24</f>
        <v>3.3836758273500044E-2</v>
      </c>
      <c r="J19" s="349" t="s">
        <v>87</v>
      </c>
      <c r="K19" s="361"/>
      <c r="L19" s="350">
        <f>+'[3]Mountain Cargo'!$FW$64</f>
        <v>227743</v>
      </c>
      <c r="M19" s="352">
        <f>+'[3]Mountain Cargo'!$FI$64</f>
        <v>175883</v>
      </c>
      <c r="N19" s="353">
        <f>(L19-M19)/M19</f>
        <v>0.29485510253975655</v>
      </c>
      <c r="O19" s="350">
        <f>+SUM('[3]Mountain Cargo'!$FN$64:$FW$64)</f>
        <v>1501861</v>
      </c>
      <c r="P19" s="352">
        <f>+SUM('[3]Mountain Cargo'!$EZ$64:$FI$64)</f>
        <v>1840006</v>
      </c>
      <c r="Q19" s="351">
        <f t="shared" ref="Q19" si="7">(O19-P19)/P19</f>
        <v>-0.18377385725916112</v>
      </c>
      <c r="R19" s="353">
        <f>O19/$O$24</f>
        <v>4.9994142620831379E-3</v>
      </c>
      <c r="S19" s="414"/>
    </row>
    <row r="20" spans="1:19" ht="14.1" customHeight="1" x14ac:dyDescent="0.2">
      <c r="A20" s="53"/>
      <c r="B20" s="426"/>
      <c r="C20" s="350"/>
      <c r="D20" s="9"/>
      <c r="E20" s="86"/>
      <c r="F20" s="354"/>
      <c r="G20" s="9"/>
      <c r="H20" s="39"/>
      <c r="I20" s="86"/>
      <c r="J20" s="53"/>
      <c r="K20" s="426"/>
      <c r="L20" s="354"/>
      <c r="M20" s="9"/>
      <c r="N20" s="86"/>
      <c r="O20" s="354"/>
      <c r="P20" s="9"/>
      <c r="Q20" s="39"/>
      <c r="R20" s="86"/>
      <c r="S20" s="328"/>
    </row>
    <row r="21" spans="1:19" s="7" customFormat="1" ht="14.1" customHeight="1" x14ac:dyDescent="0.2">
      <c r="A21" s="349" t="s">
        <v>130</v>
      </c>
      <c r="B21" s="362"/>
      <c r="C21" s="350">
        <f>+'[3]Misc Cargo'!$FW$12</f>
        <v>94</v>
      </c>
      <c r="D21" s="352">
        <f>+'[3]Misc Cargo'!$FI$12</f>
        <v>44</v>
      </c>
      <c r="E21" s="353">
        <f>(C21-D21)/D21</f>
        <v>1.1363636363636365</v>
      </c>
      <c r="F21" s="350">
        <f>+SUM('[3]Misc Cargo'!$FN$12:$FW$12)</f>
        <v>758</v>
      </c>
      <c r="G21" s="352">
        <f>+SUM('[3]Misc Cargo'!$EZ$12:$FI$12)</f>
        <v>436</v>
      </c>
      <c r="H21" s="351">
        <f>(F21-G21)/G21</f>
        <v>0.73853211009174313</v>
      </c>
      <c r="I21" s="353">
        <f>+F21/$F$24</f>
        <v>6.2556738466617148E-2</v>
      </c>
      <c r="J21" s="349" t="s">
        <v>130</v>
      </c>
      <c r="K21" s="362"/>
      <c r="L21" s="350">
        <f>+'[3]Misc Cargo'!$FW$64</f>
        <v>132947</v>
      </c>
      <c r="M21" s="352">
        <f>+'[3]Misc Cargo'!$FI$64</f>
        <v>97935</v>
      </c>
      <c r="N21" s="353">
        <f>(L21-M21)/M21</f>
        <v>0.35750242507785779</v>
      </c>
      <c r="O21" s="350">
        <f>+SUM('[3]Misc Cargo'!$FN$64:$FW$64)</f>
        <v>1062402</v>
      </c>
      <c r="P21" s="352">
        <f>+SUM('[3]Misc Cargo'!$EZ$64:$FI$64)</f>
        <v>899649</v>
      </c>
      <c r="Q21" s="351">
        <f>(O21-P21)/P21</f>
        <v>0.1809072204826549</v>
      </c>
      <c r="R21" s="353">
        <f>O21/$O$24</f>
        <v>3.5365374764146948E-3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9"/>
      <c r="K22" s="362"/>
      <c r="L22" s="364"/>
      <c r="M22" s="368"/>
      <c r="N22" s="367"/>
      <c r="O22" s="364"/>
      <c r="P22" s="368"/>
      <c r="Q22" s="365"/>
      <c r="R22" s="471"/>
      <c r="S22" s="469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205</v>
      </c>
      <c r="C24" s="478">
        <f>+SUM(C5:C21)</f>
        <v>1346</v>
      </c>
      <c r="D24" s="479">
        <f>SUM(D5:D22)</f>
        <v>1192</v>
      </c>
      <c r="E24" s="480">
        <f>(C24-D24)/D24</f>
        <v>0.12919463087248323</v>
      </c>
      <c r="F24" s="478">
        <f>+SUM(F5:F21)</f>
        <v>12117</v>
      </c>
      <c r="G24" s="478">
        <f>+SUM(G5:G21)</f>
        <v>11345</v>
      </c>
      <c r="H24" s="481">
        <f>(F24-G24)/G24</f>
        <v>6.8047598060819739E-2</v>
      </c>
      <c r="I24" s="497"/>
      <c r="K24" s="477" t="s">
        <v>205</v>
      </c>
      <c r="L24" s="478">
        <f>+SUM(L5:L21)</f>
        <v>33051987</v>
      </c>
      <c r="M24" s="482">
        <f>SUM(M5:M22)</f>
        <v>30936410</v>
      </c>
      <c r="N24" s="483">
        <f>(L24-M24)/M24</f>
        <v>6.8384696220408256E-2</v>
      </c>
      <c r="O24" s="478">
        <f>+SUM(O5:O21)</f>
        <v>300407392</v>
      </c>
      <c r="P24" s="478">
        <f>+SUM(P5:P21)</f>
        <v>289154721</v>
      </c>
      <c r="Q24" s="481">
        <f t="shared" ref="Q24" si="8">(O24-P24)/P24</f>
        <v>3.8915743658219572E-2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October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2018-09-26T14:47:54Z</cp:lastPrinted>
  <dcterms:created xsi:type="dcterms:W3CDTF">2007-09-24T12:26:24Z</dcterms:created>
  <dcterms:modified xsi:type="dcterms:W3CDTF">2019-09-26T20:21:40Z</dcterms:modified>
</cp:coreProperties>
</file>