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H27" i="8" l="1"/>
  <c r="H28" i="8" s="1"/>
  <c r="H26" i="8"/>
  <c r="H22" i="8"/>
  <c r="H21" i="8"/>
  <c r="H17" i="8"/>
  <c r="H16" i="8"/>
  <c r="H5" i="8"/>
  <c r="H4" i="8"/>
  <c r="H10" i="8"/>
  <c r="H6" i="8" l="1"/>
  <c r="H12" i="8" s="1"/>
  <c r="H18" i="8"/>
  <c r="H23" i="8"/>
  <c r="H33" i="8" s="1"/>
  <c r="H32" i="8"/>
  <c r="H31" i="8"/>
  <c r="H21" i="1" l="1"/>
  <c r="C20" i="1" l="1"/>
  <c r="B20" i="1"/>
  <c r="D37" i="1" l="1"/>
  <c r="B37" i="1"/>
  <c r="D36" i="1"/>
  <c r="B36" i="1"/>
  <c r="H28" i="1"/>
  <c r="E28" i="1"/>
  <c r="H27" i="1"/>
  <c r="E27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J16" i="5" l="1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9" i="7"/>
  <c r="J29" i="7"/>
  <c r="E29" i="7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N32" i="9"/>
  <c r="H32" i="9"/>
  <c r="E32" i="9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4" i="9"/>
  <c r="N14" i="9"/>
  <c r="H14" i="9"/>
  <c r="E14" i="9"/>
  <c r="Q12" i="9"/>
  <c r="N12" i="9"/>
  <c r="H12" i="9"/>
  <c r="E12" i="9"/>
  <c r="Q11" i="9"/>
  <c r="N11" i="9"/>
  <c r="H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6" i="9"/>
  <c r="L46" i="9"/>
  <c r="G46" i="9"/>
  <c r="C46" i="9"/>
  <c r="P45" i="9"/>
  <c r="L45" i="9"/>
  <c r="G45" i="9"/>
  <c r="C45" i="9"/>
  <c r="P44" i="9"/>
  <c r="L44" i="9"/>
  <c r="G44" i="9"/>
  <c r="C44" i="9"/>
  <c r="P43" i="9"/>
  <c r="L43" i="9"/>
  <c r="G43" i="9"/>
  <c r="C43" i="9"/>
  <c r="P42" i="9"/>
  <c r="L42" i="9"/>
  <c r="G42" i="9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G32" i="9"/>
  <c r="C32" i="9"/>
  <c r="P29" i="9"/>
  <c r="L29" i="9"/>
  <c r="G29" i="9"/>
  <c r="C29" i="9"/>
  <c r="P27" i="9"/>
  <c r="L27" i="9"/>
  <c r="G27" i="9"/>
  <c r="C27" i="9"/>
  <c r="P25" i="9"/>
  <c r="L25" i="9"/>
  <c r="G25" i="9"/>
  <c r="C25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4" i="9"/>
  <c r="L14" i="9"/>
  <c r="G14" i="9"/>
  <c r="C14" i="9"/>
  <c r="P12" i="9"/>
  <c r="L12" i="9"/>
  <c r="G12" i="9"/>
  <c r="C12" i="9"/>
  <c r="P11" i="9"/>
  <c r="L11" i="9"/>
  <c r="G11" i="9"/>
  <c r="C11" i="9"/>
  <c r="P8" i="9"/>
  <c r="L8" i="9"/>
  <c r="G8" i="9"/>
  <c r="C8" i="9"/>
  <c r="P6" i="9"/>
  <c r="L6" i="9"/>
  <c r="G6" i="9"/>
  <c r="C6" i="9"/>
  <c r="P4" i="9"/>
  <c r="L4" i="9"/>
  <c r="G4" i="9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L27" i="8"/>
  <c r="K27" i="8"/>
  <c r="J27" i="8"/>
  <c r="G27" i="8"/>
  <c r="E27" i="8"/>
  <c r="D27" i="8"/>
  <c r="C27" i="8"/>
  <c r="B27" i="8"/>
  <c r="L26" i="8"/>
  <c r="K26" i="8"/>
  <c r="J26" i="8"/>
  <c r="G26" i="8"/>
  <c r="E26" i="8"/>
  <c r="D26" i="8"/>
  <c r="C26" i="8"/>
  <c r="B26" i="8"/>
  <c r="L22" i="8"/>
  <c r="K22" i="8"/>
  <c r="J22" i="8"/>
  <c r="G22" i="8"/>
  <c r="E22" i="8"/>
  <c r="D22" i="8"/>
  <c r="C22" i="8"/>
  <c r="B22" i="8"/>
  <c r="L21" i="8"/>
  <c r="K21" i="8"/>
  <c r="J21" i="8"/>
  <c r="G21" i="8"/>
  <c r="E21" i="8"/>
  <c r="D21" i="8"/>
  <c r="C21" i="8"/>
  <c r="B21" i="8"/>
  <c r="L17" i="8"/>
  <c r="K17" i="8"/>
  <c r="J17" i="8"/>
  <c r="G17" i="8"/>
  <c r="E17" i="8"/>
  <c r="D17" i="8"/>
  <c r="C17" i="8"/>
  <c r="B17" i="8"/>
  <c r="L16" i="8"/>
  <c r="K16" i="8"/>
  <c r="J16" i="8"/>
  <c r="G16" i="8"/>
  <c r="E16" i="8"/>
  <c r="D16" i="8"/>
  <c r="C16" i="8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M16" i="8" l="1"/>
  <c r="M17" i="8"/>
  <c r="M21" i="8"/>
  <c r="M22" i="8"/>
  <c r="M26" i="8"/>
  <c r="M27" i="8"/>
  <c r="O28" i="7"/>
  <c r="J28" i="7"/>
  <c r="E28" i="7"/>
  <c r="Q48" i="9"/>
  <c r="H48" i="9"/>
  <c r="E39" i="9"/>
  <c r="E31" i="9"/>
  <c r="G12" i="5"/>
  <c r="J21" i="5"/>
  <c r="J20" i="5"/>
  <c r="E29" i="1"/>
  <c r="H8" i="1"/>
  <c r="H11" i="1" s="1"/>
  <c r="R52" i="9"/>
  <c r="P48" i="9"/>
  <c r="C31" i="9"/>
  <c r="L10" i="9"/>
  <c r="G10" i="9"/>
  <c r="K37" i="16"/>
  <c r="J37" i="16"/>
  <c r="I37" i="16"/>
  <c r="H37" i="16"/>
  <c r="K30" i="16"/>
  <c r="J30" i="16"/>
  <c r="I30" i="16"/>
  <c r="H30" i="16"/>
  <c r="B30" i="16"/>
  <c r="K23" i="16"/>
  <c r="J23" i="16"/>
  <c r="H23" i="16"/>
  <c r="G23" i="16"/>
  <c r="C23" i="16"/>
  <c r="K18" i="16"/>
  <c r="J18" i="16"/>
  <c r="H16" i="16"/>
  <c r="H18" i="16" s="1"/>
  <c r="C18" i="16"/>
  <c r="B18" i="16"/>
  <c r="K11" i="16"/>
  <c r="J11" i="16"/>
  <c r="I11" i="16"/>
  <c r="H11" i="16"/>
  <c r="B11" i="16"/>
  <c r="K6" i="16"/>
  <c r="J6" i="16"/>
  <c r="I6" i="16"/>
  <c r="H6" i="16"/>
  <c r="B6" i="16"/>
  <c r="K28" i="8"/>
  <c r="G28" i="8"/>
  <c r="D28" i="8"/>
  <c r="C28" i="8"/>
  <c r="L23" i="8"/>
  <c r="K23" i="8"/>
  <c r="J23" i="8"/>
  <c r="G23" i="8"/>
  <c r="E23" i="8"/>
  <c r="D23" i="8"/>
  <c r="C23" i="8"/>
  <c r="L18" i="8"/>
  <c r="K18" i="8"/>
  <c r="J18" i="8"/>
  <c r="G18" i="8"/>
  <c r="D18" i="8"/>
  <c r="C18" i="8"/>
  <c r="I49" i="3"/>
  <c r="I51" i="2" s="1"/>
  <c r="I48" i="3"/>
  <c r="I50" i="2" s="1"/>
  <c r="J48" i="2"/>
  <c r="J47" i="2"/>
  <c r="O27" i="7"/>
  <c r="J27" i="7"/>
  <c r="E27" i="7"/>
  <c r="R17" i="9"/>
  <c r="E18" i="8"/>
  <c r="B36" i="15"/>
  <c r="C36" i="15"/>
  <c r="D36" i="15"/>
  <c r="E36" i="15"/>
  <c r="E37" i="15" s="1"/>
  <c r="F36" i="15"/>
  <c r="G36" i="15"/>
  <c r="H36" i="15"/>
  <c r="I36" i="15"/>
  <c r="J36" i="15"/>
  <c r="K36" i="15"/>
  <c r="H35" i="15"/>
  <c r="I35" i="15"/>
  <c r="J35" i="15"/>
  <c r="K35" i="15"/>
  <c r="J30" i="15"/>
  <c r="O26" i="7"/>
  <c r="J26" i="7"/>
  <c r="E26" i="7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N30" i="7"/>
  <c r="P30" i="7"/>
  <c r="N31" i="7"/>
  <c r="P31" i="7"/>
  <c r="D30" i="7"/>
  <c r="F30" i="7"/>
  <c r="D31" i="7"/>
  <c r="F31" i="7"/>
  <c r="N32" i="7"/>
  <c r="P32" i="7"/>
  <c r="I32" i="7"/>
  <c r="K32" i="7"/>
  <c r="D32" i="7"/>
  <c r="F32" i="7"/>
  <c r="I31" i="7"/>
  <c r="K31" i="7"/>
  <c r="I30" i="7"/>
  <c r="K30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J28" i="8"/>
  <c r="J7" i="5"/>
  <c r="F12" i="15"/>
  <c r="E28" i="8"/>
  <c r="E16" i="9"/>
  <c r="C31" i="8"/>
  <c r="H29" i="1" l="1"/>
  <c r="J12" i="5"/>
  <c r="J17" i="5"/>
  <c r="E32" i="4"/>
  <c r="C37" i="4"/>
  <c r="B20" i="15"/>
  <c r="G18" i="16"/>
  <c r="B7" i="15"/>
  <c r="F20" i="15"/>
  <c r="J31" i="8"/>
  <c r="C32" i="8"/>
  <c r="I17" i="9"/>
  <c r="I19" i="9"/>
  <c r="C6" i="16"/>
  <c r="E11" i="2"/>
  <c r="G35" i="3"/>
  <c r="E44" i="2"/>
  <c r="B12" i="15"/>
  <c r="J12" i="15"/>
  <c r="F17" i="15"/>
  <c r="D17" i="15"/>
  <c r="J20" i="15"/>
  <c r="H20" i="15"/>
  <c r="B27" i="15"/>
  <c r="J27" i="15"/>
  <c r="D27" i="15"/>
  <c r="K32" i="15"/>
  <c r="H40" i="15"/>
  <c r="G17" i="2"/>
  <c r="E35" i="2"/>
  <c r="E7" i="3"/>
  <c r="G12" i="3"/>
  <c r="E30" i="3"/>
  <c r="D17" i="4"/>
  <c r="B20" i="4"/>
  <c r="D37" i="4"/>
  <c r="E7" i="7"/>
  <c r="C17" i="4"/>
  <c r="F6" i="9"/>
  <c r="F8" i="9"/>
  <c r="F12" i="9"/>
  <c r="F17" i="9"/>
  <c r="F18" i="9"/>
  <c r="F19" i="9"/>
  <c r="F20" i="9"/>
  <c r="F22" i="9"/>
  <c r="F23" i="9"/>
  <c r="F25" i="9"/>
  <c r="F27" i="9"/>
  <c r="F29" i="9"/>
  <c r="F33" i="9"/>
  <c r="F35" i="9"/>
  <c r="F37" i="9"/>
  <c r="F41" i="9"/>
  <c r="F42" i="9"/>
  <c r="F43" i="9"/>
  <c r="F46" i="9"/>
  <c r="F49" i="9"/>
  <c r="F50" i="9"/>
  <c r="F51" i="9"/>
  <c r="F52" i="9"/>
  <c r="R4" i="9"/>
  <c r="R42" i="9"/>
  <c r="R46" i="9"/>
  <c r="Q55" i="9"/>
  <c r="B18" i="3"/>
  <c r="B30" i="3"/>
  <c r="E7" i="15"/>
  <c r="I27" i="15"/>
  <c r="I40" i="15"/>
  <c r="I11" i="9"/>
  <c r="I25" i="9"/>
  <c r="I33" i="9"/>
  <c r="I37" i="9"/>
  <c r="I41" i="9"/>
  <c r="Q16" i="9"/>
  <c r="Q39" i="9"/>
  <c r="D21" i="1"/>
  <c r="G35" i="2"/>
  <c r="E22" i="3"/>
  <c r="E35" i="3"/>
  <c r="D12" i="4"/>
  <c r="J27" i="4"/>
  <c r="I6" i="8"/>
  <c r="I12" i="8" s="1"/>
  <c r="E18" i="16"/>
  <c r="E30" i="16"/>
  <c r="R6" i="9"/>
  <c r="R8" i="9"/>
  <c r="R11" i="9"/>
  <c r="R14" i="9"/>
  <c r="R18" i="9"/>
  <c r="R19" i="9"/>
  <c r="R20" i="9"/>
  <c r="R21" i="9"/>
  <c r="R22" i="9"/>
  <c r="R23" i="9"/>
  <c r="R25" i="9"/>
  <c r="R27" i="9"/>
  <c r="R29" i="9"/>
  <c r="R33" i="9"/>
  <c r="R35" i="9"/>
  <c r="R37" i="9"/>
  <c r="R41" i="9"/>
  <c r="R43" i="9"/>
  <c r="R44" i="9"/>
  <c r="R45" i="9"/>
  <c r="R50" i="9"/>
  <c r="R51" i="9"/>
  <c r="G22" i="5"/>
  <c r="H30" i="3"/>
  <c r="E40" i="3"/>
  <c r="J12" i="4"/>
  <c r="H40" i="4"/>
  <c r="H7" i="15"/>
  <c r="E48" i="9"/>
  <c r="C41" i="15"/>
  <c r="B32" i="8"/>
  <c r="C48" i="9"/>
  <c r="C55" i="9"/>
  <c r="D44" i="9" s="1"/>
  <c r="E21" i="2"/>
  <c r="D27" i="4"/>
  <c r="J32" i="4"/>
  <c r="D11" i="16"/>
  <c r="L18" i="16"/>
  <c r="D37" i="16"/>
  <c r="H16" i="9"/>
  <c r="I42" i="9"/>
  <c r="I46" i="9"/>
  <c r="C41" i="4"/>
  <c r="H17" i="15"/>
  <c r="D20" i="15"/>
  <c r="H27" i="15"/>
  <c r="E11" i="16"/>
  <c r="M11" i="16"/>
  <c r="M18" i="16"/>
  <c r="M30" i="16"/>
  <c r="E37" i="16"/>
  <c r="M37" i="16"/>
  <c r="P16" i="9"/>
  <c r="P31" i="9"/>
  <c r="N16" i="9"/>
  <c r="N31" i="9"/>
  <c r="B21" i="2"/>
  <c r="K31" i="8"/>
  <c r="K41" i="15"/>
  <c r="G22" i="3"/>
  <c r="H17" i="4"/>
  <c r="B32" i="4"/>
  <c r="D6" i="16"/>
  <c r="L11" i="16"/>
  <c r="L30" i="16"/>
  <c r="L16" i="9"/>
  <c r="L39" i="9"/>
  <c r="H39" i="9"/>
  <c r="F32" i="9"/>
  <c r="F6" i="16"/>
  <c r="F11" i="16"/>
  <c r="F18" i="16"/>
  <c r="F23" i="16"/>
  <c r="F30" i="16"/>
  <c r="C10" i="9"/>
  <c r="C35" i="3"/>
  <c r="D7" i="4"/>
  <c r="F20" i="4"/>
  <c r="D32" i="15"/>
  <c r="D23" i="16"/>
  <c r="D30" i="16"/>
  <c r="L37" i="16"/>
  <c r="L31" i="9"/>
  <c r="I4" i="9"/>
  <c r="I23" i="9"/>
  <c r="H31" i="9"/>
  <c r="K37" i="15"/>
  <c r="G41" i="15"/>
  <c r="G6" i="16"/>
  <c r="G11" i="16"/>
  <c r="G30" i="16"/>
  <c r="G37" i="16"/>
  <c r="I40" i="9"/>
  <c r="I49" i="9"/>
  <c r="B11" i="2"/>
  <c r="F7" i="3"/>
  <c r="F18" i="3"/>
  <c r="D22" i="3"/>
  <c r="C44" i="3"/>
  <c r="E17" i="4"/>
  <c r="G32" i="4"/>
  <c r="F40" i="4"/>
  <c r="J40" i="4"/>
  <c r="E41" i="4"/>
  <c r="I41" i="4"/>
  <c r="B40" i="15"/>
  <c r="G5" i="7"/>
  <c r="B7" i="1" s="1"/>
  <c r="B7" i="7"/>
  <c r="B6" i="8"/>
  <c r="E31" i="8"/>
  <c r="L31" i="8"/>
  <c r="E32" i="8"/>
  <c r="L32" i="8"/>
  <c r="O12" i="9"/>
  <c r="O33" i="9"/>
  <c r="O35" i="9"/>
  <c r="O45" i="9"/>
  <c r="I32" i="9"/>
  <c r="F37" i="15"/>
  <c r="G43" i="3"/>
  <c r="C43" i="3"/>
  <c r="G41" i="4"/>
  <c r="J33" i="8"/>
  <c r="E33" i="7"/>
  <c r="F37" i="4"/>
  <c r="R32" i="9"/>
  <c r="D6" i="2"/>
  <c r="H6" i="2"/>
  <c r="H17" i="2"/>
  <c r="F21" i="2"/>
  <c r="H40" i="2"/>
  <c r="I6" i="3"/>
  <c r="I5" i="2" s="1"/>
  <c r="J5" i="2" s="1"/>
  <c r="C5" i="1" s="1"/>
  <c r="D12" i="3"/>
  <c r="D44" i="3"/>
  <c r="H35" i="3"/>
  <c r="B44" i="3"/>
  <c r="F40" i="3"/>
  <c r="E7" i="4"/>
  <c r="I7" i="4"/>
  <c r="I17" i="4"/>
  <c r="G20" i="4"/>
  <c r="E27" i="4"/>
  <c r="C32" i="4"/>
  <c r="E37" i="4"/>
  <c r="L5" i="15"/>
  <c r="K5" i="4" s="1"/>
  <c r="L5" i="4" s="1"/>
  <c r="B6" i="1" s="1"/>
  <c r="C17" i="15"/>
  <c r="K17" i="15"/>
  <c r="K27" i="15"/>
  <c r="E32" i="15"/>
  <c r="I32" i="15"/>
  <c r="F7" i="7"/>
  <c r="D12" i="7"/>
  <c r="G11" i="7"/>
  <c r="C18" i="1" s="1"/>
  <c r="G6" i="8"/>
  <c r="G12" i="8" s="1"/>
  <c r="L6" i="8"/>
  <c r="M9" i="8"/>
  <c r="O6" i="9"/>
  <c r="O11" i="9"/>
  <c r="O20" i="9"/>
  <c r="O41" i="9"/>
  <c r="O42" i="9"/>
  <c r="H22" i="1"/>
  <c r="I6" i="9"/>
  <c r="I8" i="9"/>
  <c r="I12" i="9"/>
  <c r="I14" i="9"/>
  <c r="I20" i="9"/>
  <c r="I21" i="9"/>
  <c r="I22" i="9"/>
  <c r="I43" i="9"/>
  <c r="I44" i="9"/>
  <c r="I51" i="9"/>
  <c r="I52" i="9"/>
  <c r="L28" i="8"/>
  <c r="L33" i="8" s="1"/>
  <c r="G6" i="7"/>
  <c r="C7" i="1" s="1"/>
  <c r="D38" i="1"/>
  <c r="G11" i="2"/>
  <c r="E17" i="2"/>
  <c r="C21" i="2"/>
  <c r="C49" i="2"/>
  <c r="J49" i="2" s="1"/>
  <c r="C7" i="3"/>
  <c r="G7" i="3"/>
  <c r="C18" i="3"/>
  <c r="G18" i="3"/>
  <c r="C30" i="3"/>
  <c r="G30" i="3"/>
  <c r="C40" i="3"/>
  <c r="G40" i="3"/>
  <c r="B7" i="4"/>
  <c r="F7" i="4"/>
  <c r="J7" i="4"/>
  <c r="B17" i="4"/>
  <c r="F17" i="4"/>
  <c r="D20" i="4"/>
  <c r="B27" i="4"/>
  <c r="F27" i="4"/>
  <c r="B32" i="15"/>
  <c r="C7" i="7"/>
  <c r="E12" i="7"/>
  <c r="C6" i="8"/>
  <c r="C12" i="8" s="1"/>
  <c r="J22" i="5"/>
  <c r="J33" i="7"/>
  <c r="C37" i="15"/>
  <c r="F6" i="2"/>
  <c r="D21" i="2"/>
  <c r="B43" i="2"/>
  <c r="F30" i="2"/>
  <c r="C44" i="2"/>
  <c r="G44" i="2"/>
  <c r="H43" i="2"/>
  <c r="H7" i="3"/>
  <c r="B12" i="3"/>
  <c r="F12" i="3"/>
  <c r="H18" i="3"/>
  <c r="G44" i="3"/>
  <c r="E12" i="4"/>
  <c r="G17" i="4"/>
  <c r="D40" i="4"/>
  <c r="F7" i="15"/>
  <c r="J7" i="15"/>
  <c r="D12" i="15"/>
  <c r="H12" i="15"/>
  <c r="B17" i="15"/>
  <c r="F27" i="15"/>
  <c r="G7" i="5"/>
  <c r="G43" i="2"/>
  <c r="G30" i="2"/>
  <c r="J51" i="2"/>
  <c r="K32" i="8"/>
  <c r="B30" i="2"/>
  <c r="F44" i="3"/>
  <c r="E43" i="3"/>
  <c r="D41" i="15"/>
  <c r="C12" i="7"/>
  <c r="C6" i="2"/>
  <c r="G6" i="2"/>
  <c r="C40" i="2"/>
  <c r="G40" i="2"/>
  <c r="C12" i="3"/>
  <c r="C22" i="3"/>
  <c r="D43" i="3"/>
  <c r="D30" i="3"/>
  <c r="H7" i="4"/>
  <c r="J20" i="4"/>
  <c r="O4" i="9"/>
  <c r="O8" i="9"/>
  <c r="O19" i="9"/>
  <c r="O23" i="9"/>
  <c r="O25" i="9"/>
  <c r="O27" i="9"/>
  <c r="O29" i="9"/>
  <c r="O40" i="9"/>
  <c r="O43" i="9"/>
  <c r="O44" i="9"/>
  <c r="O46" i="9"/>
  <c r="O50" i="9"/>
  <c r="O51" i="9"/>
  <c r="O52" i="9"/>
  <c r="H41" i="15"/>
  <c r="E33" i="8"/>
  <c r="H11" i="2"/>
  <c r="B44" i="2"/>
  <c r="F44" i="2"/>
  <c r="H44" i="2"/>
  <c r="I11" i="3"/>
  <c r="I10" i="2" s="1"/>
  <c r="J10" i="2" s="1"/>
  <c r="I17" i="3"/>
  <c r="I16" i="2" s="1"/>
  <c r="J16" i="2" s="1"/>
  <c r="F22" i="3"/>
  <c r="I29" i="3"/>
  <c r="I29" i="2" s="1"/>
  <c r="J29" i="2" s="1"/>
  <c r="B6" i="5" s="1"/>
  <c r="I34" i="3"/>
  <c r="I34" i="2" s="1"/>
  <c r="J34" i="2" s="1"/>
  <c r="F35" i="3"/>
  <c r="D40" i="3"/>
  <c r="H40" i="3"/>
  <c r="C7" i="4"/>
  <c r="I12" i="4"/>
  <c r="E20" i="4"/>
  <c r="I20" i="4"/>
  <c r="C27" i="4"/>
  <c r="G27" i="4"/>
  <c r="E40" i="4"/>
  <c r="I32" i="4"/>
  <c r="D41" i="4"/>
  <c r="H41" i="4"/>
  <c r="G40" i="4"/>
  <c r="J41" i="4"/>
  <c r="C7" i="15"/>
  <c r="L6" i="15"/>
  <c r="K6" i="4" s="1"/>
  <c r="L6" i="4" s="1"/>
  <c r="C6" i="1" s="1"/>
  <c r="I7" i="15"/>
  <c r="L10" i="15"/>
  <c r="K10" i="4" s="1"/>
  <c r="L10" i="4" s="1"/>
  <c r="G12" i="15"/>
  <c r="K12" i="15"/>
  <c r="L11" i="15"/>
  <c r="K11" i="4" s="1"/>
  <c r="L11" i="4" s="1"/>
  <c r="I12" i="15"/>
  <c r="L15" i="15"/>
  <c r="K15" i="4" s="1"/>
  <c r="L15" i="4" s="1"/>
  <c r="G17" i="15"/>
  <c r="L16" i="15"/>
  <c r="K16" i="4" s="1"/>
  <c r="L16" i="4" s="1"/>
  <c r="C20" i="15"/>
  <c r="G20" i="15"/>
  <c r="K20" i="15"/>
  <c r="L19" i="15"/>
  <c r="K19" i="4" s="1"/>
  <c r="L19" i="4" s="1"/>
  <c r="I20" i="15"/>
  <c r="L25" i="15"/>
  <c r="K25" i="4" s="1"/>
  <c r="L25" i="4" s="1"/>
  <c r="C5" i="5" s="1"/>
  <c r="E41" i="15"/>
  <c r="C32" i="15"/>
  <c r="G32" i="15"/>
  <c r="D40" i="15"/>
  <c r="D7" i="7"/>
  <c r="G10" i="7"/>
  <c r="B18" i="1" s="1"/>
  <c r="F12" i="7"/>
  <c r="M4" i="8"/>
  <c r="B19" i="1" s="1"/>
  <c r="B10" i="8"/>
  <c r="D10" i="5"/>
  <c r="D11" i="5"/>
  <c r="D15" i="5"/>
  <c r="D16" i="5"/>
  <c r="G32" i="8"/>
  <c r="N10" i="16"/>
  <c r="F31" i="9"/>
  <c r="E8" i="1"/>
  <c r="E11" i="1" s="1"/>
  <c r="E22" i="1"/>
  <c r="H37" i="4"/>
  <c r="H32" i="15"/>
  <c r="J32" i="8"/>
  <c r="G17" i="5"/>
  <c r="C40" i="4"/>
  <c r="F44" i="9"/>
  <c r="I38" i="3"/>
  <c r="I38" i="2" s="1"/>
  <c r="J38" i="2" s="1"/>
  <c r="B15" i="5" s="1"/>
  <c r="J37" i="4"/>
  <c r="G37" i="4"/>
  <c r="E27" i="15"/>
  <c r="F17" i="2"/>
  <c r="D7" i="3"/>
  <c r="D37" i="15"/>
  <c r="D32" i="4"/>
  <c r="G37" i="15"/>
  <c r="B41" i="15"/>
  <c r="E17" i="15"/>
  <c r="F11" i="9"/>
  <c r="N39" i="9"/>
  <c r="C17" i="2"/>
  <c r="C30" i="2"/>
  <c r="E18" i="3"/>
  <c r="E20" i="15"/>
  <c r="D31" i="8"/>
  <c r="D18" i="3"/>
  <c r="I28" i="3"/>
  <c r="I28" i="2" s="1"/>
  <c r="J28" i="2" s="1"/>
  <c r="B5" i="5" s="1"/>
  <c r="L31" i="15"/>
  <c r="K31" i="4" s="1"/>
  <c r="L31" i="4" s="1"/>
  <c r="C11" i="5" s="1"/>
  <c r="L26" i="15"/>
  <c r="K26" i="4" s="1"/>
  <c r="L26" i="4" s="1"/>
  <c r="C6" i="5" s="1"/>
  <c r="H44" i="3"/>
  <c r="E12" i="15"/>
  <c r="O17" i="9"/>
  <c r="H35" i="2"/>
  <c r="H21" i="2"/>
  <c r="D35" i="2"/>
  <c r="D43" i="2"/>
  <c r="B22" i="3"/>
  <c r="H37" i="15"/>
  <c r="B46" i="4"/>
  <c r="B47" i="4" s="1"/>
  <c r="J37" i="15"/>
  <c r="D6" i="8"/>
  <c r="D12" i="8" s="1"/>
  <c r="B37" i="15"/>
  <c r="J41" i="15"/>
  <c r="L18" i="15"/>
  <c r="K18" i="4" s="1"/>
  <c r="L18" i="4" s="1"/>
  <c r="I5" i="3"/>
  <c r="I4" i="2" s="1"/>
  <c r="J4" i="2" s="1"/>
  <c r="B5" i="1" s="1"/>
  <c r="C12" i="15"/>
  <c r="N5" i="16"/>
  <c r="N9" i="16"/>
  <c r="N22" i="16"/>
  <c r="N35" i="16"/>
  <c r="O33" i="7"/>
  <c r="J32" i="15"/>
  <c r="I41" i="15"/>
  <c r="E6" i="2"/>
  <c r="F11" i="2"/>
  <c r="C11" i="2"/>
  <c r="G21" i="2"/>
  <c r="D30" i="2"/>
  <c r="H30" i="2"/>
  <c r="B35" i="2"/>
  <c r="F35" i="2"/>
  <c r="C35" i="2"/>
  <c r="D40" i="2"/>
  <c r="E40" i="2"/>
  <c r="G33" i="8"/>
  <c r="K33" i="8"/>
  <c r="R48" i="9"/>
  <c r="G55" i="9"/>
  <c r="N27" i="16"/>
  <c r="B23" i="16"/>
  <c r="L36" i="15"/>
  <c r="K36" i="4" s="1"/>
  <c r="L36" i="4" s="1"/>
  <c r="C16" i="5" s="1"/>
  <c r="P55" i="9"/>
  <c r="R49" i="9"/>
  <c r="P39" i="9"/>
  <c r="E10" i="9"/>
  <c r="D11" i="2"/>
  <c r="D44" i="2"/>
  <c r="L55" i="9"/>
  <c r="I37" i="15"/>
  <c r="F41" i="15"/>
  <c r="J50" i="2"/>
  <c r="G12" i="4"/>
  <c r="B41" i="4"/>
  <c r="B37" i="4"/>
  <c r="F41" i="4"/>
  <c r="F32" i="15"/>
  <c r="F40" i="15"/>
  <c r="D32" i="8"/>
  <c r="D33" i="8"/>
  <c r="C37" i="16"/>
  <c r="N34" i="16"/>
  <c r="F4" i="9"/>
  <c r="F21" i="9"/>
  <c r="O37" i="9"/>
  <c r="L48" i="9"/>
  <c r="O49" i="9"/>
  <c r="Q10" i="9"/>
  <c r="D20" i="1"/>
  <c r="E43" i="2"/>
  <c r="E30" i="2"/>
  <c r="N21" i="16"/>
  <c r="L30" i="15"/>
  <c r="K30" i="4" s="1"/>
  <c r="L30" i="4" s="1"/>
  <c r="C10" i="5" s="1"/>
  <c r="J40" i="15"/>
  <c r="B6" i="2"/>
  <c r="B17" i="2"/>
  <c r="B7" i="3"/>
  <c r="E12" i="3"/>
  <c r="H12" i="3"/>
  <c r="I20" i="3"/>
  <c r="I19" i="2" s="1"/>
  <c r="J19" i="2" s="1"/>
  <c r="I21" i="3"/>
  <c r="I20" i="2" s="1"/>
  <c r="B43" i="3"/>
  <c r="B40" i="3"/>
  <c r="I39" i="3"/>
  <c r="I39" i="2" s="1"/>
  <c r="J39" i="2" s="1"/>
  <c r="B16" i="5" s="1"/>
  <c r="G7" i="4"/>
  <c r="J17" i="4"/>
  <c r="H20" i="4"/>
  <c r="H27" i="4"/>
  <c r="B40" i="4"/>
  <c r="I37" i="4"/>
  <c r="I40" i="4"/>
  <c r="D7" i="15"/>
  <c r="J17" i="15"/>
  <c r="L35" i="15"/>
  <c r="K35" i="4" s="1"/>
  <c r="L35" i="4" s="1"/>
  <c r="C15" i="5" s="1"/>
  <c r="L46" i="15"/>
  <c r="K44" i="4" s="1"/>
  <c r="L44" i="4" s="1"/>
  <c r="B12" i="7"/>
  <c r="J6" i="8"/>
  <c r="J12" i="8" s="1"/>
  <c r="M5" i="8"/>
  <c r="C19" i="1" s="1"/>
  <c r="D5" i="5"/>
  <c r="B18" i="8"/>
  <c r="M18" i="8" s="1"/>
  <c r="B23" i="8"/>
  <c r="M23" i="8" s="1"/>
  <c r="B31" i="8"/>
  <c r="G31" i="8"/>
  <c r="B28" i="8"/>
  <c r="E6" i="16"/>
  <c r="L6" i="16"/>
  <c r="C11" i="16"/>
  <c r="F14" i="9"/>
  <c r="O22" i="9"/>
  <c r="F40" i="9"/>
  <c r="C39" i="9"/>
  <c r="F45" i="9"/>
  <c r="N16" i="16"/>
  <c r="G16" i="9"/>
  <c r="O32" i="9"/>
  <c r="Q31" i="9"/>
  <c r="R40" i="9"/>
  <c r="G48" i="9"/>
  <c r="K40" i="15"/>
  <c r="B40" i="2"/>
  <c r="I10" i="3"/>
  <c r="I9" i="2" s="1"/>
  <c r="I16" i="3"/>
  <c r="I15" i="2" s="1"/>
  <c r="H22" i="3"/>
  <c r="B35" i="3"/>
  <c r="I33" i="3"/>
  <c r="I33" i="2" s="1"/>
  <c r="B12" i="4"/>
  <c r="F12" i="4"/>
  <c r="I27" i="4"/>
  <c r="F32" i="4"/>
  <c r="E40" i="15"/>
  <c r="E6" i="8"/>
  <c r="E12" i="8" s="1"/>
  <c r="L10" i="8"/>
  <c r="M8" i="8"/>
  <c r="D6" i="5"/>
  <c r="N4" i="16"/>
  <c r="M6" i="16"/>
  <c r="I18" i="16"/>
  <c r="C16" i="9"/>
  <c r="I45" i="9"/>
  <c r="G39" i="9"/>
  <c r="N10" i="9"/>
  <c r="O10" i="9" s="1"/>
  <c r="H55" i="9"/>
  <c r="H43" i="3"/>
  <c r="E44" i="3"/>
  <c r="H12" i="4"/>
  <c r="C20" i="4"/>
  <c r="G40" i="15"/>
  <c r="L47" i="15"/>
  <c r="K45" i="4" s="1"/>
  <c r="L45" i="4" s="1"/>
  <c r="D18" i="16"/>
  <c r="N17" i="16"/>
  <c r="E23" i="16"/>
  <c r="I23" i="16"/>
  <c r="M23" i="16"/>
  <c r="C30" i="16"/>
  <c r="N28" i="16"/>
  <c r="B37" i="16"/>
  <c r="F37" i="16"/>
  <c r="R12" i="9"/>
  <c r="O18" i="9"/>
  <c r="I27" i="9"/>
  <c r="I29" i="9"/>
  <c r="I35" i="9"/>
  <c r="H10" i="9"/>
  <c r="I10" i="9" s="1"/>
  <c r="E55" i="9"/>
  <c r="C43" i="2"/>
  <c r="F43" i="3"/>
  <c r="D35" i="3"/>
  <c r="C12" i="4"/>
  <c r="H32" i="4"/>
  <c r="G7" i="15"/>
  <c r="K7" i="15"/>
  <c r="I17" i="15"/>
  <c r="C27" i="15"/>
  <c r="G27" i="15"/>
  <c r="K6" i="8"/>
  <c r="K12" i="8" s="1"/>
  <c r="L23" i="16"/>
  <c r="P10" i="9"/>
  <c r="O14" i="9"/>
  <c r="I18" i="9"/>
  <c r="O21" i="9"/>
  <c r="G31" i="9"/>
  <c r="I50" i="9"/>
  <c r="N48" i="9"/>
  <c r="N55" i="9"/>
  <c r="B38" i="1"/>
  <c r="C37" i="1" s="1"/>
  <c r="C33" i="8"/>
  <c r="D17" i="2"/>
  <c r="F40" i="2"/>
  <c r="F43" i="2"/>
  <c r="C40" i="15"/>
  <c r="F30" i="3"/>
  <c r="B33" i="1" l="1"/>
  <c r="M28" i="8"/>
  <c r="M31" i="8"/>
  <c r="M32" i="8"/>
  <c r="B29" i="7"/>
  <c r="B21" i="15"/>
  <c r="H21" i="15"/>
  <c r="C29" i="7"/>
  <c r="J21" i="15"/>
  <c r="B7" i="5"/>
  <c r="R39" i="9"/>
  <c r="F48" i="9"/>
  <c r="B45" i="2"/>
  <c r="O39" i="9"/>
  <c r="H45" i="2"/>
  <c r="F20" i="1"/>
  <c r="F21" i="15"/>
  <c r="C21" i="4"/>
  <c r="D21" i="4"/>
  <c r="E45" i="2"/>
  <c r="D42" i="4"/>
  <c r="I42" i="15"/>
  <c r="B23" i="3"/>
  <c r="H42" i="15"/>
  <c r="G42" i="15"/>
  <c r="J42" i="4"/>
  <c r="C42" i="4"/>
  <c r="B21" i="4"/>
  <c r="E23" i="3"/>
  <c r="R16" i="9"/>
  <c r="D21" i="15"/>
  <c r="E23" i="2"/>
  <c r="F45" i="3"/>
  <c r="N30" i="16"/>
  <c r="R55" i="9"/>
  <c r="G23" i="2"/>
  <c r="D45" i="3"/>
  <c r="G45" i="2"/>
  <c r="G7" i="7"/>
  <c r="F21" i="1"/>
  <c r="D17" i="5"/>
  <c r="F21" i="4"/>
  <c r="C45" i="3"/>
  <c r="D23" i="3"/>
  <c r="C17" i="1"/>
  <c r="B42" i="15"/>
  <c r="F23" i="3"/>
  <c r="E42" i="4"/>
  <c r="O31" i="9"/>
  <c r="B12" i="8"/>
  <c r="L12" i="15"/>
  <c r="F55" i="9"/>
  <c r="I39" i="9"/>
  <c r="G42" i="4"/>
  <c r="G21" i="4"/>
  <c r="O16" i="9"/>
  <c r="L20" i="15"/>
  <c r="K42" i="15"/>
  <c r="G23" i="3"/>
  <c r="H23" i="3"/>
  <c r="N11" i="16"/>
  <c r="B23" i="2"/>
  <c r="F10" i="9"/>
  <c r="D7" i="1"/>
  <c r="I31" i="9"/>
  <c r="K21" i="15"/>
  <c r="E21" i="4"/>
  <c r="C23" i="3"/>
  <c r="I16" i="9"/>
  <c r="I21" i="4"/>
  <c r="D18" i="1"/>
  <c r="I21" i="15"/>
  <c r="H21" i="4"/>
  <c r="G21" i="15"/>
  <c r="I30" i="3"/>
  <c r="L12" i="8"/>
  <c r="R31" i="9"/>
  <c r="E42" i="15"/>
  <c r="I18" i="3"/>
  <c r="C10" i="1"/>
  <c r="I17" i="2"/>
  <c r="J17" i="2" s="1"/>
  <c r="J42" i="15"/>
  <c r="F23" i="2"/>
  <c r="C21" i="15"/>
  <c r="G45" i="3"/>
  <c r="H45" i="3"/>
  <c r="D19" i="1"/>
  <c r="I7" i="3"/>
  <c r="D45" i="2"/>
  <c r="C23" i="2"/>
  <c r="C45" i="2"/>
  <c r="D21" i="5"/>
  <c r="I21" i="2"/>
  <c r="J21" i="2" s="1"/>
  <c r="C12" i="5"/>
  <c r="B42" i="4"/>
  <c r="B8" i="1"/>
  <c r="H23" i="2"/>
  <c r="B17" i="5"/>
  <c r="E36" i="1"/>
  <c r="E37" i="1"/>
  <c r="K7" i="4"/>
  <c r="L7" i="4" s="1"/>
  <c r="F42" i="4"/>
  <c r="G12" i="7"/>
  <c r="I40" i="3"/>
  <c r="D20" i="5"/>
  <c r="L32" i="15"/>
  <c r="K12" i="4"/>
  <c r="L12" i="4" s="1"/>
  <c r="D6" i="1"/>
  <c r="L7" i="15"/>
  <c r="L37" i="15"/>
  <c r="I44" i="2"/>
  <c r="J44" i="2" s="1"/>
  <c r="D12" i="5"/>
  <c r="I30" i="2"/>
  <c r="J30" i="2" s="1"/>
  <c r="K20" i="4"/>
  <c r="L20" i="4" s="1"/>
  <c r="E45" i="3"/>
  <c r="K17" i="4"/>
  <c r="L17" i="4" s="1"/>
  <c r="D42" i="15"/>
  <c r="K40" i="4"/>
  <c r="L40" i="4" s="1"/>
  <c r="I43" i="2"/>
  <c r="J43" i="2" s="1"/>
  <c r="I12" i="3"/>
  <c r="I6" i="2"/>
  <c r="J6" i="2" s="1"/>
  <c r="D5" i="1" s="1"/>
  <c r="K27" i="4"/>
  <c r="L27" i="4" s="1"/>
  <c r="K37" i="4"/>
  <c r="H42" i="4"/>
  <c r="N18" i="16"/>
  <c r="E21" i="15"/>
  <c r="B27" i="1"/>
  <c r="L41" i="15"/>
  <c r="N56" i="9"/>
  <c r="N54" i="9" s="1"/>
  <c r="E56" i="9"/>
  <c r="E54" i="9" s="1"/>
  <c r="Q56" i="9"/>
  <c r="Q54" i="9" s="1"/>
  <c r="N6" i="16"/>
  <c r="N37" i="16"/>
  <c r="B28" i="1"/>
  <c r="E6" i="5"/>
  <c r="F6" i="5" s="1"/>
  <c r="L27" i="15"/>
  <c r="I42" i="4"/>
  <c r="C8" i="1"/>
  <c r="I44" i="3"/>
  <c r="I22" i="3"/>
  <c r="J33" i="2"/>
  <c r="B10" i="5" s="1"/>
  <c r="E10" i="5" s="1"/>
  <c r="E16" i="5"/>
  <c r="F16" i="5" s="1"/>
  <c r="E15" i="5"/>
  <c r="I48" i="9"/>
  <c r="G56" i="9"/>
  <c r="F39" i="9"/>
  <c r="B45" i="3"/>
  <c r="I43" i="3"/>
  <c r="J21" i="4"/>
  <c r="M10" i="8"/>
  <c r="L17" i="15"/>
  <c r="H56" i="9"/>
  <c r="H54" i="9" s="1"/>
  <c r="B17" i="1"/>
  <c r="K41" i="4"/>
  <c r="L41" i="4" s="1"/>
  <c r="J15" i="2"/>
  <c r="B16" i="1" s="1"/>
  <c r="C7" i="5"/>
  <c r="J20" i="2"/>
  <c r="C16" i="1" s="1"/>
  <c r="I35" i="2"/>
  <c r="J35" i="2" s="1"/>
  <c r="I35" i="3"/>
  <c r="B33" i="8"/>
  <c r="M33" i="8" s="1"/>
  <c r="F42" i="15"/>
  <c r="M6" i="8"/>
  <c r="P56" i="9"/>
  <c r="I40" i="2"/>
  <c r="J40" i="2" s="1"/>
  <c r="I11" i="2"/>
  <c r="J11" i="2" s="1"/>
  <c r="J9" i="2"/>
  <c r="B10" i="1" s="1"/>
  <c r="C21" i="5"/>
  <c r="R10" i="9"/>
  <c r="F16" i="9"/>
  <c r="K32" i="4"/>
  <c r="L32" i="4" s="1"/>
  <c r="D7" i="5"/>
  <c r="C56" i="9"/>
  <c r="D39" i="9" s="1"/>
  <c r="O48" i="9"/>
  <c r="L56" i="9"/>
  <c r="M48" i="9" s="1"/>
  <c r="O55" i="9"/>
  <c r="N23" i="16"/>
  <c r="I55" i="9"/>
  <c r="C36" i="1"/>
  <c r="C42" i="15"/>
  <c r="L40" i="15"/>
  <c r="E5" i="5"/>
  <c r="C17" i="5"/>
  <c r="C20" i="5"/>
  <c r="B11" i="5"/>
  <c r="C28" i="1"/>
  <c r="F45" i="2"/>
  <c r="D23" i="2"/>
  <c r="D29" i="7" l="1"/>
  <c r="F29" i="7" s="1"/>
  <c r="D17" i="1"/>
  <c r="C22" i="1"/>
  <c r="F18" i="1"/>
  <c r="E17" i="5"/>
  <c r="I23" i="3"/>
  <c r="F19" i="1"/>
  <c r="L21" i="15"/>
  <c r="K21" i="4"/>
  <c r="L21" i="4" s="1"/>
  <c r="M12" i="8"/>
  <c r="D28" i="1"/>
  <c r="F7" i="1"/>
  <c r="C11" i="1"/>
  <c r="K42" i="4"/>
  <c r="L42" i="4" s="1"/>
  <c r="I23" i="2"/>
  <c r="J23" i="2" s="1"/>
  <c r="D8" i="1"/>
  <c r="F8" i="1" s="1"/>
  <c r="B11" i="1"/>
  <c r="I45" i="3"/>
  <c r="L37" i="4"/>
  <c r="F5" i="1"/>
  <c r="F6" i="1"/>
  <c r="O56" i="9"/>
  <c r="D22" i="5"/>
  <c r="B29" i="1"/>
  <c r="C33" i="1"/>
  <c r="D10" i="1"/>
  <c r="B32" i="1"/>
  <c r="B20" i="5"/>
  <c r="E20" i="5" s="1"/>
  <c r="I45" i="2"/>
  <c r="J45" i="2" s="1"/>
  <c r="H6" i="5"/>
  <c r="C27" i="1"/>
  <c r="C29" i="1" s="1"/>
  <c r="H16" i="5"/>
  <c r="F15" i="5"/>
  <c r="C22" i="5"/>
  <c r="B22" i="1"/>
  <c r="D16" i="1"/>
  <c r="D16" i="9"/>
  <c r="L42" i="15"/>
  <c r="D12" i="9"/>
  <c r="D51" i="9"/>
  <c r="D6" i="9"/>
  <c r="D31" i="9"/>
  <c r="D20" i="9"/>
  <c r="D11" i="9"/>
  <c r="D50" i="9"/>
  <c r="D22" i="9"/>
  <c r="D55" i="9"/>
  <c r="D33" i="9"/>
  <c r="D19" i="9"/>
  <c r="D23" i="9"/>
  <c r="D4" i="9"/>
  <c r="D40" i="9"/>
  <c r="D41" i="9"/>
  <c r="C54" i="9"/>
  <c r="D49" i="9"/>
  <c r="D17" i="9"/>
  <c r="D18" i="9"/>
  <c r="D56" i="9"/>
  <c r="D25" i="9"/>
  <c r="D46" i="9"/>
  <c r="D29" i="9"/>
  <c r="D10" i="9"/>
  <c r="D35" i="9"/>
  <c r="D21" i="9"/>
  <c r="D32" i="9"/>
  <c r="D42" i="9"/>
  <c r="D45" i="9"/>
  <c r="D27" i="9"/>
  <c r="D8" i="9"/>
  <c r="D48" i="9"/>
  <c r="D14" i="9"/>
  <c r="D43" i="9"/>
  <c r="D52" i="9"/>
  <c r="F56" i="9"/>
  <c r="D37" i="9"/>
  <c r="M39" i="9"/>
  <c r="M18" i="9"/>
  <c r="M12" i="9"/>
  <c r="M41" i="9"/>
  <c r="M19" i="9"/>
  <c r="M6" i="9"/>
  <c r="M50" i="9"/>
  <c r="M49" i="9"/>
  <c r="M56" i="9"/>
  <c r="M44" i="9"/>
  <c r="M52" i="9"/>
  <c r="M21" i="9"/>
  <c r="M45" i="9"/>
  <c r="M14" i="9"/>
  <c r="M42" i="9"/>
  <c r="M40" i="9"/>
  <c r="M20" i="9"/>
  <c r="M4" i="9"/>
  <c r="M25" i="9"/>
  <c r="L54" i="9"/>
  <c r="M54" i="9" s="1"/>
  <c r="M8" i="9"/>
  <c r="M43" i="9"/>
  <c r="M10" i="9"/>
  <c r="M31" i="9"/>
  <c r="M27" i="9"/>
  <c r="M35" i="9"/>
  <c r="M23" i="9"/>
  <c r="M17" i="9"/>
  <c r="M11" i="9"/>
  <c r="M32" i="9"/>
  <c r="M46" i="9"/>
  <c r="M51" i="9"/>
  <c r="M37" i="9"/>
  <c r="M16" i="9"/>
  <c r="M29" i="9"/>
  <c r="M22" i="9"/>
  <c r="M33" i="9"/>
  <c r="M55" i="9"/>
  <c r="P54" i="9"/>
  <c r="R54" i="9" s="1"/>
  <c r="R56" i="9"/>
  <c r="I56" i="9"/>
  <c r="G54" i="9"/>
  <c r="I54" i="9" s="1"/>
  <c r="E11" i="5"/>
  <c r="F11" i="5" s="1"/>
  <c r="B21" i="5"/>
  <c r="E21" i="5" s="1"/>
  <c r="F21" i="5" s="1"/>
  <c r="H21" i="5" s="1"/>
  <c r="B12" i="5"/>
  <c r="E7" i="5"/>
  <c r="F5" i="5"/>
  <c r="F10" i="5"/>
  <c r="F17" i="1" l="1"/>
  <c r="L29" i="7"/>
  <c r="M29" i="7"/>
  <c r="H29" i="7" s="1"/>
  <c r="F28" i="1"/>
  <c r="F17" i="5"/>
  <c r="H17" i="5" s="1"/>
  <c r="D27" i="1"/>
  <c r="H15" i="5"/>
  <c r="C32" i="1"/>
  <c r="D22" i="1"/>
  <c r="F22" i="1" s="1"/>
  <c r="D11" i="1"/>
  <c r="F11" i="1" s="1"/>
  <c r="F16" i="1"/>
  <c r="E12" i="5"/>
  <c r="F10" i="1"/>
  <c r="D54" i="9"/>
  <c r="F54" i="9"/>
  <c r="B22" i="5"/>
  <c r="O54" i="9"/>
  <c r="F12" i="5"/>
  <c r="H12" i="5" s="1"/>
  <c r="H10" i="5"/>
  <c r="F20" i="5"/>
  <c r="E22" i="5"/>
  <c r="H5" i="5"/>
  <c r="F7" i="5"/>
  <c r="H7" i="5" s="1"/>
  <c r="H11" i="5"/>
  <c r="G29" i="7" l="1"/>
  <c r="I29" i="7" s="1"/>
  <c r="K29" i="7" s="1"/>
  <c r="N29" i="7"/>
  <c r="P29" i="7" s="1"/>
  <c r="F27" i="1"/>
  <c r="D29" i="1"/>
  <c r="F29" i="1" s="1"/>
  <c r="H20" i="5"/>
  <c r="F22" i="5"/>
  <c r="H22" i="5" s="1"/>
  <c r="C25" i="7" l="1"/>
  <c r="B25" i="7"/>
  <c r="D25" i="7" s="1"/>
  <c r="F25" i="7" s="1"/>
  <c r="M25" i="7" l="1"/>
  <c r="H25" i="7" l="1"/>
  <c r="L25" i="7"/>
  <c r="N25" i="7" s="1"/>
  <c r="P25" i="7" s="1"/>
  <c r="G25" i="7" l="1"/>
  <c r="I25" i="7" s="1"/>
  <c r="K25" i="7" s="1"/>
  <c r="C23" i="7" l="1"/>
  <c r="B23" i="7"/>
  <c r="D23" i="7" s="1"/>
  <c r="F23" i="7" s="1"/>
  <c r="L23" i="7" l="1"/>
  <c r="G23" i="7" l="1"/>
  <c r="M23" i="7" l="1"/>
  <c r="N23" i="7" s="1"/>
  <c r="P23" i="7" s="1"/>
  <c r="H23" i="7" l="1"/>
  <c r="I23" i="7" s="1"/>
  <c r="K23" i="7" s="1"/>
  <c r="C21" i="7" l="1"/>
  <c r="B21" i="7"/>
  <c r="M21" i="7"/>
  <c r="D21" i="7" l="1"/>
  <c r="L21" i="7"/>
  <c r="G21" i="7"/>
  <c r="F21" i="7" l="1"/>
  <c r="H21" i="7"/>
  <c r="N21" i="7"/>
  <c r="P21" i="7" l="1"/>
  <c r="I21" i="7"/>
  <c r="K21" i="7" l="1"/>
  <c r="C26" i="7" l="1"/>
  <c r="M26" i="7"/>
  <c r="B26" i="7"/>
  <c r="D26" i="7" l="1"/>
  <c r="F26" i="7" s="1"/>
  <c r="H26" i="7"/>
  <c r="L26" i="7" l="1"/>
  <c r="N26" i="7" s="1"/>
  <c r="P26" i="7" s="1"/>
  <c r="G26" i="7" l="1"/>
  <c r="I26" i="7" s="1"/>
  <c r="K26" i="7" s="1"/>
  <c r="B27" i="7" l="1"/>
  <c r="C27" i="7"/>
  <c r="D27" i="7" l="1"/>
  <c r="F27" i="7" s="1"/>
  <c r="L27" i="7"/>
  <c r="G27" i="7" l="1"/>
  <c r="M27" i="7"/>
  <c r="N27" i="7" s="1"/>
  <c r="P27" i="7" s="1"/>
  <c r="H27" i="7"/>
  <c r="I27" i="7" l="1"/>
  <c r="K27" i="7" s="1"/>
  <c r="M22" i="7" l="1"/>
  <c r="B22" i="7"/>
  <c r="C22" i="7" l="1"/>
  <c r="D22" i="7" s="1"/>
  <c r="L22" i="7"/>
  <c r="F22" i="7" l="1"/>
  <c r="N22" i="7"/>
  <c r="H22" i="7"/>
  <c r="G22" i="7"/>
  <c r="I22" i="7" l="1"/>
  <c r="P22" i="7"/>
  <c r="K22" i="7" l="1"/>
  <c r="C28" i="7" l="1"/>
  <c r="B28" i="7"/>
  <c r="D28" i="7" s="1"/>
  <c r="F28" i="7" s="1"/>
  <c r="L28" i="7" l="1"/>
  <c r="M28" i="7"/>
  <c r="H28" i="7"/>
  <c r="N28" i="7" l="1"/>
  <c r="P28" i="7" s="1"/>
  <c r="G28" i="7"/>
  <c r="I28" i="7" s="1"/>
  <c r="K28" i="7" s="1"/>
  <c r="C24" i="7" l="1"/>
  <c r="C33" i="7" s="1"/>
  <c r="B24" i="7"/>
  <c r="D24" i="7" l="1"/>
  <c r="B33" i="7"/>
  <c r="M24" i="7"/>
  <c r="M33" i="7" s="1"/>
  <c r="F24" i="7" l="1"/>
  <c r="D33" i="7"/>
  <c r="F33" i="7" s="1"/>
  <c r="L24" i="7"/>
  <c r="G24" i="7" l="1"/>
  <c r="H24" i="7"/>
  <c r="H33" i="7" s="1"/>
  <c r="N24" i="7"/>
  <c r="L33" i="7"/>
  <c r="I24" i="7" l="1"/>
  <c r="G33" i="7"/>
  <c r="P24" i="7"/>
  <c r="N33" i="7"/>
  <c r="P33" i="7" s="1"/>
  <c r="K24" i="7" l="1"/>
  <c r="I33" i="7"/>
  <c r="K33" i="7" s="1"/>
  <c r="D33" i="1" l="1"/>
  <c r="G21" i="1" l="1"/>
  <c r="G20" i="1"/>
  <c r="I20" i="1" l="1"/>
  <c r="I21" i="1"/>
  <c r="G18" i="1"/>
  <c r="G7" i="1"/>
  <c r="G5" i="1"/>
  <c r="I18" i="1" l="1"/>
  <c r="I5" i="1"/>
  <c r="I7" i="1"/>
  <c r="G16" i="1"/>
  <c r="D32" i="1"/>
  <c r="G19" i="1"/>
  <c r="I16" i="5"/>
  <c r="I19" i="1" l="1"/>
  <c r="I16" i="1"/>
  <c r="G6" i="1"/>
  <c r="D34" i="1"/>
  <c r="E33" i="1" s="1"/>
  <c r="G10" i="1"/>
  <c r="G17" i="1"/>
  <c r="I17" i="1" l="1"/>
  <c r="E32" i="1"/>
  <c r="G22" i="1"/>
  <c r="I22" i="1" s="1"/>
  <c r="I10" i="1"/>
  <c r="I6" i="1"/>
  <c r="G8" i="1"/>
  <c r="G11" i="1" l="1"/>
  <c r="I11" i="1" s="1"/>
  <c r="I8" i="1"/>
  <c r="I15" i="5"/>
  <c r="I5" i="5"/>
  <c r="I6" i="5"/>
  <c r="I11" i="5"/>
  <c r="G28" i="1"/>
  <c r="G27" i="1"/>
  <c r="I28" i="1" l="1"/>
  <c r="K15" i="5"/>
  <c r="I17" i="5"/>
  <c r="K17" i="5" s="1"/>
  <c r="I27" i="1"/>
  <c r="G29" i="1"/>
  <c r="I29" i="1" s="1"/>
  <c r="K11" i="5"/>
  <c r="K6" i="5"/>
  <c r="I21" i="5"/>
  <c r="K21" i="5" s="1"/>
  <c r="I7" i="5"/>
  <c r="K7" i="5" s="1"/>
  <c r="K5" i="5"/>
  <c r="I10" i="5"/>
  <c r="K10" i="5" l="1"/>
  <c r="I12" i="5"/>
  <c r="K12" i="5" s="1"/>
  <c r="I20" i="5"/>
  <c r="K20" i="5" l="1"/>
  <c r="I22" i="5"/>
  <c r="K22" i="5" s="1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<sst xmlns="http://schemas.openxmlformats.org/spreadsheetml/2006/main" count="533" uniqueCount="218">
  <si>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</si>
  <si>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</si>
  <si>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</si>
  <si>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</si>
  <si>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</si>
  <si>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</si>
  <si>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</si>
  <si>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</si>
  <si>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</si>
  <si>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</si>
  <si>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</si>
  <si>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</si>
  <si>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</si>
  <si>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</si>
  <si>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</si>
  <si>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</si>
  <si>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</si>
  <si>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</si>
  <si>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</si>
  <si>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</si>
  <si>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</si>
  <si>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</si>
  <si>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</si>
  <si>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</si>
  <si>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</si>
  <si>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</si>
  <si>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</si>
  <si>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</si>
  <si>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</si>
  <si>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</si>
  <si>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</si>
  <si>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</si>
  <si>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</si>
  <si>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</si>
  <si>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</si>
  <si>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</si>
  <si>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</si>
  <si>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</si>
  <si>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</si>
  <si>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</si>
  <si>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</si>
  <si>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</si>
  <si>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</si>
  <si>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</si>
  <si>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</si>
  <si>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</si>
  <si>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</si>
  <si>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</si>
  <si>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</si>
  <si>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</si>
  <si>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</si>
  <si>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</si>
  <si>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</si>
  <si>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</si>
  <si>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</si>
  <si>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</si>
  <si>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</si>
  <si>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</si>
  <si>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</si>
  <si>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</si>
  <si>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</si>
  <si>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</si>
  <si>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</si>
  <si>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</si>
  <si>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</si>
  <si>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</si>
  <si>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</si>
  <si>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</si>
  <si>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</si>
  <si>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</si>
  <si>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</si>
  <si>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</si>
  <si>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</si>
  <si>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</si>
  <si>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</si>
  <si>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</si>
  <si>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</si>
  <si>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</si>
  <si>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</si>
  <si>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</si>
  <si>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</si>
  <si>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</si>
  <si>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</si>
  <si>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</si>
  <si>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</si>
  <si>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</si>
  <si>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</si>
  <si>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</si>
  <si>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</si>
  <si>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</si>
  <si>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</si>
  <si>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</si>
  <si>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</si>
  <si>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</si>
  <si>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</si>
  <si>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</si>
  <si>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</si>
  <si>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</si>
  <si>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</si>
  <si>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</si>
  <si>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</si>
  <si>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</si>
  <si>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</si>
  <si>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</si>
  <si>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</si>
  <si>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</si>
  <si>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</si>
  <si>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</si>
  <si>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</si>
  <si>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</si>
  <si>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</si>
  <si>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</si>
  <si>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</si>
  <si>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</si>
  <si>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</si>
  <si>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</si>
  <si>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</si>
  <si>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</si>
  <si>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</si>
  <si>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</si>
  <si>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</si>
  <si>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</si>
  <si>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</si>
  <si>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</si>
  <si>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</si>
  <si>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</si>
  <si>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</si>
  <si>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</si>
  <si>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</si>
  <si>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</si>
  <si>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</si>
  <si>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</si>
  <si>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</si>
  <si>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</si>
  <si>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</si>
  <si>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</si>
  <si>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</si>
  <si>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</si>
  <si>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</si>
  <si>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</si>
  <si>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</si>
  <si>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</si>
  <si>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</si>
  <si>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</si>
  <si>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</si>
  <si>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</si>
  <si>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</si>
  <si>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</si>
  <si>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</si>
  <si>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</si>
  <si>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</si>
  <si>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</si>
  <si>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</si>
  <si>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</si>
  <si>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</si>
  <si>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</si>
  <si>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</si>
  <si>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</si>
  <si>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</si>
  <si>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</si>
  <si>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</si>
  <si>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</si>
  <si>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</si>
  <si>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</si>
  <si>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</si>
  <si>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</si>
  <si>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</si>
  <si>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</si>
  <si>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</si>
  <si>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</si>
  <si>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</si>
  <si>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</si>
  <si>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</si>
  <si>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</si>
  <si>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</si>
  <si>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</si>
  <si>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</si>
  <si>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</si>
  <si>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</si>
  <si>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</si>
  <si>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</si>
  <si>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</si>
  <si>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</si>
  <si>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</si>
  <si>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</si>
  <si>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</si>
  <si>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</si>
  <si>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</si>
  <si>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</si>
  <si>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</si>
  <si>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</si>
  <si>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</si>
  <si>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</si>
  <si>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</si>
  <si>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</si>
  <si>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</si>
  <si>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</si>
  <si>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</si>
  <si>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</si>
  <si>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</si>
  <si>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</si>
  <si>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</si>
  <si>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</si>
  <si>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</si>
  <si>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</si>
  <si>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</si>
  <si>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</si>
  <si>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</si>
  <si>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</si>
  <si>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</si>
  <si>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</si>
  <si>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</si>
  <si>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</si>
  <si>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</si>
  <si>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</si>
  <si>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</si>
  <si>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September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</si>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</sst>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5" xfId="3" applyNumberForma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6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0" fontId="4" fillId="0" borderId="81" xfId="0" applyFont="1" applyBorder="1" applyAlignment="1">
      <alignment horizontal="center"/>
    </xf>
    <xf numFmtId="10" fontId="4" fillId="3" borderId="82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3" xfId="0" applyFont="1" applyFill="1" applyBorder="1" applyAlignment="1">
      <alignment horizont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103"/>
              <a:ext cx="24120" cy="34394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September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ugust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September 2013"/>
    </sheetNames>
    <sheetDataSet>
      <sheetData sheetId="0">
        <row r="5">
          <cell r="D5">
            <v>1877590</v>
          </cell>
          <cell r="G5">
            <v>17556276</v>
          </cell>
        </row>
        <row r="6">
          <cell r="D6">
            <v>753399</v>
          </cell>
          <cell r="G6">
            <v>7360337</v>
          </cell>
        </row>
        <row r="7">
          <cell r="D7">
            <v>1120</v>
          </cell>
          <cell r="G7">
            <v>6993</v>
          </cell>
        </row>
        <row r="10">
          <cell r="D10">
            <v>90715</v>
          </cell>
          <cell r="G10">
            <v>860279</v>
          </cell>
        </row>
        <row r="16">
          <cell r="D16">
            <v>16229</v>
          </cell>
          <cell r="G16">
            <v>145951</v>
          </cell>
        </row>
        <row r="17">
          <cell r="D17">
            <v>16007</v>
          </cell>
          <cell r="G17">
            <v>154566</v>
          </cell>
        </row>
        <row r="18">
          <cell r="D18">
            <v>7</v>
          </cell>
          <cell r="G18">
            <v>70</v>
          </cell>
        </row>
        <row r="19">
          <cell r="D19">
            <v>930</v>
          </cell>
          <cell r="G19">
            <v>8473</v>
          </cell>
        </row>
        <row r="20">
          <cell r="D20">
            <v>1905</v>
          </cell>
          <cell r="G20">
            <v>16184</v>
          </cell>
        </row>
        <row r="21">
          <cell r="D21">
            <v>104</v>
          </cell>
          <cell r="G21">
            <v>958</v>
          </cell>
        </row>
        <row r="27">
          <cell r="D27">
            <v>14879.669053060348</v>
          </cell>
          <cell r="G27">
            <v>134830.47622487365</v>
          </cell>
        </row>
        <row r="28">
          <cell r="D28">
            <v>918.54314653717006</v>
          </cell>
          <cell r="G28">
            <v>10664.211991204309</v>
          </cell>
        </row>
        <row r="32">
          <cell r="B32">
            <v>695741</v>
          </cell>
          <cell r="D32">
            <v>6720757</v>
          </cell>
        </row>
        <row r="33">
          <cell r="B33">
            <v>625416</v>
          </cell>
          <cell r="D33">
            <v>5713087</v>
          </cell>
        </row>
      </sheetData>
      <sheetData sheetId="1"/>
      <sheetData sheetId="2"/>
      <sheetData sheetId="3"/>
      <sheetData sheetId="4"/>
      <sheetData sheetId="5">
        <row r="29">
          <cell r="D29">
            <v>181115</v>
          </cell>
          <cell r="I29">
            <v>2541709</v>
          </cell>
          <cell r="N29">
            <v>2722824</v>
          </cell>
        </row>
      </sheetData>
      <sheetData sheetId="6"/>
      <sheetData sheetId="7">
        <row r="5">
          <cell r="F5">
            <v>6923.4438804769698</v>
          </cell>
          <cell r="I5">
            <v>66292.806102769406</v>
          </cell>
        </row>
        <row r="6">
          <cell r="F6">
            <v>581.93859905335</v>
          </cell>
          <cell r="I6">
            <v>4258.7769475605201</v>
          </cell>
        </row>
        <row r="10">
          <cell r="F10">
            <v>7956.2251725833794</v>
          </cell>
          <cell r="I10">
            <v>68537.670122104275</v>
          </cell>
        </row>
        <row r="11">
          <cell r="F11">
            <v>336.60454748382</v>
          </cell>
          <cell r="I11">
            <v>6405.4350436437908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14879.66905306035</v>
          </cell>
        </row>
        <row r="21">
          <cell r="F21">
            <v>918.54314653716995</v>
          </cell>
        </row>
      </sheetData>
      <sheetData sheetId="8"/>
      <sheetData sheetId="9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G25">
            <v>1403714</v>
          </cell>
          <cell r="H25">
            <v>1368650</v>
          </cell>
          <cell r="L25">
            <v>1489634</v>
          </cell>
          <cell r="M25">
            <v>1461317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117493</v>
          </cell>
          <cell r="C27">
            <v>106705</v>
          </cell>
          <cell r="G27">
            <v>1603453</v>
          </cell>
          <cell r="H27">
            <v>1609153</v>
          </cell>
          <cell r="L27">
            <v>1720946</v>
          </cell>
          <cell r="M27">
            <v>1715858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ugust 2013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224271</v>
          </cell>
          <cell r="I28">
            <v>3099231</v>
          </cell>
          <cell r="N28">
            <v>3323502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16885045</v>
          </cell>
        </row>
        <row r="6">
          <cell r="G6">
            <v>6463790</v>
          </cell>
        </row>
        <row r="7">
          <cell r="G7">
            <v>2980</v>
          </cell>
        </row>
        <row r="10">
          <cell r="G10">
            <v>726076</v>
          </cell>
        </row>
        <row r="16">
          <cell r="G16">
            <v>127746</v>
          </cell>
        </row>
        <row r="17">
          <cell r="G17">
            <v>127285</v>
          </cell>
        </row>
        <row r="18">
          <cell r="G18">
            <v>53</v>
          </cell>
        </row>
        <row r="19">
          <cell r="G19">
            <v>7964</v>
          </cell>
        </row>
        <row r="20">
          <cell r="G20">
            <v>16322</v>
          </cell>
        </row>
        <row r="21">
          <cell r="G21">
            <v>920</v>
          </cell>
        </row>
        <row r="27">
          <cell r="G27">
            <v>121625.05652561187</v>
          </cell>
        </row>
        <row r="28">
          <cell r="G28">
            <v>9394.4699626785696</v>
          </cell>
        </row>
        <row r="32">
          <cell r="D32">
            <v>6358776</v>
          </cell>
        </row>
        <row r="33">
          <cell r="D33">
            <v>5261736</v>
          </cell>
        </row>
      </sheetData>
      <sheetData sheetId="1"/>
      <sheetData sheetId="2"/>
      <sheetData sheetId="3"/>
      <sheetData sheetId="4"/>
      <sheetData sheetId="5">
        <row r="28">
          <cell r="B28">
            <v>115517</v>
          </cell>
          <cell r="C28">
            <v>112775</v>
          </cell>
          <cell r="G28">
            <v>1595845</v>
          </cell>
          <cell r="H28">
            <v>1576867</v>
          </cell>
          <cell r="L28">
            <v>1711362</v>
          </cell>
          <cell r="M28">
            <v>1689642</v>
          </cell>
        </row>
      </sheetData>
      <sheetData sheetId="6"/>
      <sheetData sheetId="7">
        <row r="5">
          <cell r="I5">
            <v>57362.287652636885</v>
          </cell>
        </row>
        <row r="6">
          <cell r="I6">
            <v>4347.1861828048495</v>
          </cell>
        </row>
        <row r="10">
          <cell r="I10">
            <v>64262.768872974979</v>
          </cell>
        </row>
        <row r="11">
          <cell r="I11">
            <v>5047.283779873721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  <cell r="DQ15">
            <v>31</v>
          </cell>
        </row>
        <row r="16"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C19">
            <v>62</v>
          </cell>
          <cell r="DD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</row>
        <row r="32">
          <cell r="DO32">
            <v>7177</v>
          </cell>
          <cell r="DP32">
            <v>7992</v>
          </cell>
          <cell r="DQ32">
            <v>7623</v>
          </cell>
        </row>
        <row r="33">
          <cell r="DO33">
            <v>6962</v>
          </cell>
          <cell r="DP33">
            <v>5379</v>
          </cell>
          <cell r="DQ33">
            <v>6824</v>
          </cell>
        </row>
        <row r="37">
          <cell r="DO37">
            <v>30</v>
          </cell>
          <cell r="DP37">
            <v>41</v>
          </cell>
          <cell r="DQ37">
            <v>51</v>
          </cell>
        </row>
        <row r="38">
          <cell r="DO38">
            <v>20</v>
          </cell>
          <cell r="DP38">
            <v>37</v>
          </cell>
          <cell r="DQ38">
            <v>45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C41">
            <v>14757</v>
          </cell>
          <cell r="DD41">
            <v>527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</row>
      </sheetData>
      <sheetData sheetId="3">
        <row r="4">
          <cell r="DR4">
            <v>59</v>
          </cell>
        </row>
        <row r="5">
          <cell r="DR5">
            <v>59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C19">
            <v>297</v>
          </cell>
          <cell r="DD19">
            <v>238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</row>
        <row r="22">
          <cell r="DR22">
            <v>5895</v>
          </cell>
        </row>
        <row r="23">
          <cell r="DR23">
            <v>6745</v>
          </cell>
        </row>
        <row r="27">
          <cell r="DR27">
            <v>60</v>
          </cell>
        </row>
        <row r="28">
          <cell r="DR28">
            <v>51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C41">
            <v>30648</v>
          </cell>
          <cell r="DD41">
            <v>23390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</row>
      </sheetData>
      <sheetData sheetId="4">
        <row r="4">
          <cell r="DR4">
            <v>57</v>
          </cell>
        </row>
        <row r="5">
          <cell r="DR5">
            <v>57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C19">
            <v>124</v>
          </cell>
          <cell r="DD19">
            <v>120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</row>
        <row r="22">
          <cell r="DR22">
            <v>8154</v>
          </cell>
        </row>
        <row r="23">
          <cell r="DR23">
            <v>7425</v>
          </cell>
        </row>
        <row r="27">
          <cell r="DR27">
            <v>304</v>
          </cell>
        </row>
        <row r="28">
          <cell r="DR28">
            <v>373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C41">
            <v>18625</v>
          </cell>
          <cell r="DD41">
            <v>14387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</row>
        <row r="47">
          <cell r="DR47">
            <v>36441</v>
          </cell>
        </row>
        <row r="52">
          <cell r="DR52">
            <v>8649</v>
          </cell>
        </row>
      </sheetData>
      <sheetData sheetId="5"/>
      <sheetData sheetId="6">
        <row r="4">
          <cell r="DR4">
            <v>198</v>
          </cell>
        </row>
        <row r="5">
          <cell r="DR5">
            <v>198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C19">
            <v>659</v>
          </cell>
          <cell r="DD19">
            <v>608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</row>
        <row r="22">
          <cell r="DR22">
            <v>23016</v>
          </cell>
        </row>
        <row r="23">
          <cell r="DR23">
            <v>23253</v>
          </cell>
        </row>
        <row r="27">
          <cell r="DR27">
            <v>1035</v>
          </cell>
        </row>
        <row r="28">
          <cell r="DR28">
            <v>1086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C41">
            <v>67726</v>
          </cell>
          <cell r="DD41">
            <v>59229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</row>
        <row r="47">
          <cell r="DR47">
            <v>12211</v>
          </cell>
        </row>
        <row r="52">
          <cell r="DR52">
            <v>12286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</sheetData>
      <sheetData sheetId="8">
        <row r="15">
          <cell r="DO15">
            <v>2</v>
          </cell>
          <cell r="DP15">
            <v>9</v>
          </cell>
          <cell r="DQ15">
            <v>8</v>
          </cell>
          <cell r="DR15">
            <v>4</v>
          </cell>
        </row>
        <row r="16">
          <cell r="DO16">
            <v>2</v>
          </cell>
          <cell r="DP16">
            <v>9</v>
          </cell>
          <cell r="DQ16">
            <v>8</v>
          </cell>
          <cell r="DR16">
            <v>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</row>
        <row r="32">
          <cell r="DO32">
            <v>442</v>
          </cell>
          <cell r="DP32">
            <v>2251</v>
          </cell>
          <cell r="DQ32">
            <v>2023</v>
          </cell>
          <cell r="DR32">
            <v>593</v>
          </cell>
        </row>
        <row r="33">
          <cell r="DO33">
            <v>468</v>
          </cell>
          <cell r="DP33">
            <v>1968</v>
          </cell>
          <cell r="DQ33">
            <v>1522</v>
          </cell>
          <cell r="DR33">
            <v>558</v>
          </cell>
        </row>
        <row r="37">
          <cell r="DO37">
            <v>5</v>
          </cell>
          <cell r="DP37">
            <v>11</v>
          </cell>
          <cell r="DQ37">
            <v>10</v>
          </cell>
          <cell r="DR37">
            <v>7</v>
          </cell>
        </row>
        <row r="38">
          <cell r="DO38">
            <v>3</v>
          </cell>
          <cell r="DP38">
            <v>18</v>
          </cell>
          <cell r="DQ38">
            <v>22</v>
          </cell>
          <cell r="DR38">
            <v>10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</row>
      </sheetData>
      <sheetData sheetId="9">
        <row r="4">
          <cell r="DR4">
            <v>4867</v>
          </cell>
        </row>
        <row r="5">
          <cell r="DR5">
            <v>4863</v>
          </cell>
        </row>
        <row r="8">
          <cell r="DR8">
            <v>4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  <cell r="DQ15">
            <v>341</v>
          </cell>
          <cell r="DR15">
            <v>298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  <cell r="DQ16">
            <v>343</v>
          </cell>
          <cell r="DR16">
            <v>299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C19">
            <v>11475</v>
          </cell>
          <cell r="DD19">
            <v>10037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</row>
        <row r="22">
          <cell r="DR22">
            <v>645846</v>
          </cell>
        </row>
        <row r="23">
          <cell r="DR23">
            <v>651571</v>
          </cell>
        </row>
        <row r="27">
          <cell r="DR27">
            <v>23494</v>
          </cell>
        </row>
        <row r="28">
          <cell r="DR28">
            <v>20818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  <cell r="DQ32">
            <v>66942</v>
          </cell>
          <cell r="DR32">
            <v>55019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  <cell r="DQ33">
            <v>65703</v>
          </cell>
          <cell r="DR33">
            <v>55291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  <cell r="DQ37">
            <v>1316</v>
          </cell>
          <cell r="DR37">
            <v>1165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  <cell r="DQ38">
            <v>1195</v>
          </cell>
          <cell r="DR38">
            <v>872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C41">
            <v>1634820</v>
          </cell>
          <cell r="DD41">
            <v>1340393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</row>
        <row r="47">
          <cell r="DR47">
            <v>3970857</v>
          </cell>
        </row>
        <row r="48">
          <cell r="DR48">
            <v>738358</v>
          </cell>
        </row>
        <row r="52">
          <cell r="DR52">
            <v>3838515</v>
          </cell>
        </row>
        <row r="53">
          <cell r="DR53">
            <v>25152</v>
          </cell>
        </row>
        <row r="70">
          <cell r="DR70">
            <v>265189</v>
          </cell>
        </row>
        <row r="71">
          <cell r="DR71">
            <v>386382</v>
          </cell>
        </row>
        <row r="73">
          <cell r="DR73">
            <v>22503</v>
          </cell>
        </row>
        <row r="74">
          <cell r="DR74">
            <v>32788</v>
          </cell>
        </row>
      </sheetData>
      <sheetData sheetId="10">
        <row r="4">
          <cell r="DR4">
            <v>182</v>
          </cell>
        </row>
        <row r="5">
          <cell r="DR5">
            <v>182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C19">
            <v>232</v>
          </cell>
          <cell r="DD19">
            <v>226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</row>
        <row r="22">
          <cell r="DR22">
            <v>24705</v>
          </cell>
        </row>
        <row r="23">
          <cell r="DR23">
            <v>25233</v>
          </cell>
        </row>
        <row r="27">
          <cell r="DR27">
            <v>279</v>
          </cell>
        </row>
        <row r="28">
          <cell r="DR28">
            <v>312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C41">
            <v>30629</v>
          </cell>
          <cell r="DD41">
            <v>31510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</row>
      </sheetData>
      <sheetData sheetId="11">
        <row r="4">
          <cell r="DR4">
            <v>61</v>
          </cell>
        </row>
        <row r="5">
          <cell r="DR5">
            <v>61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C19">
            <v>1138</v>
          </cell>
          <cell r="DD19">
            <v>1096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</row>
        <row r="22">
          <cell r="DR22">
            <v>361</v>
          </cell>
        </row>
        <row r="23">
          <cell r="DR23">
            <v>335</v>
          </cell>
        </row>
        <row r="27">
          <cell r="DR27">
            <v>14</v>
          </cell>
        </row>
        <row r="28">
          <cell r="DR28">
            <v>17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C41">
            <v>4525</v>
          </cell>
          <cell r="DD41">
            <v>4361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</row>
        <row r="47">
          <cell r="DR47">
            <v>96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  <cell r="DQ15">
            <v>31</v>
          </cell>
          <cell r="DR15">
            <v>18</v>
          </cell>
        </row>
        <row r="16">
          <cell r="DN16">
            <v>13</v>
          </cell>
          <cell r="DO16">
            <v>29</v>
          </cell>
          <cell r="DP16">
            <v>31</v>
          </cell>
          <cell r="DQ16">
            <v>31</v>
          </cell>
          <cell r="DR16">
            <v>18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C19">
            <v>62</v>
          </cell>
          <cell r="DD19">
            <v>38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</row>
        <row r="32">
          <cell r="DN32">
            <v>1353</v>
          </cell>
          <cell r="DO32">
            <v>4569</v>
          </cell>
          <cell r="DP32">
            <v>5120</v>
          </cell>
          <cell r="DQ32">
            <v>4978</v>
          </cell>
          <cell r="DR32">
            <v>2783</v>
          </cell>
        </row>
        <row r="33">
          <cell r="DN33">
            <v>2209</v>
          </cell>
          <cell r="DO33">
            <v>4774</v>
          </cell>
          <cell r="DP33">
            <v>4911</v>
          </cell>
          <cell r="DQ33">
            <v>4762</v>
          </cell>
          <cell r="DR33">
            <v>2626</v>
          </cell>
        </row>
        <row r="37">
          <cell r="DN37">
            <v>48</v>
          </cell>
          <cell r="DO37">
            <v>29</v>
          </cell>
          <cell r="DP37">
            <v>71</v>
          </cell>
          <cell r="DQ37">
            <v>48</v>
          </cell>
          <cell r="DR37">
            <v>93</v>
          </cell>
        </row>
        <row r="38">
          <cell r="DN38">
            <v>42</v>
          </cell>
          <cell r="DO38">
            <v>35</v>
          </cell>
          <cell r="DP38">
            <v>75</v>
          </cell>
          <cell r="DQ38">
            <v>79</v>
          </cell>
          <cell r="DR38">
            <v>107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C41">
            <v>9962</v>
          </cell>
          <cell r="DD41">
            <v>5432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</row>
        <row r="47">
          <cell r="DR47">
            <v>5836</v>
          </cell>
        </row>
        <row r="52">
          <cell r="DR52">
            <v>5130</v>
          </cell>
        </row>
      </sheetData>
      <sheetData sheetId="13"/>
      <sheetData sheetId="14">
        <row r="4">
          <cell r="DR4">
            <v>634</v>
          </cell>
        </row>
        <row r="5">
          <cell r="DR5">
            <v>632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C19">
            <v>1281</v>
          </cell>
          <cell r="DD19">
            <v>1235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</row>
        <row r="22">
          <cell r="DR22">
            <v>73007</v>
          </cell>
        </row>
        <row r="23">
          <cell r="DR23">
            <v>72572</v>
          </cell>
        </row>
        <row r="27">
          <cell r="DR27">
            <v>1099</v>
          </cell>
        </row>
        <row r="28">
          <cell r="DR28">
            <v>1138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C41">
            <v>145578</v>
          </cell>
          <cell r="DD41">
            <v>124863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</row>
        <row r="47">
          <cell r="DR47">
            <v>188808</v>
          </cell>
        </row>
        <row r="52">
          <cell r="DR52">
            <v>132022</v>
          </cell>
        </row>
        <row r="70">
          <cell r="DR70">
            <v>71826</v>
          </cell>
        </row>
        <row r="71">
          <cell r="DR71">
            <v>746</v>
          </cell>
        </row>
      </sheetData>
      <sheetData sheetId="15">
        <row r="4">
          <cell r="DR4">
            <v>326</v>
          </cell>
        </row>
        <row r="5">
          <cell r="DR5">
            <v>326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C19">
            <v>370</v>
          </cell>
          <cell r="DD19">
            <v>414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</row>
        <row r="22">
          <cell r="DR22">
            <v>35755</v>
          </cell>
        </row>
        <row r="23">
          <cell r="DR23">
            <v>35762</v>
          </cell>
        </row>
        <row r="27">
          <cell r="DR27">
            <v>338</v>
          </cell>
        </row>
        <row r="28">
          <cell r="DR28">
            <v>239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C41">
            <v>50879</v>
          </cell>
          <cell r="DD41">
            <v>49557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</row>
      </sheetData>
      <sheetData sheetId="16">
        <row r="4">
          <cell r="DR4">
            <v>482</v>
          </cell>
        </row>
        <row r="5">
          <cell r="DR5">
            <v>481</v>
          </cell>
        </row>
        <row r="8">
          <cell r="DR8">
            <v>54</v>
          </cell>
        </row>
        <row r="9">
          <cell r="DR9">
            <v>58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  <cell r="DQ15">
            <v>10</v>
          </cell>
          <cell r="DR15">
            <v>4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  <cell r="DQ16">
            <v>8</v>
          </cell>
          <cell r="DR16">
            <v>4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C19">
            <v>1289</v>
          </cell>
          <cell r="DD19">
            <v>1194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</row>
        <row r="22">
          <cell r="DR22">
            <v>51466</v>
          </cell>
        </row>
        <row r="23">
          <cell r="DR23">
            <v>47400</v>
          </cell>
        </row>
        <row r="27">
          <cell r="DR27">
            <v>1215</v>
          </cell>
        </row>
        <row r="28">
          <cell r="DR28">
            <v>1113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  <cell r="DQ32">
            <v>1237</v>
          </cell>
          <cell r="DR32">
            <v>398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  <cell r="DQ33">
            <v>1106</v>
          </cell>
          <cell r="DR33">
            <v>480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  <cell r="DQ37">
            <v>2</v>
          </cell>
          <cell r="DR37">
            <v>4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  <cell r="DQ38">
            <v>5</v>
          </cell>
          <cell r="DR38">
            <v>6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C41">
            <v>130510</v>
          </cell>
          <cell r="DD41">
            <v>92101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</row>
        <row r="47">
          <cell r="DR47">
            <v>36024</v>
          </cell>
        </row>
        <row r="48">
          <cell r="DR48">
            <v>53808</v>
          </cell>
        </row>
        <row r="53">
          <cell r="DR53">
            <v>240242</v>
          </cell>
        </row>
        <row r="70">
          <cell r="DR70">
            <v>42369</v>
          </cell>
        </row>
        <row r="71">
          <cell r="DR71">
            <v>5031</v>
          </cell>
        </row>
        <row r="73">
          <cell r="DR73">
            <v>480</v>
          </cell>
        </row>
        <row r="74">
          <cell r="DR74">
            <v>0</v>
          </cell>
        </row>
      </sheetData>
      <sheetData sheetId="17">
        <row r="4">
          <cell r="DR4">
            <v>166</v>
          </cell>
        </row>
        <row r="5">
          <cell r="DR5">
            <v>166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C19">
            <v>228</v>
          </cell>
          <cell r="DD19">
            <v>358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</row>
        <row r="22">
          <cell r="DR22">
            <v>19274</v>
          </cell>
        </row>
        <row r="23">
          <cell r="DR23">
            <v>18243</v>
          </cell>
        </row>
        <row r="27">
          <cell r="DR27">
            <v>515</v>
          </cell>
        </row>
        <row r="28">
          <cell r="DR28">
            <v>799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C41">
            <v>23237</v>
          </cell>
          <cell r="DD41">
            <v>36808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</row>
        <row r="47">
          <cell r="DR47">
            <v>26614</v>
          </cell>
        </row>
        <row r="48">
          <cell r="DR48">
            <v>150827</v>
          </cell>
        </row>
        <row r="52">
          <cell r="DR52">
            <v>18804</v>
          </cell>
        </row>
        <row r="53">
          <cell r="DR53">
            <v>203055</v>
          </cell>
        </row>
      </sheetData>
      <sheetData sheetId="18">
        <row r="4">
          <cell r="DR4">
            <v>336</v>
          </cell>
        </row>
        <row r="5">
          <cell r="DR5">
            <v>335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C19">
            <v>726</v>
          </cell>
          <cell r="DD19">
            <v>663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</row>
        <row r="22">
          <cell r="DR22">
            <v>41628</v>
          </cell>
        </row>
        <row r="23">
          <cell r="DR23">
            <v>43964</v>
          </cell>
        </row>
        <row r="27">
          <cell r="DR27">
            <v>1502</v>
          </cell>
        </row>
        <row r="28">
          <cell r="DR28">
            <v>1676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C41">
            <v>104609</v>
          </cell>
          <cell r="DD41">
            <v>95032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</row>
        <row r="47">
          <cell r="DR47">
            <v>32948</v>
          </cell>
        </row>
        <row r="48">
          <cell r="DR48">
            <v>35251</v>
          </cell>
        </row>
        <row r="52">
          <cell r="DR52">
            <v>12096</v>
          </cell>
        </row>
        <row r="53">
          <cell r="DR53">
            <v>65170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  <cell r="DQ15">
            <v>92</v>
          </cell>
          <cell r="DR15">
            <v>87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  <cell r="DQ16">
            <v>92</v>
          </cell>
          <cell r="DR16">
            <v>86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C19">
            <v>182</v>
          </cell>
          <cell r="DD19">
            <v>170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  <cell r="DQ32">
            <v>4081</v>
          </cell>
          <cell r="DR32">
            <v>4188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  <cell r="DQ33">
            <v>3911</v>
          </cell>
          <cell r="DR33">
            <v>3746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  <cell r="DQ37">
            <v>49</v>
          </cell>
          <cell r="DR37">
            <v>45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  <cell r="DQ38">
            <v>52</v>
          </cell>
          <cell r="DR38">
            <v>48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C41">
            <v>7639</v>
          </cell>
          <cell r="DD41">
            <v>6605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C19">
            <v>6</v>
          </cell>
          <cell r="DD19">
            <v>0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C41">
            <v>278</v>
          </cell>
          <cell r="DD41">
            <v>0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</row>
      </sheetData>
      <sheetData sheetId="21">
        <row r="4">
          <cell r="DR4">
            <v>208</v>
          </cell>
        </row>
        <row r="5">
          <cell r="DR5">
            <v>208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C19">
            <v>435</v>
          </cell>
          <cell r="DD19">
            <v>296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</row>
        <row r="22">
          <cell r="DR22">
            <v>13693</v>
          </cell>
        </row>
        <row r="23">
          <cell r="DR23">
            <v>13192</v>
          </cell>
        </row>
        <row r="27">
          <cell r="DR27">
            <v>144</v>
          </cell>
        </row>
        <row r="28">
          <cell r="DR28">
            <v>115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C41">
            <v>21663</v>
          </cell>
          <cell r="DD41">
            <v>12936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</row>
        <row r="47">
          <cell r="DR47">
            <v>20</v>
          </cell>
        </row>
      </sheetData>
      <sheetData sheetId="22">
        <row r="4">
          <cell r="DR4">
            <v>532</v>
          </cell>
        </row>
        <row r="5">
          <cell r="DR5">
            <v>533</v>
          </cell>
        </row>
        <row r="9">
          <cell r="DR9">
            <v>1</v>
          </cell>
        </row>
        <row r="15">
          <cell r="DN15">
            <v>1</v>
          </cell>
          <cell r="DP15">
            <v>2</v>
          </cell>
          <cell r="DR15">
            <v>22</v>
          </cell>
        </row>
        <row r="16">
          <cell r="DN16">
            <v>2</v>
          </cell>
          <cell r="DR16">
            <v>23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C19">
            <v>895</v>
          </cell>
          <cell r="DD19">
            <v>802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</row>
        <row r="22">
          <cell r="DR22">
            <v>28716</v>
          </cell>
        </row>
        <row r="23">
          <cell r="DR23">
            <v>30249</v>
          </cell>
        </row>
        <row r="27">
          <cell r="DR27">
            <v>782</v>
          </cell>
        </row>
        <row r="28">
          <cell r="DR28">
            <v>742</v>
          </cell>
        </row>
        <row r="32">
          <cell r="DR32">
            <v>1157</v>
          </cell>
        </row>
        <row r="33">
          <cell r="DN33">
            <v>96</v>
          </cell>
          <cell r="DR33">
            <v>1366</v>
          </cell>
        </row>
        <row r="37">
          <cell r="DR37">
            <v>23</v>
          </cell>
        </row>
        <row r="38">
          <cell r="DN38">
            <v>4</v>
          </cell>
          <cell r="DR38">
            <v>21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C41">
            <v>50261</v>
          </cell>
          <cell r="DD41">
            <v>42543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</row>
        <row r="70">
          <cell r="DR70">
            <v>9770</v>
          </cell>
        </row>
        <row r="71">
          <cell r="DR71">
            <v>20479</v>
          </cell>
        </row>
        <row r="73">
          <cell r="DR73">
            <v>441</v>
          </cell>
        </row>
        <row r="74">
          <cell r="DR74">
            <v>925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C19">
            <v>88</v>
          </cell>
          <cell r="DD19">
            <v>37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C41">
            <v>3554</v>
          </cell>
          <cell r="DD41">
            <v>1245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</row>
      </sheetData>
      <sheetData sheetId="25"/>
      <sheetData sheetId="26">
        <row r="4">
          <cell r="DR4">
            <v>924</v>
          </cell>
        </row>
        <row r="5">
          <cell r="DR5">
            <v>924</v>
          </cell>
        </row>
        <row r="9">
          <cell r="DR9">
            <v>1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  <cell r="DQ15">
            <v>176</v>
          </cell>
          <cell r="DR15">
            <v>224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  <cell r="DQ16">
            <v>177</v>
          </cell>
          <cell r="DR16">
            <v>225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C19">
            <v>3693</v>
          </cell>
          <cell r="DD19">
            <v>2828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</row>
        <row r="22">
          <cell r="DR22">
            <v>54090</v>
          </cell>
        </row>
        <row r="23">
          <cell r="DR23">
            <v>56763</v>
          </cell>
        </row>
        <row r="27">
          <cell r="DR27">
            <v>1920</v>
          </cell>
        </row>
        <row r="28">
          <cell r="DR28">
            <v>1421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  <cell r="DQ32">
            <v>11430</v>
          </cell>
          <cell r="DR32">
            <v>13779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  <cell r="DQ33">
            <v>11646</v>
          </cell>
          <cell r="DR33">
            <v>13864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  <cell r="DQ37">
            <v>96</v>
          </cell>
          <cell r="DR37">
            <v>155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  <cell r="DQ38">
            <v>74</v>
          </cell>
          <cell r="DR38">
            <v>105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C41">
            <v>224331</v>
          </cell>
          <cell r="DD41">
            <v>161427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</row>
        <row r="70">
          <cell r="BG70">
            <v>26242</v>
          </cell>
          <cell r="DR70">
            <v>17937</v>
          </cell>
        </row>
        <row r="71">
          <cell r="BG71">
            <v>44562</v>
          </cell>
          <cell r="DR71">
            <v>38826</v>
          </cell>
        </row>
        <row r="73">
          <cell r="BG73">
            <v>1540</v>
          </cell>
          <cell r="DR73">
            <v>4381</v>
          </cell>
        </row>
        <row r="74">
          <cell r="BG74">
            <v>2614</v>
          </cell>
          <cell r="DR74">
            <v>9483</v>
          </cell>
        </row>
      </sheetData>
      <sheetData sheetId="27"/>
      <sheetData sheetId="28">
        <row r="4">
          <cell r="DR4">
            <v>223</v>
          </cell>
        </row>
        <row r="5">
          <cell r="DR5">
            <v>223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C19">
            <v>550</v>
          </cell>
          <cell r="DD19">
            <v>518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</row>
        <row r="22">
          <cell r="DR22">
            <v>8990</v>
          </cell>
        </row>
        <row r="23">
          <cell r="DR23">
            <v>9004</v>
          </cell>
        </row>
        <row r="27">
          <cell r="DR27">
            <v>368</v>
          </cell>
        </row>
        <row r="28">
          <cell r="DR28">
            <v>330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C41">
            <v>23319</v>
          </cell>
          <cell r="DD41">
            <v>19536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</row>
      </sheetData>
      <sheetData sheetId="31">
        <row r="4">
          <cell r="DR4">
            <v>92</v>
          </cell>
        </row>
        <row r="5">
          <cell r="DR5">
            <v>92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C19">
            <v>342</v>
          </cell>
          <cell r="DD19">
            <v>130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</row>
        <row r="22">
          <cell r="DR22">
            <v>5765</v>
          </cell>
        </row>
        <row r="23">
          <cell r="DR23">
            <v>5711</v>
          </cell>
        </row>
        <row r="27">
          <cell r="DR27">
            <v>204</v>
          </cell>
        </row>
        <row r="28">
          <cell r="DR28">
            <v>116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C41">
            <v>19404</v>
          </cell>
          <cell r="DD41">
            <v>7611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</row>
      </sheetData>
      <sheetData sheetId="32">
        <row r="4">
          <cell r="DR4">
            <v>91</v>
          </cell>
        </row>
        <row r="5">
          <cell r="DR5">
            <v>91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</row>
        <row r="22">
          <cell r="DR22">
            <v>5573</v>
          </cell>
        </row>
        <row r="23">
          <cell r="DR23">
            <v>5327</v>
          </cell>
        </row>
        <row r="27">
          <cell r="DR27">
            <v>182</v>
          </cell>
        </row>
        <row r="28">
          <cell r="DR28">
            <v>163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</row>
      </sheetData>
      <sheetData sheetId="33">
        <row r="4">
          <cell r="DR4">
            <v>22</v>
          </cell>
        </row>
        <row r="5">
          <cell r="DR5">
            <v>22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</row>
        <row r="22">
          <cell r="DR22">
            <v>1209</v>
          </cell>
        </row>
        <row r="23">
          <cell r="DR23">
            <v>1550</v>
          </cell>
        </row>
        <row r="27">
          <cell r="DR27">
            <v>36</v>
          </cell>
        </row>
        <row r="28">
          <cell r="DR28">
            <v>27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</sheetData>
      <sheetData sheetId="36">
        <row r="4">
          <cell r="DR4">
            <v>3017</v>
          </cell>
        </row>
        <row r="5">
          <cell r="DR5">
            <v>3018</v>
          </cell>
        </row>
        <row r="9">
          <cell r="DR9">
            <v>1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  <cell r="DQ15">
            <v>240</v>
          </cell>
          <cell r="DR15">
            <v>168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  <cell r="DQ16">
            <v>236</v>
          </cell>
          <cell r="DR16">
            <v>165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C19">
            <v>6752</v>
          </cell>
          <cell r="DD19">
            <v>6410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</row>
        <row r="22">
          <cell r="DR22">
            <v>151060</v>
          </cell>
        </row>
        <row r="23">
          <cell r="DR23">
            <v>148631</v>
          </cell>
        </row>
        <row r="27">
          <cell r="DR27">
            <v>4749</v>
          </cell>
        </row>
        <row r="28">
          <cell r="DR28">
            <v>4011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  <cell r="DQ32">
            <v>12771</v>
          </cell>
          <cell r="DR32">
            <v>8568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  <cell r="DQ33">
            <v>12934</v>
          </cell>
          <cell r="DR33">
            <v>8986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  <cell r="DQ37">
            <v>194</v>
          </cell>
          <cell r="DR37">
            <v>191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  <cell r="DQ38">
            <v>186</v>
          </cell>
          <cell r="DR38">
            <v>167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C41">
            <v>308851</v>
          </cell>
          <cell r="DD41">
            <v>280658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</row>
        <row r="70">
          <cell r="DR70">
            <v>38806</v>
          </cell>
        </row>
        <row r="71">
          <cell r="DR71">
            <v>109825</v>
          </cell>
        </row>
        <row r="73">
          <cell r="DR73">
            <v>2345</v>
          </cell>
        </row>
        <row r="74">
          <cell r="DR74">
            <v>6641</v>
          </cell>
        </row>
      </sheetData>
      <sheetData sheetId="37"/>
      <sheetData sheetId="38">
        <row r="4">
          <cell r="DR4">
            <v>32</v>
          </cell>
        </row>
        <row r="5">
          <cell r="DR5">
            <v>32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C19">
            <v>198</v>
          </cell>
          <cell r="DD19">
            <v>173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</row>
        <row r="22">
          <cell r="DR22">
            <v>1910</v>
          </cell>
        </row>
        <row r="23">
          <cell r="DR23">
            <v>1691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C41">
            <v>13694</v>
          </cell>
          <cell r="DD41">
            <v>11901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</row>
      </sheetData>
      <sheetData sheetId="39">
        <row r="4">
          <cell r="DR4">
            <v>196</v>
          </cell>
        </row>
        <row r="5">
          <cell r="DR5">
            <v>196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C19">
            <v>324</v>
          </cell>
          <cell r="DD19">
            <v>248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</row>
        <row r="22">
          <cell r="DR22">
            <v>12327</v>
          </cell>
        </row>
        <row r="23">
          <cell r="DR23">
            <v>11784</v>
          </cell>
        </row>
        <row r="27">
          <cell r="DR27">
            <v>348</v>
          </cell>
        </row>
        <row r="28">
          <cell r="DR28">
            <v>276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C41">
            <v>19213</v>
          </cell>
          <cell r="DD41">
            <v>13747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</row>
      </sheetData>
      <sheetData sheetId="40">
        <row r="4">
          <cell r="DR4">
            <v>1348</v>
          </cell>
        </row>
        <row r="5">
          <cell r="DR5">
            <v>1346</v>
          </cell>
        </row>
        <row r="9">
          <cell r="DR9">
            <v>1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  <cell r="DQ15">
            <v>64</v>
          </cell>
          <cell r="DR15">
            <v>48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  <cell r="DQ16">
            <v>64</v>
          </cell>
          <cell r="DR16">
            <v>48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C19">
            <v>5052</v>
          </cell>
          <cell r="DD19">
            <v>3629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</row>
        <row r="22">
          <cell r="DR22">
            <v>55509</v>
          </cell>
        </row>
        <row r="23">
          <cell r="DR23">
            <v>54718</v>
          </cell>
        </row>
        <row r="27">
          <cell r="DR27">
            <v>2142</v>
          </cell>
        </row>
        <row r="28">
          <cell r="DR28">
            <v>1730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  <cell r="DQ32">
            <v>2649</v>
          </cell>
          <cell r="DR32">
            <v>1763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  <cell r="DQ33">
            <v>2695</v>
          </cell>
          <cell r="DR33">
            <v>1972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  <cell r="DQ37">
            <v>17</v>
          </cell>
          <cell r="DR37">
            <v>25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  <cell r="DQ38">
            <v>14</v>
          </cell>
          <cell r="DR38">
            <v>19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C41">
            <v>221057</v>
          </cell>
          <cell r="DD41">
            <v>153346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</row>
        <row r="70">
          <cell r="DR70">
            <v>12913</v>
          </cell>
        </row>
        <row r="71">
          <cell r="DR71">
            <v>41805</v>
          </cell>
        </row>
        <row r="73">
          <cell r="DR73">
            <v>465</v>
          </cell>
        </row>
        <row r="74">
          <cell r="DR74">
            <v>1507</v>
          </cell>
        </row>
      </sheetData>
      <sheetData sheetId="41">
        <row r="4">
          <cell r="DR4">
            <v>81</v>
          </cell>
        </row>
        <row r="5">
          <cell r="DR5">
            <v>82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C19">
            <v>137</v>
          </cell>
          <cell r="DD19">
            <v>232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</row>
        <row r="22">
          <cell r="DR22">
            <v>5370</v>
          </cell>
        </row>
        <row r="23">
          <cell r="DR23">
            <v>5412</v>
          </cell>
        </row>
        <row r="27">
          <cell r="DR27">
            <v>186</v>
          </cell>
        </row>
        <row r="28">
          <cell r="DR28">
            <v>150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C41">
            <v>7316</v>
          </cell>
          <cell r="DD41">
            <v>13169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</row>
        <row r="70">
          <cell r="DR70">
            <v>2500</v>
          </cell>
        </row>
        <row r="71">
          <cell r="DR71">
            <v>2912</v>
          </cell>
        </row>
      </sheetData>
      <sheetData sheetId="42">
        <row r="4">
          <cell r="DR4">
            <v>125</v>
          </cell>
        </row>
        <row r="5">
          <cell r="DR5">
            <v>125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C19">
            <v>424</v>
          </cell>
          <cell r="DD19">
            <v>534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</row>
        <row r="22">
          <cell r="DR22">
            <v>7183</v>
          </cell>
        </row>
        <row r="23">
          <cell r="DR23">
            <v>7497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C41">
            <v>26626</v>
          </cell>
          <cell r="DD41">
            <v>28675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R4">
            <v>4</v>
          </cell>
        </row>
        <row r="5">
          <cell r="DR5">
            <v>4</v>
          </cell>
        </row>
        <row r="22">
          <cell r="DR22">
            <v>364</v>
          </cell>
        </row>
        <row r="23">
          <cell r="DR23">
            <v>365</v>
          </cell>
        </row>
      </sheetData>
      <sheetData sheetId="50"/>
      <sheetData sheetId="51">
        <row r="4">
          <cell r="DR4">
            <v>21</v>
          </cell>
        </row>
        <row r="5">
          <cell r="DR5">
            <v>21</v>
          </cell>
        </row>
        <row r="47">
          <cell r="DR47">
            <v>556967</v>
          </cell>
        </row>
        <row r="52">
          <cell r="DR52">
            <v>438419</v>
          </cell>
        </row>
      </sheetData>
      <sheetData sheetId="52">
        <row r="15">
          <cell r="DR15">
            <v>21</v>
          </cell>
        </row>
        <row r="16">
          <cell r="DR16">
            <v>21</v>
          </cell>
        </row>
        <row r="47">
          <cell r="DR47">
            <v>17190</v>
          </cell>
        </row>
        <row r="52">
          <cell r="DR52">
            <v>57681</v>
          </cell>
        </row>
      </sheetData>
      <sheetData sheetId="53">
        <row r="4">
          <cell r="DR4">
            <v>90</v>
          </cell>
        </row>
        <row r="5">
          <cell r="DR5">
            <v>90</v>
          </cell>
        </row>
        <row r="47">
          <cell r="DR47">
            <v>6029449</v>
          </cell>
        </row>
        <row r="52">
          <cell r="DR52">
            <v>8493704</v>
          </cell>
        </row>
      </sheetData>
      <sheetData sheetId="54">
        <row r="4">
          <cell r="DR4">
            <v>76</v>
          </cell>
        </row>
        <row r="5">
          <cell r="DR5">
            <v>76</v>
          </cell>
        </row>
        <row r="47">
          <cell r="DR47">
            <v>4623966</v>
          </cell>
        </row>
        <row r="48">
          <cell r="DR48">
            <v>5826</v>
          </cell>
        </row>
        <row r="52">
          <cell r="DR52">
            <v>4544722</v>
          </cell>
        </row>
        <row r="53">
          <cell r="DR53">
            <v>140245</v>
          </cell>
        </row>
      </sheetData>
      <sheetData sheetId="55"/>
      <sheetData sheetId="56"/>
      <sheetData sheetId="57"/>
      <sheetData sheetId="58">
        <row r="4">
          <cell r="DR4">
            <v>232</v>
          </cell>
        </row>
        <row r="5">
          <cell r="DR5">
            <v>232</v>
          </cell>
        </row>
      </sheetData>
      <sheetData sheetId="59"/>
      <sheetData sheetId="60">
        <row r="4">
          <cell r="DR4">
            <v>21</v>
          </cell>
        </row>
        <row r="5">
          <cell r="DR5">
            <v>21</v>
          </cell>
        </row>
        <row r="47">
          <cell r="DR47">
            <v>54301</v>
          </cell>
        </row>
        <row r="52">
          <cell r="DR52">
            <v>141121</v>
          </cell>
        </row>
      </sheetData>
      <sheetData sheetId="61">
        <row r="4">
          <cell r="DR4">
            <v>23</v>
          </cell>
        </row>
        <row r="5">
          <cell r="DR5">
            <v>23</v>
          </cell>
        </row>
        <row r="8">
          <cell r="DR8">
            <v>1</v>
          </cell>
        </row>
        <row r="9">
          <cell r="DR9">
            <v>1</v>
          </cell>
        </row>
        <row r="47">
          <cell r="DR47">
            <v>30660</v>
          </cell>
        </row>
        <row r="52">
          <cell r="DR52">
            <v>24487</v>
          </cell>
        </row>
      </sheetData>
      <sheetData sheetId="62">
        <row r="4">
          <cell r="DR4">
            <v>24</v>
          </cell>
        </row>
        <row r="5">
          <cell r="DR5">
            <v>24</v>
          </cell>
        </row>
      </sheetData>
      <sheetData sheetId="63">
        <row r="4">
          <cell r="DR4">
            <v>980</v>
          </cell>
        </row>
        <row r="5">
          <cell r="DR5">
            <v>980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0,'0'25'46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K14" sqref="K1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41883</v>
      </c>
      <c r="B2" s="17"/>
      <c r="C2" s="17"/>
      <c r="D2" s="481" t="s">
        <v>193</v>
      </c>
      <c r="E2" s="481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2"/>
      <c r="E3" s="483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987900</v>
      </c>
      <c r="C5" s="302">
        <f>'Major Airline Stats'!J5</f>
        <v>991458</v>
      </c>
      <c r="D5" s="5">
        <f>'Major Airline Stats'!J6</f>
        <v>1979358</v>
      </c>
      <c r="E5" s="9">
        <f>'[1]Monthly Summary'!D5</f>
        <v>1877590</v>
      </c>
      <c r="F5" s="41">
        <f>(D5-E5)/E5</f>
        <v>5.4201396471008051E-2</v>
      </c>
      <c r="G5" s="9">
        <f>+D5+'[2]Monthly Summary'!G5</f>
        <v>18864403</v>
      </c>
      <c r="H5" s="9">
        <f>'[1]Monthly Summary'!G5</f>
        <v>17556276</v>
      </c>
      <c r="I5" s="88">
        <f>(G5-H5)/H5</f>
        <v>7.4510505530899607E-2</v>
      </c>
      <c r="J5" s="9"/>
    </row>
    <row r="6" spans="1:14" x14ac:dyDescent="0.2">
      <c r="A6" s="70" t="s">
        <v>5</v>
      </c>
      <c r="B6" s="300">
        <f>'Regional Major'!L5</f>
        <v>380850</v>
      </c>
      <c r="C6" s="300">
        <f>'Regional Major'!L6</f>
        <v>381463</v>
      </c>
      <c r="D6" s="5">
        <f>B6+C6</f>
        <v>762313</v>
      </c>
      <c r="E6" s="9">
        <f>'[1]Monthly Summary'!D6</f>
        <v>753399</v>
      </c>
      <c r="F6" s="41">
        <f>(D6-E6)/E6</f>
        <v>1.1831712014483693E-2</v>
      </c>
      <c r="G6" s="9">
        <f>+D6+'[2]Monthly Summary'!G6</f>
        <v>7226103</v>
      </c>
      <c r="H6" s="9">
        <f>'[1]Monthly Summary'!G6</f>
        <v>7360337</v>
      </c>
      <c r="I6" s="88">
        <f>(G6-H6)/H6</f>
        <v>-1.8237480158856855E-2</v>
      </c>
      <c r="J6" s="21"/>
      <c r="K6" s="2"/>
    </row>
    <row r="7" spans="1:14" x14ac:dyDescent="0.2">
      <c r="A7" s="70" t="s">
        <v>6</v>
      </c>
      <c r="B7" s="9">
        <f>Charter!G5</f>
        <v>364</v>
      </c>
      <c r="C7" s="301">
        <f>Charter!G6</f>
        <v>365</v>
      </c>
      <c r="D7" s="5">
        <f>B7+C7</f>
        <v>729</v>
      </c>
      <c r="E7" s="9">
        <f>'[1]Monthly Summary'!D7</f>
        <v>1120</v>
      </c>
      <c r="F7" s="41">
        <f>(D7-E7)/E7</f>
        <v>-0.34910714285714284</v>
      </c>
      <c r="G7" s="9">
        <f>+D7+'[2]Monthly Summary'!G7</f>
        <v>3709</v>
      </c>
      <c r="H7" s="9">
        <f>'[1]Monthly Summary'!G7</f>
        <v>6993</v>
      </c>
      <c r="I7" s="88">
        <f>(G7-H7)/H7</f>
        <v>-0.46961246961246961</v>
      </c>
      <c r="J7" s="21"/>
      <c r="K7" s="2"/>
    </row>
    <row r="8" spans="1:14" x14ac:dyDescent="0.2">
      <c r="A8" s="73" t="s">
        <v>7</v>
      </c>
      <c r="B8" s="152">
        <f>SUM(B5:B7)</f>
        <v>1369114</v>
      </c>
      <c r="C8" s="152">
        <f>SUM(C5:C7)</f>
        <v>1373286</v>
      </c>
      <c r="D8" s="152">
        <f>SUM(D5:D7)</f>
        <v>2742400</v>
      </c>
      <c r="E8" s="152">
        <f>SUM(E5:E7)</f>
        <v>2632109</v>
      </c>
      <c r="F8" s="95">
        <f>(D8-E8)/E8</f>
        <v>4.1902140070946912E-2</v>
      </c>
      <c r="G8" s="152">
        <f>SUM(G5:G7)</f>
        <v>26094215</v>
      </c>
      <c r="H8" s="152">
        <f>SUM(H5:H7)</f>
        <v>24923606</v>
      </c>
      <c r="I8" s="94">
        <f>(G8-H8)/H8</f>
        <v>4.6967882576863074E-2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42624</v>
      </c>
      <c r="C10" s="303">
        <f>'Major Airline Stats'!J10+'Regional Major'!L11</f>
        <v>38058</v>
      </c>
      <c r="D10" s="124">
        <f>SUM(B10:C10)</f>
        <v>80682</v>
      </c>
      <c r="E10" s="124">
        <f>'[1]Monthly Summary'!D10</f>
        <v>90715</v>
      </c>
      <c r="F10" s="96">
        <f>(D10-E10)/E10</f>
        <v>-0.11059912914071543</v>
      </c>
      <c r="G10" s="118">
        <f>+D10+'[2]Monthly Summary'!G10</f>
        <v>806758</v>
      </c>
      <c r="H10" s="124">
        <f>'[1]Monthly Summary'!G10</f>
        <v>860279</v>
      </c>
      <c r="I10" s="99">
        <f>(G10-H10)/H10</f>
        <v>-6.2213537701141144E-2</v>
      </c>
      <c r="J10" s="263"/>
    </row>
    <row r="11" spans="1:14" ht="15.75" thickBot="1" x14ac:dyDescent="0.3">
      <c r="A11" s="72" t="s">
        <v>15</v>
      </c>
      <c r="B11" s="278">
        <f>B10+B8</f>
        <v>1411738</v>
      </c>
      <c r="C11" s="278">
        <f>C10+C8</f>
        <v>1411344</v>
      </c>
      <c r="D11" s="278">
        <f>D10+D8</f>
        <v>2823082</v>
      </c>
      <c r="E11" s="278">
        <f>E10+E8</f>
        <v>2722824</v>
      </c>
      <c r="F11" s="97">
        <f>(D11-E11)/E11</f>
        <v>3.6821329619542063E-2</v>
      </c>
      <c r="G11" s="278">
        <f>G8+G10</f>
        <v>26900973</v>
      </c>
      <c r="H11" s="278">
        <f>H8+H10</f>
        <v>25783885</v>
      </c>
      <c r="I11" s="100">
        <f>(G11-H11)/H11</f>
        <v>4.3325045857131303E-2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1" t="s">
        <v>193</v>
      </c>
      <c r="E13" s="481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2"/>
      <c r="E14" s="483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7750</v>
      </c>
      <c r="C16" s="311">
        <f>'Major Airline Stats'!J16+'Major Airline Stats'!J20</f>
        <v>7743</v>
      </c>
      <c r="D16" s="49">
        <f t="shared" ref="D16:D21" si="0">SUM(B16:C16)</f>
        <v>15493</v>
      </c>
      <c r="E16" s="9">
        <f>'[1]Monthly Summary'!D16</f>
        <v>16229</v>
      </c>
      <c r="F16" s="98">
        <f t="shared" ref="F16:F22" si="1">(D16-E16)/E16</f>
        <v>-4.5350915028652412E-2</v>
      </c>
      <c r="G16" s="49">
        <f>+D16+'[2]Monthly Summary'!G16</f>
        <v>143239</v>
      </c>
      <c r="H16" s="9">
        <f>'[1]Monthly Summary'!G16</f>
        <v>145951</v>
      </c>
      <c r="I16" s="261">
        <f t="shared" ref="I16:I22" si="2">(G16-H16)/H16</f>
        <v>-1.8581578749032209E-2</v>
      </c>
      <c r="N16" s="134"/>
    </row>
    <row r="17" spans="1:12" x14ac:dyDescent="0.2">
      <c r="A17" s="71" t="s">
        <v>5</v>
      </c>
      <c r="B17" s="49">
        <f>'Regional Major'!L15+'Regional Major'!L18</f>
        <v>7440</v>
      </c>
      <c r="C17" s="49">
        <f>'Regional Major'!L16+'Regional Major'!L19</f>
        <v>7443</v>
      </c>
      <c r="D17" s="49">
        <f>SUM(B17:C17)</f>
        <v>14883</v>
      </c>
      <c r="E17" s="9">
        <f>'[1]Monthly Summary'!D17</f>
        <v>16007</v>
      </c>
      <c r="F17" s="98">
        <f t="shared" si="1"/>
        <v>-7.0219279065408882E-2</v>
      </c>
      <c r="G17" s="49">
        <f>+D17+'[2]Monthly Summary'!G17</f>
        <v>142168</v>
      </c>
      <c r="H17" s="9">
        <f>'[1]Monthly Summary'!G17</f>
        <v>154566</v>
      </c>
      <c r="I17" s="261">
        <f t="shared" si="2"/>
        <v>-8.0211689504807004E-2</v>
      </c>
    </row>
    <row r="18" spans="1:12" x14ac:dyDescent="0.2">
      <c r="A18" s="71" t="s">
        <v>10</v>
      </c>
      <c r="B18" s="49">
        <f>Charter!G10</f>
        <v>4</v>
      </c>
      <c r="C18" s="49">
        <f>Charter!G11</f>
        <v>4</v>
      </c>
      <c r="D18" s="49">
        <f t="shared" si="0"/>
        <v>8</v>
      </c>
      <c r="E18" s="9">
        <f>'[1]Monthly Summary'!D18</f>
        <v>7</v>
      </c>
      <c r="F18" s="98">
        <f t="shared" si="1"/>
        <v>0.14285714285714285</v>
      </c>
      <c r="G18" s="49">
        <f>+D18+'[2]Monthly Summary'!G18</f>
        <v>61</v>
      </c>
      <c r="H18" s="9">
        <f>'[1]Monthly Summary'!G18</f>
        <v>70</v>
      </c>
      <c r="I18" s="261">
        <f t="shared" si="2"/>
        <v>-0.12857142857142856</v>
      </c>
    </row>
    <row r="19" spans="1:12" x14ac:dyDescent="0.2">
      <c r="A19" s="71" t="s">
        <v>11</v>
      </c>
      <c r="B19" s="49">
        <f>Cargo!M4</f>
        <v>484</v>
      </c>
      <c r="C19" s="49">
        <f>Cargo!M5</f>
        <v>484</v>
      </c>
      <c r="D19" s="49">
        <f t="shared" si="0"/>
        <v>968</v>
      </c>
      <c r="E19" s="9">
        <f>'[1]Monthly Summary'!D19</f>
        <v>930</v>
      </c>
      <c r="F19" s="98">
        <f t="shared" si="1"/>
        <v>4.0860215053763443E-2</v>
      </c>
      <c r="G19" s="49">
        <f>+D19+'[2]Monthly Summary'!G19</f>
        <v>8932</v>
      </c>
      <c r="H19" s="9">
        <f>'[1]Monthly Summary'!G19</f>
        <v>8473</v>
      </c>
      <c r="I19" s="261">
        <f t="shared" si="2"/>
        <v>5.4172076006137139E-2</v>
      </c>
    </row>
    <row r="20" spans="1:12" x14ac:dyDescent="0.2">
      <c r="A20" s="71" t="s">
        <v>172</v>
      </c>
      <c r="B20" s="49">
        <f>'[3]General Avation'!$DR$4</f>
        <v>980</v>
      </c>
      <c r="C20" s="49">
        <f>'[3]General Avation'!$DR$5</f>
        <v>980</v>
      </c>
      <c r="D20" s="49">
        <f t="shared" si="0"/>
        <v>1960</v>
      </c>
      <c r="E20" s="9">
        <f>'[1]Monthly Summary'!D20</f>
        <v>1905</v>
      </c>
      <c r="F20" s="98">
        <f t="shared" si="1"/>
        <v>2.8871391076115485E-2</v>
      </c>
      <c r="G20" s="49">
        <f>+D20+'[2]Monthly Summary'!G20</f>
        <v>18282</v>
      </c>
      <c r="H20" s="9">
        <f>'[1]Monthly Summary'!G20</f>
        <v>16184</v>
      </c>
      <c r="I20" s="261">
        <f t="shared" si="2"/>
        <v>0.12963420662382599</v>
      </c>
    </row>
    <row r="21" spans="1:12" ht="12.75" customHeight="1" x14ac:dyDescent="0.2">
      <c r="A21" s="71" t="s">
        <v>12</v>
      </c>
      <c r="B21" s="18">
        <f>'[3]Military '!$DR$4</f>
        <v>24</v>
      </c>
      <c r="C21" s="18">
        <f>'[3]Military '!$DR$5</f>
        <v>24</v>
      </c>
      <c r="D21" s="18">
        <f t="shared" si="0"/>
        <v>48</v>
      </c>
      <c r="E21" s="124">
        <f>'[1]Monthly Summary'!D21</f>
        <v>104</v>
      </c>
      <c r="F21" s="259">
        <f t="shared" si="1"/>
        <v>-0.53846153846153844</v>
      </c>
      <c r="G21" s="124">
        <f>+D21+'[2]Monthly Summary'!G21</f>
        <v>968</v>
      </c>
      <c r="H21" s="124">
        <f>'[1]Monthly Summary'!G21</f>
        <v>958</v>
      </c>
      <c r="I21" s="262">
        <f t="shared" si="2"/>
        <v>1.0438413361169102E-2</v>
      </c>
    </row>
    <row r="22" spans="1:12" ht="15.75" thickBot="1" x14ac:dyDescent="0.3">
      <c r="A22" s="72" t="s">
        <v>31</v>
      </c>
      <c r="B22" s="279">
        <f>SUM(B16:B21)</f>
        <v>16682</v>
      </c>
      <c r="C22" s="279">
        <f>SUM(C16:C21)</f>
        <v>16678</v>
      </c>
      <c r="D22" s="279">
        <f>SUM(D16:D21)</f>
        <v>33360</v>
      </c>
      <c r="E22" s="279">
        <f>SUM(E16:E21)</f>
        <v>35182</v>
      </c>
      <c r="F22" s="275">
        <f t="shared" si="1"/>
        <v>-5.1787846057643111E-2</v>
      </c>
      <c r="G22" s="279">
        <f>SUM(G16:G21)</f>
        <v>313650</v>
      </c>
      <c r="H22" s="279">
        <f>SUM(H16:H21)</f>
        <v>326202</v>
      </c>
      <c r="I22" s="276">
        <f t="shared" si="2"/>
        <v>-3.8479224529585965E-2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1" t="s">
        <v>193</v>
      </c>
      <c r="E24" s="481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2"/>
      <c r="E25" s="483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7086.1959979795602</v>
      </c>
      <c r="C27" s="23">
        <f>(Cargo!M21+'Major Airline Stats'!J33+'Regional Major'!L30)*0.00045359237</f>
        <v>8041.1204277373199</v>
      </c>
      <c r="D27" s="23">
        <f>(SUM(B27:C27)+('Cargo Summary'!E17*0.00045359237))</f>
        <v>15127.316425716879</v>
      </c>
      <c r="E27" s="9">
        <f>'[1]Monthly Summary'!D27</f>
        <v>14879.669053060348</v>
      </c>
      <c r="F27" s="101">
        <f>(D27-E27)/E27</f>
        <v>1.6643338757967641E-2</v>
      </c>
      <c r="G27" s="56">
        <f>+D27+'[2]Monthly Summary'!G27</f>
        <v>136752.37295132875</v>
      </c>
      <c r="H27" s="9">
        <f>'[1]Monthly Summary'!G27</f>
        <v>134830.47622487365</v>
      </c>
      <c r="I27" s="103">
        <f>(G27-H27)/H27</f>
        <v>1.4254171462316244E-2</v>
      </c>
    </row>
    <row r="28" spans="1:12" x14ac:dyDescent="0.2">
      <c r="A28" s="65" t="s">
        <v>18</v>
      </c>
      <c r="B28" s="23">
        <f>(Cargo!M17+'Major Airline Stats'!J29+'Regional Major'!L26)*0.00045359237</f>
        <v>446.36664354589999</v>
      </c>
      <c r="C28" s="23">
        <f>(Cargo!M22+'Major Airline Stats'!J34+'Regional Major'!L31)*0.00045359237</f>
        <v>305.65956881768</v>
      </c>
      <c r="D28" s="23">
        <f>SUM(B28:C28)</f>
        <v>752.02621236358004</v>
      </c>
      <c r="E28" s="9">
        <f>'[1]Monthly Summary'!D28</f>
        <v>918.54314653717006</v>
      </c>
      <c r="F28" s="101">
        <f>(D28-E28)/E28</f>
        <v>-0.18128373697125144</v>
      </c>
      <c r="G28" s="23">
        <f>+D28+'[2]Monthly Summary'!G28</f>
        <v>10146.49617504215</v>
      </c>
      <c r="H28" s="9">
        <f>'[1]Monthly Summary'!G28</f>
        <v>10664.211991204309</v>
      </c>
      <c r="I28" s="103">
        <f>(G28-H28)/H28</f>
        <v>-4.8547029690441626E-2</v>
      </c>
    </row>
    <row r="29" spans="1:12" ht="15.75" thickBot="1" x14ac:dyDescent="0.3">
      <c r="A29" s="66" t="s">
        <v>67</v>
      </c>
      <c r="B29" s="57">
        <f>SUM(B27:B28)</f>
        <v>7532.5626415254601</v>
      </c>
      <c r="C29" s="57">
        <f>SUM(C27:C28)</f>
        <v>8346.7799965550003</v>
      </c>
      <c r="D29" s="57">
        <f>SUM(D27:D28)</f>
        <v>15879.342638080459</v>
      </c>
      <c r="E29" s="57">
        <f>SUM(E27:E28)</f>
        <v>15798.212199597518</v>
      </c>
      <c r="F29" s="102">
        <f>(D29-E29)/E29</f>
        <v>5.1354189612042777E-3</v>
      </c>
      <c r="G29" s="57">
        <f>SUM(G27:G28)</f>
        <v>146898.8691263709</v>
      </c>
      <c r="H29" s="57">
        <f>SUM(H27:H28)</f>
        <v>145494.68821607795</v>
      </c>
      <c r="I29" s="104">
        <f>(G29-H29)/H29</f>
        <v>9.6510802388027322E-3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0" t="s">
        <v>164</v>
      </c>
      <c r="C31" s="479"/>
      <c r="D31" s="480" t="s">
        <v>176</v>
      </c>
      <c r="E31" s="479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715936</v>
      </c>
      <c r="C32" s="413">
        <f>B32/C8</f>
        <v>0.52133058954944567</v>
      </c>
      <c r="D32" s="414">
        <f>+B32+'[2]Monthly Summary'!$D$32</f>
        <v>7074712</v>
      </c>
      <c r="E32" s="415">
        <f>+D32/D34</f>
        <v>0.54446836867865733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657350</v>
      </c>
      <c r="C33" s="418">
        <f>+B33/C8</f>
        <v>0.47866941045055439</v>
      </c>
      <c r="D33" s="419">
        <f>+B33+'[2]Monthly Summary'!$D$33</f>
        <v>5919086</v>
      </c>
      <c r="E33" s="420">
        <f>+D33/D34</f>
        <v>0.45553163132134267</v>
      </c>
      <c r="G33" s="435"/>
      <c r="H33" s="435"/>
      <c r="I33" s="434"/>
    </row>
    <row r="34" spans="1:14" ht="13.5" thickBot="1" x14ac:dyDescent="0.25">
      <c r="B34" s="315"/>
      <c r="D34" s="421">
        <f>SUM(D32:D33)</f>
        <v>12993798</v>
      </c>
    </row>
    <row r="35" spans="1:14" ht="13.5" thickBot="1" x14ac:dyDescent="0.25">
      <c r="B35" s="478" t="s">
        <v>216</v>
      </c>
      <c r="C35" s="479"/>
      <c r="D35" s="480" t="s">
        <v>195</v>
      </c>
      <c r="E35" s="479"/>
    </row>
    <row r="36" spans="1:14" x14ac:dyDescent="0.2">
      <c r="A36" s="411" t="s">
        <v>165</v>
      </c>
      <c r="B36" s="412">
        <f>'[1]Monthly Summary'!$B$32</f>
        <v>695741</v>
      </c>
      <c r="C36" s="413">
        <f>+B36/B38</f>
        <v>0.52661492918706865</v>
      </c>
      <c r="D36" s="414">
        <f>'[1]Monthly Summary'!$D$32</f>
        <v>6720757</v>
      </c>
      <c r="E36" s="415">
        <f>+D36/D38</f>
        <v>0.54052125794726069</v>
      </c>
    </row>
    <row r="37" spans="1:14" ht="13.5" thickBot="1" x14ac:dyDescent="0.25">
      <c r="A37" s="416" t="s">
        <v>166</v>
      </c>
      <c r="B37" s="417">
        <f>'[1]Monthly Summary'!$B$33</f>
        <v>625416</v>
      </c>
      <c r="C37" s="420">
        <f>+B37/B38</f>
        <v>0.47338507081293141</v>
      </c>
      <c r="D37" s="419">
        <f>'[1]Monthly Summary'!$D$33</f>
        <v>5713087</v>
      </c>
      <c r="E37" s="420">
        <f>+D37/D38</f>
        <v>0.45947874205273931</v>
      </c>
    </row>
    <row r="38" spans="1:14" x14ac:dyDescent="0.2">
      <c r="B38" s="443">
        <f>+SUM(B36:B37)</f>
        <v>1321157</v>
      </c>
      <c r="D38" s="421">
        <f>SUM(D36:D37)</f>
        <v>12433844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topLeftCell="A46" zoomScaleNormal="100" zoomScaleSheetLayoutView="85" workbookViewId="0">
      <selection activeCell="H75" sqref="H75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11.140625" customWidth="1"/>
  </cols>
  <sheetData>
    <row r="1" spans="1:23" s="228" customFormat="1" ht="26.25" thickBot="1" x14ac:dyDescent="0.25">
      <c r="A1" s="520" t="s">
        <v>148</v>
      </c>
      <c r="B1" s="521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7" t="s">
        <v>152</v>
      </c>
      <c r="K1" s="528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2">
        <v>41883</v>
      </c>
      <c r="B2" s="523"/>
      <c r="C2" s="524" t="s">
        <v>9</v>
      </c>
      <c r="D2" s="525"/>
      <c r="E2" s="525"/>
      <c r="F2" s="525"/>
      <c r="G2" s="525"/>
      <c r="H2" s="525"/>
      <c r="I2" s="526"/>
      <c r="J2" s="522">
        <v>41883</v>
      </c>
      <c r="K2" s="523"/>
      <c r="L2" s="517" t="s">
        <v>154</v>
      </c>
      <c r="M2" s="518"/>
      <c r="N2" s="518"/>
      <c r="O2" s="518"/>
      <c r="P2" s="518"/>
      <c r="Q2" s="518"/>
      <c r="R2" s="519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[3]AirCanada!$DR$19</f>
        <v>173</v>
      </c>
      <c r="D4" s="353">
        <f>C4/$C$56</f>
        <v>5.7035474086773045E-3</v>
      </c>
      <c r="E4" s="354">
        <f>[3]AirCanada!$DD$19</f>
        <v>170</v>
      </c>
      <c r="F4" s="355">
        <f>(C4-E4)/E4</f>
        <v>1.7647058823529412E-2</v>
      </c>
      <c r="G4" s="354">
        <f>SUM([3]AirCanada!$DJ$19:$DR$19)</f>
        <v>1541</v>
      </c>
      <c r="H4" s="354">
        <f>SUM([3]AirCanada!$CV$19:$DD$19)</f>
        <v>1614</v>
      </c>
      <c r="I4" s="355">
        <f>(G4-H4)/H4</f>
        <v>-4.5229244114002476E-2</v>
      </c>
      <c r="J4" s="351" t="s">
        <v>110</v>
      </c>
      <c r="K4" s="58"/>
      <c r="L4" s="352">
        <f>[3]AirCanada!$DR$41</f>
        <v>7934</v>
      </c>
      <c r="M4" s="353">
        <f>L4/$L$56</f>
        <v>2.8938556084956947E-3</v>
      </c>
      <c r="N4" s="354">
        <f>[3]AirCanada!$DD$41</f>
        <v>6605</v>
      </c>
      <c r="O4" s="355">
        <f>(L4-N4)/N4</f>
        <v>0.20121120363361089</v>
      </c>
      <c r="P4" s="354">
        <f>SUM([3]AirCanada!$DJ$41:$DR$41)</f>
        <v>59033</v>
      </c>
      <c r="Q4" s="354">
        <f>SUM([3]AirCanada!$CV$41:$DD$41)</f>
        <v>54755</v>
      </c>
      <c r="R4" s="355">
        <f>(P4-Q4)/Q4</f>
        <v>7.8129851155145646E-2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France'!$DR$19</f>
        <v>0</v>
      </c>
      <c r="D6" s="353">
        <f>C6/$C$56</f>
        <v>0</v>
      </c>
      <c r="E6" s="354">
        <f>'[3]Air France'!$DD$19</f>
        <v>2</v>
      </c>
      <c r="F6" s="355">
        <f>(C6-E6)/E6</f>
        <v>-1</v>
      </c>
      <c r="G6" s="354">
        <f>SUM('[3]Air France'!$DJ$19:$DR$19)</f>
        <v>182</v>
      </c>
      <c r="H6" s="354">
        <f>SUM('[3]Air France'!$CV$19:$DD$19)</f>
        <v>194</v>
      </c>
      <c r="I6" s="355">
        <f>(G6-H6)/H6</f>
        <v>-6.1855670103092786E-2</v>
      </c>
      <c r="J6" s="351" t="s">
        <v>198</v>
      </c>
      <c r="K6" s="58"/>
      <c r="L6" s="352">
        <f>'[3]Air France'!$DR$41</f>
        <v>0</v>
      </c>
      <c r="M6" s="353">
        <f>L6/$L$56</f>
        <v>0</v>
      </c>
      <c r="N6" s="354">
        <f>'[3]Air France'!$DD$41</f>
        <v>527</v>
      </c>
      <c r="O6" s="355">
        <f>(L6-N6)/N6</f>
        <v>-1</v>
      </c>
      <c r="P6" s="354">
        <f>SUM('[3]Air France'!$DJ$41:$DR$41)</f>
        <v>41957</v>
      </c>
      <c r="Q6" s="354">
        <f>SUM('[3]Air France'!$CV$41:$DD$41)</f>
        <v>45739</v>
      </c>
      <c r="R6" s="355">
        <f>(P6-Q6)/Q6</f>
        <v>-8.2686547585211739E-2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[3]Alaska!$DR$19</f>
        <v>114</v>
      </c>
      <c r="D8" s="353">
        <f>C8/$C$56</f>
        <v>3.7584069629434261E-3</v>
      </c>
      <c r="E8" s="354">
        <f>[3]Alaska!$DD$19</f>
        <v>120</v>
      </c>
      <c r="F8" s="355">
        <f>(C8-E8)/E8</f>
        <v>-0.05</v>
      </c>
      <c r="G8" s="354">
        <f>SUM([3]Alaska!$DJ$19:$DR$19)</f>
        <v>1084</v>
      </c>
      <c r="H8" s="354">
        <f>SUM([3]Alaska!$CV$19:$DD$19)</f>
        <v>1090</v>
      </c>
      <c r="I8" s="355">
        <f>(G8-H8)/H8</f>
        <v>-5.5045871559633031E-3</v>
      </c>
      <c r="J8" s="351" t="s">
        <v>142</v>
      </c>
      <c r="K8" s="58"/>
      <c r="L8" s="352">
        <f>[3]Alaska!$DR$41</f>
        <v>15579</v>
      </c>
      <c r="M8" s="353">
        <f>L8/$L$56</f>
        <v>5.6823010492506217E-3</v>
      </c>
      <c r="N8" s="354">
        <f>[3]Alaska!$DD$41</f>
        <v>14387</v>
      </c>
      <c r="O8" s="355">
        <f>(L8-N8)/N8</f>
        <v>8.2852575241537496E-2</v>
      </c>
      <c r="P8" s="354">
        <f>SUM([3]Alaska!$DJ$41:$DR$41)</f>
        <v>146972</v>
      </c>
      <c r="Q8" s="354">
        <f>SUM([3]Alaska!$CV$41:$DD$41)</f>
        <v>144199</v>
      </c>
      <c r="R8" s="355">
        <f>(P8-Q8)/Q8</f>
        <v>1.9230369142643151E-2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812</v>
      </c>
      <c r="D10" s="353">
        <f>C10/$C$56</f>
        <v>2.677040749043914E-2</v>
      </c>
      <c r="E10" s="357">
        <f>SUM(E11:E12)</f>
        <v>904</v>
      </c>
      <c r="F10" s="355">
        <f>(C10-E10)/E10</f>
        <v>-0.10176991150442478</v>
      </c>
      <c r="G10" s="357">
        <f>SUM(G11:G12)</f>
        <v>8061</v>
      </c>
      <c r="H10" s="357">
        <f>SUM(H11:H12)</f>
        <v>9378</v>
      </c>
      <c r="I10" s="355">
        <f>(G10-H10)/H10</f>
        <v>-0.14043506078055024</v>
      </c>
      <c r="J10" s="351" t="s">
        <v>19</v>
      </c>
      <c r="K10" s="359"/>
      <c r="L10" s="352">
        <f>SUM(L11:L12)</f>
        <v>73154</v>
      </c>
      <c r="M10" s="353">
        <f>L10/$L$56</f>
        <v>2.6682267857813718E-2</v>
      </c>
      <c r="N10" s="357">
        <f>SUM(N11:N12)</f>
        <v>72165</v>
      </c>
      <c r="O10" s="355">
        <f>(L10-N10)/N10</f>
        <v>1.3704704496639646E-2</v>
      </c>
      <c r="P10" s="352">
        <f>SUM(P11:P12)</f>
        <v>728117</v>
      </c>
      <c r="Q10" s="357">
        <f>SUM(Q11:Q12)</f>
        <v>752843</v>
      </c>
      <c r="R10" s="355">
        <f>(P10-Q10)/Q10</f>
        <v>-3.2843501234653176E-2</v>
      </c>
      <c r="T10" s="21"/>
    </row>
    <row r="11" spans="1:23" ht="14.1" customHeight="1" x14ac:dyDescent="0.2">
      <c r="A11" s="55"/>
      <c r="B11" s="360" t="s">
        <v>19</v>
      </c>
      <c r="C11" s="356">
        <f>[3]American!$DR$19</f>
        <v>396</v>
      </c>
      <c r="D11" s="41">
        <f>C11/$C$56</f>
        <v>1.3055518923908743E-2</v>
      </c>
      <c r="E11" s="9">
        <f>[3]American!$DD$19</f>
        <v>608</v>
      </c>
      <c r="F11" s="89">
        <f>(C11-E11)/E11</f>
        <v>-0.34868421052631576</v>
      </c>
      <c r="G11" s="9">
        <f>SUM([3]American!$DJ$19:$DR$19)</f>
        <v>3958</v>
      </c>
      <c r="H11" s="9">
        <f>SUM([3]American!$CV$19:$DD$19)</f>
        <v>5445</v>
      </c>
      <c r="I11" s="89">
        <f>(G11-H11)/H11</f>
        <v>-0.27309458218549126</v>
      </c>
      <c r="J11" s="55"/>
      <c r="K11" s="360" t="s">
        <v>19</v>
      </c>
      <c r="L11" s="356">
        <f>[3]American!$DR$41</f>
        <v>46269</v>
      </c>
      <c r="M11" s="41">
        <f>L11/$L$56</f>
        <v>1.6876204329403493E-2</v>
      </c>
      <c r="N11" s="9">
        <f>[3]American!$DD$41</f>
        <v>59229</v>
      </c>
      <c r="O11" s="89">
        <f>(L11-N11)/N11</f>
        <v>-0.21881173074000912</v>
      </c>
      <c r="P11" s="9">
        <f>SUM([3]American!$DJ$41:$DR$41)</f>
        <v>471967</v>
      </c>
      <c r="Q11" s="9">
        <f>SUM([3]American!$CV$41:$DD$41)</f>
        <v>575155</v>
      </c>
      <c r="R11" s="89">
        <f>(P11-Q11)/Q11</f>
        <v>-0.17940902887047838</v>
      </c>
      <c r="T11" s="21"/>
    </row>
    <row r="12" spans="1:23" ht="14.1" customHeight="1" x14ac:dyDescent="0.2">
      <c r="A12" s="55"/>
      <c r="B12" s="360" t="s">
        <v>174</v>
      </c>
      <c r="C12" s="356">
        <f>'[3]American Eagle'!$DR$19</f>
        <v>416</v>
      </c>
      <c r="D12" s="41">
        <f>C12/$C$56</f>
        <v>1.3714888566530397E-2</v>
      </c>
      <c r="E12" s="9">
        <f>'[3]American Eagle'!$DD$19</f>
        <v>296</v>
      </c>
      <c r="F12" s="89">
        <f>(C12-E12)/E12</f>
        <v>0.40540540540540543</v>
      </c>
      <c r="G12" s="9">
        <f>SUM('[3]American Eagle'!$DJ$19:$DR$19)</f>
        <v>4103</v>
      </c>
      <c r="H12" s="9">
        <f>SUM('[3]American Eagle'!$CV$19:$DD$19)</f>
        <v>3933</v>
      </c>
      <c r="I12" s="89">
        <f>(G12-H12)/H12</f>
        <v>4.3224002034070681E-2</v>
      </c>
      <c r="J12" s="55"/>
      <c r="K12" s="360" t="s">
        <v>174</v>
      </c>
      <c r="L12" s="356">
        <f>'[3]American Eagle'!$DR$41</f>
        <v>26885</v>
      </c>
      <c r="M12" s="41">
        <f>L12/$L$56</f>
        <v>9.806063528410229E-3</v>
      </c>
      <c r="N12" s="9">
        <f>'[3]American Eagle'!$DD$41</f>
        <v>12936</v>
      </c>
      <c r="O12" s="89">
        <f>(L12-N12)/N12</f>
        <v>1.078308596165739</v>
      </c>
      <c r="P12" s="9">
        <f>SUM('[3]American Eagle'!$DJ$41:$DR$41)</f>
        <v>256150</v>
      </c>
      <c r="Q12" s="9">
        <f>SUM('[3]American Eagle'!$CV$41:$DD$41)</f>
        <v>177688</v>
      </c>
      <c r="R12" s="89">
        <f>(P12-Q12)/Q12</f>
        <v>0.44157174373058394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[3]Condor!$DR$19</f>
        <v>8</v>
      </c>
      <c r="D14" s="353">
        <f t="shared" ref="D14:D23" si="0">C14/$C$56</f>
        <v>2.6374785704866147E-4</v>
      </c>
      <c r="E14" s="354">
        <f>[3]Condor!$DD$19</f>
        <v>0</v>
      </c>
      <c r="F14" s="355" t="e">
        <f>(C14-E14)/E14</f>
        <v>#DIV/0!</v>
      </c>
      <c r="G14" s="354">
        <f>SUM([3]Condor!$DJ$19:$DR$19)</f>
        <v>46</v>
      </c>
      <c r="H14" s="354">
        <f>SUM([3]Condor!$CV$19:$DD$19)</f>
        <v>0</v>
      </c>
      <c r="I14" s="355" t="e">
        <f>(G14-H14)/H14</f>
        <v>#DIV/0!</v>
      </c>
      <c r="J14" s="351" t="s">
        <v>215</v>
      </c>
      <c r="K14" s="361"/>
      <c r="L14" s="352">
        <f>[3]Condor!$DR$41</f>
        <v>1151</v>
      </c>
      <c r="M14" s="353">
        <f t="shared" ref="M14:M23" si="1">L14/$L$56</f>
        <v>4.1981696563883852E-4</v>
      </c>
      <c r="N14" s="354">
        <f>[3]Condor!$DD$41</f>
        <v>0</v>
      </c>
      <c r="O14" s="355" t="e">
        <f>(L14-N14)/N14</f>
        <v>#DIV/0!</v>
      </c>
      <c r="P14" s="354">
        <f>SUM([3]Condor!$DJ$41:$DR$41)</f>
        <v>9825</v>
      </c>
      <c r="Q14" s="354">
        <f>SUM([3]Condor!$CV$41:$DD$41)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23063</v>
      </c>
      <c r="D16" s="353">
        <f t="shared" si="0"/>
        <v>0.76035210338915993</v>
      </c>
      <c r="E16" s="354">
        <f>SUM(E17:E23)</f>
        <v>23938</v>
      </c>
      <c r="F16" s="355">
        <f t="shared" ref="F16:F23" si="2">(C16-E16)/E16</f>
        <v>-3.6552761300025063E-2</v>
      </c>
      <c r="G16" s="357">
        <f>SUM(G17:G23)</f>
        <v>216407</v>
      </c>
      <c r="H16" s="357">
        <f>SUM(H17:H23)</f>
        <v>224095</v>
      </c>
      <c r="I16" s="355">
        <f>(G16-H16)/H16</f>
        <v>-3.4306878779089223E-2</v>
      </c>
      <c r="J16" s="351" t="s">
        <v>20</v>
      </c>
      <c r="K16" s="365"/>
      <c r="L16" s="352">
        <f>SUM(L17:L23)</f>
        <v>2049700</v>
      </c>
      <c r="M16" s="353">
        <f t="shared" si="1"/>
        <v>0.74760976061679174</v>
      </c>
      <c r="N16" s="354">
        <f>SUM(N17:N23)</f>
        <v>1991536</v>
      </c>
      <c r="O16" s="355">
        <f t="shared" ref="O16:O23" si="3">(L16-N16)/N16</f>
        <v>2.9205598091121627E-2</v>
      </c>
      <c r="P16" s="354">
        <f>SUM(P17:P23)</f>
        <v>19358165</v>
      </c>
      <c r="Q16" s="354">
        <f>SUM(Q17:Q23)</f>
        <v>18719151</v>
      </c>
      <c r="R16" s="355">
        <f t="shared" ref="R16:R23" si="4">(P16-Q16)/Q16</f>
        <v>3.4136911444327789E-2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[3]Delta!$DR$19</f>
        <v>10331</v>
      </c>
      <c r="D17" s="41">
        <f t="shared" si="0"/>
        <v>0.34059738889621521</v>
      </c>
      <c r="E17" s="9">
        <f>[3]Delta!$DD$19</f>
        <v>10037</v>
      </c>
      <c r="F17" s="89">
        <f t="shared" si="2"/>
        <v>2.9291621002291521E-2</v>
      </c>
      <c r="G17" s="9">
        <f>SUM([3]Delta!$DJ$19:$DR$19)</f>
        <v>93958</v>
      </c>
      <c r="H17" s="9">
        <f>SUM([3]Delta!$CV$19:$DD$19)</f>
        <v>90160</v>
      </c>
      <c r="I17" s="89">
        <f t="shared" ref="I17:I23" si="5">(G17-H17)/H17</f>
        <v>4.2125110913930792E-2</v>
      </c>
      <c r="J17" s="55"/>
      <c r="K17" s="360" t="s">
        <v>20</v>
      </c>
      <c r="L17" s="356">
        <f>[3]Delta!$DR$41</f>
        <v>1407727</v>
      </c>
      <c r="M17" s="41">
        <f t="shared" si="1"/>
        <v>0.51345584499380126</v>
      </c>
      <c r="N17" s="9">
        <f>[3]Delta!$DD$41</f>
        <v>1340393</v>
      </c>
      <c r="O17" s="89">
        <f t="shared" si="3"/>
        <v>5.023452077114697E-2</v>
      </c>
      <c r="P17" s="9">
        <f>SUM([3]Delta!$DJ$41:$DR$41)</f>
        <v>13236289</v>
      </c>
      <c r="Q17" s="9">
        <f>SUM([3]Delta!$CV$41:$DD$41)</f>
        <v>12351890</v>
      </c>
      <c r="R17" s="89">
        <f t="shared" si="4"/>
        <v>7.1600297606277258E-2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[3]Compass!$DR$19</f>
        <v>2298</v>
      </c>
      <c r="D18" s="41">
        <f t="shared" si="0"/>
        <v>7.5761571937228003E-2</v>
      </c>
      <c r="E18" s="9">
        <f>[3]Compass!$DD$19</f>
        <v>2828</v>
      </c>
      <c r="F18" s="89">
        <f t="shared" si="2"/>
        <v>-0.18741159830268742</v>
      </c>
      <c r="G18" s="9">
        <f>SUM([3]Compass!$DJ$19:$DR$19)</f>
        <v>21296</v>
      </c>
      <c r="H18" s="9">
        <f>SUM([3]Compass!$CV$19:$DD$19)</f>
        <v>32074</v>
      </c>
      <c r="I18" s="89">
        <f t="shared" si="5"/>
        <v>-0.33603541809565379</v>
      </c>
      <c r="J18" s="55"/>
      <c r="K18" s="362" t="s">
        <v>131</v>
      </c>
      <c r="L18" s="356">
        <f>[3]Compass!$DR$41</f>
        <v>138496</v>
      </c>
      <c r="M18" s="41">
        <f t="shared" si="1"/>
        <v>5.0515178517043076E-2</v>
      </c>
      <c r="N18" s="9">
        <f>[3]Compass!$DD$41</f>
        <v>161427</v>
      </c>
      <c r="O18" s="89">
        <f t="shared" si="3"/>
        <v>-0.14205182528325497</v>
      </c>
      <c r="P18" s="9">
        <f>SUM([3]Compass!$DJ$41:$DR$41)</f>
        <v>1317256</v>
      </c>
      <c r="Q18" s="9">
        <f>SUM([3]Compass!$CV$41:$DD$41)</f>
        <v>1877762</v>
      </c>
      <c r="R18" s="89">
        <f t="shared" si="4"/>
        <v>-0.2984968276064805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[3]Pinnacle!$DR$19</f>
        <v>6369</v>
      </c>
      <c r="D19" s="41">
        <f t="shared" si="0"/>
        <v>0.20997626269286562</v>
      </c>
      <c r="E19" s="9">
        <f>[3]Pinnacle!$DD$19</f>
        <v>6410</v>
      </c>
      <c r="F19" s="89">
        <f t="shared" si="2"/>
        <v>-6.3962558502340091E-3</v>
      </c>
      <c r="G19" s="9">
        <f>SUM([3]Pinnacle!$DJ$19:$DR$19)</f>
        <v>61982</v>
      </c>
      <c r="H19" s="9">
        <f>SUM([3]Pinnacle!$CV$19:$DD$19)</f>
        <v>51959</v>
      </c>
      <c r="I19" s="89">
        <f t="shared" si="5"/>
        <v>0.1929020958832926</v>
      </c>
      <c r="J19" s="55"/>
      <c r="K19" s="361" t="s">
        <v>204</v>
      </c>
      <c r="L19" s="356">
        <f>[3]Pinnacle!$DR$41</f>
        <v>317245</v>
      </c>
      <c r="M19" s="41">
        <f t="shared" si="1"/>
        <v>0.11571227911737039</v>
      </c>
      <c r="N19" s="9">
        <f>[3]Pinnacle!$DD$41</f>
        <v>280658</v>
      </c>
      <c r="O19" s="89">
        <f t="shared" si="3"/>
        <v>0.13036150759999715</v>
      </c>
      <c r="P19" s="9">
        <f>SUM([3]Pinnacle!$DJ$41:$DR$41)</f>
        <v>3005820</v>
      </c>
      <c r="Q19" s="9">
        <f>SUM([3]Pinnacle!$CV$41:$DD$41)</f>
        <v>2329226</v>
      </c>
      <c r="R19" s="89">
        <f t="shared" si="4"/>
        <v>0.29048018526325914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Jet'!$DR$19</f>
        <v>0</v>
      </c>
      <c r="D20" s="41">
        <f t="shared" si="0"/>
        <v>0</v>
      </c>
      <c r="E20" s="9">
        <f>'[3]Go Jet'!$DD$19</f>
        <v>0</v>
      </c>
      <c r="F20" s="89" t="e">
        <f>(C20-E20)/E20</f>
        <v>#DIV/0!</v>
      </c>
      <c r="G20" s="9">
        <f>SUM('[3]Go Jet'!$DJ$19:$DR$19)</f>
        <v>0</v>
      </c>
      <c r="H20" s="9">
        <f>SUM('[3]Go Jet'!$CV$19:$DD$19)</f>
        <v>0</v>
      </c>
      <c r="I20" s="89" t="e">
        <f>(G20-H20)/H20</f>
        <v>#DIV/0!</v>
      </c>
      <c r="J20" s="55"/>
      <c r="K20" s="361" t="s">
        <v>181</v>
      </c>
      <c r="L20" s="356">
        <f>'[3]Go Jet'!$DR$41</f>
        <v>0</v>
      </c>
      <c r="M20" s="41">
        <f t="shared" si="1"/>
        <v>0</v>
      </c>
      <c r="N20" s="9">
        <f>'[3]Go Jet'!$DD$41</f>
        <v>0</v>
      </c>
      <c r="O20" s="89" t="e">
        <f>(L20-N20)/N20</f>
        <v>#DIV/0!</v>
      </c>
      <c r="P20" s="9">
        <f>SUM('[3]Go Jet'!$DJ$41:$DR$41)</f>
        <v>0</v>
      </c>
      <c r="Q20" s="9">
        <f>SUM('[3]Go Jet'!$CV$41:$DD$41)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West'!$DR$19</f>
        <v>2791</v>
      </c>
      <c r="D21" s="41">
        <f t="shared" si="0"/>
        <v>9.2015033627851781E-2</v>
      </c>
      <c r="E21" s="9">
        <f>'[3]Sky West'!$DD$19</f>
        <v>3629</v>
      </c>
      <c r="F21" s="89">
        <f t="shared" si="2"/>
        <v>-0.23091760815651693</v>
      </c>
      <c r="G21" s="9">
        <f>SUM('[3]Sky West'!$DJ$19:$DR$19)</f>
        <v>28090</v>
      </c>
      <c r="H21" s="9">
        <f>SUM('[3]Sky West'!$CV$19:$DD$19)</f>
        <v>41722</v>
      </c>
      <c r="I21" s="89">
        <f t="shared" si="5"/>
        <v>-0.32673409711902596</v>
      </c>
      <c r="J21" s="55"/>
      <c r="K21" s="361" t="s">
        <v>109</v>
      </c>
      <c r="L21" s="356">
        <f>'[3]Sky West'!$DR$41</f>
        <v>113962</v>
      </c>
      <c r="M21" s="41">
        <f t="shared" si="1"/>
        <v>4.156662123208802E-2</v>
      </c>
      <c r="N21" s="9">
        <f>'[3]Sky West'!$DD$41</f>
        <v>153346</v>
      </c>
      <c r="O21" s="89">
        <f t="shared" si="3"/>
        <v>-0.25683095744264606</v>
      </c>
      <c r="P21" s="9">
        <f>SUM('[3]Sky West'!$DJ$41:$DR$41)</f>
        <v>1153342</v>
      </c>
      <c r="Q21" s="9">
        <f>SUM('[3]Sky West'!$CV$41:$DD$41)</f>
        <v>1722547</v>
      </c>
      <c r="R21" s="89">
        <f t="shared" si="4"/>
        <v>-0.33044381372467629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America_Delta'!$DR$19</f>
        <v>163</v>
      </c>
      <c r="D22" s="41">
        <f t="shared" si="0"/>
        <v>5.3738625873664776E-3</v>
      </c>
      <c r="E22" s="9">
        <f>'[3]Shuttle America_Delta'!$DD$19</f>
        <v>232</v>
      </c>
      <c r="F22" s="89">
        <f t="shared" si="2"/>
        <v>-0.29741379310344829</v>
      </c>
      <c r="G22" s="9">
        <f>SUM('[3]Shuttle America_Delta'!$DJ$19:$DR$19)</f>
        <v>2224</v>
      </c>
      <c r="H22" s="9">
        <f>SUM('[3]Shuttle America_Delta'!$CV$19:$DD$19)</f>
        <v>1080</v>
      </c>
      <c r="I22" s="89">
        <f t="shared" si="5"/>
        <v>1.0592592592592593</v>
      </c>
      <c r="J22" s="55"/>
      <c r="K22" s="361" t="s">
        <v>147</v>
      </c>
      <c r="L22" s="356">
        <f>'[3]Shuttle America_Delta'!$DR$41</f>
        <v>10782</v>
      </c>
      <c r="M22" s="41">
        <f t="shared" si="1"/>
        <v>3.9326381611798061E-3</v>
      </c>
      <c r="N22" s="9">
        <f>'[3]Shuttle America_Delta'!$DD$41</f>
        <v>13169</v>
      </c>
      <c r="O22" s="89">
        <f t="shared" si="3"/>
        <v>-0.1812590173893234</v>
      </c>
      <c r="P22" s="9">
        <f>SUM('[3]Shuttle America_Delta'!$DJ$41:$DR$41)</f>
        <v>137274</v>
      </c>
      <c r="Q22" s="9">
        <f>SUM('[3]Shuttle America_Delta'!$CV$41:$DD$41)</f>
        <v>61226</v>
      </c>
      <c r="R22" s="89">
        <f t="shared" si="4"/>
        <v>1.2420866951948519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Southeast'!$DR$19</f>
        <v>1111</v>
      </c>
      <c r="D23" s="41">
        <f t="shared" si="0"/>
        <v>3.662798364763286E-2</v>
      </c>
      <c r="E23" s="9">
        <f>'[3]Atlantic Southeast'!$DD$19</f>
        <v>802</v>
      </c>
      <c r="F23" s="89">
        <f t="shared" si="2"/>
        <v>0.385286783042394</v>
      </c>
      <c r="G23" s="9">
        <f>SUM('[3]Atlantic Southeast'!$DJ$19:$DR$19)</f>
        <v>8857</v>
      </c>
      <c r="H23" s="9">
        <f>SUM('[3]Atlantic Southeast'!$CV$19:$DD$19)</f>
        <v>7100</v>
      </c>
      <c r="I23" s="89">
        <f t="shared" si="5"/>
        <v>0.24746478873239436</v>
      </c>
      <c r="J23" s="55"/>
      <c r="K23" s="366" t="s">
        <v>55</v>
      </c>
      <c r="L23" s="356">
        <f>'[3]Atlantic Southeast'!$DR$41</f>
        <v>61488</v>
      </c>
      <c r="M23" s="41">
        <f t="shared" si="1"/>
        <v>2.2427198595309211E-2</v>
      </c>
      <c r="N23" s="9">
        <f>'[3]Atlantic Southeast'!$DD$41</f>
        <v>42543</v>
      </c>
      <c r="O23" s="89">
        <f t="shared" si="3"/>
        <v>0.44531415273958114</v>
      </c>
      <c r="P23" s="9">
        <f>SUM('[3]Atlantic Southeast'!$DJ$41:$DR$41)</f>
        <v>508184</v>
      </c>
      <c r="Q23" s="9">
        <f>SUM('[3]Atlantic Southeast'!$CV$41:$DD$41)</f>
        <v>376500</v>
      </c>
      <c r="R23" s="89">
        <f t="shared" si="4"/>
        <v>0.34975830013280212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[3]Frontier!$DR$19</f>
        <v>364</v>
      </c>
      <c r="D25" s="353">
        <f>C25/$C$56</f>
        <v>1.2000527495714097E-2</v>
      </c>
      <c r="E25" s="354">
        <f>[3]Frontier!$DD$19</f>
        <v>226</v>
      </c>
      <c r="F25" s="355">
        <f>(C25-E25)/E25</f>
        <v>0.61061946902654862</v>
      </c>
      <c r="G25" s="354">
        <f>SUM([3]Frontier!$DJ$19:$DR$19)</f>
        <v>2287</v>
      </c>
      <c r="H25" s="354">
        <f>SUM([3]Frontier!$CV$19:$DD$19)</f>
        <v>1876</v>
      </c>
      <c r="I25" s="355">
        <f>(G25-H25)/H25</f>
        <v>0.21908315565031983</v>
      </c>
      <c r="J25" s="351" t="s">
        <v>51</v>
      </c>
      <c r="K25" s="367"/>
      <c r="L25" s="352">
        <f>[3]Frontier!$DR$41</f>
        <v>49938</v>
      </c>
      <c r="M25" s="353">
        <f>L25/$L$56</f>
        <v>1.8214439296326948E-2</v>
      </c>
      <c r="N25" s="354">
        <f>[3]Frontier!$DD$41</f>
        <v>31510</v>
      </c>
      <c r="O25" s="355">
        <f>(L25-N25)/N25</f>
        <v>0.58483021263091084</v>
      </c>
      <c r="P25" s="354">
        <f>SUM([3]Frontier!$DJ$41:$DR$41)</f>
        <v>327245</v>
      </c>
      <c r="Q25" s="354">
        <f>SUM([3]Frontier!$CV$41:$DD$41)</f>
        <v>264811</v>
      </c>
      <c r="R25" s="355">
        <f>(P25-Q25)/Q25</f>
        <v>0.23576815162512132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Lakes'!$DR$19</f>
        <v>122</v>
      </c>
      <c r="D27" s="353">
        <f>C27/$C$56</f>
        <v>4.0221548199920873E-3</v>
      </c>
      <c r="E27" s="354">
        <f>'[3]Great Lakes'!$DD$19</f>
        <v>1096</v>
      </c>
      <c r="F27" s="355">
        <f>(C27-E27)/E27</f>
        <v>-0.88868613138686137</v>
      </c>
      <c r="G27" s="354">
        <f>SUM('[3]Great Lakes'!$DJ$19:$DR$19)</f>
        <v>1402</v>
      </c>
      <c r="H27" s="354">
        <f>SUM('[3]Great Lakes'!$CV$19:$DD$19)</f>
        <v>10224</v>
      </c>
      <c r="I27" s="355">
        <f>(G27-H27)/H27</f>
        <v>-0.86287167449139279</v>
      </c>
      <c r="J27" s="351" t="s">
        <v>180</v>
      </c>
      <c r="K27" s="367"/>
      <c r="L27" s="352">
        <f>'[3]Great Lakes'!$DR$41</f>
        <v>696</v>
      </c>
      <c r="M27" s="353">
        <f>L27/$L$56</f>
        <v>2.5385978113347664E-4</v>
      </c>
      <c r="N27" s="354">
        <f>'[3]Great Lakes'!$DD$41</f>
        <v>4361</v>
      </c>
      <c r="O27" s="355">
        <f>(L27-N27)/N27</f>
        <v>-0.84040357716120151</v>
      </c>
      <c r="P27" s="354">
        <f>SUM('[3]Great Lakes'!$DJ$41:$DR$41)</f>
        <v>8745</v>
      </c>
      <c r="Q27" s="354">
        <f>SUM('[3]Great Lakes'!$CV$41:$DD$41)</f>
        <v>37514</v>
      </c>
      <c r="R27" s="355">
        <f>(P27-Q27)/Q27</f>
        <v>-0.76688702884256543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[3]Icelandair!$DR$19</f>
        <v>36</v>
      </c>
      <c r="D29" s="353">
        <f>C29/$C$56</f>
        <v>1.1868653567189767E-3</v>
      </c>
      <c r="E29" s="354">
        <f>[3]Icelandair!$DD$19</f>
        <v>38</v>
      </c>
      <c r="F29" s="355">
        <f>(C29-E29)/E29</f>
        <v>-5.2631578947368418E-2</v>
      </c>
      <c r="G29" s="354">
        <f>SUM([3]Icelandair!$DJ$19:$DR$19)</f>
        <v>244</v>
      </c>
      <c r="H29" s="354">
        <f>SUM([3]Icelandair!$CV$19:$DD$19)</f>
        <v>256</v>
      </c>
      <c r="I29" s="355">
        <f>(G29-H29)/H29</f>
        <v>-4.6875E-2</v>
      </c>
      <c r="J29" s="351" t="s">
        <v>52</v>
      </c>
      <c r="K29" s="367"/>
      <c r="L29" s="352">
        <f>[3]Icelandair!$DR$41</f>
        <v>5409</v>
      </c>
      <c r="M29" s="353">
        <f>L29/$L$56</f>
        <v>1.9728844197571481E-3</v>
      </c>
      <c r="N29" s="354">
        <f>[3]Icelandair!$DD$41</f>
        <v>5432</v>
      </c>
      <c r="O29" s="355">
        <f>(L29-N29)/N29</f>
        <v>-4.2341678939617081E-3</v>
      </c>
      <c r="P29" s="354">
        <f>SUM([3]Icelandair!$DJ$41:$DR$41)</f>
        <v>38085</v>
      </c>
      <c r="Q29" s="354">
        <f>SUM([3]Icelandair!$CV$41:$DD$41)</f>
        <v>38172</v>
      </c>
      <c r="R29" s="355">
        <f>(P29-Q29)/Q29</f>
        <v>-2.2791574976422507E-3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1384</v>
      </c>
      <c r="D31" s="353">
        <f>C31/$C$56</f>
        <v>4.5628379269418436E-2</v>
      </c>
      <c r="E31" s="354">
        <f>SUM(E32:E33)</f>
        <v>1473</v>
      </c>
      <c r="F31" s="355">
        <f>(C31-E31)/E31</f>
        <v>-6.042090970807875E-2</v>
      </c>
      <c r="G31" s="352">
        <f>SUM(G32:G33)</f>
        <v>12883</v>
      </c>
      <c r="H31" s="354">
        <f>SUM(H32:H33)</f>
        <v>13528</v>
      </c>
      <c r="I31" s="355">
        <f>(G31-H31)/H31</f>
        <v>-4.7678888231815493E-2</v>
      </c>
      <c r="J31" s="351" t="s">
        <v>144</v>
      </c>
      <c r="K31" s="58"/>
      <c r="L31" s="352">
        <f>SUM(L32:L33)</f>
        <v>158219</v>
      </c>
      <c r="M31" s="353">
        <f>L31/$L$56</f>
        <v>5.7708966539019455E-2</v>
      </c>
      <c r="N31" s="354">
        <f>SUM(N32:N33)</f>
        <v>148253</v>
      </c>
      <c r="O31" s="355">
        <f>(L31-N31)/N31</f>
        <v>6.7222922976263547E-2</v>
      </c>
      <c r="P31" s="352">
        <f>SUM(P32:P33)</f>
        <v>1447981</v>
      </c>
      <c r="Q31" s="354">
        <f>SUM(Q32:Q33)</f>
        <v>1367065</v>
      </c>
      <c r="R31" s="355">
        <f>(P31-Q31)/Q31</f>
        <v>5.9189577671873689E-2</v>
      </c>
      <c r="T31" s="21"/>
    </row>
    <row r="32" spans="1:23" ht="14.1" customHeight="1" x14ac:dyDescent="0.2">
      <c r="A32" s="363"/>
      <c r="B32" s="58" t="s">
        <v>144</v>
      </c>
      <c r="C32" s="454">
        <f>[3]Southwest!$DR$19</f>
        <v>1266</v>
      </c>
      <c r="D32" s="455">
        <f>C32/$C$56</f>
        <v>4.1738098377950679E-2</v>
      </c>
      <c r="E32" s="302">
        <f>[3]Southwest!$DD$19</f>
        <v>1235</v>
      </c>
      <c r="F32" s="456">
        <f>(C32-E32)/E32</f>
        <v>2.5101214574898785E-2</v>
      </c>
      <c r="G32" s="302">
        <f>SUM([3]Southwest!$DJ$19:$DR$19)</f>
        <v>11077</v>
      </c>
      <c r="H32" s="302">
        <f>SUM([3]Southwest!$CV$19:$DD$19)</f>
        <v>11065</v>
      </c>
      <c r="I32" s="456">
        <f>(G32-H32)/H32</f>
        <v>1.0845006778129236E-3</v>
      </c>
      <c r="J32" s="351"/>
      <c r="K32" s="58" t="s">
        <v>144</v>
      </c>
      <c r="L32" s="454">
        <f>[3]Southwest!$DR$41</f>
        <v>145579</v>
      </c>
      <c r="M32" s="455">
        <f>L32/$L$56</f>
        <v>5.3098639479354018E-2</v>
      </c>
      <c r="N32" s="302">
        <f>[3]Southwest!$DD$41</f>
        <v>124863</v>
      </c>
      <c r="O32" s="456">
        <f>(L32-N32)/N32</f>
        <v>0.16590983718155097</v>
      </c>
      <c r="P32" s="302">
        <f>SUM([3]Southwest!$DJ$41:$DR$41)</f>
        <v>1264631</v>
      </c>
      <c r="Q32" s="302">
        <f>SUM([3]Southwest!$CV$41:$DD$41)</f>
        <v>1119125</v>
      </c>
      <c r="R32" s="456">
        <f>(P32-Q32)/Q32</f>
        <v>0.13001764771584945</v>
      </c>
      <c r="T32" s="21"/>
    </row>
    <row r="33" spans="1:21" ht="14.1" customHeight="1" x14ac:dyDescent="0.2">
      <c r="A33" s="363"/>
      <c r="B33" s="58" t="s">
        <v>205</v>
      </c>
      <c r="C33" s="454">
        <f>[3]AirTran!$DR$19</f>
        <v>118</v>
      </c>
      <c r="D33" s="455">
        <f>C33/$C$56</f>
        <v>3.8902808914677567E-3</v>
      </c>
      <c r="E33" s="302">
        <f>[3]AirTran!$DD$19</f>
        <v>238</v>
      </c>
      <c r="F33" s="456">
        <f>(C33-E33)/E33</f>
        <v>-0.50420168067226889</v>
      </c>
      <c r="G33" s="302">
        <f>SUM([3]AirTran!$DJ$19:$DR$19)</f>
        <v>1806</v>
      </c>
      <c r="H33" s="302">
        <f>SUM([3]AirTran!$CV$19:$DD$19)</f>
        <v>2463</v>
      </c>
      <c r="I33" s="456">
        <f>(G33-H33)/H33</f>
        <v>-0.26674786845310594</v>
      </c>
      <c r="J33" s="351"/>
      <c r="K33" s="58" t="s">
        <v>205</v>
      </c>
      <c r="L33" s="454">
        <f>[3]AirTran!$DR$41</f>
        <v>12640</v>
      </c>
      <c r="M33" s="455">
        <f>L33/$L$56</f>
        <v>4.6103270596654375E-3</v>
      </c>
      <c r="N33" s="302">
        <f>[3]AirTran!$DD$41</f>
        <v>23390</v>
      </c>
      <c r="O33" s="456">
        <f>(L33-N33)/N33</f>
        <v>-0.4595981188542112</v>
      </c>
      <c r="P33" s="302">
        <f>SUM([3]AirTran!$DJ$41:$DR$41)</f>
        <v>183350</v>
      </c>
      <c r="Q33" s="302">
        <f>SUM([3]AirTran!$CV$41:$DD$41)</f>
        <v>247940</v>
      </c>
      <c r="R33" s="456">
        <f>(P33-Q33)/Q33</f>
        <v>-0.26050657417117046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[3]Spirit!$DR$19</f>
        <v>652</v>
      </c>
      <c r="D35" s="353">
        <f>C35/$C$56</f>
        <v>2.149545034946591E-2</v>
      </c>
      <c r="E35" s="354">
        <f>[3]Spirit!$DD$19</f>
        <v>414</v>
      </c>
      <c r="F35" s="355">
        <f>(C35-E35)/E35</f>
        <v>0.5748792270531401</v>
      </c>
      <c r="G35" s="354">
        <f>SUM([3]Spirit!$DJ$19:$DR$19)</f>
        <v>5665</v>
      </c>
      <c r="H35" s="354">
        <f>SUM([3]Spirit!$CV$19:$DD$19)</f>
        <v>3106</v>
      </c>
      <c r="I35" s="355">
        <f>(G35-H35)/H35</f>
        <v>0.82388924661944618</v>
      </c>
      <c r="J35" s="351" t="s">
        <v>182</v>
      </c>
      <c r="K35" s="58"/>
      <c r="L35" s="352">
        <f>[3]Spirit!$DR$41</f>
        <v>71517</v>
      </c>
      <c r="M35" s="353">
        <f>L35/$L$56</f>
        <v>2.6085186734659264E-2</v>
      </c>
      <c r="N35" s="354">
        <f>[3]Spirit!$DD$41</f>
        <v>49557</v>
      </c>
      <c r="O35" s="355">
        <f>(L35-N35)/N35</f>
        <v>0.44312609722138147</v>
      </c>
      <c r="P35" s="354">
        <f>SUM([3]Spirit!$DJ$41:$DR$41)</f>
        <v>743113</v>
      </c>
      <c r="Q35" s="354">
        <f>SUM([3]Spirit!$CV$41:$DD$41)</f>
        <v>407618</v>
      </c>
      <c r="R35" s="355">
        <f>(P35-Q35)/Q35</f>
        <v>0.82306227889838035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Country'!$DR$19</f>
        <v>1083</v>
      </c>
      <c r="D37" s="353">
        <f>C37/$C$56</f>
        <v>3.5704866147962547E-2</v>
      </c>
      <c r="E37" s="354">
        <f>'[3]Sun Country'!$DD$19</f>
        <v>1194</v>
      </c>
      <c r="F37" s="355">
        <f>(C37-E37)/E37</f>
        <v>-9.2964824120603015E-2</v>
      </c>
      <c r="G37" s="354">
        <f>SUM('[3]Sun Country'!$DJ$19:$DR$19)</f>
        <v>12833</v>
      </c>
      <c r="H37" s="354">
        <f>SUM('[3]Sun Country'!$CV$19:$DD$19)</f>
        <v>10837</v>
      </c>
      <c r="I37" s="355">
        <f>(G37-H37)/H37</f>
        <v>0.18418381470886777</v>
      </c>
      <c r="J37" s="351" t="s">
        <v>53</v>
      </c>
      <c r="K37" s="367"/>
      <c r="L37" s="352">
        <f>'[3]Sun Country'!$DR$41</f>
        <v>99744</v>
      </c>
      <c r="M37" s="353">
        <f>L37/$L$56</f>
        <v>3.6380732772094096E-2</v>
      </c>
      <c r="N37" s="354">
        <f>'[3]Sun Country'!$DD$41</f>
        <v>92101</v>
      </c>
      <c r="O37" s="355">
        <f>(L37-N37)/N37</f>
        <v>8.2984983876396565E-2</v>
      </c>
      <c r="P37" s="354">
        <f>SUM('[3]Sun Country'!$DJ$41:$DR$41)</f>
        <v>1267488</v>
      </c>
      <c r="Q37" s="354">
        <f>SUM('[3]Sun Country'!$CV$41:$DD$41)</f>
        <v>1126498</v>
      </c>
      <c r="R37" s="355">
        <f>(P37-Q37)/Q37</f>
        <v>0.12515778989399004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1786</v>
      </c>
      <c r="D39" s="353">
        <f>C39/$C$56</f>
        <v>5.8881709086113676E-2</v>
      </c>
      <c r="E39" s="354">
        <f>SUM(E40:E46)</f>
        <v>1825</v>
      </c>
      <c r="F39" s="355">
        <f t="shared" ref="F39:F46" si="6">(C39-E39)/E39</f>
        <v>-2.1369863013698632E-2</v>
      </c>
      <c r="G39" s="354">
        <f>SUM(G40:G46)</f>
        <v>15150</v>
      </c>
      <c r="H39" s="354">
        <f>SUM(H40:H46)</f>
        <v>16216</v>
      </c>
      <c r="I39" s="355">
        <f t="shared" ref="I39:I46" si="7">(G39-H39)/H39</f>
        <v>-6.5737543167242229E-2</v>
      </c>
      <c r="J39" s="351" t="s">
        <v>21</v>
      </c>
      <c r="K39" s="359"/>
      <c r="L39" s="352">
        <f>SUM(L40:L46)</f>
        <v>116678</v>
      </c>
      <c r="M39" s="353">
        <f t="shared" ref="M39:M46" si="8">L39/$L$56</f>
        <v>4.2557257964212336E-2</v>
      </c>
      <c r="N39" s="354">
        <f>SUM(N40:N46)</f>
        <v>107622</v>
      </c>
      <c r="O39" s="355">
        <f t="shared" ref="O39:O46" si="9">(L39-N39)/N39</f>
        <v>8.4146364126293879E-2</v>
      </c>
      <c r="P39" s="354">
        <f>SUM(P40:P46)</f>
        <v>977902</v>
      </c>
      <c r="Q39" s="354">
        <f>SUM(Q40:Q46)</f>
        <v>947724</v>
      </c>
      <c r="R39" s="355">
        <f t="shared" ref="R39:R46" si="10">(P39-Q39)/Q39</f>
        <v>3.1842603964867405E-2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[3]United!$DR$19</f>
        <v>332</v>
      </c>
      <c r="D40" s="41">
        <f>C40/$C$56</f>
        <v>1.0945536067519451E-2</v>
      </c>
      <c r="E40" s="9">
        <f>[3]United!$DD$19+[3]Continental!$DD$19</f>
        <v>358</v>
      </c>
      <c r="F40" s="89">
        <f t="shared" si="6"/>
        <v>-7.2625698324022353E-2</v>
      </c>
      <c r="G40" s="9">
        <f>SUM([3]United!$DJ$19:$DR$19)</f>
        <v>2438</v>
      </c>
      <c r="H40" s="9">
        <f>SUM([3]United!$CV$19:$DD$19)+SUM([3]Continental!$CV$19:$DD$19)</f>
        <v>2948</v>
      </c>
      <c r="I40" s="89">
        <f t="shared" si="7"/>
        <v>-0.17299864314789687</v>
      </c>
      <c r="J40" s="368"/>
      <c r="K40" s="360" t="s">
        <v>192</v>
      </c>
      <c r="L40" s="356">
        <f>[3]United!$DR$41</f>
        <v>37517</v>
      </c>
      <c r="M40" s="41">
        <f t="shared" si="8"/>
        <v>1.3683990529862992E-2</v>
      </c>
      <c r="N40" s="9">
        <f>[3]United!$DD$41+[3]Continental!$DD$41</f>
        <v>36808</v>
      </c>
      <c r="O40" s="89">
        <f t="shared" si="9"/>
        <v>1.9262116931101934E-2</v>
      </c>
      <c r="P40" s="9">
        <f>SUM([3]United!$DJ$41:$DR$41)+SUM([3]Continental!$DJ$41:$DR$41)</f>
        <v>271350</v>
      </c>
      <c r="Q40" s="9">
        <f>SUM([3]United!$CV$41:$DD$41)+SUM([3]Continental!$CV$41:$DD$41)</f>
        <v>301077</v>
      </c>
      <c r="R40" s="89">
        <f t="shared" si="10"/>
        <v>-9.8735539413505519E-2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[3]Chautaqua_Continental!$DR$19</f>
        <v>0</v>
      </c>
      <c r="D41" s="41">
        <f>C41/$C$56</f>
        <v>0</v>
      </c>
      <c r="E41" s="9">
        <f>[3]Chautaqua_Continental!$DD$19</f>
        <v>37</v>
      </c>
      <c r="F41" s="89">
        <f t="shared" si="6"/>
        <v>-1</v>
      </c>
      <c r="G41" s="9">
        <f>SUM([3]Chautaqua_Continental!$DJ$19:$DR$19)</f>
        <v>58</v>
      </c>
      <c r="H41" s="9">
        <f>SUM([3]Chautaqua_Continental!$CV$19:$DD$19)</f>
        <v>716</v>
      </c>
      <c r="I41" s="89">
        <f t="shared" si="7"/>
        <v>-0.91899441340782118</v>
      </c>
      <c r="J41" s="55"/>
      <c r="K41" s="361" t="s">
        <v>130</v>
      </c>
      <c r="L41" s="356">
        <f>[3]Chautaqua_Continental!$DR$41</f>
        <v>0</v>
      </c>
      <c r="M41" s="41">
        <f t="shared" si="8"/>
        <v>0</v>
      </c>
      <c r="N41" s="9">
        <f>[3]Chautaqua_Continental!$DD$41</f>
        <v>1245</v>
      </c>
      <c r="O41" s="89">
        <f t="shared" si="9"/>
        <v>-1</v>
      </c>
      <c r="P41" s="9">
        <f>SUM([3]Chautaqua_Continental!$DJ$41:$DR$41)</f>
        <v>2215</v>
      </c>
      <c r="Q41" s="9">
        <f>SUM([3]Chautaqua_Continental!$CV$41:$DD$41)</f>
        <v>26492</v>
      </c>
      <c r="R41" s="89">
        <f t="shared" si="10"/>
        <v>-0.91638985354069158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Jet_UA'!$DR$19</f>
        <v>184</v>
      </c>
      <c r="D42" s="41">
        <f>C42/$C$56</f>
        <v>6.0662007121192142E-3</v>
      </c>
      <c r="E42" s="9">
        <f>'[3]Go Jet_UA'!$DD$19</f>
        <v>130</v>
      </c>
      <c r="F42" s="89">
        <f>(C42-E42)/E42</f>
        <v>0.41538461538461541</v>
      </c>
      <c r="G42" s="9">
        <f>SUM('[3]Go Jet_UA'!$DJ$19:$DR$19)</f>
        <v>2474</v>
      </c>
      <c r="H42" s="9">
        <f>SUM('[3]Go Jet_UA'!$CV$19:$DD$19)</f>
        <v>1002</v>
      </c>
      <c r="I42" s="89">
        <f>(G42-H42)/H42</f>
        <v>1.4690618762475049</v>
      </c>
      <c r="J42" s="55"/>
      <c r="K42" s="361" t="s">
        <v>181</v>
      </c>
      <c r="L42" s="356">
        <f>'[3]Go Jet_UA'!$DR$41</f>
        <v>11476</v>
      </c>
      <c r="M42" s="41">
        <f t="shared" si="8"/>
        <v>4.1857684601835886E-3</v>
      </c>
      <c r="N42" s="9">
        <f>'[3]Go Jet_UA'!$DD$41</f>
        <v>7611</v>
      </c>
      <c r="O42" s="89">
        <f>(L42-N42)/N42</f>
        <v>0.50781763237419519</v>
      </c>
      <c r="P42" s="9">
        <f>SUM('[3]Go Jet_UA'!$DJ$41:$DR$41)</f>
        <v>153200</v>
      </c>
      <c r="Q42" s="9">
        <f>SUM('[3]Go Jet_UA'!$CV$41:$DD$41)</f>
        <v>56046</v>
      </c>
      <c r="R42" s="89">
        <f>(P42-Q42)/Q42</f>
        <v>1.7334689362309532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[3]MESA_UA!$DR$19</f>
        <v>182</v>
      </c>
      <c r="D43" s="41">
        <f>C43/$C$56</f>
        <v>6.0002637478570485E-3</v>
      </c>
      <c r="E43" s="9">
        <f>[3]MESA_UA!$DD$19</f>
        <v>0</v>
      </c>
      <c r="F43" s="89" t="e">
        <f>(C43-E43)/E43</f>
        <v>#DIV/0!</v>
      </c>
      <c r="G43" s="9">
        <f>SUM([3]MESA_UA!$DJ$19:$DR$19)</f>
        <v>844</v>
      </c>
      <c r="H43" s="9">
        <f>SUM([3]MESA_UA!$CV$19:$DD$19)</f>
        <v>0</v>
      </c>
      <c r="I43" s="89" t="e">
        <f>(G43-H43)/H43</f>
        <v>#DIV/0!</v>
      </c>
      <c r="J43" s="55"/>
      <c r="K43" s="361" t="s">
        <v>56</v>
      </c>
      <c r="L43" s="356">
        <f>[3]MESA_UA!$DR$41</f>
        <v>10900</v>
      </c>
      <c r="M43" s="41">
        <f t="shared" si="8"/>
        <v>3.9756776068317458E-3</v>
      </c>
      <c r="N43" s="9">
        <f>[3]MESA_UA!$DD$41</f>
        <v>0</v>
      </c>
      <c r="O43" s="89" t="e">
        <f>(L43-N43)/N43</f>
        <v>#DIV/0!</v>
      </c>
      <c r="P43" s="9">
        <f>SUM([3]MESA_UA!$DJ$41:$DR$41)</f>
        <v>49194</v>
      </c>
      <c r="Q43" s="9">
        <f>SUM([3]MESA_UA!$CV$41:$DD$41)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Express'!$DR$19</f>
        <v>446</v>
      </c>
      <c r="D44" s="41">
        <f>C44/$C$55</f>
        <v>3.0055933688253926E-2</v>
      </c>
      <c r="E44" s="9">
        <f>'[3]Continental Express'!$DD$19</f>
        <v>518</v>
      </c>
      <c r="F44" s="89">
        <f t="shared" si="6"/>
        <v>-0.138996138996139</v>
      </c>
      <c r="G44" s="9">
        <f>SUM('[3]Continental Express'!$DJ$19:$DR$19)</f>
        <v>3838</v>
      </c>
      <c r="H44" s="9">
        <f>SUM('[3]Continental Express'!$CV$19:$DD$19)</f>
        <v>4558</v>
      </c>
      <c r="I44" s="89">
        <f t="shared" si="7"/>
        <v>-0.15796401930671347</v>
      </c>
      <c r="J44" s="55"/>
      <c r="K44" s="361" t="s">
        <v>177</v>
      </c>
      <c r="L44" s="356">
        <f>'[3]Continental Express'!$DR$41</f>
        <v>17994</v>
      </c>
      <c r="M44" s="41">
        <f t="shared" si="8"/>
        <v>6.5631507208560036E-3</v>
      </c>
      <c r="N44" s="9">
        <f>'[3]Continental Express'!$DD$41</f>
        <v>19536</v>
      </c>
      <c r="O44" s="89">
        <f t="shared" si="9"/>
        <v>-7.8931203931203925E-2</v>
      </c>
      <c r="P44" s="9">
        <f>SUM('[3]Continental Express'!$DJ$41:$DR$41)</f>
        <v>160626</v>
      </c>
      <c r="Q44" s="9">
        <f>SUM('[3]Continental Express'!$CV$41:$DD$41)</f>
        <v>177745</v>
      </c>
      <c r="R44" s="89">
        <f t="shared" si="10"/>
        <v>-9.6312132549438809E-2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West_UA'!$DR$19</f>
        <v>392</v>
      </c>
      <c r="D45" s="41">
        <f>C45/$C$56</f>
        <v>1.2923644995384412E-2</v>
      </c>
      <c r="E45" s="9">
        <f>'[3]Sky West_UA'!$DD$19+'[3]Sky West_CO'!$DD$19</f>
        <v>248</v>
      </c>
      <c r="F45" s="89">
        <f t="shared" si="6"/>
        <v>0.58064516129032262</v>
      </c>
      <c r="G45" s="9">
        <f>SUM('[3]Sky West_UA'!$DJ$19:$DR$19)</f>
        <v>2600</v>
      </c>
      <c r="H45" s="9">
        <f>SUM('[3]Sky West_UA'!$CV$19:$DD$19)+SUM('[3]Sky West_CO'!$CV$19:$DD$19)</f>
        <v>2438</v>
      </c>
      <c r="I45" s="89">
        <f t="shared" si="7"/>
        <v>6.6447908121410992E-2</v>
      </c>
      <c r="J45" s="368"/>
      <c r="K45" s="361" t="s">
        <v>109</v>
      </c>
      <c r="L45" s="356">
        <f>'[3]Sky West_UA'!$DR$41</f>
        <v>24111</v>
      </c>
      <c r="M45" s="41">
        <f t="shared" si="8"/>
        <v>8.7942718145247924E-3</v>
      </c>
      <c r="N45" s="9">
        <f>'[3]Sky West_UA'!$DD$41+'[3]Sky West_CO'!$DD$41</f>
        <v>13747</v>
      </c>
      <c r="O45" s="89">
        <f t="shared" si="9"/>
        <v>0.75390994398777911</v>
      </c>
      <c r="P45" s="9">
        <f>SUM('[3]Sky West_UA'!$DJ$41:$DR$41)</f>
        <v>160958</v>
      </c>
      <c r="Q45" s="9">
        <f>SUM('[3]Sky West_UA'!$CV$41:$DD$41)+SUM('[3]Sky West_CO'!$CV$41:$DD$41)</f>
        <v>130014</v>
      </c>
      <c r="R45" s="89">
        <f t="shared" si="10"/>
        <v>0.23800513790822528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America'!$DR$19</f>
        <v>250</v>
      </c>
      <c r="D46" s="41">
        <f>C46/$C$56</f>
        <v>8.2421205327706717E-3</v>
      </c>
      <c r="E46" s="9">
        <f>'[3]Shuttle America'!$DD$19</f>
        <v>534</v>
      </c>
      <c r="F46" s="89">
        <f t="shared" si="6"/>
        <v>-0.53183520599250933</v>
      </c>
      <c r="G46" s="9">
        <f>SUM('[3]Shuttle America'!$DJ$19:$DR$19)</f>
        <v>2898</v>
      </c>
      <c r="H46" s="9">
        <f>SUM('[3]Shuttle America'!$CV$19:$DD$19)</f>
        <v>4554</v>
      </c>
      <c r="I46" s="89">
        <f t="shared" si="7"/>
        <v>-0.36363636363636365</v>
      </c>
      <c r="J46" s="368"/>
      <c r="K46" s="362" t="s">
        <v>147</v>
      </c>
      <c r="L46" s="356">
        <f>'[3]Shuttle America'!$DR$41</f>
        <v>14680</v>
      </c>
      <c r="M46" s="41">
        <f t="shared" si="8"/>
        <v>5.3543988319532136E-3</v>
      </c>
      <c r="N46" s="9">
        <f>'[3]Shuttle America'!$DD$41</f>
        <v>28675</v>
      </c>
      <c r="O46" s="89">
        <f t="shared" si="9"/>
        <v>-0.48805579773321711</v>
      </c>
      <c r="P46" s="9">
        <f>SUM('[3]Shuttle America'!$DJ$41:$DR$41)</f>
        <v>180359</v>
      </c>
      <c r="Q46" s="9">
        <f>SUM('[3]Shuttle America'!$CV$41:$DD$41)</f>
        <v>256350</v>
      </c>
      <c r="R46" s="89">
        <f t="shared" si="10"/>
        <v>-0.29643456212209868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735</v>
      </c>
      <c r="D48" s="353">
        <f>C48/$C$56</f>
        <v>2.4231834366345774E-2</v>
      </c>
      <c r="E48" s="354">
        <f>SUM(E49:E52)</f>
        <v>836</v>
      </c>
      <c r="F48" s="355">
        <f>(C48-E48)/E48</f>
        <v>-0.12081339712918661</v>
      </c>
      <c r="G48" s="354">
        <f>SUM(G49:G52)</f>
        <v>7578</v>
      </c>
      <c r="H48" s="354">
        <f>SUM(H49:H52)</f>
        <v>8103</v>
      </c>
      <c r="I48" s="355">
        <f>(G48-H48)/H48</f>
        <v>-6.4790818215475748E-2</v>
      </c>
      <c r="J48" s="363" t="s">
        <v>22</v>
      </c>
      <c r="K48" s="364"/>
      <c r="L48" s="352">
        <f>SUM(L49:L52)</f>
        <v>91952</v>
      </c>
      <c r="M48" s="353">
        <f>L48/$L$56</f>
        <v>3.3538670394806673E-2</v>
      </c>
      <c r="N48" s="354">
        <f>SUM(N49:N52)</f>
        <v>106933</v>
      </c>
      <c r="O48" s="355">
        <f>(L48-N48)/N48</f>
        <v>-0.14009707012802408</v>
      </c>
      <c r="P48" s="354">
        <f>SUM(P49:P52)</f>
        <v>935878</v>
      </c>
      <c r="Q48" s="354">
        <f>SUM(Q49:Q52)</f>
        <v>1010524</v>
      </c>
      <c r="R48" s="355">
        <f>(P48-Q48)/Q48</f>
        <v>-7.3868606782223872E-2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Airways'!$DR$19</f>
        <v>671</v>
      </c>
      <c r="D49" s="41">
        <f>C49/$C$56</f>
        <v>2.2121851509956481E-2</v>
      </c>
      <c r="E49" s="9">
        <f>'[3]US Airways'!$DD$19</f>
        <v>663</v>
      </c>
      <c r="F49" s="89">
        <f>(C49-E49)/E49</f>
        <v>1.2066365007541479E-2</v>
      </c>
      <c r="G49" s="9">
        <f>SUM('[3]US Airways'!$DJ$19:$DR$19)</f>
        <v>6259</v>
      </c>
      <c r="H49" s="9">
        <f>SUM('[3]US Airways'!$CV$19:$DD$19)</f>
        <v>6287</v>
      </c>
      <c r="I49" s="89">
        <f>(G49-H49)/H49</f>
        <v>-4.4536344838555751E-3</v>
      </c>
      <c r="J49" s="368"/>
      <c r="K49" s="360" t="s">
        <v>22</v>
      </c>
      <c r="L49" s="356">
        <f>'[3]US Airways'!$DR$41</f>
        <v>85592</v>
      </c>
      <c r="M49" s="41">
        <f>L49/$L$56</f>
        <v>3.1218917222380075E-2</v>
      </c>
      <c r="N49" s="9">
        <f>'[3]US Airways'!$DD$41</f>
        <v>95032</v>
      </c>
      <c r="O49" s="89">
        <f>(L49-N49)/N49</f>
        <v>-9.9334960855290852E-2</v>
      </c>
      <c r="P49" s="9">
        <f>SUM('[3]US Airways'!$DJ$41:$DR$41)</f>
        <v>853386</v>
      </c>
      <c r="Q49" s="9">
        <f>SUM('[3]US Airways'!$CV$41:$DD$41)</f>
        <v>896538</v>
      </c>
      <c r="R49" s="89">
        <f>(P49-Q49)/Q49</f>
        <v>-4.8131813710071407E-2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[3]Republic!$DR$19</f>
        <v>64</v>
      </c>
      <c r="D50" s="41">
        <f>C50/$C$56</f>
        <v>2.1099828563892918E-3</v>
      </c>
      <c r="E50" s="9">
        <f>[3]Republic!$DD$19</f>
        <v>173</v>
      </c>
      <c r="F50" s="89">
        <f>(C50-E50)/E50</f>
        <v>-0.63005780346820806</v>
      </c>
      <c r="G50" s="9">
        <f>SUM([3]Republic!$DJ$19:$DR$19)</f>
        <v>1150</v>
      </c>
      <c r="H50" s="9">
        <f>SUM([3]Republic!$CV$19:$DD$19)</f>
        <v>1760</v>
      </c>
      <c r="I50" s="89">
        <f>(G50-H50)/H50</f>
        <v>-0.34659090909090912</v>
      </c>
      <c r="J50" s="368"/>
      <c r="K50" s="362" t="s">
        <v>57</v>
      </c>
      <c r="L50" s="356">
        <f>[3]Republic!$DR$41</f>
        <v>3601</v>
      </c>
      <c r="M50" s="41">
        <f>L50/$L$56</f>
        <v>1.313432574513864E-3</v>
      </c>
      <c r="N50" s="9">
        <f>[3]Republic!$DD$41</f>
        <v>11901</v>
      </c>
      <c r="O50" s="89">
        <f>(L50-N50)/N50</f>
        <v>-0.69742038484160995</v>
      </c>
      <c r="P50" s="9">
        <f>SUM([3]Republic!$DJ$41:$DR$41)</f>
        <v>69667</v>
      </c>
      <c r="Q50" s="9">
        <f>SUM([3]Republic!$CV$41:$DD$41)</f>
        <v>111595</v>
      </c>
      <c r="R50" s="89">
        <f>(P50-Q50)/Q50</f>
        <v>-0.37571575787445677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[3]MESA!$DR$19</f>
        <v>0</v>
      </c>
      <c r="D51" s="41">
        <f>C51/$C$56</f>
        <v>0</v>
      </c>
      <c r="E51" s="9">
        <f>[3]MESA!$DD$19</f>
        <v>0</v>
      </c>
      <c r="F51" s="89" t="e">
        <f>(C51-E51)/E51</f>
        <v>#DIV/0!</v>
      </c>
      <c r="G51" s="9">
        <f>SUM([3]MESA!$DJ$19:$DR$19)</f>
        <v>128</v>
      </c>
      <c r="H51" s="9">
        <f>SUM([3]MESA!$CV$19:$DD$19)</f>
        <v>0</v>
      </c>
      <c r="I51" s="89" t="e">
        <f>(G51-H51)/H51</f>
        <v>#DIV/0!</v>
      </c>
      <c r="J51" s="368"/>
      <c r="K51" s="361" t="s">
        <v>108</v>
      </c>
      <c r="L51" s="356">
        <f>[3]MESA!$DR$41</f>
        <v>2759</v>
      </c>
      <c r="M51" s="41">
        <f>L51/$L$56</f>
        <v>1.0063205979127328E-3</v>
      </c>
      <c r="N51" s="9">
        <f>[3]MESA!$DD$41</f>
        <v>0</v>
      </c>
      <c r="O51" s="89" t="e">
        <f>(L51-N51)/N51</f>
        <v>#DIV/0!</v>
      </c>
      <c r="P51" s="9">
        <f>SUM([3]MESA!$DJ$41:$DR$41)</f>
        <v>11153</v>
      </c>
      <c r="Q51" s="9">
        <f>SUM([3]MESA!$CV$41:$DD$41)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Wisconsin'!$DR$19</f>
        <v>0</v>
      </c>
      <c r="D52" s="372">
        <f>C52/$C$56</f>
        <v>0</v>
      </c>
      <c r="E52" s="374">
        <f>'[3]Air Wisconsin'!$DD$19</f>
        <v>0</v>
      </c>
      <c r="F52" s="373" t="e">
        <f>(C52-E52)/E52</f>
        <v>#DIV/0!</v>
      </c>
      <c r="G52" s="374">
        <f>SUM('[3]Air Wisconsin'!$DJ$19:$DR$19)</f>
        <v>41</v>
      </c>
      <c r="H52" s="374">
        <f>SUM('[3]Air Wisconsin'!$CV$19:$DD$19)</f>
        <v>56</v>
      </c>
      <c r="I52" s="398">
        <f>(G52-H52)/H52</f>
        <v>-0.26785714285714285</v>
      </c>
      <c r="J52" s="369"/>
      <c r="K52" s="370" t="s">
        <v>54</v>
      </c>
      <c r="L52" s="371">
        <f>'[3]Air Wisconsin'!$DR$41</f>
        <v>0</v>
      </c>
      <c r="M52" s="372">
        <f>L52/$L$56</f>
        <v>0</v>
      </c>
      <c r="N52" s="374">
        <f>'[3]Air Wisconsin'!$DD$41</f>
        <v>0</v>
      </c>
      <c r="O52" s="373" t="e">
        <f>(L52-N52)/N52</f>
        <v>#DIV/0!</v>
      </c>
      <c r="P52" s="374">
        <f>SUM('[3]Air Wisconsin'!$DJ$41:$DR$41)</f>
        <v>1672</v>
      </c>
      <c r="Q52" s="374">
        <f>SUM('[3]Air Wisconsin'!$CV$41:$DD$41)</f>
        <v>2391</v>
      </c>
      <c r="R52" s="373">
        <f>(P52-Q52)/Q52</f>
        <v>-0.30071099958176495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15493</v>
      </c>
      <c r="D54" s="451">
        <f>C54/$C$56</f>
        <v>0.51078069365686407</v>
      </c>
      <c r="E54" s="382">
        <f>+E56-E55</f>
        <v>16229</v>
      </c>
      <c r="F54" s="384">
        <f>(C54-E54)/E54</f>
        <v>-4.5350915028652412E-2</v>
      </c>
      <c r="G54" s="382">
        <f>+G56-G55</f>
        <v>143239</v>
      </c>
      <c r="H54" s="382">
        <f>+H56-H55</f>
        <v>145951</v>
      </c>
      <c r="I54" s="385">
        <f>(G54-H54)/H54</f>
        <v>-1.8581578749032209E-2</v>
      </c>
      <c r="K54" s="381" t="s">
        <v>149</v>
      </c>
      <c r="L54" s="382">
        <f>+L56-L55</f>
        <v>1979358</v>
      </c>
      <c r="M54" s="383">
        <f>+L54/L56</f>
        <v>0.7219531446333276</v>
      </c>
      <c r="N54" s="382">
        <f>+N56-N55</f>
        <v>1877590</v>
      </c>
      <c r="O54" s="384">
        <f>(L54-N54)/N54</f>
        <v>5.4201396471008051E-2</v>
      </c>
      <c r="P54" s="382">
        <f>+P56-P55</f>
        <v>18864403</v>
      </c>
      <c r="Q54" s="382">
        <f>+Q56-Q55</f>
        <v>17556276</v>
      </c>
      <c r="R54" s="385">
        <f>(P54-Q54)/Q54</f>
        <v>7.4510505530899607E-2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14839</v>
      </c>
      <c r="D55" s="452">
        <f>C55/$C$56</f>
        <v>0.48921930634313598</v>
      </c>
      <c r="E55" s="386">
        <f>+E52+E51+E50+E46+E23+E21+E19+E18+E4+E22+E12+E45+E20+E44+E41+E42+E43</f>
        <v>16007</v>
      </c>
      <c r="F55" s="388">
        <f>(C55-E55)/E55</f>
        <v>-7.2968076466545892E-2</v>
      </c>
      <c r="G55" s="386">
        <f>+G52+G51+G50+G46+G23+G21+G19+G18+G4+G22+G12+G45+G20+G44+G41+G42+G43</f>
        <v>142124</v>
      </c>
      <c r="H55" s="386">
        <f>+H52+H51+H50+H46+H23+H21+H19+H18+H4+H22+H12+H45+H20+H44+H41+H42+H43</f>
        <v>154566</v>
      </c>
      <c r="I55" s="389">
        <f>(G55-H55)/H55</f>
        <v>-8.0496357543056035E-2</v>
      </c>
      <c r="K55" s="335" t="s">
        <v>150</v>
      </c>
      <c r="L55" s="386">
        <f>+L52+L51+L50+L46+L23+L21+L19+L18+L4+L22+L12+L45+L20+L44+L41+L42+L43</f>
        <v>762313</v>
      </c>
      <c r="M55" s="387">
        <f>+L55/L56</f>
        <v>0.2780468553666724</v>
      </c>
      <c r="N55" s="386">
        <f>+N52+N51+N50+N46+N23+N21+N19+N18+N4+N22+N12+N45+N20+N44+N41+N42+N43</f>
        <v>753399</v>
      </c>
      <c r="O55" s="388">
        <f>(L55-N55)/N55</f>
        <v>1.1831712014483693E-2</v>
      </c>
      <c r="P55" s="386">
        <f>+P52+P51+P50+P46+P23+P21+P19+P18+P4+P22+P12+P45+P20+P44+P41+P42+P43</f>
        <v>7226103</v>
      </c>
      <c r="Q55" s="386">
        <f>+Q52+Q51+Q50+Q46+Q23+Q21+Q19+Q18+Q4+Q22+Q12+Q45+Q20+Q44+Q41+Q42+Q43</f>
        <v>7360337</v>
      </c>
      <c r="R55" s="389">
        <f>(P55-Q55)/Q55</f>
        <v>-1.8237480158856855E-2</v>
      </c>
    </row>
    <row r="56" spans="1:21" ht="14.1" customHeight="1" x14ac:dyDescent="0.2">
      <c r="B56" s="335" t="s">
        <v>151</v>
      </c>
      <c r="C56" s="390">
        <f>+C48+C39+C37+C31+C29+C25+C16+C10+C8+C4+C27+C35+C6+C14</f>
        <v>30332</v>
      </c>
      <c r="D56" s="453">
        <f>+C56/C56</f>
        <v>1</v>
      </c>
      <c r="E56" s="390">
        <f>+E48+E39+E37+E31+E29+E25+E16+E10+E8+E4+E27+E35+E6+E14</f>
        <v>32236</v>
      </c>
      <c r="F56" s="392">
        <f>(C56-E56)/E56</f>
        <v>-5.9064400049633953E-2</v>
      </c>
      <c r="G56" s="390">
        <f>+G48+G39+G37+G31+G29+G25+G16+G10+G8+G4+G27+G35+G6+G14</f>
        <v>285363</v>
      </c>
      <c r="H56" s="390">
        <f>+H48+H39+H37+H31+H29+H25+H16+H10+H8+H4+H27+H35+H6+H14</f>
        <v>300517</v>
      </c>
      <c r="I56" s="393">
        <f>(G56-H56)/H56</f>
        <v>-5.0426431782561384E-2</v>
      </c>
      <c r="K56" s="335" t="s">
        <v>151</v>
      </c>
      <c r="L56" s="390">
        <f>+L48+L39+L37+L31+L29+L25+L16+L10+L8+L4+L27+L35+L6+L14</f>
        <v>2741671</v>
      </c>
      <c r="M56" s="391">
        <f>+L56/L56</f>
        <v>1</v>
      </c>
      <c r="N56" s="390">
        <f>+N48+N39+N37+N31+N29+N25+N16+N10+N8+N4+N27+N35+N6+N14</f>
        <v>2630989</v>
      </c>
      <c r="O56" s="392">
        <f>(L56-N56)/N56</f>
        <v>4.2068590936716194E-2</v>
      </c>
      <c r="P56" s="390">
        <f>+P48+P39+P37+P31+P29+P25+P16+P10+P8+P4+P27+P35+P6+P14</f>
        <v>26090506</v>
      </c>
      <c r="Q56" s="390">
        <f>+Q48+Q39+Q37+Q31+Q29+Q25+Q16+Q10+Q8+Q4+Q27+Q35+Q6+Q14</f>
        <v>24916613</v>
      </c>
      <c r="R56" s="393">
        <f>(P56-Q56)/Q56</f>
        <v>4.7112864015666979E-2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September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E22" sqref="E2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41883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[3]American!$DR$22</f>
        <v>23016</v>
      </c>
      <c r="C4" s="22">
        <f>[3]Delta!$DR$22+[3]Delta!$DR$32</f>
        <v>700865</v>
      </c>
      <c r="D4" s="22">
        <f>[3]United!$DR$22</f>
        <v>19274</v>
      </c>
      <c r="E4" s="22">
        <f>'[3]US Airways'!$DR$22</f>
        <v>41628</v>
      </c>
      <c r="F4" s="22">
        <f>[3]Spirit!$DR$22</f>
        <v>35755</v>
      </c>
      <c r="G4" s="22">
        <f>[3]Condor!$DR$22+[3]Condor!$DR$32</f>
        <v>593</v>
      </c>
      <c r="H4" s="22">
        <f>'[3]Air France'!$DR$22+'[3]Air France'!$DR$32</f>
        <v>0</v>
      </c>
      <c r="I4" s="22">
        <f>'Other Major Airline Stats'!I5</f>
        <v>166769</v>
      </c>
      <c r="J4" s="286">
        <f>SUM(B4:I4)</f>
        <v>987900</v>
      </c>
    </row>
    <row r="5" spans="1:19" x14ac:dyDescent="0.2">
      <c r="A5" s="65" t="s">
        <v>34</v>
      </c>
      <c r="B5" s="14">
        <f>[3]American!$DR$23</f>
        <v>23253</v>
      </c>
      <c r="C5" s="14">
        <f>[3]Delta!$DR$23+[3]Delta!$DR$33</f>
        <v>706862</v>
      </c>
      <c r="D5" s="14">
        <f>[3]United!$DR$23</f>
        <v>18243</v>
      </c>
      <c r="E5" s="14">
        <f>'[3]US Airways'!$DR$23</f>
        <v>43964</v>
      </c>
      <c r="F5" s="14">
        <f>[3]Spirit!$DR$23</f>
        <v>35762</v>
      </c>
      <c r="G5" s="14">
        <f>[3]Condor!$DR$23+[3]Condor!$DR$33</f>
        <v>558</v>
      </c>
      <c r="H5" s="14">
        <f>'[3]Air France'!$DR$23+'[3]Air France'!$DR$33</f>
        <v>0</v>
      </c>
      <c r="I5" s="14">
        <f>'Other Major Airline Stats'!I6</f>
        <v>162816</v>
      </c>
      <c r="J5" s="287">
        <f>SUM(B5:I5)</f>
        <v>991458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46269</v>
      </c>
      <c r="C6" s="36">
        <f t="shared" si="0"/>
        <v>1407727</v>
      </c>
      <c r="D6" s="36">
        <f t="shared" si="0"/>
        <v>37517</v>
      </c>
      <c r="E6" s="36">
        <f t="shared" si="0"/>
        <v>85592</v>
      </c>
      <c r="F6" s="36">
        <f t="shared" si="0"/>
        <v>71517</v>
      </c>
      <c r="G6" s="36">
        <f t="shared" si="0"/>
        <v>1151</v>
      </c>
      <c r="H6" s="36">
        <f t="shared" si="0"/>
        <v>0</v>
      </c>
      <c r="I6" s="36">
        <f t="shared" si="0"/>
        <v>329585</v>
      </c>
      <c r="J6" s="288">
        <f>SUM(B6:I6)</f>
        <v>1979358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[3]American!$DR$27</f>
        <v>1035</v>
      </c>
      <c r="C9" s="22">
        <f>[3]Delta!$DR$27+[3]Delta!$DR$37</f>
        <v>24659</v>
      </c>
      <c r="D9" s="22">
        <f>[3]United!$DR$27</f>
        <v>515</v>
      </c>
      <c r="E9" s="22">
        <f>'[3]US Airways'!$DR$27</f>
        <v>1502</v>
      </c>
      <c r="F9" s="22">
        <f>[3]Spirit!$DR$27</f>
        <v>338</v>
      </c>
      <c r="G9" s="22">
        <f>[3]Condor!$DR$27+[3]Condor!$DR$37</f>
        <v>7</v>
      </c>
      <c r="H9" s="22">
        <f>'[3]Air France'!$DR$27+'[3]Air France'!$DR$37</f>
        <v>0</v>
      </c>
      <c r="I9" s="22">
        <f>'Other Major Airline Stats'!I10</f>
        <v>3068</v>
      </c>
      <c r="J9" s="286">
        <f>SUM(B9:I9)</f>
        <v>31124</v>
      </c>
    </row>
    <row r="10" spans="1:19" x14ac:dyDescent="0.2">
      <c r="A10" s="65" t="s">
        <v>36</v>
      </c>
      <c r="B10" s="14">
        <f>[3]American!$DR$28</f>
        <v>1086</v>
      </c>
      <c r="C10" s="14">
        <f>[3]Delta!$DR$28+[3]Delta!$DR$38</f>
        <v>21690</v>
      </c>
      <c r="D10" s="14">
        <f>[3]United!$DR$28</f>
        <v>799</v>
      </c>
      <c r="E10" s="14">
        <f>'[3]US Airways'!$DR$28</f>
        <v>1676</v>
      </c>
      <c r="F10" s="14">
        <f>[3]Spirit!$DR$28</f>
        <v>239</v>
      </c>
      <c r="G10" s="14">
        <f>[3]Condor!$DR$28+[3]Condor!$DR$38</f>
        <v>10</v>
      </c>
      <c r="H10" s="14">
        <f>'[3]Air France'!$DR$28+'[3]Air France'!$DR$38</f>
        <v>0</v>
      </c>
      <c r="I10" s="14">
        <f>'Other Major Airline Stats'!I11</f>
        <v>3117</v>
      </c>
      <c r="J10" s="287">
        <f>SUM(B10:I10)</f>
        <v>28617</v>
      </c>
    </row>
    <row r="11" spans="1:19" ht="15.75" thickBot="1" x14ac:dyDescent="0.3">
      <c r="A11" s="66" t="s">
        <v>37</v>
      </c>
      <c r="B11" s="289">
        <f t="shared" ref="B11:I11" si="1">SUM(B9:B10)</f>
        <v>2121</v>
      </c>
      <c r="C11" s="289">
        <f t="shared" si="1"/>
        <v>46349</v>
      </c>
      <c r="D11" s="289">
        <f t="shared" si="1"/>
        <v>1314</v>
      </c>
      <c r="E11" s="289">
        <f t="shared" si="1"/>
        <v>3178</v>
      </c>
      <c r="F11" s="289">
        <f t="shared" si="1"/>
        <v>577</v>
      </c>
      <c r="G11" s="289">
        <f t="shared" si="1"/>
        <v>17</v>
      </c>
      <c r="H11" s="289">
        <f t="shared" si="1"/>
        <v>0</v>
      </c>
      <c r="I11" s="289">
        <f t="shared" si="1"/>
        <v>6185</v>
      </c>
      <c r="J11" s="290">
        <f>SUM(B11:I11)</f>
        <v>59741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[3]American!$DR$4</f>
        <v>198</v>
      </c>
      <c r="C15" s="22">
        <f>[3]Delta!$DR$4+[3]Delta!$DR$15</f>
        <v>5165</v>
      </c>
      <c r="D15" s="22">
        <f>[3]United!$DR$4</f>
        <v>166</v>
      </c>
      <c r="E15" s="22">
        <f>'[3]US Airways'!$DR$4</f>
        <v>336</v>
      </c>
      <c r="F15" s="22">
        <f>[3]Spirit!$DR$4</f>
        <v>326</v>
      </c>
      <c r="G15" s="22">
        <f>[3]Condor!$DR$4+[3]Condor!$DR$15</f>
        <v>4</v>
      </c>
      <c r="H15" s="22">
        <f>'[3]Air France'!$DR$4+'[3]Air France'!$DR$15</f>
        <v>0</v>
      </c>
      <c r="I15" s="22">
        <f>'Other Major Airline Stats'!I16</f>
        <v>1497</v>
      </c>
      <c r="J15" s="29">
        <f>SUM(B15:I15)</f>
        <v>7692</v>
      </c>
    </row>
    <row r="16" spans="1:19" x14ac:dyDescent="0.2">
      <c r="A16" s="65" t="s">
        <v>26</v>
      </c>
      <c r="B16" s="14">
        <f>[3]American!$DR$5</f>
        <v>198</v>
      </c>
      <c r="C16" s="14">
        <f>[3]Delta!$DR$5+[3]Delta!$DR$16</f>
        <v>5162</v>
      </c>
      <c r="D16" s="14">
        <f>[3]United!$DR$5</f>
        <v>166</v>
      </c>
      <c r="E16" s="14">
        <f>'[3]US Airways'!$DR$5</f>
        <v>335</v>
      </c>
      <c r="F16" s="14">
        <f>[3]Spirit!$DR$5</f>
        <v>326</v>
      </c>
      <c r="G16" s="14">
        <f>[3]Condor!$DR$5+[3]Condor!$DR$16</f>
        <v>4</v>
      </c>
      <c r="H16" s="14">
        <f>'[3]Air France'!$DR$5+'[3]Air France'!$DR$16</f>
        <v>0</v>
      </c>
      <c r="I16" s="14">
        <f>'Other Major Airline Stats'!I17</f>
        <v>1494</v>
      </c>
      <c r="J16" s="35">
        <f>SUM(B16:I16)</f>
        <v>7685</v>
      </c>
    </row>
    <row r="17" spans="1:10" x14ac:dyDescent="0.2">
      <c r="A17" s="65" t="s">
        <v>27</v>
      </c>
      <c r="B17" s="293">
        <f t="shared" ref="B17:I17" si="2">SUM(B15:B16)</f>
        <v>396</v>
      </c>
      <c r="C17" s="291">
        <f t="shared" si="2"/>
        <v>10327</v>
      </c>
      <c r="D17" s="291">
        <f t="shared" si="2"/>
        <v>332</v>
      </c>
      <c r="E17" s="291">
        <f t="shared" si="2"/>
        <v>671</v>
      </c>
      <c r="F17" s="291">
        <f t="shared" si="2"/>
        <v>652</v>
      </c>
      <c r="G17" s="291">
        <f t="shared" si="2"/>
        <v>8</v>
      </c>
      <c r="H17" s="291">
        <f t="shared" si="2"/>
        <v>0</v>
      </c>
      <c r="I17" s="291">
        <f t="shared" si="2"/>
        <v>2991</v>
      </c>
      <c r="J17" s="292">
        <f>SUM(B17:I17)</f>
        <v>15377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[3]American!$DR$8</f>
        <v>0</v>
      </c>
      <c r="C19" s="22">
        <f>[3]Delta!$DR$8</f>
        <v>4</v>
      </c>
      <c r="D19" s="22">
        <f>[3]United!$DR$8</f>
        <v>0</v>
      </c>
      <c r="E19" s="22">
        <f>'[3]US Airways'!$DR$8</f>
        <v>0</v>
      </c>
      <c r="F19" s="22">
        <f>[3]Spirit!$DR$8</f>
        <v>0</v>
      </c>
      <c r="G19" s="22">
        <f>[3]Condor!$DR$8</f>
        <v>0</v>
      </c>
      <c r="H19" s="22">
        <f>'[3]Air France'!$DR$8</f>
        <v>0</v>
      </c>
      <c r="I19" s="22">
        <f>'Other Major Airline Stats'!I20</f>
        <v>54</v>
      </c>
      <c r="J19" s="29">
        <f>SUM(B19:I19)</f>
        <v>58</v>
      </c>
    </row>
    <row r="20" spans="1:10" x14ac:dyDescent="0.2">
      <c r="A20" s="65" t="s">
        <v>29</v>
      </c>
      <c r="B20" s="14">
        <f>[3]American!$DR$9</f>
        <v>0</v>
      </c>
      <c r="C20" s="14">
        <f>[3]Delta!$DR$9</f>
        <v>0</v>
      </c>
      <c r="D20" s="14">
        <f>[3]United!$DR$9</f>
        <v>0</v>
      </c>
      <c r="E20" s="14">
        <f>'[3]US Airways'!$DR$9</f>
        <v>0</v>
      </c>
      <c r="F20" s="14">
        <f>[3]Spirit!$DR$9</f>
        <v>0</v>
      </c>
      <c r="G20" s="14">
        <f>[3]Condor!$DR$9</f>
        <v>0</v>
      </c>
      <c r="H20" s="14">
        <f>'[3]Air France'!$DR$9</f>
        <v>0</v>
      </c>
      <c r="I20" s="14">
        <f>'Other Major Airline Stats'!I21</f>
        <v>58</v>
      </c>
      <c r="J20" s="35">
        <f>SUM(B20:I20)</f>
        <v>58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4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112</v>
      </c>
      <c r="J21" s="180">
        <f>SUM(B21:I21)</f>
        <v>116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396</v>
      </c>
      <c r="C23" s="30">
        <f t="shared" si="4"/>
        <v>10331</v>
      </c>
      <c r="D23" s="30">
        <f t="shared" si="4"/>
        <v>332</v>
      </c>
      <c r="E23" s="30">
        <f t="shared" si="4"/>
        <v>671</v>
      </c>
      <c r="F23" s="30">
        <f>F17+F21</f>
        <v>652</v>
      </c>
      <c r="G23" s="30">
        <f>G17+G21</f>
        <v>8</v>
      </c>
      <c r="H23" s="30">
        <f>H17+H21</f>
        <v>0</v>
      </c>
      <c r="I23" s="30">
        <f t="shared" si="4"/>
        <v>3103</v>
      </c>
      <c r="J23" s="31">
        <f>SUM(B23:I23)</f>
        <v>15493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[3]American!$DR$47</f>
        <v>12211</v>
      </c>
      <c r="C28" s="22">
        <f>[3]Delta!$DR$47</f>
        <v>3970857</v>
      </c>
      <c r="D28" s="22">
        <f>[3]United!$DR$47</f>
        <v>26614</v>
      </c>
      <c r="E28" s="22">
        <f>'[3]US Airways'!$DR$47</f>
        <v>32948</v>
      </c>
      <c r="F28" s="22">
        <f>[3]Spirit!$DR$47</f>
        <v>0</v>
      </c>
      <c r="G28" s="22">
        <f>[3]Condor!$DR$47</f>
        <v>0</v>
      </c>
      <c r="H28" s="22">
        <f>'[3]Air France'!$DR$47</f>
        <v>0</v>
      </c>
      <c r="I28" s="22">
        <f>'Other Major Airline Stats'!I28</f>
        <v>267205</v>
      </c>
      <c r="J28" s="29">
        <f>SUM(B28:I28)</f>
        <v>4309835</v>
      </c>
    </row>
    <row r="29" spans="1:10" x14ac:dyDescent="0.2">
      <c r="A29" s="65" t="s">
        <v>41</v>
      </c>
      <c r="B29" s="14">
        <f>[3]American!$DR$48</f>
        <v>0</v>
      </c>
      <c r="C29" s="14">
        <f>[3]Delta!$DR$48</f>
        <v>738358</v>
      </c>
      <c r="D29" s="14">
        <f>[3]United!$DR$48</f>
        <v>150827</v>
      </c>
      <c r="E29" s="14">
        <f>'[3]US Airways'!$DR$48</f>
        <v>35251</v>
      </c>
      <c r="F29" s="14">
        <f>[3]Spirit!$DR$48</f>
        <v>0</v>
      </c>
      <c r="G29" s="14">
        <f>[3]Condor!$DR$48</f>
        <v>0</v>
      </c>
      <c r="H29" s="14">
        <f>'[3]Air France'!$DR$48</f>
        <v>0</v>
      </c>
      <c r="I29" s="14">
        <f>'Other Major Airline Stats'!I29</f>
        <v>53808</v>
      </c>
      <c r="J29" s="35">
        <f>SUM(B29:I29)</f>
        <v>978244</v>
      </c>
    </row>
    <row r="30" spans="1:10" x14ac:dyDescent="0.2">
      <c r="A30" s="69" t="s">
        <v>42</v>
      </c>
      <c r="B30" s="293">
        <f t="shared" ref="B30:I30" si="5">SUM(B28:B29)</f>
        <v>12211</v>
      </c>
      <c r="C30" s="293">
        <f t="shared" si="5"/>
        <v>4709215</v>
      </c>
      <c r="D30" s="293">
        <f t="shared" si="5"/>
        <v>177441</v>
      </c>
      <c r="E30" s="293">
        <f t="shared" si="5"/>
        <v>68199</v>
      </c>
      <c r="F30" s="293">
        <f t="shared" si="5"/>
        <v>0</v>
      </c>
      <c r="G30" s="293">
        <f t="shared" si="5"/>
        <v>0</v>
      </c>
      <c r="H30" s="293">
        <f t="shared" si="5"/>
        <v>0</v>
      </c>
      <c r="I30" s="293">
        <f t="shared" si="5"/>
        <v>321013</v>
      </c>
      <c r="J30" s="29">
        <f>SUM(B30:I30)</f>
        <v>5288079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[3]American!$DR$52</f>
        <v>12286</v>
      </c>
      <c r="C33" s="22">
        <f>[3]Delta!$DR$52</f>
        <v>3838515</v>
      </c>
      <c r="D33" s="22">
        <f>[3]United!$DR$52</f>
        <v>18804</v>
      </c>
      <c r="E33" s="22">
        <f>'[3]US Airways'!$DR$52</f>
        <v>12096</v>
      </c>
      <c r="F33" s="22">
        <f>[3]Spirit!$DR$52</f>
        <v>0</v>
      </c>
      <c r="G33" s="22">
        <f>[3]Condor!$DR$52</f>
        <v>0</v>
      </c>
      <c r="H33" s="22">
        <f>'[3]Air France'!$DR$52</f>
        <v>0</v>
      </c>
      <c r="I33" s="22">
        <f>'Other Major Airline Stats'!I33</f>
        <v>145801</v>
      </c>
      <c r="J33" s="29">
        <f t="shared" si="6"/>
        <v>4027502</v>
      </c>
    </row>
    <row r="34" spans="1:10" x14ac:dyDescent="0.2">
      <c r="A34" s="65" t="s">
        <v>41</v>
      </c>
      <c r="B34" s="14">
        <f>[3]American!$DR$53</f>
        <v>0</v>
      </c>
      <c r="C34" s="14">
        <f>[3]Delta!$DR$53</f>
        <v>25152</v>
      </c>
      <c r="D34" s="14">
        <f>[3]United!$DR$53</f>
        <v>203055</v>
      </c>
      <c r="E34" s="14">
        <f>'[3]US Airways'!$DR$53</f>
        <v>65170</v>
      </c>
      <c r="F34" s="14">
        <f>[3]Spirit!$DR$53</f>
        <v>0</v>
      </c>
      <c r="G34" s="14">
        <f>[3]Condor!$DR$53</f>
        <v>0</v>
      </c>
      <c r="H34" s="14">
        <f>'[3]Air France'!$DR$53</f>
        <v>0</v>
      </c>
      <c r="I34" s="14">
        <f>'Other Major Airline Stats'!I34</f>
        <v>240242</v>
      </c>
      <c r="J34" s="35">
        <f t="shared" si="6"/>
        <v>533619</v>
      </c>
    </row>
    <row r="35" spans="1:10" x14ac:dyDescent="0.2">
      <c r="A35" s="69" t="s">
        <v>44</v>
      </c>
      <c r="B35" s="293">
        <f t="shared" ref="B35:I35" si="7">SUM(B33:B34)</f>
        <v>12286</v>
      </c>
      <c r="C35" s="293">
        <f t="shared" si="7"/>
        <v>3863667</v>
      </c>
      <c r="D35" s="293">
        <f t="shared" si="7"/>
        <v>221859</v>
      </c>
      <c r="E35" s="293">
        <f t="shared" si="7"/>
        <v>77266</v>
      </c>
      <c r="F35" s="293">
        <f t="shared" si="7"/>
        <v>0</v>
      </c>
      <c r="G35" s="293">
        <f t="shared" si="7"/>
        <v>0</v>
      </c>
      <c r="H35" s="293">
        <f t="shared" si="7"/>
        <v>0</v>
      </c>
      <c r="I35" s="293">
        <f t="shared" si="7"/>
        <v>386043</v>
      </c>
      <c r="J35" s="29">
        <f t="shared" si="6"/>
        <v>4561121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[3]American!$DR$57</f>
        <v>0</v>
      </c>
      <c r="C38" s="22">
        <f>[3]Delta!$DR$57</f>
        <v>0</v>
      </c>
      <c r="D38" s="22">
        <f>[3]United!$DR$57</f>
        <v>0</v>
      </c>
      <c r="E38" s="22">
        <f>'[3]US Airways'!$DR$57</f>
        <v>0</v>
      </c>
      <c r="F38" s="22">
        <f>[3]Spirit!$DR$57</f>
        <v>0</v>
      </c>
      <c r="G38" s="22">
        <f>[3]Condor!$DR$57</f>
        <v>0</v>
      </c>
      <c r="H38" s="22">
        <f>'[3]Air France'!$DR$57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[3]American!$DR$58</f>
        <v>0</v>
      </c>
      <c r="C39" s="14">
        <f>[3]Delta!$DR$58</f>
        <v>0</v>
      </c>
      <c r="D39" s="14">
        <f>[3]United!$DR$58</f>
        <v>0</v>
      </c>
      <c r="E39" s="14">
        <f>'[3]US Airways'!$DR$58</f>
        <v>0</v>
      </c>
      <c r="F39" s="14">
        <f>[3]Spirit!$DR$58</f>
        <v>0</v>
      </c>
      <c r="G39" s="14">
        <f>[3]Condor!$DR$58</f>
        <v>0</v>
      </c>
      <c r="H39" s="14">
        <f>'[3]Air France'!$DR$58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24497</v>
      </c>
      <c r="C43" s="22">
        <f t="shared" si="9"/>
        <v>7809372</v>
      </c>
      <c r="D43" s="22">
        <f t="shared" si="9"/>
        <v>45418</v>
      </c>
      <c r="E43" s="22">
        <f t="shared" si="9"/>
        <v>45044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413006</v>
      </c>
      <c r="J43" s="29">
        <f>SUM(B43:I43)</f>
        <v>8337337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763510</v>
      </c>
      <c r="D44" s="14">
        <f t="shared" si="9"/>
        <v>353882</v>
      </c>
      <c r="E44" s="14">
        <f t="shared" si="9"/>
        <v>100421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294050</v>
      </c>
      <c r="J44" s="29">
        <f>SUM(B44:I44)</f>
        <v>1511863</v>
      </c>
    </row>
    <row r="45" spans="1:10" ht="15.75" thickBot="1" x14ac:dyDescent="0.3">
      <c r="A45" s="66" t="s">
        <v>49</v>
      </c>
      <c r="B45" s="294">
        <f t="shared" ref="B45:I45" si="11">SUM(B43:B44)</f>
        <v>24497</v>
      </c>
      <c r="C45" s="294">
        <f t="shared" si="11"/>
        <v>8572882</v>
      </c>
      <c r="D45" s="294">
        <f t="shared" si="11"/>
        <v>399300</v>
      </c>
      <c r="E45" s="294">
        <f t="shared" si="11"/>
        <v>145465</v>
      </c>
      <c r="F45" s="294">
        <f t="shared" si="11"/>
        <v>0</v>
      </c>
      <c r="G45" s="294">
        <f t="shared" si="11"/>
        <v>0</v>
      </c>
      <c r="H45" s="294">
        <f t="shared" si="11"/>
        <v>0</v>
      </c>
      <c r="I45" s="294">
        <f t="shared" si="11"/>
        <v>707056</v>
      </c>
      <c r="J45" s="295">
        <f>SUM(B45:I45)</f>
        <v>9849200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[3]Delta!$DR$70+[3]Delta!$DR$73</f>
        <v>287692</v>
      </c>
      <c r="D47" s="312"/>
      <c r="E47" s="312"/>
      <c r="F47" s="312"/>
      <c r="G47" s="312"/>
      <c r="H47" s="312"/>
      <c r="I47" s="312"/>
      <c r="J47" s="313">
        <f>SUM(B47:I47)</f>
        <v>287692</v>
      </c>
    </row>
    <row r="48" spans="1:10" hidden="1" x14ac:dyDescent="0.2">
      <c r="A48" s="395" t="s">
        <v>136</v>
      </c>
      <c r="C48" s="325">
        <f>[3]Delta!$DR$71+[3]Delta!$DR$74</f>
        <v>419170</v>
      </c>
      <c r="D48" s="312"/>
      <c r="E48" s="312"/>
      <c r="F48" s="312"/>
      <c r="G48" s="312"/>
      <c r="H48" s="312"/>
      <c r="I48" s="312"/>
      <c r="J48" s="313">
        <f>SUM(B48:I48)</f>
        <v>419170</v>
      </c>
    </row>
    <row r="49" spans="1:10" hidden="1" x14ac:dyDescent="0.2">
      <c r="A49" s="396" t="s">
        <v>137</v>
      </c>
      <c r="C49" s="326">
        <f>SUM(C47:C48)</f>
        <v>706862</v>
      </c>
      <c r="J49" s="313">
        <f>SUM(B49:I49)</f>
        <v>706862</v>
      </c>
    </row>
    <row r="50" spans="1:10" x14ac:dyDescent="0.2">
      <c r="A50" s="394" t="s">
        <v>135</v>
      </c>
      <c r="B50" s="408"/>
      <c r="C50" s="328">
        <f>[3]Delta!$DR$70+[3]Delta!$DR$73</f>
        <v>287692</v>
      </c>
      <c r="D50" s="408"/>
      <c r="E50" s="408"/>
      <c r="F50" s="408"/>
      <c r="G50" s="408"/>
      <c r="H50" s="408"/>
      <c r="I50" s="327">
        <f>'Other Major Airline Stats'!I48</f>
        <v>114675</v>
      </c>
      <c r="J50" s="316">
        <f>SUM(B50:I50)</f>
        <v>402367</v>
      </c>
    </row>
    <row r="51" spans="1:10" x14ac:dyDescent="0.2">
      <c r="A51" s="410" t="s">
        <v>136</v>
      </c>
      <c r="B51" s="408"/>
      <c r="C51" s="328">
        <f>[3]Delta!$DR$71+[3]Delta!$DR$74</f>
        <v>419170</v>
      </c>
      <c r="D51" s="408"/>
      <c r="E51" s="408"/>
      <c r="F51" s="408"/>
      <c r="G51" s="408"/>
      <c r="H51" s="408"/>
      <c r="I51" s="327">
        <f>+'Other Major Airline Stats'!I49</f>
        <v>5777</v>
      </c>
      <c r="J51" s="316">
        <f>SUM(B51:I51)</f>
        <v>424947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43" zoomScaleNormal="100" workbookViewId="0">
      <selection activeCell="F16" sqref="F16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41883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[3]AirTran!$DR$22</f>
        <v>5895</v>
      </c>
      <c r="C5" s="150">
        <f>[3]Frontier!$DR$22</f>
        <v>24705</v>
      </c>
      <c r="D5" s="150">
        <f>'[3]Great Lakes'!$DR$22</f>
        <v>361</v>
      </c>
      <c r="E5" s="150">
        <f>[3]Icelandair!$DR$32</f>
        <v>2783</v>
      </c>
      <c r="F5" s="122">
        <f>[3]Southwest!$DR$22</f>
        <v>73007</v>
      </c>
      <c r="G5" s="122">
        <f>'[3]Sun Country'!$DR$22+'[3]Sun Country'!$DR$32</f>
        <v>51864</v>
      </c>
      <c r="H5" s="122">
        <f>[3]Alaska!$DR$22</f>
        <v>8154</v>
      </c>
      <c r="I5" s="151">
        <f>SUM(B5:H5)</f>
        <v>166769</v>
      </c>
      <c r="L5" s="134"/>
    </row>
    <row r="6" spans="1:12" x14ac:dyDescent="0.2">
      <c r="A6" s="65" t="s">
        <v>34</v>
      </c>
      <c r="B6" s="297">
        <f>[3]AirTran!$DR$23</f>
        <v>6745</v>
      </c>
      <c r="C6" s="150">
        <f>[3]Frontier!$DR$23</f>
        <v>25233</v>
      </c>
      <c r="D6" s="150">
        <f>'[3]Great Lakes'!$DR$23</f>
        <v>335</v>
      </c>
      <c r="E6" s="150">
        <f>[3]Icelandair!$DR$33</f>
        <v>2626</v>
      </c>
      <c r="F6" s="122">
        <f>[3]Southwest!$DR$23</f>
        <v>72572</v>
      </c>
      <c r="G6" s="122">
        <f>'[3]Sun Country'!$DR$23+'[3]Sun Country'!$DR$33</f>
        <v>47880</v>
      </c>
      <c r="H6" s="122">
        <f>[3]Alaska!$DR$23</f>
        <v>7425</v>
      </c>
      <c r="I6" s="151">
        <f>SUM(B6:H6)</f>
        <v>162816</v>
      </c>
    </row>
    <row r="7" spans="1:12" ht="15" x14ac:dyDescent="0.25">
      <c r="A7" s="63" t="s">
        <v>7</v>
      </c>
      <c r="B7" s="159">
        <f t="shared" ref="B7:H7" si="0">SUM(B5:B6)</f>
        <v>12640</v>
      </c>
      <c r="C7" s="159">
        <f t="shared" si="0"/>
        <v>49938</v>
      </c>
      <c r="D7" s="159">
        <f t="shared" si="0"/>
        <v>696</v>
      </c>
      <c r="E7" s="159">
        <f t="shared" si="0"/>
        <v>5409</v>
      </c>
      <c r="F7" s="159">
        <f t="shared" si="0"/>
        <v>145579</v>
      </c>
      <c r="G7" s="159">
        <f>SUM(G5:G6)</f>
        <v>99744</v>
      </c>
      <c r="H7" s="159">
        <f t="shared" si="0"/>
        <v>15579</v>
      </c>
      <c r="I7" s="160">
        <f>SUM(B7:H7)</f>
        <v>329585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[3]AirTran!$DR$27</f>
        <v>60</v>
      </c>
      <c r="C10" s="158">
        <f>[3]Frontier!$DR$27</f>
        <v>279</v>
      </c>
      <c r="D10" s="158">
        <f>'[3]Great Lakes'!$DR$27</f>
        <v>14</v>
      </c>
      <c r="E10" s="158">
        <f>[3]Icelandair!$DR$37</f>
        <v>93</v>
      </c>
      <c r="F10" s="158">
        <f>[3]Southwest!$DR$27</f>
        <v>1099</v>
      </c>
      <c r="G10" s="158">
        <f>'[3]Sun Country'!$DR$27+'[3]Sun Country'!$DR$37</f>
        <v>1219</v>
      </c>
      <c r="H10" s="158">
        <f>[3]Alaska!$DR$27</f>
        <v>304</v>
      </c>
      <c r="I10" s="151">
        <f>SUM(B10:H10)</f>
        <v>3068</v>
      </c>
    </row>
    <row r="11" spans="1:12" x14ac:dyDescent="0.2">
      <c r="A11" s="65" t="s">
        <v>36</v>
      </c>
      <c r="B11" s="14">
        <f>[3]AirTran!$DR$28</f>
        <v>51</v>
      </c>
      <c r="C11" s="161">
        <f>[3]Frontier!$DR$28</f>
        <v>312</v>
      </c>
      <c r="D11" s="161">
        <f>'[3]Great Lakes'!$DR$28</f>
        <v>17</v>
      </c>
      <c r="E11" s="161">
        <f>[3]Icelandair!$DR$38</f>
        <v>107</v>
      </c>
      <c r="F11" s="161">
        <f>[3]Southwest!$DR$28</f>
        <v>1138</v>
      </c>
      <c r="G11" s="161">
        <f>'[3]Sun Country'!$DR$28+'[3]Sun Country'!$DR$38</f>
        <v>1119</v>
      </c>
      <c r="H11" s="161">
        <f>[3]Alaska!$DR$28</f>
        <v>373</v>
      </c>
      <c r="I11" s="151">
        <f>SUM(B11:H11)</f>
        <v>3117</v>
      </c>
    </row>
    <row r="12" spans="1:12" ht="15.75" thickBot="1" x14ac:dyDescent="0.3">
      <c r="A12" s="66" t="s">
        <v>37</v>
      </c>
      <c r="B12" s="154">
        <f t="shared" ref="B12:H12" si="1">SUM(B10:B11)</f>
        <v>111</v>
      </c>
      <c r="C12" s="154">
        <f t="shared" si="1"/>
        <v>591</v>
      </c>
      <c r="D12" s="154">
        <f t="shared" si="1"/>
        <v>31</v>
      </c>
      <c r="E12" s="154">
        <f t="shared" si="1"/>
        <v>200</v>
      </c>
      <c r="F12" s="154">
        <f t="shared" si="1"/>
        <v>2237</v>
      </c>
      <c r="G12" s="154">
        <f>SUM(G10:G11)</f>
        <v>2338</v>
      </c>
      <c r="H12" s="154">
        <f t="shared" si="1"/>
        <v>677</v>
      </c>
      <c r="I12" s="162">
        <f>SUM(B12:H12)</f>
        <v>6185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[3]AirTran!$DR$4</f>
        <v>59</v>
      </c>
      <c r="C16" s="150">
        <f>[3]Frontier!$DR$4</f>
        <v>182</v>
      </c>
      <c r="D16" s="150">
        <f>'[3]Great Lakes'!$DR$4</f>
        <v>61</v>
      </c>
      <c r="E16" s="150">
        <f>[3]Icelandair!$DR$15</f>
        <v>18</v>
      </c>
      <c r="F16" s="109">
        <f>[3]Southwest!$DR$4</f>
        <v>634</v>
      </c>
      <c r="G16" s="122">
        <f>'[3]Sun Country'!$DR$4+'[3]Sun Country'!$DR$15</f>
        <v>486</v>
      </c>
      <c r="H16" s="122">
        <f>[3]Alaska!$DR$4</f>
        <v>57</v>
      </c>
      <c r="I16" s="151">
        <f>SUM(B16:H16)</f>
        <v>1497</v>
      </c>
    </row>
    <row r="17" spans="1:256" x14ac:dyDescent="0.2">
      <c r="A17" s="65" t="s">
        <v>26</v>
      </c>
      <c r="B17" s="14">
        <f>[3]AirTran!$DR$5</f>
        <v>59</v>
      </c>
      <c r="C17" s="150">
        <f>[3]Frontier!$DR$5</f>
        <v>182</v>
      </c>
      <c r="D17" s="150">
        <f>'[3]Great Lakes'!$DR$5</f>
        <v>61</v>
      </c>
      <c r="E17" s="150">
        <f>[3]Icelandair!$DR$16</f>
        <v>18</v>
      </c>
      <c r="F17" s="109">
        <f>[3]Southwest!$DR$5</f>
        <v>632</v>
      </c>
      <c r="G17" s="122">
        <f>'[3]Sun Country'!$DR$5+'[3]Sun Country'!$DR$16</f>
        <v>485</v>
      </c>
      <c r="H17" s="122">
        <f>[3]Alaska!$DR$5</f>
        <v>57</v>
      </c>
      <c r="I17" s="151">
        <f>SUM(B17:H17)</f>
        <v>1494</v>
      </c>
    </row>
    <row r="18" spans="1:256" x14ac:dyDescent="0.2">
      <c r="A18" s="69" t="s">
        <v>27</v>
      </c>
      <c r="B18" s="152">
        <f t="shared" ref="B18:H18" si="2">SUM(B16:B17)</f>
        <v>118</v>
      </c>
      <c r="C18" s="152">
        <f t="shared" si="2"/>
        <v>364</v>
      </c>
      <c r="D18" s="152">
        <f t="shared" si="2"/>
        <v>122</v>
      </c>
      <c r="E18" s="152">
        <f t="shared" si="2"/>
        <v>36</v>
      </c>
      <c r="F18" s="152">
        <f t="shared" si="2"/>
        <v>1266</v>
      </c>
      <c r="G18" s="152">
        <f t="shared" si="2"/>
        <v>971</v>
      </c>
      <c r="H18" s="152">
        <f t="shared" si="2"/>
        <v>114</v>
      </c>
      <c r="I18" s="153">
        <f>SUM(B18:H18)</f>
        <v>2991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[3]AirTran!$DR$8</f>
        <v>0</v>
      </c>
      <c r="C20" s="150">
        <f>[3]Frontier!$DR$8</f>
        <v>0</v>
      </c>
      <c r="D20" s="150">
        <f>'[3]Great Lakes'!$DR$8</f>
        <v>0</v>
      </c>
      <c r="E20" s="150">
        <f>[3]Icelandair!$DR$8</f>
        <v>0</v>
      </c>
      <c r="F20" s="122">
        <f>[3]Southwest!$DR$8</f>
        <v>0</v>
      </c>
      <c r="G20" s="122">
        <f>'[3]Sun Country'!$DR$8</f>
        <v>54</v>
      </c>
      <c r="H20" s="122">
        <f>[3]Alaska!$DR$8</f>
        <v>0</v>
      </c>
      <c r="I20" s="151">
        <f>SUM(B20:H20)</f>
        <v>54</v>
      </c>
    </row>
    <row r="21" spans="1:256" x14ac:dyDescent="0.2">
      <c r="A21" s="65" t="s">
        <v>29</v>
      </c>
      <c r="B21" s="14">
        <f>[3]AirTran!$DR$9</f>
        <v>0</v>
      </c>
      <c r="C21" s="150">
        <f>[3]Frontier!$DR$9</f>
        <v>0</v>
      </c>
      <c r="D21" s="150">
        <f>'[3]Great Lakes'!$DR$9</f>
        <v>0</v>
      </c>
      <c r="E21" s="150">
        <f>[3]Icelandair!$DR$9</f>
        <v>0</v>
      </c>
      <c r="F21" s="122">
        <f>[3]Southwest!$DR$9</f>
        <v>0</v>
      </c>
      <c r="G21" s="122">
        <f>'[3]Sun Country'!$DR$9</f>
        <v>58</v>
      </c>
      <c r="H21" s="122">
        <f>[3]Alaska!$DR$9</f>
        <v>0</v>
      </c>
      <c r="I21" s="151">
        <f>SUM(B21:H21)</f>
        <v>58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112</v>
      </c>
      <c r="H22" s="152">
        <f t="shared" si="3"/>
        <v>0</v>
      </c>
      <c r="I22" s="153">
        <f>SUM(B22:H22)</f>
        <v>112</v>
      </c>
    </row>
    <row r="23" spans="1:256" ht="15.75" thickBot="1" x14ac:dyDescent="0.3">
      <c r="A23" s="66" t="s">
        <v>31</v>
      </c>
      <c r="B23" s="154">
        <f t="shared" ref="B23:H23" si="4">B22+B18</f>
        <v>118</v>
      </c>
      <c r="C23" s="154">
        <f t="shared" si="4"/>
        <v>364</v>
      </c>
      <c r="D23" s="154">
        <f t="shared" si="4"/>
        <v>122</v>
      </c>
      <c r="E23" s="154">
        <f t="shared" si="4"/>
        <v>36</v>
      </c>
      <c r="F23" s="154">
        <f t="shared" si="4"/>
        <v>1266</v>
      </c>
      <c r="G23" s="154">
        <f t="shared" si="4"/>
        <v>1083</v>
      </c>
      <c r="H23" s="154">
        <f t="shared" si="4"/>
        <v>114</v>
      </c>
      <c r="I23" s="155">
        <f>SUM(B23:H23)</f>
        <v>3103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[3]AirTran!$DR$47</f>
        <v>0</v>
      </c>
      <c r="C28" s="150">
        <f>[3]Frontier!$DR$47</f>
        <v>0</v>
      </c>
      <c r="D28" s="150">
        <f>'[3]Great Lakes'!$DR$47</f>
        <v>96</v>
      </c>
      <c r="E28" s="150">
        <f>[3]Icelandair!$DR$47</f>
        <v>5836</v>
      </c>
      <c r="F28" s="122">
        <f>[3]Southwest!$DR$47</f>
        <v>188808</v>
      </c>
      <c r="G28" s="122">
        <f>'[3]Sun Country'!$DR$47</f>
        <v>36024</v>
      </c>
      <c r="H28" s="122">
        <f>[3]Alaska!$DR$47</f>
        <v>36441</v>
      </c>
      <c r="I28" s="151">
        <f>SUM(B28:H28)</f>
        <v>267205</v>
      </c>
    </row>
    <row r="29" spans="1:256" x14ac:dyDescent="0.2">
      <c r="A29" s="65" t="s">
        <v>41</v>
      </c>
      <c r="B29" s="14">
        <f>[3]AirTran!$DR$48</f>
        <v>0</v>
      </c>
      <c r="C29" s="150">
        <f>[3]Frontier!$DR$48</f>
        <v>0</v>
      </c>
      <c r="D29" s="150">
        <f>'[3]Great Lakes'!$DR$48</f>
        <v>0</v>
      </c>
      <c r="E29" s="150">
        <f>[3]Icelandair!$DR$48</f>
        <v>0</v>
      </c>
      <c r="F29" s="122">
        <f>[3]Southwest!$DR$48</f>
        <v>0</v>
      </c>
      <c r="G29" s="122">
        <f>'[3]Sun Country'!$DR$48</f>
        <v>53808</v>
      </c>
      <c r="H29" s="122">
        <f>[3]Alaska!$DR$48</f>
        <v>0</v>
      </c>
      <c r="I29" s="151">
        <f>SUM(B29:H29)</f>
        <v>53808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96</v>
      </c>
      <c r="E30" s="166">
        <f t="shared" si="5"/>
        <v>5836</v>
      </c>
      <c r="F30" s="166">
        <f t="shared" si="5"/>
        <v>188808</v>
      </c>
      <c r="G30" s="166">
        <f t="shared" si="5"/>
        <v>89832</v>
      </c>
      <c r="H30" s="166">
        <f t="shared" si="5"/>
        <v>36441</v>
      </c>
      <c r="I30" s="169">
        <f>SUM(B30:H30)</f>
        <v>321013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[3]AirTran!$DR$52</f>
        <v>0</v>
      </c>
      <c r="C33" s="150">
        <f>[3]Frontier!$DR$52</f>
        <v>0</v>
      </c>
      <c r="D33" s="150">
        <f>'[3]Great Lakes'!$DR$52</f>
        <v>0</v>
      </c>
      <c r="E33" s="150">
        <f>[3]Icelandair!$DR$52</f>
        <v>5130</v>
      </c>
      <c r="F33" s="122">
        <f>[3]Southwest!$DR$52</f>
        <v>132022</v>
      </c>
      <c r="G33" s="122">
        <f>'[3]Sun Country'!$DR$52</f>
        <v>0</v>
      </c>
      <c r="H33" s="122">
        <f>[3]Alaska!$DR$52</f>
        <v>8649</v>
      </c>
      <c r="I33" s="151">
        <f>SUM(B33:H33)</f>
        <v>145801</v>
      </c>
    </row>
    <row r="34" spans="1:9" x14ac:dyDescent="0.2">
      <c r="A34" s="65" t="s">
        <v>41</v>
      </c>
      <c r="B34" s="14">
        <f>[3]AirTran!$DR$53</f>
        <v>0</v>
      </c>
      <c r="C34" s="150">
        <f>[3]Frontier!$DR$53</f>
        <v>0</v>
      </c>
      <c r="D34" s="150">
        <f>'[3]Great Lakes'!$DR$53</f>
        <v>0</v>
      </c>
      <c r="E34" s="150">
        <f>[3]Icelandair!$DR$53</f>
        <v>0</v>
      </c>
      <c r="F34" s="122">
        <f>[3]Southwest!$DR$53</f>
        <v>0</v>
      </c>
      <c r="G34" s="122">
        <f>'[3]Sun Country'!$DR$53</f>
        <v>240242</v>
      </c>
      <c r="H34" s="122">
        <f>[3]Alaska!$DR$53</f>
        <v>0</v>
      </c>
      <c r="I34" s="167">
        <f>SUM(B34:H34)</f>
        <v>240242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5130</v>
      </c>
      <c r="F35" s="168">
        <f t="shared" si="6"/>
        <v>132022</v>
      </c>
      <c r="G35" s="168">
        <f t="shared" si="6"/>
        <v>240242</v>
      </c>
      <c r="H35" s="168">
        <f t="shared" si="6"/>
        <v>8649</v>
      </c>
      <c r="I35" s="169">
        <f>SUM(B35:H35)</f>
        <v>386043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[3]AirTran!$DR$57</f>
        <v>0</v>
      </c>
      <c r="C38" s="158">
        <f>[3]Frontier!$DR$57</f>
        <v>0</v>
      </c>
      <c r="D38" s="158">
        <f>'[3]Great Lakes'!$DR$57</f>
        <v>0</v>
      </c>
      <c r="E38" s="158">
        <f>[3]Icelandair!$DR$57</f>
        <v>0</v>
      </c>
      <c r="F38" s="158">
        <f>[3]Southwest!$DR$57</f>
        <v>0</v>
      </c>
      <c r="G38" s="158">
        <f>'[3]Sun Country'!$DR$57</f>
        <v>0</v>
      </c>
      <c r="H38" s="158">
        <f>[3]Alaska!$DR$57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[3]AirTran!$DR$58</f>
        <v>0</v>
      </c>
      <c r="C39" s="161">
        <f>[3]Frontier!$DR$58</f>
        <v>0</v>
      </c>
      <c r="D39" s="161">
        <f>'[3]Great Lakes'!$DR$58</f>
        <v>0</v>
      </c>
      <c r="E39" s="161">
        <f>[3]Icelandair!$DR$58</f>
        <v>0</v>
      </c>
      <c r="F39" s="161">
        <f>[3]Southwest!$DR$58</f>
        <v>0</v>
      </c>
      <c r="G39" s="161">
        <f>'[3]Sun Country'!$DR$58</f>
        <v>0</v>
      </c>
      <c r="H39" s="161">
        <f>[3]Alaska!$DR$58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96</v>
      </c>
      <c r="E43" s="158">
        <f t="shared" si="8"/>
        <v>10966</v>
      </c>
      <c r="F43" s="158">
        <f t="shared" si="8"/>
        <v>320830</v>
      </c>
      <c r="G43" s="158">
        <f t="shared" si="8"/>
        <v>36024</v>
      </c>
      <c r="H43" s="158">
        <f t="shared" si="8"/>
        <v>45090</v>
      </c>
      <c r="I43" s="151">
        <f>SUM(B43:H43)</f>
        <v>413006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294050</v>
      </c>
      <c r="H44" s="161">
        <f t="shared" si="9"/>
        <v>0</v>
      </c>
      <c r="I44" s="151">
        <f>SUM(B44:H44)</f>
        <v>294050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96</v>
      </c>
      <c r="E45" s="171">
        <f t="shared" si="10"/>
        <v>10966</v>
      </c>
      <c r="F45" s="171">
        <f t="shared" si="10"/>
        <v>320830</v>
      </c>
      <c r="G45" s="171">
        <f t="shared" si="10"/>
        <v>330074</v>
      </c>
      <c r="H45" s="171">
        <f t="shared" si="10"/>
        <v>45090</v>
      </c>
      <c r="I45" s="172">
        <f>SUM(B45:H45)</f>
        <v>707056</v>
      </c>
    </row>
    <row r="48" spans="1:9" x14ac:dyDescent="0.2">
      <c r="A48" s="394" t="s">
        <v>135</v>
      </c>
      <c r="B48" s="408"/>
      <c r="C48" s="408"/>
      <c r="D48" s="408"/>
      <c r="F48" s="328">
        <f>[3]Southwest!$DR$70+[3]Southwest!$DR$73</f>
        <v>71826</v>
      </c>
      <c r="G48" s="328">
        <f>'[3]Sun Country'!$DR$70+'[3]Sun Country'!$DR$73</f>
        <v>42849</v>
      </c>
      <c r="H48" s="408"/>
      <c r="I48" s="316">
        <f>SUM(B48:H48)</f>
        <v>114675</v>
      </c>
    </row>
    <row r="49" spans="1:9" x14ac:dyDescent="0.2">
      <c r="A49" s="410" t="s">
        <v>136</v>
      </c>
      <c r="B49" s="408"/>
      <c r="C49" s="408"/>
      <c r="D49" s="408"/>
      <c r="F49" s="328">
        <f>[3]Southwest!$DR$71+[3]Southwest!$DR$74</f>
        <v>746</v>
      </c>
      <c r="G49" s="328">
        <f>'[3]Sun Country'!$DR$71+'[3]Sun Country'!$DR$74</f>
        <v>5031</v>
      </c>
      <c r="H49" s="408"/>
      <c r="I49" s="316">
        <f>SUM(B49:H49)</f>
        <v>5777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September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zoomScaleNormal="100" workbookViewId="0">
      <selection activeCell="K48" sqref="K4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41883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[3]Pinnacle!$DR$22+[3]Pinnacle!$DR$32</f>
        <v>159628</v>
      </c>
      <c r="C5" s="136">
        <f>[3]Chautaqua_AA!$DR$22</f>
        <v>0</v>
      </c>
      <c r="D5" s="136">
        <f>[3]Chautaqua_Continental!$DR$22</f>
        <v>0</v>
      </c>
      <c r="E5" s="134">
        <f>[3]MESA_UA!$DR$22+[3]MESA_UA!$DR$32</f>
        <v>5573</v>
      </c>
      <c r="F5" s="134">
        <f>'[3]Sky West'!$DR$22+'[3]Sky West'!$DR$32</f>
        <v>57272</v>
      </c>
      <c r="G5" s="134">
        <f>'[3]Sky West_UA'!$DR$22</f>
        <v>12327</v>
      </c>
      <c r="H5" s="134">
        <f>[3]Comair!$DR$22+[3]Comair!$DR$32</f>
        <v>0</v>
      </c>
      <c r="I5" s="134">
        <f>[3]Republic!$DR$22</f>
        <v>1910</v>
      </c>
      <c r="J5" s="134">
        <f>'[3]American Eagle'!$DR$22</f>
        <v>13693</v>
      </c>
      <c r="K5" s="134">
        <f>'Other Regional'!L5</f>
        <v>130447</v>
      </c>
      <c r="L5" s="113">
        <f>SUM(B5:K5)</f>
        <v>380850</v>
      </c>
    </row>
    <row r="6" spans="1:12" s="10" customFormat="1" x14ac:dyDescent="0.2">
      <c r="A6" s="65" t="s">
        <v>34</v>
      </c>
      <c r="B6" s="135">
        <f>[3]Pinnacle!$DR$23+[3]Pinnacle!$DR$33</f>
        <v>157617</v>
      </c>
      <c r="C6" s="136">
        <f>[3]Chautaqua_AA!$DR$23</f>
        <v>0</v>
      </c>
      <c r="D6" s="136">
        <f>[3]Chautaqua_Continental!$DR$23</f>
        <v>0</v>
      </c>
      <c r="E6" s="134">
        <f>[3]MESA_UA!$DR$23+[3]MESA_UA!$DR$33</f>
        <v>5327</v>
      </c>
      <c r="F6" s="134">
        <f>'[3]Sky West'!$DR$23+'[3]Sky West'!$DR$33</f>
        <v>56690</v>
      </c>
      <c r="G6" s="134">
        <f>'[3]Sky West_UA'!$DR$23</f>
        <v>11784</v>
      </c>
      <c r="H6" s="134">
        <f>[3]Comair!$DR$23+[3]Comair!$DR$33</f>
        <v>0</v>
      </c>
      <c r="I6" s="134">
        <f>[3]Republic!$DR$23</f>
        <v>1691</v>
      </c>
      <c r="J6" s="134">
        <f>'[3]American Eagle'!$DR$23</f>
        <v>13192</v>
      </c>
      <c r="K6" s="134">
        <f>'Other Regional'!L6</f>
        <v>135162</v>
      </c>
      <c r="L6" s="119">
        <f>SUM(B6:K6)</f>
        <v>381463</v>
      </c>
    </row>
    <row r="7" spans="1:12" ht="15" thickBot="1" x14ac:dyDescent="0.25">
      <c r="A7" s="76" t="s">
        <v>7</v>
      </c>
      <c r="B7" s="137">
        <f>SUM(B5:B6)</f>
        <v>317245</v>
      </c>
      <c r="C7" s="137">
        <f t="shared" ref="C7:K7" si="0">SUM(C5:C6)</f>
        <v>0</v>
      </c>
      <c r="D7" s="137">
        <f t="shared" si="0"/>
        <v>0</v>
      </c>
      <c r="E7" s="137">
        <f t="shared" si="0"/>
        <v>10900</v>
      </c>
      <c r="F7" s="137">
        <f t="shared" si="0"/>
        <v>113962</v>
      </c>
      <c r="G7" s="137">
        <f t="shared" si="0"/>
        <v>24111</v>
      </c>
      <c r="H7" s="137">
        <f t="shared" si="0"/>
        <v>0</v>
      </c>
      <c r="I7" s="137">
        <f t="shared" si="0"/>
        <v>3601</v>
      </c>
      <c r="J7" s="137">
        <f t="shared" si="0"/>
        <v>26885</v>
      </c>
      <c r="K7" s="137">
        <f t="shared" si="0"/>
        <v>265609</v>
      </c>
      <c r="L7" s="138">
        <f>SUM(B7:K7)</f>
        <v>762313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[3]Pinnacle!$DR$27+[3]Pinnacle!$DR$37</f>
        <v>4940</v>
      </c>
      <c r="C10" s="136">
        <f>[3]Chautaqua_AA!$DR$27</f>
        <v>0</v>
      </c>
      <c r="D10" s="136">
        <f>[3]Chautaqua_Continental!$DR$27</f>
        <v>0</v>
      </c>
      <c r="E10" s="134">
        <f>[3]MESA_UA!$DR$27+[3]MESA_UA!$DR$37</f>
        <v>182</v>
      </c>
      <c r="F10" s="134">
        <f>'[3]Sky West'!$DR$27+'[3]Sky West'!$DR$37</f>
        <v>2167</v>
      </c>
      <c r="G10" s="134">
        <f>'[3]Sky West_UA'!$DR$27</f>
        <v>348</v>
      </c>
      <c r="H10" s="134">
        <f>[3]Comair!$DR$27+[3]Comair!$DR$37</f>
        <v>0</v>
      </c>
      <c r="I10" s="134">
        <f>[3]Republic!$DR$27</f>
        <v>0</v>
      </c>
      <c r="J10" s="134">
        <f>'[3]American Eagle'!$DR$27</f>
        <v>144</v>
      </c>
      <c r="K10" s="134">
        <f>'Other Regional'!L10</f>
        <v>3719</v>
      </c>
      <c r="L10" s="113">
        <f>SUM(B10:K10)</f>
        <v>11500</v>
      </c>
    </row>
    <row r="11" spans="1:12" x14ac:dyDescent="0.2">
      <c r="A11" s="65" t="s">
        <v>36</v>
      </c>
      <c r="B11" s="135">
        <f>[3]Pinnacle!$DR$28+[3]Pinnacle!$DR$38</f>
        <v>4178</v>
      </c>
      <c r="C11" s="136">
        <f>[3]Chautaqua_AA!$DR$28</f>
        <v>0</v>
      </c>
      <c r="D11" s="136">
        <f>[3]Chautaqua_Continental!$DR$28</f>
        <v>0</v>
      </c>
      <c r="E11" s="134">
        <f>[3]MESA_UA!$DR$28+[3]MESA_UA!$DR$38</f>
        <v>163</v>
      </c>
      <c r="F11" s="134">
        <f>'[3]Sky West'!$DR$28+'[3]Sky West'!$DR$38</f>
        <v>1749</v>
      </c>
      <c r="G11" s="134">
        <f>'[3]Sky West_UA'!$DR$28</f>
        <v>276</v>
      </c>
      <c r="H11" s="134">
        <f>[3]Comair!$DR$28+[3]Comair!$DR$38</f>
        <v>0</v>
      </c>
      <c r="I11" s="134">
        <f>[3]Republic!$DR$28</f>
        <v>0</v>
      </c>
      <c r="J11" s="134">
        <f>'[3]American Eagle'!$DR$28</f>
        <v>115</v>
      </c>
      <c r="K11" s="134">
        <f>'Other Regional'!L11</f>
        <v>2960</v>
      </c>
      <c r="L11" s="119">
        <f>SUM(B11:K11)</f>
        <v>9441</v>
      </c>
    </row>
    <row r="12" spans="1:12" ht="15" thickBot="1" x14ac:dyDescent="0.25">
      <c r="A12" s="77" t="s">
        <v>37</v>
      </c>
      <c r="B12" s="140">
        <f>SUM(B10:B11)</f>
        <v>9118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345</v>
      </c>
      <c r="F12" s="140">
        <f t="shared" si="1"/>
        <v>3916</v>
      </c>
      <c r="G12" s="140">
        <f t="shared" si="1"/>
        <v>624</v>
      </c>
      <c r="H12" s="140">
        <f t="shared" si="1"/>
        <v>0</v>
      </c>
      <c r="I12" s="140">
        <f t="shared" si="1"/>
        <v>0</v>
      </c>
      <c r="J12" s="140">
        <f t="shared" si="1"/>
        <v>259</v>
      </c>
      <c r="K12" s="140">
        <f>SUM(K10:K11)</f>
        <v>6679</v>
      </c>
      <c r="L12" s="141">
        <f>SUM(B12:K12)</f>
        <v>20941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[3]Pinnacle!$DR$4+[3]Pinnacle!$DR$15</f>
        <v>3185</v>
      </c>
      <c r="C15" s="111">
        <f>[3]Chautaqua_AA!$DR$4</f>
        <v>0</v>
      </c>
      <c r="D15" s="111">
        <f>[3]Chautaqua_Continental!$DR$4</f>
        <v>0</v>
      </c>
      <c r="E15" s="109">
        <f>[3]MESA_UA!$DR$4+[3]MESA_UA!$DR$15</f>
        <v>91</v>
      </c>
      <c r="F15" s="109">
        <f>'[3]Sky West'!$DR$4+'[3]Sky West'!$DR$15</f>
        <v>1396</v>
      </c>
      <c r="G15" s="109">
        <f>'[3]Sky West_UA'!$DR$4</f>
        <v>196</v>
      </c>
      <c r="H15" s="109">
        <f>[3]Comair!$DR$4+[3]Comair!$DR$15</f>
        <v>0</v>
      </c>
      <c r="I15" s="112">
        <f>[3]Republic!$DR$4</f>
        <v>32</v>
      </c>
      <c r="J15" s="112">
        <f>'[3]American Eagle'!$DR$4</f>
        <v>208</v>
      </c>
      <c r="K15" s="110">
        <f>'Other Regional'!L15</f>
        <v>2332</v>
      </c>
      <c r="L15" s="113">
        <f t="shared" si="2"/>
        <v>7440</v>
      </c>
    </row>
    <row r="16" spans="1:12" x14ac:dyDescent="0.2">
      <c r="A16" s="65" t="s">
        <v>59</v>
      </c>
      <c r="B16" s="14">
        <f>[3]Pinnacle!$DR$5+[3]Pinnacle!$DR$16</f>
        <v>3183</v>
      </c>
      <c r="C16" s="116">
        <f>[3]Chautaqua_AA!$DR$5</f>
        <v>0</v>
      </c>
      <c r="D16" s="116">
        <f>[3]Chautaqua_Continental!$DR$5</f>
        <v>0</v>
      </c>
      <c r="E16" s="114">
        <f>[3]MESA_UA!$DR$5+[3]MESA_UA!$DR$16</f>
        <v>91</v>
      </c>
      <c r="F16" s="114">
        <f>'[3]Sky West'!$DR$5+'[3]Sky West'!$DR$16</f>
        <v>1394</v>
      </c>
      <c r="G16" s="114">
        <f>'[3]Sky West_UA'!$DR$5</f>
        <v>196</v>
      </c>
      <c r="H16" s="114">
        <f>[3]Comair!$DR$5+[3]Comair!$DR$16</f>
        <v>0</v>
      </c>
      <c r="I16" s="117">
        <f>[3]Republic!$DR$5</f>
        <v>32</v>
      </c>
      <c r="J16" s="117">
        <f>'[3]American Eagle'!$DR$5</f>
        <v>208</v>
      </c>
      <c r="K16" s="115">
        <f>'Other Regional'!L16</f>
        <v>2335</v>
      </c>
      <c r="L16" s="119">
        <f t="shared" si="2"/>
        <v>7439</v>
      </c>
    </row>
    <row r="17" spans="1:12" x14ac:dyDescent="0.2">
      <c r="A17" s="74" t="s">
        <v>60</v>
      </c>
      <c r="B17" s="120">
        <f t="shared" ref="B17:J17" si="3">SUM(B15:B16)</f>
        <v>6368</v>
      </c>
      <c r="C17" s="120">
        <f t="shared" si="3"/>
        <v>0</v>
      </c>
      <c r="D17" s="120">
        <f t="shared" si="3"/>
        <v>0</v>
      </c>
      <c r="E17" s="120">
        <f t="shared" si="3"/>
        <v>182</v>
      </c>
      <c r="F17" s="120">
        <f t="shared" si="3"/>
        <v>2790</v>
      </c>
      <c r="G17" s="120">
        <f t="shared" si="3"/>
        <v>392</v>
      </c>
      <c r="H17" s="120">
        <f t="shared" si="3"/>
        <v>0</v>
      </c>
      <c r="I17" s="120">
        <f t="shared" si="3"/>
        <v>64</v>
      </c>
      <c r="J17" s="120">
        <f t="shared" si="3"/>
        <v>416</v>
      </c>
      <c r="K17" s="120">
        <f>SUM(K15:K16)</f>
        <v>4667</v>
      </c>
      <c r="L17" s="121">
        <f t="shared" si="2"/>
        <v>14879</v>
      </c>
    </row>
    <row r="18" spans="1:12" x14ac:dyDescent="0.2">
      <c r="A18" s="65" t="s">
        <v>61</v>
      </c>
      <c r="B18" s="122">
        <f>[3]Pinnacle!$DR$8</f>
        <v>0</v>
      </c>
      <c r="C18" s="123">
        <f>[3]Chautaqua_AA!$DR$8</f>
        <v>0</v>
      </c>
      <c r="D18" s="123">
        <f>[3]Chautaqua_Continental!$DR$8</f>
        <v>0</v>
      </c>
      <c r="E18" s="122">
        <f>[3]MESA_UA!$DR$8</f>
        <v>0</v>
      </c>
      <c r="F18" s="122">
        <f>'[3]Sky West'!$DR$8</f>
        <v>0</v>
      </c>
      <c r="G18" s="122">
        <f>'[3]Sky West_UA'!$DR$8</f>
        <v>0</v>
      </c>
      <c r="H18" s="122">
        <f>[3]Comair!$DR$8</f>
        <v>0</v>
      </c>
      <c r="I18" s="122">
        <f>[3]Republic!$DR$8</f>
        <v>0</v>
      </c>
      <c r="J18" s="122">
        <f>'[3]American Eagle'!$DR$8</f>
        <v>0</v>
      </c>
      <c r="K18" s="122">
        <f>'Other Regional'!L18</f>
        <v>0</v>
      </c>
      <c r="L18" s="113">
        <f t="shared" si="2"/>
        <v>0</v>
      </c>
    </row>
    <row r="19" spans="1:12" x14ac:dyDescent="0.2">
      <c r="A19" s="65" t="s">
        <v>62</v>
      </c>
      <c r="B19" s="124">
        <f>[3]Pinnacle!$DR$9</f>
        <v>1</v>
      </c>
      <c r="C19" s="125">
        <f>[3]Chautaqua_AA!$DR$9</f>
        <v>0</v>
      </c>
      <c r="D19" s="125">
        <f>[3]Chautaqua_Continental!$DR$9</f>
        <v>0</v>
      </c>
      <c r="E19" s="124">
        <f>[3]MESA_UA!$DR$9</f>
        <v>0</v>
      </c>
      <c r="F19" s="124">
        <f>'[3]Sky West'!$DR$9</f>
        <v>1</v>
      </c>
      <c r="G19" s="124">
        <f>'[3]Sky West_UA'!$DR$9</f>
        <v>0</v>
      </c>
      <c r="H19" s="124">
        <f>[3]Comair!$DR$9</f>
        <v>0</v>
      </c>
      <c r="I19" s="124">
        <f>[3]Republic!$DR$9</f>
        <v>0</v>
      </c>
      <c r="J19" s="124">
        <f>'[3]American Eagle'!$DR$9</f>
        <v>0</v>
      </c>
      <c r="K19" s="124">
        <f>'Other Regional'!L19</f>
        <v>2</v>
      </c>
      <c r="L19" s="119">
        <f t="shared" si="2"/>
        <v>4</v>
      </c>
    </row>
    <row r="20" spans="1:12" x14ac:dyDescent="0.2">
      <c r="A20" s="74" t="s">
        <v>63</v>
      </c>
      <c r="B20" s="120">
        <f t="shared" ref="B20:K20" si="4">SUM(B18:B19)</f>
        <v>1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2</v>
      </c>
      <c r="L20" s="121">
        <f t="shared" si="2"/>
        <v>4</v>
      </c>
    </row>
    <row r="21" spans="1:12" ht="15.75" thickBot="1" x14ac:dyDescent="0.3">
      <c r="A21" s="75" t="s">
        <v>31</v>
      </c>
      <c r="B21" s="126">
        <f t="shared" ref="B21:J21" si="5">SUM(B20,B17)</f>
        <v>6369</v>
      </c>
      <c r="C21" s="126">
        <f t="shared" si="5"/>
        <v>0</v>
      </c>
      <c r="D21" s="126">
        <f t="shared" si="5"/>
        <v>0</v>
      </c>
      <c r="E21" s="126">
        <f t="shared" si="5"/>
        <v>182</v>
      </c>
      <c r="F21" s="126">
        <f t="shared" si="5"/>
        <v>2791</v>
      </c>
      <c r="G21" s="126">
        <f t="shared" si="5"/>
        <v>392</v>
      </c>
      <c r="H21" s="126">
        <f t="shared" si="5"/>
        <v>0</v>
      </c>
      <c r="I21" s="126">
        <f t="shared" si="5"/>
        <v>64</v>
      </c>
      <c r="J21" s="126">
        <f t="shared" si="5"/>
        <v>416</v>
      </c>
      <c r="K21" s="126">
        <f>SUM(K20,K17)</f>
        <v>4669</v>
      </c>
      <c r="L21" s="127">
        <f t="shared" si="2"/>
        <v>14883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[3]Pinnacle!$DR$47</f>
        <v>0</v>
      </c>
      <c r="C25" s="136">
        <f>[3]Chautaqua_AA!$DR$47</f>
        <v>0</v>
      </c>
      <c r="D25" s="136">
        <f>[3]Chautaqua_Continental!$DR$47</f>
        <v>0</v>
      </c>
      <c r="E25" s="134">
        <f>[3]MESA_UA!$DR$47</f>
        <v>0</v>
      </c>
      <c r="F25" s="134">
        <f>'[3]Sky West'!$DR$47</f>
        <v>0</v>
      </c>
      <c r="G25" s="134">
        <f>'[3]Sky West_UA'!$DR$47</f>
        <v>0</v>
      </c>
      <c r="H25" s="134">
        <f>[3]Comair!$DR$47</f>
        <v>0</v>
      </c>
      <c r="I25" s="134">
        <f>[3]Republic!$DR$47</f>
        <v>0</v>
      </c>
      <c r="J25" s="134">
        <f>'[3]American Eagle'!$DR$47</f>
        <v>20</v>
      </c>
      <c r="K25" s="134">
        <f>'Other Regional'!L25</f>
        <v>0</v>
      </c>
      <c r="L25" s="113">
        <f>SUM(B25:K25)</f>
        <v>20</v>
      </c>
    </row>
    <row r="26" spans="1:12" x14ac:dyDescent="0.2">
      <c r="A26" s="78" t="s">
        <v>41</v>
      </c>
      <c r="B26" s="134">
        <f>[3]Pinnacle!$DR$48</f>
        <v>0</v>
      </c>
      <c r="C26" s="136">
        <f>[3]Chautaqua_AA!$DR$48</f>
        <v>0</v>
      </c>
      <c r="D26" s="136">
        <f>[3]Chautaqua_Continental!$DR$48</f>
        <v>0</v>
      </c>
      <c r="E26" s="134">
        <f>[3]MESA_UA!$DR$48</f>
        <v>0</v>
      </c>
      <c r="F26" s="134">
        <f>'[3]Sky West'!$DR$48</f>
        <v>0</v>
      </c>
      <c r="G26" s="134">
        <f>'[3]Sky West_UA'!$DR$48</f>
        <v>0</v>
      </c>
      <c r="H26" s="134">
        <f>[3]Comair!$DR$48</f>
        <v>0</v>
      </c>
      <c r="I26" s="134">
        <f>[3]Republic!$DR$48</f>
        <v>0</v>
      </c>
      <c r="J26" s="134">
        <f>'[3]American Eagle'!$DR$48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20</v>
      </c>
      <c r="K27" s="137">
        <f t="shared" si="6"/>
        <v>0</v>
      </c>
      <c r="L27" s="138">
        <f>SUM(B27:K27)</f>
        <v>20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[3]Pinnacle!$DR$52</f>
        <v>0</v>
      </c>
      <c r="C30" s="136">
        <f>[3]Chautaqua_AA!$DR$52</f>
        <v>0</v>
      </c>
      <c r="D30" s="136">
        <f>[3]Chautaqua_Continental!$DR$52</f>
        <v>0</v>
      </c>
      <c r="E30" s="134">
        <f>[3]MESA_UA!$DR$52</f>
        <v>0</v>
      </c>
      <c r="F30" s="134">
        <f>'[3]Sky West'!$DR$52</f>
        <v>0</v>
      </c>
      <c r="G30" s="134">
        <f>'[3]Sky West_UA'!$DR$52</f>
        <v>0</v>
      </c>
      <c r="H30" s="134">
        <f>[3]Comair!$DR$52</f>
        <v>0</v>
      </c>
      <c r="I30" s="134">
        <f>[3]Republic!$DR$52</f>
        <v>0</v>
      </c>
      <c r="J30" s="134">
        <f>'[3]American Eagle'!$DR$52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[3]Pinnacle!$DR$53</f>
        <v>0</v>
      </c>
      <c r="C31" s="136">
        <f>[3]Chautaqua_AA!$DR$53</f>
        <v>0</v>
      </c>
      <c r="D31" s="136">
        <f>[3]Chautaqua_Continental!$DR$53</f>
        <v>0</v>
      </c>
      <c r="E31" s="134">
        <f>[3]MESA_UA!$DR$53</f>
        <v>0</v>
      </c>
      <c r="F31" s="134">
        <f>'[3]Sky West'!$DR$53</f>
        <v>0</v>
      </c>
      <c r="G31" s="134">
        <f>'[3]Sky West_UA'!$DR$53</f>
        <v>0</v>
      </c>
      <c r="H31" s="134">
        <f>[3]Comair!$DR$53</f>
        <v>0</v>
      </c>
      <c r="I31" s="134">
        <f>[3]Republic!$DR$53</f>
        <v>0</v>
      </c>
      <c r="J31" s="134">
        <f>'[3]American Eagle'!$DR$53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[3]Pinnacle!$DR$57</f>
        <v>0</v>
      </c>
      <c r="C35" s="136">
        <f>[3]Chautaqua_AA!$DR$57</f>
        <v>0</v>
      </c>
      <c r="D35" s="136">
        <f>[3]Chautaqua_Continental!$DR$57</f>
        <v>0</v>
      </c>
      <c r="E35" s="134">
        <f>[3]MESA_UA!$DR$57</f>
        <v>0</v>
      </c>
      <c r="F35" s="134">
        <f>'[3]Sky West'!$DR$57</f>
        <v>0</v>
      </c>
      <c r="G35" s="134">
        <f>'[3]Sky West_UA'!$DR$57</f>
        <v>0</v>
      </c>
      <c r="H35" s="134">
        <f>[3]Comair!$DR$57</f>
        <v>0</v>
      </c>
      <c r="I35" s="134">
        <f>[3]Republic!$DR$57</f>
        <v>0</v>
      </c>
      <c r="J35" s="134">
        <f>'[3]American Eagle'!$DR$57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[3]Pinnacle!$DR$58</f>
        <v>0</v>
      </c>
      <c r="C36" s="136">
        <f>[3]Chautaqua_AA!$DR$58</f>
        <v>0</v>
      </c>
      <c r="D36" s="136">
        <f>[3]Chautaqua_Continental!$DR$58</f>
        <v>0</v>
      </c>
      <c r="E36" s="134">
        <f>[3]MESA_UA!$DR$58</f>
        <v>0</v>
      </c>
      <c r="F36" s="134">
        <f>'[3]Sky West'!$DR$58</f>
        <v>0</v>
      </c>
      <c r="G36" s="134">
        <f>'[3]Sky West_UA'!$DR$58</f>
        <v>0</v>
      </c>
      <c r="H36" s="134">
        <f>[3]Comair!$DR$58</f>
        <v>0</v>
      </c>
      <c r="I36" s="134">
        <f>[3]Republic!$DR$58</f>
        <v>0</v>
      </c>
      <c r="J36" s="134">
        <f>'[3]American Eagle'!$DR$58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20</v>
      </c>
      <c r="K40" s="134">
        <f>K35+K30+K25</f>
        <v>0</v>
      </c>
      <c r="L40" s="113">
        <f>SUM(B40:K40)</f>
        <v>20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20</v>
      </c>
      <c r="K42" s="140">
        <f>SUM(K37,K32,K27)</f>
        <v>0</v>
      </c>
      <c r="L42" s="141">
        <f>SUM(B42:K42)</f>
        <v>20</v>
      </c>
    </row>
    <row r="44" spans="1:12" x14ac:dyDescent="0.2">
      <c r="A44" s="394" t="s">
        <v>135</v>
      </c>
      <c r="B44" s="327">
        <f>[3]Pinnacle!$DR$70+[3]Pinnacle!$DR$73</f>
        <v>41151</v>
      </c>
      <c r="F44" s="328">
        <f>'[3]Sky West'!$DR$70+'[3]Sky West'!$DR$73</f>
        <v>13378</v>
      </c>
      <c r="H44" s="328">
        <f>[3]Comair!$DR$70+[3]Comair!$DR$73</f>
        <v>0</v>
      </c>
      <c r="K44" s="5">
        <f>+'Other Regional'!L46</f>
        <v>35029</v>
      </c>
      <c r="L44" s="316">
        <f>SUM(B44:K44)</f>
        <v>89558</v>
      </c>
    </row>
    <row r="45" spans="1:12" x14ac:dyDescent="0.2">
      <c r="A45" s="410" t="s">
        <v>136</v>
      </c>
      <c r="B45" s="327">
        <f>[3]Pinnacle!$DR$71+[3]Pinnacle!$DR$74</f>
        <v>116466</v>
      </c>
      <c r="F45" s="328">
        <f>'[3]Sky West'!$DR$71+'[3]Sky West'!$DR$74</f>
        <v>43312</v>
      </c>
      <c r="H45" s="328">
        <f>[3]Comair!$DR$71+[3]Comair!$DR$74</f>
        <v>0</v>
      </c>
      <c r="K45" s="5">
        <f>+'Other Regional'!L47</f>
        <v>72625</v>
      </c>
      <c r="L45" s="316">
        <f>SUM(B45:K45)</f>
        <v>232403</v>
      </c>
    </row>
    <row r="46" spans="1:12" x14ac:dyDescent="0.2">
      <c r="A46" s="318" t="s">
        <v>137</v>
      </c>
      <c r="B46" s="319">
        <f>SUM(B44:B45)</f>
        <v>157617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September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U7" sqref="U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9.285156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41883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America'!$DR$22</f>
        <v>7183</v>
      </c>
      <c r="C5" s="135">
        <f>'[3]Shuttle America_Delta'!$DR$22</f>
        <v>5370</v>
      </c>
      <c r="D5" s="135">
        <f>[3]AirCanada!$DR$32</f>
        <v>4188</v>
      </c>
      <c r="E5" s="22">
        <f>[3]Compass!$DR$22+[3]Compass!$DR$32</f>
        <v>67869</v>
      </c>
      <c r="F5" s="135">
        <f>'[3]Atlantic Southeast'!$DR$22+'[3]Atlantic Southeast'!$DR$32</f>
        <v>29873</v>
      </c>
      <c r="G5" s="135">
        <f>'[3]Continental Express'!$DR$22</f>
        <v>8990</v>
      </c>
      <c r="H5" s="134">
        <f>'[3]Go Jet_UA'!$DR$22</f>
        <v>5765</v>
      </c>
      <c r="I5" s="134">
        <f>'[3]Go Jet'!$DR$22</f>
        <v>0</v>
      </c>
      <c r="J5" s="136">
        <f>'[3]Air Wisconsin'!$DR$22</f>
        <v>0</v>
      </c>
      <c r="K5" s="134">
        <f>[3]MESA!$DR$22</f>
        <v>1209</v>
      </c>
      <c r="L5" s="113">
        <f>SUM(B5:K5)</f>
        <v>130447</v>
      </c>
    </row>
    <row r="6" spans="1:12" s="10" customFormat="1" x14ac:dyDescent="0.2">
      <c r="A6" s="65" t="s">
        <v>34</v>
      </c>
      <c r="B6" s="135">
        <f>'[3]Shuttle America'!$DR$23</f>
        <v>7497</v>
      </c>
      <c r="C6" s="135">
        <f>'[3]Shuttle America_Delta'!$DR$23</f>
        <v>5412</v>
      </c>
      <c r="D6" s="135">
        <f>[3]AirCanada!$DR$33</f>
        <v>3746</v>
      </c>
      <c r="E6" s="14">
        <f>[3]Compass!$DR$23+[3]Compass!$DR$33</f>
        <v>70627</v>
      </c>
      <c r="F6" s="135">
        <f>'[3]Atlantic Southeast'!$DR$23+'[3]Atlantic Southeast'!$DR$33</f>
        <v>31615</v>
      </c>
      <c r="G6" s="135">
        <f>'[3]Continental Express'!$DR$23</f>
        <v>9004</v>
      </c>
      <c r="H6" s="134">
        <f>'[3]Go Jet_UA'!$DR$23</f>
        <v>5711</v>
      </c>
      <c r="I6" s="134">
        <f>'[3]Go Jet'!$DR$23</f>
        <v>0</v>
      </c>
      <c r="J6" s="136">
        <f>'[3]Air Wisconsin'!$DR$23</f>
        <v>0</v>
      </c>
      <c r="K6" s="134">
        <f>[3]MESA!$DR$23</f>
        <v>1550</v>
      </c>
      <c r="L6" s="119">
        <f>SUM(B6:K6)</f>
        <v>135162</v>
      </c>
    </row>
    <row r="7" spans="1:12" ht="15" thickBot="1" x14ac:dyDescent="0.25">
      <c r="A7" s="76" t="s">
        <v>7</v>
      </c>
      <c r="B7" s="137">
        <f t="shared" ref="B7:K7" si="0">SUM(B5:B6)</f>
        <v>14680</v>
      </c>
      <c r="C7" s="137">
        <f t="shared" si="0"/>
        <v>10782</v>
      </c>
      <c r="D7" s="137">
        <f t="shared" si="0"/>
        <v>7934</v>
      </c>
      <c r="E7" s="137">
        <f>SUM(E5:E6)</f>
        <v>138496</v>
      </c>
      <c r="F7" s="137">
        <f t="shared" si="0"/>
        <v>61488</v>
      </c>
      <c r="G7" s="137">
        <f t="shared" si="0"/>
        <v>17994</v>
      </c>
      <c r="H7" s="137">
        <f t="shared" si="0"/>
        <v>11476</v>
      </c>
      <c r="I7" s="137">
        <f t="shared" si="0"/>
        <v>0</v>
      </c>
      <c r="J7" s="137">
        <f t="shared" si="0"/>
        <v>0</v>
      </c>
      <c r="K7" s="137">
        <f t="shared" si="0"/>
        <v>2759</v>
      </c>
      <c r="L7" s="138">
        <f>SUM(L5:L6)</f>
        <v>265609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America'!$DR$27</f>
        <v>0</v>
      </c>
      <c r="C10" s="135">
        <f>'[3]Shuttle America_Delta'!$DR$27</f>
        <v>186</v>
      </c>
      <c r="D10" s="135">
        <f>[3]AirCanada!$DR$37</f>
        <v>45</v>
      </c>
      <c r="E10" s="22">
        <f>[3]Compass!$DR$27+[3]Compass!$DR$37</f>
        <v>2075</v>
      </c>
      <c r="F10" s="22">
        <f>'[3]Atlantic Southeast'!$DR$27+'[3]Atlantic Southeast'!$DR$37</f>
        <v>805</v>
      </c>
      <c r="G10" s="135">
        <f>'[3]Continental Express'!$DR$27</f>
        <v>368</v>
      </c>
      <c r="H10" s="134">
        <f>'[3]Go Jet_UA'!$DR$27</f>
        <v>204</v>
      </c>
      <c r="I10" s="134">
        <f>'[3]Go Jet'!$DR$27</f>
        <v>0</v>
      </c>
      <c r="J10" s="136">
        <f>'[3]Air Wisconsin'!$DR$27</f>
        <v>0</v>
      </c>
      <c r="K10" s="134">
        <f>[3]MESA!$DR$27</f>
        <v>36</v>
      </c>
      <c r="L10" s="113">
        <f>SUM(B10:K10)</f>
        <v>3719</v>
      </c>
    </row>
    <row r="11" spans="1:12" x14ac:dyDescent="0.2">
      <c r="A11" s="65" t="s">
        <v>36</v>
      </c>
      <c r="B11" s="135">
        <f>'[3]Shuttle America'!$DR$28</f>
        <v>0</v>
      </c>
      <c r="C11" s="135">
        <f>'[3]Shuttle America_Delta'!$DR$28</f>
        <v>150</v>
      </c>
      <c r="D11" s="135">
        <f>[3]AirCanada!$DR$38</f>
        <v>48</v>
      </c>
      <c r="E11" s="14">
        <f>[3]Compass!$DR$28+[3]Compass!$DR$38</f>
        <v>1526</v>
      </c>
      <c r="F11" s="14">
        <f>'[3]Atlantic Southeast'!$DR$28+'[3]Atlantic Southeast'!$DR$38</f>
        <v>763</v>
      </c>
      <c r="G11" s="135">
        <f>'[3]Continental Express'!$DR$28</f>
        <v>330</v>
      </c>
      <c r="H11" s="134">
        <f>'[3]Go Jet_UA'!$DR$28</f>
        <v>116</v>
      </c>
      <c r="I11" s="134">
        <f>'[3]Go Jet'!$DR$28</f>
        <v>0</v>
      </c>
      <c r="J11" s="136">
        <f>'[3]Air Wisconsin'!$DR$28</f>
        <v>0</v>
      </c>
      <c r="K11" s="134">
        <f>[3]MESA!$DR$28</f>
        <v>27</v>
      </c>
      <c r="L11" s="119">
        <f>SUM(B11:K11)</f>
        <v>2960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336</v>
      </c>
      <c r="D12" s="140">
        <f t="shared" ref="D12:K12" si="1">SUM(D10:D11)</f>
        <v>93</v>
      </c>
      <c r="E12" s="140">
        <f t="shared" si="1"/>
        <v>3601</v>
      </c>
      <c r="F12" s="140">
        <f t="shared" si="1"/>
        <v>1568</v>
      </c>
      <c r="G12" s="140">
        <f t="shared" si="1"/>
        <v>698</v>
      </c>
      <c r="H12" s="140">
        <f t="shared" si="1"/>
        <v>320</v>
      </c>
      <c r="I12" s="140">
        <f t="shared" si="1"/>
        <v>0</v>
      </c>
      <c r="J12" s="140">
        <f t="shared" si="1"/>
        <v>0</v>
      </c>
      <c r="K12" s="140">
        <f t="shared" si="1"/>
        <v>63</v>
      </c>
      <c r="L12" s="141">
        <f>SUM(B12:K12)</f>
        <v>6679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America'!$DR$4</f>
        <v>125</v>
      </c>
      <c r="C15" s="109">
        <f>'[3]Shuttle America_Delta'!$DR$4</f>
        <v>81</v>
      </c>
      <c r="D15" s="110">
        <f>[3]AirCanada!$DR$15</f>
        <v>87</v>
      </c>
      <c r="E15" s="22">
        <f>[3]Compass!$DR$4+[3]Compass!$DR$15</f>
        <v>1148</v>
      </c>
      <c r="F15" s="110">
        <f>'[3]Atlantic Southeast'!$DR$4+'[3]Atlantic Southeast'!$DR$15</f>
        <v>554</v>
      </c>
      <c r="G15" s="110">
        <f>'[3]Continental Express'!$DR$4</f>
        <v>223</v>
      </c>
      <c r="H15" s="109">
        <f>'[3]Go Jet_UA'!$DR$4</f>
        <v>92</v>
      </c>
      <c r="I15" s="109">
        <f>'[3]Go Jet'!$DR$4</f>
        <v>0</v>
      </c>
      <c r="J15" s="111">
        <f>'[3]Air Wisconsin'!$DR$4</f>
        <v>0</v>
      </c>
      <c r="K15" s="109">
        <f>[3]MESA!$DR$4</f>
        <v>22</v>
      </c>
      <c r="L15" s="113">
        <f t="shared" ref="L15:L21" si="2">SUM(B15:K15)</f>
        <v>2332</v>
      </c>
    </row>
    <row r="16" spans="1:12" x14ac:dyDescent="0.2">
      <c r="A16" s="65" t="s">
        <v>59</v>
      </c>
      <c r="B16" s="114">
        <f>'[3]Shuttle America'!$DR$5</f>
        <v>125</v>
      </c>
      <c r="C16" s="114">
        <f>'[3]Shuttle America_Delta'!$DR$5</f>
        <v>82</v>
      </c>
      <c r="D16" s="115">
        <f>[3]AirCanada!$DR$16</f>
        <v>86</v>
      </c>
      <c r="E16" s="14">
        <f>[3]Compass!$DR$5+[3]Compass!$DR$16</f>
        <v>1149</v>
      </c>
      <c r="F16" s="115">
        <f>'[3]Atlantic Southeast'!$DR$5+'[3]Atlantic Southeast'!$DR$16</f>
        <v>556</v>
      </c>
      <c r="G16" s="115">
        <f>'[3]Continental Express'!$DR$5</f>
        <v>223</v>
      </c>
      <c r="H16" s="114">
        <f>'[3]Go Jet_UA'!$DR$5</f>
        <v>92</v>
      </c>
      <c r="I16" s="114">
        <f>'[3]Go Jet'!$DR$5</f>
        <v>0</v>
      </c>
      <c r="J16" s="116">
        <f>'[3]Air Wisconsin'!$DR$5</f>
        <v>0</v>
      </c>
      <c r="K16" s="114">
        <f>[3]MESA!$DR$5</f>
        <v>22</v>
      </c>
      <c r="L16" s="119">
        <f t="shared" si="2"/>
        <v>2335</v>
      </c>
    </row>
    <row r="17" spans="1:12" x14ac:dyDescent="0.2">
      <c r="A17" s="74" t="s">
        <v>60</v>
      </c>
      <c r="B17" s="120">
        <f>SUM(B15:B16)</f>
        <v>250</v>
      </c>
      <c r="C17" s="120">
        <f>SUM(C15:C16)</f>
        <v>163</v>
      </c>
      <c r="D17" s="120">
        <f t="shared" ref="D17:K17" si="3">SUM(D15:D16)</f>
        <v>173</v>
      </c>
      <c r="E17" s="291">
        <f>SUM(E15:E16)</f>
        <v>2297</v>
      </c>
      <c r="F17" s="120">
        <f t="shared" si="3"/>
        <v>1110</v>
      </c>
      <c r="G17" s="120">
        <f t="shared" si="3"/>
        <v>446</v>
      </c>
      <c r="H17" s="120">
        <f t="shared" si="3"/>
        <v>184</v>
      </c>
      <c r="I17" s="120">
        <f t="shared" si="3"/>
        <v>0</v>
      </c>
      <c r="J17" s="120">
        <f t="shared" si="3"/>
        <v>0</v>
      </c>
      <c r="K17" s="120">
        <f t="shared" si="3"/>
        <v>44</v>
      </c>
      <c r="L17" s="121">
        <f t="shared" si="2"/>
        <v>4667</v>
      </c>
    </row>
    <row r="18" spans="1:12" x14ac:dyDescent="0.2">
      <c r="A18" s="65" t="s">
        <v>61</v>
      </c>
      <c r="B18" s="122">
        <f>'[3]Shuttle America'!$DR$8</f>
        <v>0</v>
      </c>
      <c r="C18" s="122">
        <f>'[3]Shuttle America_Delta'!$DR$8</f>
        <v>0</v>
      </c>
      <c r="D18" s="122">
        <f>[3]AirCanada!$DR$8</f>
        <v>0</v>
      </c>
      <c r="E18" s="22">
        <f>[3]Compass!$DR$8</f>
        <v>0</v>
      </c>
      <c r="F18" s="112">
        <f>'[3]Atlantic Southeast'!$DR$8</f>
        <v>0</v>
      </c>
      <c r="G18" s="112">
        <f>'[3]Continental Express'!$DR$8</f>
        <v>0</v>
      </c>
      <c r="H18" s="122">
        <f>'[3]Go Jet_UA'!$DR$8</f>
        <v>0</v>
      </c>
      <c r="I18" s="122">
        <f>'[3]Go Jet'!$DR$8</f>
        <v>0</v>
      </c>
      <c r="J18" s="123">
        <f>'[3]Air Wisconsin'!$DR$8</f>
        <v>0</v>
      </c>
      <c r="K18" s="122">
        <f>[3]MESA!$DR$8</f>
        <v>0</v>
      </c>
      <c r="L18" s="113">
        <f t="shared" si="2"/>
        <v>0</v>
      </c>
    </row>
    <row r="19" spans="1:12" x14ac:dyDescent="0.2">
      <c r="A19" s="65" t="s">
        <v>62</v>
      </c>
      <c r="B19" s="124">
        <f>'[3]Shuttle America'!$DR$9</f>
        <v>0</v>
      </c>
      <c r="C19" s="124">
        <f>'[3]Shuttle America_Delta'!$DR$9</f>
        <v>0</v>
      </c>
      <c r="D19" s="124">
        <f>[3]AirCanada!$DR$9</f>
        <v>0</v>
      </c>
      <c r="E19" s="14">
        <f>[3]Compass!$DR$9</f>
        <v>1</v>
      </c>
      <c r="F19" s="117">
        <f>'[3]Atlantic Southeast'!$DR$9</f>
        <v>1</v>
      </c>
      <c r="G19" s="117">
        <f>'[3]Continental Express'!$DR$9</f>
        <v>0</v>
      </c>
      <c r="H19" s="124">
        <f>'[3]Go Jet_UA'!$DR$9</f>
        <v>0</v>
      </c>
      <c r="I19" s="124">
        <f>'[3]Go Jet'!$DR$9</f>
        <v>0</v>
      </c>
      <c r="J19" s="125">
        <f>'[3]Air Wisconsin'!$DR$9</f>
        <v>0</v>
      </c>
      <c r="K19" s="124">
        <f>[3]MESA!$DR$9</f>
        <v>0</v>
      </c>
      <c r="L19" s="119">
        <f t="shared" si="2"/>
        <v>2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1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2</v>
      </c>
    </row>
    <row r="21" spans="1:12" ht="15.75" thickBot="1" x14ac:dyDescent="0.3">
      <c r="A21" s="75" t="s">
        <v>31</v>
      </c>
      <c r="B21" s="126">
        <f>SUM(B20,B17)</f>
        <v>250</v>
      </c>
      <c r="C21" s="126">
        <f>SUM(C20,C17)</f>
        <v>163</v>
      </c>
      <c r="D21" s="126">
        <f t="shared" ref="D21:K21" si="5">SUM(D20,D17)</f>
        <v>173</v>
      </c>
      <c r="E21" s="126">
        <f t="shared" si="5"/>
        <v>2298</v>
      </c>
      <c r="F21" s="126">
        <f t="shared" si="5"/>
        <v>1111</v>
      </c>
      <c r="G21" s="126">
        <f t="shared" si="5"/>
        <v>446</v>
      </c>
      <c r="H21" s="126">
        <f t="shared" si="5"/>
        <v>184</v>
      </c>
      <c r="I21" s="126">
        <f t="shared" si="5"/>
        <v>0</v>
      </c>
      <c r="J21" s="126">
        <f t="shared" si="5"/>
        <v>0</v>
      </c>
      <c r="K21" s="126">
        <f t="shared" si="5"/>
        <v>44</v>
      </c>
      <c r="L21" s="127">
        <f t="shared" si="2"/>
        <v>4669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America'!$DR$47</f>
        <v>0</v>
      </c>
      <c r="C25" s="134">
        <f>'[3]Shuttle America_Delta'!$DR$47</f>
        <v>0</v>
      </c>
      <c r="D25" s="134">
        <f>[3]AirCanada!$DR$47</f>
        <v>0</v>
      </c>
      <c r="E25" s="134">
        <f>[3]Compass!$DR$47</f>
        <v>0</v>
      </c>
      <c r="F25" s="135">
        <f>'[3]Atlantic Southeast'!$DR$47</f>
        <v>0</v>
      </c>
      <c r="G25" s="135">
        <f>'[3]Continental Express'!$DR$47</f>
        <v>0</v>
      </c>
      <c r="H25" s="134">
        <f>'[3]Go Jet_UA'!$DR$47</f>
        <v>0</v>
      </c>
      <c r="I25" s="134">
        <f>'[3]Go Jet'!$DR$47</f>
        <v>0</v>
      </c>
      <c r="J25" s="136">
        <f>'[3]Air Wisconsin'!$DR$47</f>
        <v>0</v>
      </c>
      <c r="K25" s="134">
        <f>[3]MESA!$DR$47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America'!$DR$48</f>
        <v>0</v>
      </c>
      <c r="C26" s="134">
        <f>'[3]Shuttle America_Delta'!$DR$48</f>
        <v>0</v>
      </c>
      <c r="D26" s="134">
        <f>[3]AirCanada!$DR$48</f>
        <v>0</v>
      </c>
      <c r="E26" s="134">
        <f>[3]Compass!$DR$48</f>
        <v>0</v>
      </c>
      <c r="F26" s="135">
        <f>'[3]Atlantic Southeast'!$DR$48</f>
        <v>0</v>
      </c>
      <c r="G26" s="135">
        <f>'[3]Continental Express'!$DR$48</f>
        <v>0</v>
      </c>
      <c r="H26" s="134">
        <f>'[3]Go Jet_UA'!$DR$48</f>
        <v>0</v>
      </c>
      <c r="I26" s="134">
        <f>'[3]Go Jet'!$DR$48</f>
        <v>0</v>
      </c>
      <c r="J26" s="136">
        <f>'[3]Air Wisconsin'!$DR$48</f>
        <v>0</v>
      </c>
      <c r="K26" s="134">
        <f>[3]MESA!$DR$48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America'!$DR$52</f>
        <v>0</v>
      </c>
      <c r="C30" s="134">
        <f>'[3]Shuttle America_Delta'!$DR$52</f>
        <v>0</v>
      </c>
      <c r="D30" s="134">
        <f>[3]AirCanada!$DR$52</f>
        <v>0</v>
      </c>
      <c r="E30" s="134">
        <f>[3]Compass!$DR$52</f>
        <v>0</v>
      </c>
      <c r="F30" s="135">
        <f>'[3]Atlantic Southeast'!$DR$52</f>
        <v>0</v>
      </c>
      <c r="G30" s="135">
        <f>'[3]Continental Express'!$DR$52</f>
        <v>0</v>
      </c>
      <c r="H30" s="134">
        <f>'[3]Go Jet_UA'!$DR$52</f>
        <v>0</v>
      </c>
      <c r="I30" s="134">
        <f>'[3]Go Jet'!$DR$52</f>
        <v>0</v>
      </c>
      <c r="J30" s="136">
        <f>'[3]Air Wisconsin'!BH$52</f>
        <v>0</v>
      </c>
      <c r="K30" s="134">
        <f>[3]MESA!$DR$52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America'!$DR$53</f>
        <v>0</v>
      </c>
      <c r="C31" s="134">
        <f>'[3]Shuttle America_Delta'!$DR$53</f>
        <v>0</v>
      </c>
      <c r="D31" s="134">
        <f>[3]AirCanada!$DR$53</f>
        <v>0</v>
      </c>
      <c r="E31" s="134">
        <f>[3]Compass!$DR$53</f>
        <v>0</v>
      </c>
      <c r="F31" s="135">
        <f>'[3]Atlantic Southeast'!$DR$53</f>
        <v>0</v>
      </c>
      <c r="G31" s="135">
        <f>'[3]Continental Express'!$DR$53</f>
        <v>0</v>
      </c>
      <c r="H31" s="134">
        <f>'[3]Go Jet_UA'!$DR$53</f>
        <v>0</v>
      </c>
      <c r="I31" s="134">
        <f>'[3]Go Jet'!$DR$53</f>
        <v>0</v>
      </c>
      <c r="J31" s="136">
        <f>'[3]Air Wisconsin'!$DR$53</f>
        <v>0</v>
      </c>
      <c r="K31" s="134">
        <f>[3]MESA!$DR$53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America'!$DR$57</f>
        <v>0</v>
      </c>
      <c r="C35" s="134">
        <f>'[3]Shuttle America_Delta'!$DR$57</f>
        <v>0</v>
      </c>
      <c r="D35" s="134">
        <f>[3]AirCanada!$DR$57</f>
        <v>0</v>
      </c>
      <c r="E35" s="134">
        <f>[3]Compass!$DR$57</f>
        <v>0</v>
      </c>
      <c r="F35" s="135">
        <f>'[3]Atlantic Southeast'!$DR$57</f>
        <v>0</v>
      </c>
      <c r="G35" s="135">
        <f>'[3]Continental Express'!$DR$57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America_Delta'!$DR$70+'[3]Shuttle America_Delta'!$DR$73</f>
        <v>2500</v>
      </c>
      <c r="E46" s="328">
        <f>[3]Compass!$DR$70+[3]Compass!$DR$73</f>
        <v>22318</v>
      </c>
      <c r="F46" s="328">
        <f>'[3]Atlantic Southeast'!$DR$70+'[3]Atlantic Southeast'!$DR$73</f>
        <v>10211</v>
      </c>
      <c r="L46" s="409">
        <f>SUM(B46:K46)</f>
        <v>35029</v>
      </c>
    </row>
    <row r="47" spans="1:12" x14ac:dyDescent="0.2">
      <c r="A47" s="410" t="s">
        <v>136</v>
      </c>
      <c r="C47" s="328">
        <f>'[3]Shuttle America_Delta'!$DR$71+'[3]Shuttle America_Delta'!$DR$74</f>
        <v>2912</v>
      </c>
      <c r="E47" s="328">
        <f>[3]Compass!$DR$71+[3]Compass!$DR$74</f>
        <v>48309</v>
      </c>
      <c r="F47" s="328">
        <f>'[3]Atlantic Southeast'!$DR$71+'[3]Atlantic Southeast'!$DR$74</f>
        <v>21404</v>
      </c>
      <c r="L47" s="409">
        <f>SUM(B47:K47)</f>
        <v>72625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September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10" zoomScaleNormal="100" workbookViewId="0">
      <selection activeCell="F40" sqref="F4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41883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Misc'!$DR$22</f>
        <v>364</v>
      </c>
      <c r="C5" s="188">
        <f>[3]Ryan!$DR$22</f>
        <v>0</v>
      </c>
      <c r="D5" s="188">
        <f>'[3]Charter Misc'!$DR$32</f>
        <v>0</v>
      </c>
      <c r="E5" s="188">
        <f>[3]Omni!$DR$32</f>
        <v>0</v>
      </c>
      <c r="F5" s="188">
        <f>[3]Xtra!$DR$32+[3]Xtra!$DR$22</f>
        <v>0</v>
      </c>
      <c r="G5" s="340">
        <f>SUM(B5:F5)</f>
        <v>364</v>
      </c>
    </row>
    <row r="6" spans="1:17" x14ac:dyDescent="0.2">
      <c r="A6" s="65" t="s">
        <v>34</v>
      </c>
      <c r="B6" s="446">
        <f>'[3]Charter Misc'!$DR$23</f>
        <v>365</v>
      </c>
      <c r="C6" s="191">
        <f>[3]Ryan!$DR$23</f>
        <v>0</v>
      </c>
      <c r="D6" s="191">
        <f>'[3]Charter Misc'!$DR$33</f>
        <v>0</v>
      </c>
      <c r="E6" s="191">
        <f>[3]Omni!$DR$33</f>
        <v>0</v>
      </c>
      <c r="F6" s="191">
        <f>[3]Xtra!$DR$33+[3]Xtra!$DR$23</f>
        <v>0</v>
      </c>
      <c r="G6" s="339">
        <f>SUM(B6:F6)</f>
        <v>365</v>
      </c>
    </row>
    <row r="7" spans="1:17" ht="15.75" thickBot="1" x14ac:dyDescent="0.3">
      <c r="A7" s="187" t="s">
        <v>7</v>
      </c>
      <c r="B7" s="447">
        <f>SUM(B5:B6)</f>
        <v>729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729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Misc'!$DR$4</f>
        <v>4</v>
      </c>
      <c r="C10" s="188">
        <f>[3]Ryan!$DR$4</f>
        <v>0</v>
      </c>
      <c r="D10" s="188">
        <f>'[3]Charter Misc'!$DR$15</f>
        <v>0</v>
      </c>
      <c r="E10" s="188">
        <f>[3]Omni!$DR$15</f>
        <v>0</v>
      </c>
      <c r="F10" s="188">
        <f>[3]Xtra!$DR$15+[3]Xtra!$DR$4</f>
        <v>0</v>
      </c>
      <c r="G10" s="339">
        <f>SUM(B10:F10)</f>
        <v>4</v>
      </c>
    </row>
    <row r="11" spans="1:17" x14ac:dyDescent="0.2">
      <c r="A11" s="186" t="s">
        <v>86</v>
      </c>
      <c r="B11" s="445">
        <f>'[3]Charter Misc'!$DR$5</f>
        <v>4</v>
      </c>
      <c r="C11" s="188">
        <f>[3]Ryan!$DR$5</f>
        <v>0</v>
      </c>
      <c r="D11" s="188">
        <f>'[3]Charter Misc'!$DR$16</f>
        <v>0</v>
      </c>
      <c r="E11" s="188">
        <f>[3]Omni!$DR$16</f>
        <v>0</v>
      </c>
      <c r="F11" s="188">
        <f>[3]Xtra!$DR$16+[3]Xtra!$DR$5</f>
        <v>0</v>
      </c>
      <c r="G11" s="339">
        <f>SUM(B11:F11)</f>
        <v>4</v>
      </c>
    </row>
    <row r="12" spans="1:17" ht="15.75" thickBot="1" x14ac:dyDescent="0.3">
      <c r="A12" s="282" t="s">
        <v>31</v>
      </c>
      <c r="B12" s="449">
        <f>SUM(B10:B11)</f>
        <v>8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8</v>
      </c>
      <c r="Q12" s="134"/>
    </row>
    <row r="17" spans="1:16" x14ac:dyDescent="0.2">
      <c r="B17" s="484" t="s">
        <v>175</v>
      </c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6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7" t="s">
        <v>132</v>
      </c>
      <c r="C19" s="488"/>
      <c r="D19" s="488"/>
      <c r="E19" s="489"/>
      <c r="G19" s="487" t="s">
        <v>133</v>
      </c>
      <c r="H19" s="490"/>
      <c r="I19" s="490"/>
      <c r="J19" s="491"/>
      <c r="L19" s="492" t="s">
        <v>134</v>
      </c>
      <c r="M19" s="493"/>
      <c r="N19" s="493"/>
      <c r="O19" s="494"/>
    </row>
    <row r="20" spans="1:16" ht="13.5" thickBot="1" x14ac:dyDescent="0.25">
      <c r="A20" s="241" t="s">
        <v>111</v>
      </c>
      <c r="B20" s="463" t="s">
        <v>112</v>
      </c>
      <c r="C20" s="8" t="s">
        <v>113</v>
      </c>
      <c r="D20" s="8" t="s">
        <v>196</v>
      </c>
      <c r="E20" s="8" t="s">
        <v>189</v>
      </c>
      <c r="F20" s="474" t="s">
        <v>107</v>
      </c>
      <c r="G20" s="463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3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x14ac:dyDescent="0.2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3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32" si="2">SUM(G21:H21)</f>
        <v>2341884</v>
      </c>
      <c r="J21" s="471">
        <f>[5]Charter!$I21</f>
        <v>2215560</v>
      </c>
      <c r="K21" s="468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1">
        <f>[5]Charter!$N$21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2">
        <f>[7]Charter!$D22</f>
        <v>206738</v>
      </c>
      <c r="F22" s="464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72">
        <f>[7]Charter!$I22</f>
        <v>2137287</v>
      </c>
      <c r="K22" s="469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2">
        <f>[7]Charter!$N22</f>
        <v>2344025</v>
      </c>
      <c r="P22" s="249">
        <f t="shared" ref="P22:P32" si="5">(N22-O22)/O22</f>
        <v>4.6018707138362432E-2</v>
      </c>
    </row>
    <row r="23" spans="1:16" ht="14.1" customHeight="1" x14ac:dyDescent="0.2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2">
        <f>[9]Charter!$D23</f>
        <v>270939</v>
      </c>
      <c r="F23" s="465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72">
        <f>[9]Charter!$I23</f>
        <v>2750397</v>
      </c>
      <c r="K23" s="469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2">
        <f>[9]Charter!$N23</f>
        <v>3021336</v>
      </c>
      <c r="P23" s="249">
        <f t="shared" si="5"/>
        <v>6.6219712074393575E-2</v>
      </c>
    </row>
    <row r="24" spans="1:16" ht="14.1" customHeight="1" x14ac:dyDescent="0.2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2">
        <f>[11]Charter!$D24</f>
        <v>163833</v>
      </c>
      <c r="F24" s="465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72">
        <f>[11]Charter!$I24</f>
        <v>2509733</v>
      </c>
      <c r="K24" s="469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2">
        <f>[11]Charter!$N24</f>
        <v>2673566</v>
      </c>
      <c r="P24" s="249">
        <f t="shared" si="5"/>
        <v>5.3322042545424352E-2</v>
      </c>
    </row>
    <row r="25" spans="1:16" ht="14.1" customHeight="1" x14ac:dyDescent="0.2">
      <c r="A25" s="239" t="s">
        <v>81</v>
      </c>
      <c r="B25" s="461">
        <f>[12]Charter!B25</f>
        <v>85920</v>
      </c>
      <c r="C25" s="460">
        <f>[12]Charter!C25</f>
        <v>92667</v>
      </c>
      <c r="D25" s="460">
        <f t="shared" si="0"/>
        <v>178587</v>
      </c>
      <c r="E25" s="462">
        <f>[13]Charter!$D25</f>
        <v>177686</v>
      </c>
      <c r="F25" s="466">
        <f t="shared" si="1"/>
        <v>5.0707427709555056E-3</v>
      </c>
      <c r="G25" s="461">
        <f>[12]Charter!G25</f>
        <v>1403714</v>
      </c>
      <c r="H25" s="460">
        <f>[12]Charter!H25</f>
        <v>1368650</v>
      </c>
      <c r="I25" s="460">
        <f t="shared" si="2"/>
        <v>2772364</v>
      </c>
      <c r="J25" s="472">
        <f>[13]Charter!$I25</f>
        <v>2673501</v>
      </c>
      <c r="K25" s="470">
        <f t="shared" si="3"/>
        <v>3.697885282257235E-2</v>
      </c>
      <c r="L25" s="461">
        <f>[12]Charter!$L25</f>
        <v>1489634</v>
      </c>
      <c r="M25" s="460">
        <f>[12]Charter!$M25</f>
        <v>1461317</v>
      </c>
      <c r="N25" s="460">
        <f t="shared" si="4"/>
        <v>2950951</v>
      </c>
      <c r="O25" s="472">
        <f>[13]Charter!$N25</f>
        <v>2851187</v>
      </c>
      <c r="P25" s="242">
        <f t="shared" si="5"/>
        <v>3.499033911139466E-2</v>
      </c>
    </row>
    <row r="26" spans="1:16" ht="14.1" customHeight="1" x14ac:dyDescent="0.2">
      <c r="A26" s="248" t="s">
        <v>118</v>
      </c>
      <c r="B26" s="461">
        <f>[14]Charter!B26</f>
        <v>105898</v>
      </c>
      <c r="C26" s="460">
        <f>[14]Charter!C26</f>
        <v>106467</v>
      </c>
      <c r="D26" s="460">
        <f t="shared" si="0"/>
        <v>212365</v>
      </c>
      <c r="E26" s="462">
        <f>[15]Charter!$D26</f>
        <v>206661</v>
      </c>
      <c r="F26" s="465">
        <f t="shared" si="1"/>
        <v>2.7600756794944378E-2</v>
      </c>
      <c r="G26" s="461">
        <f>[14]Charter!G26</f>
        <v>1525905</v>
      </c>
      <c r="H26" s="460">
        <f>[14]Charter!H26</f>
        <v>1503083</v>
      </c>
      <c r="I26" s="460">
        <f t="shared" si="2"/>
        <v>3028988</v>
      </c>
      <c r="J26" s="472">
        <f>[15]Charter!$I26</f>
        <v>2922734</v>
      </c>
      <c r="K26" s="469">
        <f t="shared" si="3"/>
        <v>3.6354317567045102E-2</v>
      </c>
      <c r="L26" s="461">
        <f>[14]Charter!$L26</f>
        <v>1631803</v>
      </c>
      <c r="M26" s="460">
        <f>[14]Charter!$M26</f>
        <v>1609550</v>
      </c>
      <c r="N26" s="460">
        <f>SUM(L26:M26)</f>
        <v>3241353</v>
      </c>
      <c r="O26" s="472">
        <f>[15]Charter!$N26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[16]Charter!B27</f>
        <v>117493</v>
      </c>
      <c r="C27" s="460">
        <f>[16]Charter!C27</f>
        <v>106705</v>
      </c>
      <c r="D27" s="460">
        <f t="shared" si="0"/>
        <v>224198</v>
      </c>
      <c r="E27" s="462">
        <f>[17]Charter!$D27</f>
        <v>216883</v>
      </c>
      <c r="F27" s="466">
        <f t="shared" si="1"/>
        <v>3.3727862488069603E-2</v>
      </c>
      <c r="G27" s="461">
        <f>[16]Charter!G27</f>
        <v>1603453</v>
      </c>
      <c r="H27" s="460">
        <f>[16]Charter!H27</f>
        <v>1609153</v>
      </c>
      <c r="I27" s="460">
        <f t="shared" ref="I27" si="6">SUM(G27:H27)</f>
        <v>3212606</v>
      </c>
      <c r="J27" s="472">
        <f>[17]Charter!$I27</f>
        <v>3096738</v>
      </c>
      <c r="K27" s="470">
        <f t="shared" si="3"/>
        <v>3.7416145634535436E-2</v>
      </c>
      <c r="L27" s="461">
        <f>[16]Charter!$L27</f>
        <v>1720946</v>
      </c>
      <c r="M27" s="460">
        <f>[16]Charter!$M27</f>
        <v>1715858</v>
      </c>
      <c r="N27" s="460">
        <f>SUM(L27:M27)</f>
        <v>3436804</v>
      </c>
      <c r="O27" s="472">
        <f>[17]Charter!$N27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>
        <f>[2]Charter!B28</f>
        <v>115517</v>
      </c>
      <c r="C28" s="460">
        <f>[2]Charter!C28</f>
        <v>112775</v>
      </c>
      <c r="D28" s="460">
        <f t="shared" ref="D28:D29" si="7">SUM(B28:C28)</f>
        <v>228292</v>
      </c>
      <c r="E28" s="462">
        <f>[18]Charter!$D28</f>
        <v>224271</v>
      </c>
      <c r="F28" s="465">
        <f t="shared" si="1"/>
        <v>1.7929201724699136E-2</v>
      </c>
      <c r="G28" s="461">
        <f>[2]Charter!G28</f>
        <v>1595845</v>
      </c>
      <c r="H28" s="460">
        <f>[2]Charter!H28</f>
        <v>1576867</v>
      </c>
      <c r="I28" s="460">
        <f t="shared" ref="I28" si="8">SUM(G28:H28)</f>
        <v>3172712</v>
      </c>
      <c r="J28" s="472">
        <f>[18]Charter!$I28</f>
        <v>3099231</v>
      </c>
      <c r="K28" s="469">
        <f t="shared" si="3"/>
        <v>2.3709429855341534E-2</v>
      </c>
      <c r="L28" s="461">
        <f>[2]Charter!$L28</f>
        <v>1711362</v>
      </c>
      <c r="M28" s="460">
        <f>[2]Charter!$M28</f>
        <v>1689642</v>
      </c>
      <c r="N28" s="460">
        <f>SUM(L28:M28)</f>
        <v>3401004</v>
      </c>
      <c r="O28" s="472">
        <f>[18]Charter!$N28</f>
        <v>3323502</v>
      </c>
      <c r="P28" s="249">
        <f t="shared" si="5"/>
        <v>2.3319378173986355E-2</v>
      </c>
    </row>
    <row r="29" spans="1:16" ht="14.1" customHeight="1" x14ac:dyDescent="0.2">
      <c r="A29" s="239" t="s">
        <v>121</v>
      </c>
      <c r="B29" s="461">
        <f>'Intl Detail'!$N$4+'Intl Detail'!$N$9</f>
        <v>89956</v>
      </c>
      <c r="C29" s="460">
        <f>'Intl Detail'!$N$5+'Intl Detail'!$N$10</f>
        <v>90244</v>
      </c>
      <c r="D29" s="460">
        <f t="shared" si="7"/>
        <v>180200</v>
      </c>
      <c r="E29" s="462">
        <f>[1]Charter!$D29</f>
        <v>181115</v>
      </c>
      <c r="F29" s="466">
        <f t="shared" si="1"/>
        <v>-5.0520387599039289E-3</v>
      </c>
      <c r="G29" s="461">
        <f>L29-B29</f>
        <v>1321782</v>
      </c>
      <c r="H29" s="460">
        <f>M29-C29</f>
        <v>1321100</v>
      </c>
      <c r="I29" s="460">
        <f t="shared" ref="I29" si="9">SUM(G29:H29)</f>
        <v>2642882</v>
      </c>
      <c r="J29" s="472">
        <f>[1]Charter!$I29</f>
        <v>2541709</v>
      </c>
      <c r="K29" s="470">
        <f t="shared" si="3"/>
        <v>3.9805107508373301E-2</v>
      </c>
      <c r="L29" s="461">
        <f>'Monthly Summary'!$B$11</f>
        <v>1411738</v>
      </c>
      <c r="M29" s="460">
        <f>+'Monthly Summary'!$C$11</f>
        <v>1411344</v>
      </c>
      <c r="N29" s="460">
        <f>SUM(L29:M29)</f>
        <v>2823082</v>
      </c>
      <c r="O29" s="472">
        <f>[1]Charter!$N29</f>
        <v>2722824</v>
      </c>
      <c r="P29" s="242">
        <f t="shared" si="5"/>
        <v>3.6821329619542063E-2</v>
      </c>
    </row>
    <row r="30" spans="1:16" ht="14.1" customHeight="1" x14ac:dyDescent="0.2">
      <c r="A30" s="248" t="s">
        <v>122</v>
      </c>
      <c r="B30" s="461"/>
      <c r="C30" s="460"/>
      <c r="D30" s="460">
        <f t="shared" si="0"/>
        <v>0</v>
      </c>
      <c r="E30" s="462"/>
      <c r="F30" s="465" t="e">
        <f t="shared" si="1"/>
        <v>#DIV/0!</v>
      </c>
      <c r="G30" s="461"/>
      <c r="H30" s="460"/>
      <c r="I30" s="460">
        <f t="shared" si="2"/>
        <v>0</v>
      </c>
      <c r="J30" s="462"/>
      <c r="K30" s="469" t="e">
        <f t="shared" si="3"/>
        <v>#DIV/0!</v>
      </c>
      <c r="L30" s="461"/>
      <c r="M30" s="460"/>
      <c r="N30" s="460">
        <f t="shared" si="4"/>
        <v>0</v>
      </c>
      <c r="O30" s="462"/>
      <c r="P30" s="249" t="e">
        <f t="shared" si="5"/>
        <v>#DIV/0!</v>
      </c>
    </row>
    <row r="31" spans="1:16" ht="14.1" customHeight="1" x14ac:dyDescent="0.2">
      <c r="A31" s="239" t="s">
        <v>123</v>
      </c>
      <c r="B31" s="461"/>
      <c r="C31" s="460"/>
      <c r="D31" s="460">
        <f t="shared" si="0"/>
        <v>0</v>
      </c>
      <c r="E31" s="462"/>
      <c r="F31" s="466" t="e">
        <f t="shared" si="1"/>
        <v>#DIV/0!</v>
      </c>
      <c r="G31" s="461"/>
      <c r="H31" s="460"/>
      <c r="I31" s="460">
        <f t="shared" si="2"/>
        <v>0</v>
      </c>
      <c r="J31" s="462"/>
      <c r="K31" s="470" t="e">
        <f t="shared" si="3"/>
        <v>#DIV/0!</v>
      </c>
      <c r="L31" s="461"/>
      <c r="M31" s="460"/>
      <c r="N31" s="460">
        <f t="shared" si="4"/>
        <v>0</v>
      </c>
      <c r="O31" s="462"/>
      <c r="P31" s="242" t="e">
        <f t="shared" si="5"/>
        <v>#DIV/0!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2"/>
      <c r="F32" s="467" t="e">
        <f t="shared" si="1"/>
        <v>#DIV/0!</v>
      </c>
      <c r="G32" s="461"/>
      <c r="H32" s="460"/>
      <c r="I32" s="460">
        <f t="shared" si="2"/>
        <v>0</v>
      </c>
      <c r="J32" s="462"/>
      <c r="K32" s="467" t="e">
        <f t="shared" si="3"/>
        <v>#DIV/0!</v>
      </c>
      <c r="L32" s="461"/>
      <c r="M32" s="460"/>
      <c r="N32" s="460">
        <f t="shared" si="4"/>
        <v>0</v>
      </c>
      <c r="O32" s="462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977911</v>
      </c>
      <c r="C33" s="255">
        <f>SUM(C21:C32)</f>
        <v>956743</v>
      </c>
      <c r="D33" s="255">
        <f>SUM(D21:D32)</f>
        <v>1934654</v>
      </c>
      <c r="E33" s="256">
        <f>SUM(E21:E32)</f>
        <v>1836995</v>
      </c>
      <c r="F33" s="475">
        <f>(D33-E33)/E33</f>
        <v>5.3162365711392788E-2</v>
      </c>
      <c r="G33" s="257">
        <f>SUM(G21:G32)</f>
        <v>12529622</v>
      </c>
      <c r="H33" s="255">
        <f>SUM(H21:H32)</f>
        <v>12436697</v>
      </c>
      <c r="I33" s="255">
        <f>SUM(I21:I32)</f>
        <v>24966319</v>
      </c>
      <c r="J33" s="258">
        <f>SUM(J21:J32)</f>
        <v>23946890</v>
      </c>
      <c r="K33" s="476">
        <f>(I33-J33)/J33</f>
        <v>4.2570413110011363E-2</v>
      </c>
      <c r="L33" s="257">
        <f>SUM(L21:L32)</f>
        <v>13507533</v>
      </c>
      <c r="M33" s="255">
        <f>SUM(M21:M32)</f>
        <v>13393440</v>
      </c>
      <c r="N33" s="255">
        <f>SUM(N21:N32)</f>
        <v>26900973</v>
      </c>
      <c r="O33" s="256">
        <f>SUM(O21:O32)</f>
        <v>25783885</v>
      </c>
      <c r="P33" s="243">
        <f>(N33-O33)/O33</f>
        <v>4.3325045857131303E-2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September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M34" sqref="M3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8" t="s">
        <v>102</v>
      </c>
      <c r="C1" s="499"/>
      <c r="D1" s="499"/>
      <c r="E1" s="499"/>
      <c r="F1" s="264"/>
      <c r="G1" s="498" t="s">
        <v>101</v>
      </c>
      <c r="H1" s="500"/>
      <c r="I1" s="500"/>
      <c r="J1" s="500"/>
      <c r="K1" s="500"/>
      <c r="L1" s="501"/>
    </row>
    <row r="2" spans="1:20" s="195" customFormat="1" ht="30.75" customHeight="1" thickBot="1" x14ac:dyDescent="0.25">
      <c r="A2" s="399">
        <v>41883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[3]Airborne!$DR$4</f>
        <v>0</v>
      </c>
      <c r="C4" s="165">
        <f>[3]DHL!$DR$4</f>
        <v>21</v>
      </c>
      <c r="D4" s="165">
        <f>[3]FedEx!$DR$4+[3]FedEx!$DR$15</f>
        <v>90</v>
      </c>
      <c r="E4" s="165">
        <f>[3]UPS!$DR$4</f>
        <v>76</v>
      </c>
      <c r="F4" s="196"/>
      <c r="G4" s="122">
        <f>[3]ATI_BAX!$DR$4</f>
        <v>0</v>
      </c>
      <c r="H4" s="122">
        <f>'[3]Suburban Air Freight'!$DR$15</f>
        <v>21</v>
      </c>
      <c r="I4" s="122">
        <f>[3]Bemidji!$DR$4</f>
        <v>232</v>
      </c>
      <c r="J4" s="122">
        <f>'[3]CSA Air'!$DR$4</f>
        <v>0</v>
      </c>
      <c r="K4" s="122">
        <f>'[3]Mountain Cargo'!$DR$4</f>
        <v>21</v>
      </c>
      <c r="L4" s="122">
        <f>'[3]Misc Cargo'!$DR$4</f>
        <v>23</v>
      </c>
      <c r="M4" s="208">
        <f>SUM(B4:L4)</f>
        <v>484</v>
      </c>
    </row>
    <row r="5" spans="1:20" x14ac:dyDescent="0.2">
      <c r="A5" s="55" t="s">
        <v>59</v>
      </c>
      <c r="B5" s="426">
        <f>[3]Airborne!$DR$5</f>
        <v>0</v>
      </c>
      <c r="C5" s="202">
        <f>[3]DHL!$DR$5</f>
        <v>21</v>
      </c>
      <c r="D5" s="202">
        <f>[3]FedEx!$DR$5</f>
        <v>90</v>
      </c>
      <c r="E5" s="202">
        <f>[3]UPS!$DR$5</f>
        <v>76</v>
      </c>
      <c r="F5" s="196"/>
      <c r="G5" s="124">
        <f>[3]ATI_BAX!$DR$5</f>
        <v>0</v>
      </c>
      <c r="H5" s="124">
        <f>'[3]Suburban Air Freight'!$DR$16</f>
        <v>21</v>
      </c>
      <c r="I5" s="124">
        <f>[3]Bemidji!$DR$5</f>
        <v>232</v>
      </c>
      <c r="J5" s="124">
        <f>'[3]CSA Air'!$DR$5</f>
        <v>0</v>
      </c>
      <c r="K5" s="124">
        <f>'[3]Mountain Cargo'!$DR$5</f>
        <v>21</v>
      </c>
      <c r="L5" s="124">
        <f>'[3]Misc Cargo'!$DR$5</f>
        <v>23</v>
      </c>
      <c r="M5" s="212">
        <f>SUM(B5:L5)</f>
        <v>484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42</v>
      </c>
      <c r="D6" s="210">
        <f>SUM(D4:D5)</f>
        <v>180</v>
      </c>
      <c r="E6" s="210">
        <f>SUM(E4:E5)</f>
        <v>152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464</v>
      </c>
      <c r="J6" s="192">
        <f t="shared" si="0"/>
        <v>0</v>
      </c>
      <c r="K6" s="192">
        <f t="shared" si="0"/>
        <v>42</v>
      </c>
      <c r="L6" s="192">
        <f t="shared" si="0"/>
        <v>46</v>
      </c>
      <c r="M6" s="211">
        <f>SUM(B6:L6)</f>
        <v>968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[3]Airborne!$DR$8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Cargo'!$DR$8</f>
        <v>1</v>
      </c>
      <c r="M8" s="208">
        <f>SUM(B8:L8)</f>
        <v>1</v>
      </c>
    </row>
    <row r="9" spans="1:20" ht="15" x14ac:dyDescent="0.25">
      <c r="A9" s="55" t="s">
        <v>62</v>
      </c>
      <c r="B9" s="426">
        <f>[3]Airborne!$DR$9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Cargo'!$DR$9</f>
        <v>1</v>
      </c>
      <c r="M9" s="212">
        <f>SUM(B9:L9)</f>
        <v>1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2</v>
      </c>
      <c r="M10" s="211">
        <f>SUM(B10:L10)</f>
        <v>2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42</v>
      </c>
      <c r="D12" s="214">
        <f>D6+D10</f>
        <v>180</v>
      </c>
      <c r="E12" s="214">
        <f>E6+E10</f>
        <v>152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464</v>
      </c>
      <c r="J12" s="216">
        <f t="shared" si="2"/>
        <v>0</v>
      </c>
      <c r="K12" s="216">
        <f t="shared" si="2"/>
        <v>42</v>
      </c>
      <c r="L12" s="216">
        <f t="shared" si="2"/>
        <v>48</v>
      </c>
      <c r="M12" s="217">
        <f>SUM(B12:L12)</f>
        <v>970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[3]Airborne!$DR$47</f>
        <v>0</v>
      </c>
      <c r="C16" s="165">
        <f>[3]DHL!$DR$47</f>
        <v>556967</v>
      </c>
      <c r="D16" s="165">
        <f>[3]FedEx!$DR$47</f>
        <v>6029449</v>
      </c>
      <c r="E16" s="165">
        <f>[3]UPS!$DR$47</f>
        <v>4623966</v>
      </c>
      <c r="F16" s="196"/>
      <c r="G16" s="122">
        <f>[3]ATI_BAX!$DR$47</f>
        <v>0</v>
      </c>
      <c r="H16" s="122">
        <f>'[3]Suburban Air Freight'!$DR$47</f>
        <v>17190</v>
      </c>
      <c r="I16" s="495" t="s">
        <v>95</v>
      </c>
      <c r="J16" s="122">
        <f>'[3]CSA Air'!$DR$47</f>
        <v>0</v>
      </c>
      <c r="K16" s="122">
        <f>'[3]Mountain Cargo'!$DR$47</f>
        <v>54301</v>
      </c>
      <c r="L16" s="122">
        <f>'[3]Misc Cargo'!$DR$47</f>
        <v>30660</v>
      </c>
      <c r="M16" s="208">
        <f>SUM(B16:H16)+SUM(J16:L16)</f>
        <v>11312533</v>
      </c>
    </row>
    <row r="17" spans="1:14" x14ac:dyDescent="0.2">
      <c r="A17" s="55" t="s">
        <v>41</v>
      </c>
      <c r="B17" s="252">
        <f>[3]Airborne!$DR$48</f>
        <v>0</v>
      </c>
      <c r="C17" s="165">
        <f>[3]DHL!$DR$48</f>
        <v>0</v>
      </c>
      <c r="D17" s="165">
        <f>[3]FedEx!$DR$48</f>
        <v>0</v>
      </c>
      <c r="E17" s="165">
        <f>[3]UPS!$DR$48</f>
        <v>5826</v>
      </c>
      <c r="F17" s="196"/>
      <c r="G17" s="122">
        <f>[3]ATI_BAX!$DR$48</f>
        <v>0</v>
      </c>
      <c r="H17" s="122">
        <f>'[3]Suburban Air Freight'!$DR$48</f>
        <v>0</v>
      </c>
      <c r="I17" s="496"/>
      <c r="J17" s="122">
        <f>'[3]CSA Air'!$DR$48</f>
        <v>0</v>
      </c>
      <c r="K17" s="122">
        <f>'[3]Mountain Cargo'!$DR$48</f>
        <v>0</v>
      </c>
      <c r="L17" s="122">
        <f>'[3]Misc Cargo'!$DR$48</f>
        <v>0</v>
      </c>
      <c r="M17" s="208">
        <f>SUM(B17:H17)+SUM(J17:L17)</f>
        <v>5826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556967</v>
      </c>
      <c r="D18" s="308">
        <f>SUM(D16:D17)</f>
        <v>6029449</v>
      </c>
      <c r="E18" s="308">
        <f>SUM(E16:E17)</f>
        <v>4629792</v>
      </c>
      <c r="F18" s="201"/>
      <c r="G18" s="309">
        <f>SUM(G16:G17)</f>
        <v>0</v>
      </c>
      <c r="H18" s="309">
        <f>SUM(H16:H17)</f>
        <v>17190</v>
      </c>
      <c r="I18" s="496"/>
      <c r="J18" s="309">
        <f>SUM(J16:J17)</f>
        <v>0</v>
      </c>
      <c r="K18" s="309">
        <f>SUM(K16:K17)</f>
        <v>54301</v>
      </c>
      <c r="L18" s="309">
        <f>SUM(L16:L17)</f>
        <v>30660</v>
      </c>
      <c r="M18" s="224">
        <f>SUM(B18:H18)+SUM(J18:L18)</f>
        <v>11318359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6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6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[3]Airborne!$DR$52</f>
        <v>0</v>
      </c>
      <c r="C21" s="165">
        <f>[3]DHL!$DR$52</f>
        <v>438419</v>
      </c>
      <c r="D21" s="165">
        <f>[3]FedEx!$DR$52</f>
        <v>8493704</v>
      </c>
      <c r="E21" s="165">
        <f>[3]UPS!$DR$52</f>
        <v>4544722</v>
      </c>
      <c r="F21" s="196"/>
      <c r="G21" s="122">
        <f>[3]ATI_BAX!$DR$52</f>
        <v>0</v>
      </c>
      <c r="H21" s="122">
        <f>'[3]Suburban Air Freight'!$DR$52</f>
        <v>57681</v>
      </c>
      <c r="I21" s="496"/>
      <c r="J21" s="122">
        <f>'[3]CSA Air'!$DR$52</f>
        <v>0</v>
      </c>
      <c r="K21" s="122">
        <f>'[3]Mountain Cargo'!$DR$52</f>
        <v>141121</v>
      </c>
      <c r="L21" s="122">
        <f>'[3]Misc Cargo'!$DR$52</f>
        <v>24487</v>
      </c>
      <c r="M21" s="208">
        <f>SUM(B21:H21)+SUM(J21:L21)</f>
        <v>13700134</v>
      </c>
    </row>
    <row r="22" spans="1:14" x14ac:dyDescent="0.2">
      <c r="A22" s="55" t="s">
        <v>65</v>
      </c>
      <c r="B22" s="252">
        <f>[3]Airborne!$DR$53</f>
        <v>0</v>
      </c>
      <c r="C22" s="165">
        <f>[3]DHL!$DR$53</f>
        <v>0</v>
      </c>
      <c r="D22" s="165">
        <f>[3]FedEx!$DR$53</f>
        <v>0</v>
      </c>
      <c r="E22" s="165">
        <f>[3]UPS!$DR$53</f>
        <v>140245</v>
      </c>
      <c r="F22" s="196"/>
      <c r="G22" s="122">
        <f>[3]ATI_BAX!$DR$53</f>
        <v>0</v>
      </c>
      <c r="H22" s="122">
        <f>'[3]Suburban Air Freight'!$DR$53</f>
        <v>0</v>
      </c>
      <c r="I22" s="496"/>
      <c r="J22" s="122">
        <f>'[3]CSA Air'!$DR$53</f>
        <v>0</v>
      </c>
      <c r="K22" s="122">
        <f>'[3]Mountain Cargo'!$DR$53</f>
        <v>0</v>
      </c>
      <c r="L22" s="122">
        <f>'[3]Misc Cargo'!$DR$53</f>
        <v>0</v>
      </c>
      <c r="M22" s="208">
        <f>SUM(B22:H22)+SUM(J22:L22)</f>
        <v>140245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438419</v>
      </c>
      <c r="D23" s="308">
        <f>SUM(D21:D22)</f>
        <v>8493704</v>
      </c>
      <c r="E23" s="308">
        <f>SUM(E21:E22)</f>
        <v>4684967</v>
      </c>
      <c r="F23" s="201"/>
      <c r="G23" s="309">
        <f>SUM(G21:G22)</f>
        <v>0</v>
      </c>
      <c r="H23" s="309">
        <f>SUM(H21:H22)</f>
        <v>57681</v>
      </c>
      <c r="I23" s="496"/>
      <c r="J23" s="309">
        <f>SUM(J21:J22)</f>
        <v>0</v>
      </c>
      <c r="K23" s="309">
        <f>SUM(K21:K22)</f>
        <v>141121</v>
      </c>
      <c r="L23" s="309">
        <f>SUM(L21:L22)</f>
        <v>24487</v>
      </c>
      <c r="M23" s="224">
        <f>SUM(B23:H23)+SUM(J23:L23)</f>
        <v>13840379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6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6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[3]Airborne!$DR$57</f>
        <v>0</v>
      </c>
      <c r="C26" s="165">
        <f>[3]DHL!$DR$57</f>
        <v>0</v>
      </c>
      <c r="D26" s="165">
        <f>[3]FedEx!$DR$57</f>
        <v>0</v>
      </c>
      <c r="E26" s="165">
        <f>[3]UPS!$DR$57</f>
        <v>0</v>
      </c>
      <c r="F26" s="196"/>
      <c r="G26" s="122">
        <f>[3]ATI_BAX!$DR$57</f>
        <v>0</v>
      </c>
      <c r="H26" s="122">
        <f>'[3]Suburban Air Freight'!$DR$57</f>
        <v>0</v>
      </c>
      <c r="I26" s="496"/>
      <c r="J26" s="122">
        <f>'[3]CSA Air'!$DR$57</f>
        <v>0</v>
      </c>
      <c r="K26" s="122">
        <f>'[3]Mountain Cargo'!$DR$57</f>
        <v>0</v>
      </c>
      <c r="L26" s="122">
        <f>'[3]Misc Cargo'!$DR$57</f>
        <v>0</v>
      </c>
      <c r="M26" s="208">
        <f>SUM(B26:H26)+SUM(J26:L26)</f>
        <v>0</v>
      </c>
    </row>
    <row r="27" spans="1:14" x14ac:dyDescent="0.2">
      <c r="A27" s="55" t="s">
        <v>65</v>
      </c>
      <c r="B27" s="252">
        <f>[3]Airborne!$DR$58</f>
        <v>0</v>
      </c>
      <c r="C27" s="165">
        <f>[3]DHL!$DR$58</f>
        <v>0</v>
      </c>
      <c r="D27" s="165">
        <f>[3]FedEx!$DR$58</f>
        <v>0</v>
      </c>
      <c r="E27" s="165">
        <f>[3]UPS!$DR$58</f>
        <v>0</v>
      </c>
      <c r="F27" s="196"/>
      <c r="G27" s="122">
        <f>[3]ATI_BAX!$DR$58</f>
        <v>0</v>
      </c>
      <c r="H27" s="122">
        <f>'[3]Suburban Air Freight'!$DR$58</f>
        <v>0</v>
      </c>
      <c r="I27" s="496"/>
      <c r="J27" s="122">
        <f>'[3]CSA Air'!$DR$58</f>
        <v>0</v>
      </c>
      <c r="K27" s="122">
        <f>'[3]Mountain Cargo'!$DR$58</f>
        <v>0</v>
      </c>
      <c r="L27" s="122">
        <f>'[3]Misc Cargo'!$DR$58</f>
        <v>0</v>
      </c>
      <c r="M27" s="208">
        <f>SUM(B27:H27)+SUM(J27:L27)</f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6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6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6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3">B26+B21+B16</f>
        <v>0</v>
      </c>
      <c r="C31" s="165">
        <f t="shared" si="3"/>
        <v>995386</v>
      </c>
      <c r="D31" s="165">
        <f t="shared" si="3"/>
        <v>14523153</v>
      </c>
      <c r="E31" s="165">
        <f t="shared" si="3"/>
        <v>9168688</v>
      </c>
      <c r="F31" s="196"/>
      <c r="G31" s="122">
        <f t="shared" ref="G31:H33" si="4">G26+G21+G16</f>
        <v>0</v>
      </c>
      <c r="H31" s="122">
        <f t="shared" si="4"/>
        <v>74871</v>
      </c>
      <c r="I31" s="496"/>
      <c r="J31" s="122">
        <f t="shared" ref="J31:L33" si="5">J26+J21+J16</f>
        <v>0</v>
      </c>
      <c r="K31" s="122">
        <f t="shared" si="5"/>
        <v>195422</v>
      </c>
      <c r="L31" s="122">
        <f>L26+L21+L16</f>
        <v>55147</v>
      </c>
      <c r="M31" s="208">
        <f>SUM(B31:H31)+SUM(J31:L31)</f>
        <v>25012667</v>
      </c>
    </row>
    <row r="32" spans="1:14" x14ac:dyDescent="0.2">
      <c r="A32" s="55" t="s">
        <v>65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146071</v>
      </c>
      <c r="F32" s="196"/>
      <c r="G32" s="122">
        <f t="shared" si="4"/>
        <v>0</v>
      </c>
      <c r="H32" s="122">
        <f t="shared" si="4"/>
        <v>0</v>
      </c>
      <c r="I32" s="497"/>
      <c r="J32" s="122">
        <f t="shared" si="5"/>
        <v>0</v>
      </c>
      <c r="K32" s="122">
        <f t="shared" si="5"/>
        <v>0</v>
      </c>
      <c r="L32" s="122">
        <f>L27+L22+L17</f>
        <v>0</v>
      </c>
      <c r="M32" s="212">
        <f>SUM(B32:H32)+SUM(J32:L32)</f>
        <v>146071</v>
      </c>
    </row>
    <row r="33" spans="1:13" ht="18" customHeight="1" thickBot="1" x14ac:dyDescent="0.25">
      <c r="A33" s="213" t="s">
        <v>49</v>
      </c>
      <c r="B33" s="428">
        <f t="shared" si="3"/>
        <v>0</v>
      </c>
      <c r="C33" s="214">
        <f t="shared" si="3"/>
        <v>995386</v>
      </c>
      <c r="D33" s="214">
        <f t="shared" si="3"/>
        <v>14523153</v>
      </c>
      <c r="E33" s="214">
        <f t="shared" si="3"/>
        <v>9314759</v>
      </c>
      <c r="F33" s="227"/>
      <c r="G33" s="216">
        <f t="shared" si="4"/>
        <v>0</v>
      </c>
      <c r="H33" s="216">
        <f t="shared" si="4"/>
        <v>74871</v>
      </c>
      <c r="I33" s="310">
        <f>I28+I23+I18</f>
        <v>0</v>
      </c>
      <c r="J33" s="216">
        <f t="shared" si="5"/>
        <v>0</v>
      </c>
      <c r="K33" s="216">
        <f t="shared" si="5"/>
        <v>195422</v>
      </c>
      <c r="L33" s="216">
        <f t="shared" si="5"/>
        <v>55147</v>
      </c>
      <c r="M33" s="217">
        <f>SUM(B33:H33)+SUM(J33:L33)</f>
        <v>25158738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September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33" sqref="J3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41883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4309835</v>
      </c>
      <c r="C5" s="122">
        <f>'Regional Major'!L25</f>
        <v>20</v>
      </c>
      <c r="D5" s="122">
        <f>Cargo!M16</f>
        <v>11312533</v>
      </c>
      <c r="E5" s="122">
        <f>SUM(B5:D5)</f>
        <v>15622388</v>
      </c>
      <c r="F5" s="122">
        <f>E5*0.00045359237</f>
        <v>7086.1959979795602</v>
      </c>
      <c r="G5" s="150">
        <f>'[1]Cargo Summary'!F5</f>
        <v>6923.4438804769698</v>
      </c>
      <c r="H5" s="101">
        <f>(F5-G5)/G5</f>
        <v>2.3507393186435143E-2</v>
      </c>
      <c r="I5" s="150">
        <f>+F5+'[2]Cargo Summary'!I5</f>
        <v>64448.483650616443</v>
      </c>
      <c r="J5" s="150">
        <f>'[1]Cargo Summary'!I5</f>
        <v>66292.806102769406</v>
      </c>
      <c r="K5" s="88">
        <f>(I5-J5)/J5</f>
        <v>-2.7820853582420847E-2</v>
      </c>
      <c r="M5" s="37"/>
    </row>
    <row r="6" spans="1:18" x14ac:dyDescent="0.2">
      <c r="A6" s="65" t="s">
        <v>18</v>
      </c>
      <c r="B6" s="173">
        <f>'Major Airline Stats'!J29</f>
        <v>978244</v>
      </c>
      <c r="C6" s="122">
        <f>'Regional Major'!L26</f>
        <v>0</v>
      </c>
      <c r="D6" s="122">
        <f>Cargo!M17</f>
        <v>5826</v>
      </c>
      <c r="E6" s="122">
        <f>SUM(B6:D6)</f>
        <v>984070</v>
      </c>
      <c r="F6" s="122">
        <f>E6*0.00045359237</f>
        <v>446.36664354589999</v>
      </c>
      <c r="G6" s="150">
        <f>'[1]Cargo Summary'!F6</f>
        <v>581.93859905335</v>
      </c>
      <c r="H6" s="39">
        <f>(F6-G6)/G6</f>
        <v>-0.23296608220865114</v>
      </c>
      <c r="I6" s="150">
        <f>+F6+'[2]Cargo Summary'!I6</f>
        <v>4793.5528263507495</v>
      </c>
      <c r="J6" s="150">
        <f>'[1]Cargo Summary'!I6</f>
        <v>4258.7769475605201</v>
      </c>
      <c r="K6" s="88">
        <f>(I6-J6)/J6</f>
        <v>0.12557029526905739</v>
      </c>
      <c r="M6" s="37"/>
    </row>
    <row r="7" spans="1:18" ht="18" customHeight="1" thickBot="1" x14ac:dyDescent="0.25">
      <c r="A7" s="76" t="s">
        <v>77</v>
      </c>
      <c r="B7" s="175">
        <f>SUM(B5:B6)</f>
        <v>5288079</v>
      </c>
      <c r="C7" s="137">
        <f t="shared" ref="C7:J7" si="0">SUM(C5:C6)</f>
        <v>20</v>
      </c>
      <c r="D7" s="137">
        <f t="shared" si="0"/>
        <v>11318359</v>
      </c>
      <c r="E7" s="137">
        <f t="shared" si="0"/>
        <v>16606458</v>
      </c>
      <c r="F7" s="137">
        <f t="shared" si="0"/>
        <v>7532.5626415254601</v>
      </c>
      <c r="G7" s="137">
        <f t="shared" si="0"/>
        <v>7505.3824795303199</v>
      </c>
      <c r="H7" s="46">
        <f>(F7-G7)/G7</f>
        <v>3.6214226349249473E-3</v>
      </c>
      <c r="I7" s="137">
        <f t="shared" si="0"/>
        <v>69242.036476967187</v>
      </c>
      <c r="J7" s="137">
        <f t="shared" si="0"/>
        <v>70551.583050329922</v>
      </c>
      <c r="K7" s="324">
        <f>(I7-J7)/J7</f>
        <v>-1.8561547689561184E-2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4027502</v>
      </c>
      <c r="C10" s="122">
        <f>'Regional Major'!L30</f>
        <v>0</v>
      </c>
      <c r="D10" s="122">
        <f>Cargo!M21</f>
        <v>13700134</v>
      </c>
      <c r="E10" s="122">
        <f>SUM(B10:D10)</f>
        <v>17727636</v>
      </c>
      <c r="F10" s="122">
        <f>E10*0.00045359237</f>
        <v>8041.1204277373199</v>
      </c>
      <c r="G10" s="150">
        <f>'[1]Cargo Summary'!F10</f>
        <v>7956.2251725833794</v>
      </c>
      <c r="H10" s="39">
        <f>(F10-G10)/G10</f>
        <v>1.0670293174517471E-2</v>
      </c>
      <c r="I10" s="150">
        <f>+F10+'[2]Cargo Summary'!I10</f>
        <v>72303.889300712297</v>
      </c>
      <c r="J10" s="150">
        <f>'[1]Cargo Summary'!I10</f>
        <v>68537.670122104275</v>
      </c>
      <c r="K10" s="88">
        <f>(I10-J10)/J10</f>
        <v>5.4951082695082282E-2</v>
      </c>
      <c r="M10" s="37"/>
    </row>
    <row r="11" spans="1:18" x14ac:dyDescent="0.2">
      <c r="A11" s="65" t="s">
        <v>18</v>
      </c>
      <c r="B11" s="173">
        <f>'Major Airline Stats'!J34</f>
        <v>533619</v>
      </c>
      <c r="C11" s="122">
        <f>'Regional Major'!L31</f>
        <v>0</v>
      </c>
      <c r="D11" s="122">
        <f>Cargo!M22</f>
        <v>140245</v>
      </c>
      <c r="E11" s="122">
        <f>SUM(B11:D11)</f>
        <v>673864</v>
      </c>
      <c r="F11" s="122">
        <f>E11*0.00045359237</f>
        <v>305.65956881768</v>
      </c>
      <c r="G11" s="150">
        <f>'[1]Cargo Summary'!F11</f>
        <v>336.60454748382</v>
      </c>
      <c r="H11" s="37">
        <f>(F11-G11)/G11</f>
        <v>-9.1932740949162234E-2</v>
      </c>
      <c r="I11" s="150">
        <f>+F11+'[2]Cargo Summary'!I11</f>
        <v>5352.9433486914013</v>
      </c>
      <c r="J11" s="150">
        <f>'[1]Cargo Summary'!I11</f>
        <v>6405.4350436437908</v>
      </c>
      <c r="K11" s="88">
        <f>(I11-J11)/J11</f>
        <v>-0.16431228913901683</v>
      </c>
      <c r="M11" s="37"/>
    </row>
    <row r="12" spans="1:18" ht="18" customHeight="1" thickBot="1" x14ac:dyDescent="0.25">
      <c r="A12" s="76" t="s">
        <v>78</v>
      </c>
      <c r="B12" s="175">
        <f>SUM(B10:B11)</f>
        <v>4561121</v>
      </c>
      <c r="C12" s="137">
        <f t="shared" ref="C12:J12" si="1">SUM(C10:C11)</f>
        <v>0</v>
      </c>
      <c r="D12" s="137">
        <f t="shared" si="1"/>
        <v>13840379</v>
      </c>
      <c r="E12" s="137">
        <f t="shared" si="1"/>
        <v>18401500</v>
      </c>
      <c r="F12" s="137">
        <f t="shared" si="1"/>
        <v>8346.7799965550003</v>
      </c>
      <c r="G12" s="137">
        <f t="shared" si="1"/>
        <v>8292.8297200671987</v>
      </c>
      <c r="H12" s="46">
        <f>(F12-G12)/G12</f>
        <v>6.5056534752246705E-3</v>
      </c>
      <c r="I12" s="137">
        <f t="shared" si="1"/>
        <v>77656.832649403703</v>
      </c>
      <c r="J12" s="137">
        <f t="shared" si="1"/>
        <v>74943.105165748071</v>
      </c>
      <c r="K12" s="324">
        <f>(I12-J12)/J12</f>
        <v>3.621050232244595E-2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8337337</v>
      </c>
      <c r="C20" s="122">
        <f t="shared" si="3"/>
        <v>20</v>
      </c>
      <c r="D20" s="122">
        <f t="shared" si="3"/>
        <v>25012667</v>
      </c>
      <c r="E20" s="122">
        <f>SUM(B20:D20)</f>
        <v>33350024</v>
      </c>
      <c r="F20" s="122">
        <f>E20*0.00045359237</f>
        <v>15127.316425716879</v>
      </c>
      <c r="G20" s="150">
        <f>'[1]Cargo Summary'!F20</f>
        <v>14879.66905306035</v>
      </c>
      <c r="H20" s="39">
        <f>(F20-G20)/G20</f>
        <v>1.6643338757967516E-2</v>
      </c>
      <c r="I20" s="150">
        <f>+I5+I10+I15</f>
        <v>136752.37295132875</v>
      </c>
      <c r="J20" s="150">
        <f>+J5+J10+J15</f>
        <v>134830.47622487368</v>
      </c>
      <c r="K20" s="88">
        <f>(I20-J20)/J20</f>
        <v>1.4254171462316025E-2</v>
      </c>
      <c r="M20" s="37"/>
    </row>
    <row r="21" spans="1:13" x14ac:dyDescent="0.2">
      <c r="A21" s="65" t="s">
        <v>18</v>
      </c>
      <c r="B21" s="173">
        <f t="shared" si="3"/>
        <v>1511863</v>
      </c>
      <c r="C21" s="124">
        <f t="shared" si="3"/>
        <v>0</v>
      </c>
      <c r="D21" s="124">
        <f t="shared" si="3"/>
        <v>146071</v>
      </c>
      <c r="E21" s="122">
        <f>SUM(B21:D21)</f>
        <v>1657934</v>
      </c>
      <c r="F21" s="122">
        <f>E21*0.00045359237</f>
        <v>752.02621236357993</v>
      </c>
      <c r="G21" s="150">
        <f>'[1]Cargo Summary'!F21</f>
        <v>918.54314653716995</v>
      </c>
      <c r="H21" s="39">
        <f>(F21-G21)/G21</f>
        <v>-0.18128373697125147</v>
      </c>
      <c r="I21" s="150">
        <f>+I6+I11+I16</f>
        <v>10146.49617504215</v>
      </c>
      <c r="J21" s="150">
        <f>+J6+J11+J16</f>
        <v>10664.211991204311</v>
      </c>
      <c r="K21" s="88">
        <f>(I21-J21)/J21</f>
        <v>-4.8547029690441786E-2</v>
      </c>
      <c r="M21" s="37"/>
    </row>
    <row r="22" spans="1:13" ht="18" customHeight="1" thickBot="1" x14ac:dyDescent="0.25">
      <c r="A22" s="91" t="s">
        <v>67</v>
      </c>
      <c r="B22" s="176">
        <f>SUM(B20:B21)</f>
        <v>9849200</v>
      </c>
      <c r="C22" s="177">
        <f t="shared" ref="C22:J22" si="4">SUM(C20:C21)</f>
        <v>20</v>
      </c>
      <c r="D22" s="177">
        <f t="shared" si="4"/>
        <v>25158738</v>
      </c>
      <c r="E22" s="177">
        <f t="shared" si="4"/>
        <v>35007958</v>
      </c>
      <c r="F22" s="177">
        <f t="shared" si="4"/>
        <v>15879.342638080459</v>
      </c>
      <c r="G22" s="177">
        <f t="shared" si="4"/>
        <v>15798.212199597519</v>
      </c>
      <c r="H22" s="330">
        <f>(F22-G22)/G22</f>
        <v>5.1354189612041615E-3</v>
      </c>
      <c r="I22" s="177">
        <f t="shared" si="4"/>
        <v>146898.8691263709</v>
      </c>
      <c r="J22" s="177">
        <f t="shared" si="4"/>
        <v>145494.68821607798</v>
      </c>
      <c r="K22" s="331">
        <f>(I22-J22)/J22</f>
        <v>9.651080238802531E-3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topLeftCell="A7" zoomScaleNormal="100" zoomScaleSheetLayoutView="100" workbookViewId="0">
      <selection activeCell="B32" sqref="B32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41883</v>
      </c>
      <c r="B1" s="458" t="s">
        <v>20</v>
      </c>
      <c r="C1" s="457" t="s">
        <v>209</v>
      </c>
      <c r="D1" s="19" t="s">
        <v>203</v>
      </c>
      <c r="E1" s="19" t="s">
        <v>212</v>
      </c>
      <c r="F1" s="477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7" t="s">
        <v>211</v>
      </c>
      <c r="M1" s="458" t="s">
        <v>158</v>
      </c>
      <c r="N1" s="277" t="s">
        <v>24</v>
      </c>
    </row>
    <row r="2" spans="1:14" ht="15" x14ac:dyDescent="0.25">
      <c r="A2" s="502" t="s">
        <v>159</v>
      </c>
      <c r="B2" s="503"/>
      <c r="C2" s="503"/>
      <c r="D2" s="504"/>
      <c r="E2" s="503"/>
      <c r="F2" s="503"/>
      <c r="G2" s="503"/>
      <c r="H2" s="503"/>
      <c r="I2" s="503"/>
      <c r="J2" s="503"/>
      <c r="K2" s="503"/>
      <c r="L2" s="503"/>
      <c r="M2" s="503"/>
      <c r="N2" s="505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[3]Delta!$DR$32</f>
        <v>55019</v>
      </c>
      <c r="C4" s="22">
        <f>'[3]Atlantic Southeast'!$DR$32</f>
        <v>1157</v>
      </c>
      <c r="D4" s="22">
        <f>[3]Pinnacle!$DR$32</f>
        <v>8568</v>
      </c>
      <c r="E4" s="22">
        <f>[3]Compass!$DR$32</f>
        <v>13779</v>
      </c>
      <c r="F4" s="22">
        <f>'[3]Sky West'!$DR$32</f>
        <v>1763</v>
      </c>
      <c r="G4" s="22">
        <f>'[3]Sun Country'!$DR$32</f>
        <v>398</v>
      </c>
      <c r="H4" s="22">
        <f>[3]Icelandair!$DR$32</f>
        <v>2783</v>
      </c>
      <c r="I4" s="22">
        <f>[3]AirCanada!$DR$32</f>
        <v>4188</v>
      </c>
      <c r="J4" s="22">
        <f>[3]Condor!$DR$32</f>
        <v>593</v>
      </c>
      <c r="K4" s="22">
        <f>'[3]Air France'!$DR$32</f>
        <v>0</v>
      </c>
      <c r="L4" s="22">
        <f>[3]Comair!$DR$32</f>
        <v>0</v>
      </c>
      <c r="M4" s="22">
        <f>'[3]Charter Misc'!$DR$32+[3]Ryan!$DR$32+[3]Omni!$DR$32</f>
        <v>0</v>
      </c>
      <c r="N4" s="286">
        <f>SUM(B4:M4)</f>
        <v>88248</v>
      </c>
    </row>
    <row r="5" spans="1:14" x14ac:dyDescent="0.2">
      <c r="A5" s="65" t="s">
        <v>34</v>
      </c>
      <c r="B5" s="14">
        <f>[3]Delta!$DR$33</f>
        <v>55291</v>
      </c>
      <c r="C5" s="14">
        <f>'[3]Atlantic Southeast'!$DR$33</f>
        <v>1366</v>
      </c>
      <c r="D5" s="14">
        <f>[3]Pinnacle!$DR$33</f>
        <v>8986</v>
      </c>
      <c r="E5" s="14">
        <f>[3]Compass!$DR$33</f>
        <v>13864</v>
      </c>
      <c r="F5" s="14">
        <f>'[3]Sky West'!$DR$33</f>
        <v>1972</v>
      </c>
      <c r="G5" s="14">
        <f>'[3]Sun Country'!$DR$33</f>
        <v>480</v>
      </c>
      <c r="H5" s="14">
        <f>[3]Icelandair!$DR$33</f>
        <v>2626</v>
      </c>
      <c r="I5" s="14">
        <f>[3]AirCanada!$DR$33</f>
        <v>3746</v>
      </c>
      <c r="J5" s="14">
        <f>[3]Condor!$DR$33</f>
        <v>558</v>
      </c>
      <c r="K5" s="14">
        <f>'[3]Air France'!$DR$33</f>
        <v>0</v>
      </c>
      <c r="L5" s="14">
        <f>[3]Comair!$DR$33</f>
        <v>0</v>
      </c>
      <c r="M5" s="14">
        <f>'[3]Charter Misc'!$DR$33++[3]Ryan!$DR$33+[3]Omni!$DR$33</f>
        <v>0</v>
      </c>
      <c r="N5" s="287">
        <f>SUM(B5:M5)</f>
        <v>88889</v>
      </c>
    </row>
    <row r="6" spans="1:14" ht="15" x14ac:dyDescent="0.25">
      <c r="A6" s="63" t="s">
        <v>7</v>
      </c>
      <c r="B6" s="36">
        <f t="shared" ref="B6:M6" si="0">SUM(B4:B5)</f>
        <v>110310</v>
      </c>
      <c r="C6" s="36">
        <f t="shared" si="0"/>
        <v>2523</v>
      </c>
      <c r="D6" s="36">
        <f t="shared" si="0"/>
        <v>17554</v>
      </c>
      <c r="E6" s="36">
        <f t="shared" si="0"/>
        <v>27643</v>
      </c>
      <c r="F6" s="36">
        <f t="shared" si="0"/>
        <v>3735</v>
      </c>
      <c r="G6" s="36">
        <f t="shared" si="0"/>
        <v>878</v>
      </c>
      <c r="H6" s="36">
        <f t="shared" si="0"/>
        <v>5409</v>
      </c>
      <c r="I6" s="36">
        <f t="shared" si="0"/>
        <v>7934</v>
      </c>
      <c r="J6" s="36">
        <f t="shared" si="0"/>
        <v>1151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8">
        <f>SUM(B6:M6)</f>
        <v>177137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[3]Delta!$DR$37</f>
        <v>1165</v>
      </c>
      <c r="C9" s="22">
        <f>'[3]Atlantic Southeast'!$DR$37</f>
        <v>23</v>
      </c>
      <c r="D9" s="22">
        <f>[3]Pinnacle!$DR$37</f>
        <v>191</v>
      </c>
      <c r="E9" s="22">
        <f>[3]Compass!$DR$37</f>
        <v>155</v>
      </c>
      <c r="F9" s="22">
        <f>'[3]Sky West'!$DR$37</f>
        <v>25</v>
      </c>
      <c r="G9" s="22">
        <f>'[3]Sun Country'!$DR$37</f>
        <v>4</v>
      </c>
      <c r="H9" s="22">
        <f>[3]Icelandair!$DR$37</f>
        <v>93</v>
      </c>
      <c r="I9" s="22">
        <f>[3]AirCanada!$DR$37</f>
        <v>45</v>
      </c>
      <c r="J9" s="22">
        <f>[3]Condor!$DR$37</f>
        <v>7</v>
      </c>
      <c r="K9" s="22">
        <f>'[3]Air France'!$DR$37</f>
        <v>0</v>
      </c>
      <c r="L9" s="22">
        <f>[3]Comair!$DR$37</f>
        <v>0</v>
      </c>
      <c r="M9" s="22">
        <f>'[3]Charter Misc'!$DR$37+[3]Ryan!$DR$37+[3]Omni!$DR$37</f>
        <v>0</v>
      </c>
      <c r="N9" s="286">
        <f>SUM(B9:M9)</f>
        <v>1708</v>
      </c>
    </row>
    <row r="10" spans="1:14" x14ac:dyDescent="0.2">
      <c r="A10" s="65" t="s">
        <v>36</v>
      </c>
      <c r="B10" s="14">
        <f>[3]Delta!$DR$38</f>
        <v>872</v>
      </c>
      <c r="C10" s="14">
        <f>'[3]Atlantic Southeast'!$DR$38</f>
        <v>21</v>
      </c>
      <c r="D10" s="14">
        <f>[3]Pinnacle!$DR$38</f>
        <v>167</v>
      </c>
      <c r="E10" s="14">
        <f>[3]Compass!$DR$38</f>
        <v>105</v>
      </c>
      <c r="F10" s="14">
        <f>'[3]Sky West'!$DR$38</f>
        <v>19</v>
      </c>
      <c r="G10" s="14">
        <f>'[3]Sun Country'!$DR$38</f>
        <v>6</v>
      </c>
      <c r="H10" s="14">
        <f>[3]Icelandair!$DR$38</f>
        <v>107</v>
      </c>
      <c r="I10" s="14">
        <f>[3]AirCanada!$DR$38</f>
        <v>48</v>
      </c>
      <c r="J10" s="14">
        <f>[3]Condor!$DR$38</f>
        <v>10</v>
      </c>
      <c r="K10" s="14">
        <f>'[3]Air France'!$DR$38</f>
        <v>0</v>
      </c>
      <c r="L10" s="14">
        <f>[3]Comair!$DR$38</f>
        <v>0</v>
      </c>
      <c r="M10" s="14">
        <f>'[3]Charter Misc'!$DR$38+[3]Ryan!$DR$38+[3]Omni!$DR$38</f>
        <v>0</v>
      </c>
      <c r="N10" s="287">
        <f>SUM(B10:M10)</f>
        <v>1355</v>
      </c>
    </row>
    <row r="11" spans="1:14" ht="15.75" thickBot="1" x14ac:dyDescent="0.3">
      <c r="A11" s="66" t="s">
        <v>37</v>
      </c>
      <c r="B11" s="289">
        <f t="shared" ref="B11:G11" si="1">SUM(B9:B10)</f>
        <v>2037</v>
      </c>
      <c r="C11" s="289">
        <f t="shared" si="1"/>
        <v>44</v>
      </c>
      <c r="D11" s="289">
        <f t="shared" si="1"/>
        <v>358</v>
      </c>
      <c r="E11" s="289">
        <f t="shared" si="1"/>
        <v>260</v>
      </c>
      <c r="F11" s="289">
        <f t="shared" si="1"/>
        <v>44</v>
      </c>
      <c r="G11" s="289">
        <f t="shared" si="1"/>
        <v>10</v>
      </c>
      <c r="H11" s="289">
        <f t="shared" ref="H11:M11" si="2">SUM(H9:H10)</f>
        <v>200</v>
      </c>
      <c r="I11" s="289">
        <f t="shared" si="2"/>
        <v>93</v>
      </c>
      <c r="J11" s="289">
        <f t="shared" si="2"/>
        <v>17</v>
      </c>
      <c r="K11" s="289">
        <f t="shared" si="2"/>
        <v>0</v>
      </c>
      <c r="L11" s="289">
        <f t="shared" si="2"/>
        <v>0</v>
      </c>
      <c r="M11" s="289">
        <f t="shared" si="2"/>
        <v>0</v>
      </c>
      <c r="N11" s="290">
        <f>SUM(B11:M11)</f>
        <v>3063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7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7" t="s">
        <v>211</v>
      </c>
      <c r="M13" s="458" t="s">
        <v>158</v>
      </c>
      <c r="N13" s="277" t="s">
        <v>160</v>
      </c>
    </row>
    <row r="14" spans="1:14" ht="15" x14ac:dyDescent="0.25">
      <c r="A14" s="506" t="s">
        <v>161</v>
      </c>
      <c r="B14" s="507"/>
      <c r="C14" s="507"/>
      <c r="D14" s="508"/>
      <c r="E14" s="507"/>
      <c r="F14" s="507"/>
      <c r="G14" s="507"/>
      <c r="H14" s="507"/>
      <c r="I14" s="507"/>
      <c r="J14" s="507"/>
      <c r="K14" s="507"/>
      <c r="L14" s="507"/>
      <c r="M14" s="507"/>
      <c r="N14" s="509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SUM([3]Delta!$DJ$32:$DR$32)</f>
        <v>547339</v>
      </c>
      <c r="C16" s="22">
        <f>SUM('[3]Atlantic Southeast'!$DJ$32:$DR$32)</f>
        <v>1157</v>
      </c>
      <c r="D16" s="22">
        <f>SUM([3]Pinnacle!$DJ$32:$DR$32)</f>
        <v>99029</v>
      </c>
      <c r="E16" s="22">
        <f>SUM([3]Compass!$DJ$32:$DR$32)</f>
        <v>113724</v>
      </c>
      <c r="F16" s="22">
        <f>SUM('[3]Sky West'!$DJ$32:$DR$32)</f>
        <v>31350</v>
      </c>
      <c r="G16" s="22">
        <f>SUM('[3]Sun Country'!$DJ$32:$DR$32)</f>
        <v>90480</v>
      </c>
      <c r="H16" s="22">
        <f>SUM([3]Icelandair!$DJ$32:$DQ$32)</f>
        <v>16020</v>
      </c>
      <c r="I16" s="22">
        <f>SUM([3]AirCanada!$DJ$32:$DR$32)</f>
        <v>30273</v>
      </c>
      <c r="J16" s="22">
        <f>SUM([3]Condor!$DJ$32:$DR$32)</f>
        <v>5309</v>
      </c>
      <c r="K16" s="22">
        <f>SUM('[3]Air France'!$DJ$32:$DR$32)</f>
        <v>22792</v>
      </c>
      <c r="L16" s="22">
        <f>SUM([3]Comair!$DJ$32:$DR$32)</f>
        <v>0</v>
      </c>
      <c r="M16" s="22">
        <f>SUM('[3]Charter Misc'!$DJ$32:$DR$32)+SUM([3]Ryan!$DJ$32:$DR$32)+SUM([3]Omni!$DJ$32:$DR$32)</f>
        <v>0</v>
      </c>
      <c r="N16" s="286">
        <f>SUM(B16:M16)</f>
        <v>957473</v>
      </c>
    </row>
    <row r="17" spans="1:14" x14ac:dyDescent="0.2">
      <c r="A17" s="65" t="s">
        <v>34</v>
      </c>
      <c r="B17" s="14">
        <f>SUM([3]Delta!$DJ$33:$DR$33)</f>
        <v>532108</v>
      </c>
      <c r="C17" s="14">
        <f>SUM('[3]Atlantic Southeast'!$DJ$33:$DR$33)</f>
        <v>1462</v>
      </c>
      <c r="D17" s="14">
        <f>SUM([3]Pinnacle!$DJ$33:$DR$33)</f>
        <v>100140</v>
      </c>
      <c r="E17" s="14">
        <f>SUM([3]Compass!$DJ$33:$DR$33)</f>
        <v>115172</v>
      </c>
      <c r="F17" s="14">
        <f>SUM('[3]Sky West'!$DJ$33:$DR$33)</f>
        <v>32505</v>
      </c>
      <c r="G17" s="14">
        <f>SUM('[3]Sun Country'!$DJ$33:$DR$33)</f>
        <v>86490</v>
      </c>
      <c r="H17" s="14">
        <f>SUM([3]Icelandair!$DJ$33:$DR$33)</f>
        <v>19282</v>
      </c>
      <c r="I17" s="14">
        <f>SUM([3]AirCanada!$DJ$33:$DR$33)</f>
        <v>28760</v>
      </c>
      <c r="J17" s="14">
        <f>SUM([3]Condor!$DJ$33:$DR$33)</f>
        <v>4516</v>
      </c>
      <c r="K17" s="14">
        <f>SUM('[3]Air France'!$DJ$33:$DR$33)</f>
        <v>19165</v>
      </c>
      <c r="L17" s="14">
        <f>SUM([3]Comair!$DJ$33:$DR$33)</f>
        <v>0</v>
      </c>
      <c r="M17" s="14">
        <f>SUM('[3]Charter Misc'!$DJ$33:$DR$33)++SUM([3]Ryan!$DJ$33:$DR$33)+SUM([3]Omni!$DJ$33:$DR$33)</f>
        <v>0</v>
      </c>
      <c r="N17" s="287">
        <f>SUM(B17:M17)</f>
        <v>939600</v>
      </c>
    </row>
    <row r="18" spans="1:14" ht="15" x14ac:dyDescent="0.25">
      <c r="A18" s="63" t="s">
        <v>7</v>
      </c>
      <c r="B18" s="36">
        <f t="shared" ref="B18:M18" si="3">SUM(B16:B17)</f>
        <v>1079447</v>
      </c>
      <c r="C18" s="36">
        <f t="shared" si="3"/>
        <v>2619</v>
      </c>
      <c r="D18" s="36">
        <f t="shared" si="3"/>
        <v>199169</v>
      </c>
      <c r="E18" s="36">
        <f t="shared" si="3"/>
        <v>228896</v>
      </c>
      <c r="F18" s="36">
        <f t="shared" si="3"/>
        <v>63855</v>
      </c>
      <c r="G18" s="36">
        <f t="shared" si="3"/>
        <v>176970</v>
      </c>
      <c r="H18" s="36">
        <f t="shared" si="3"/>
        <v>35302</v>
      </c>
      <c r="I18" s="36">
        <f t="shared" si="3"/>
        <v>59033</v>
      </c>
      <c r="J18" s="36">
        <f t="shared" si="3"/>
        <v>9825</v>
      </c>
      <c r="K18" s="36">
        <f t="shared" si="3"/>
        <v>41957</v>
      </c>
      <c r="L18" s="36">
        <f t="shared" si="3"/>
        <v>0</v>
      </c>
      <c r="M18" s="36">
        <f t="shared" si="3"/>
        <v>0</v>
      </c>
      <c r="N18" s="288">
        <f>SUM(B18:M18)</f>
        <v>1897073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SUM([3]Delta!$DJ$37:$DR$37)</f>
        <v>12839</v>
      </c>
      <c r="C21" s="22">
        <f>SUM('[3]Atlantic Southeast'!$DJ$37:$DR$37)</f>
        <v>23</v>
      </c>
      <c r="D21" s="22">
        <f>SUM([3]Pinnacle!$DJ$37:$DR$37)</f>
        <v>1704</v>
      </c>
      <c r="E21" s="22">
        <f>SUM([3]Compass!$DJ$37:$DR$37)</f>
        <v>1412</v>
      </c>
      <c r="F21" s="22">
        <f>SUM('[3]Sky West'!$DJ$37:$DR$37)</f>
        <v>268</v>
      </c>
      <c r="G21" s="22">
        <f>SUM('[3]Sun Country'!$DJ$37:$DR$37)</f>
        <v>601</v>
      </c>
      <c r="H21" s="22">
        <f>SUM([3]Icelandair!$DJ$37:$DR$37)</f>
        <v>289</v>
      </c>
      <c r="I21" s="22">
        <f>SUM([3]AirCanada!$DJ$37:$DR$37)</f>
        <v>364</v>
      </c>
      <c r="J21" s="22">
        <f>SUM([3]Condor!$DJ$37:$DR$37)</f>
        <v>33</v>
      </c>
      <c r="K21" s="22">
        <f>SUM('[3]Air France'!$DJ$37:$DR$37)</f>
        <v>122</v>
      </c>
      <c r="L21" s="22">
        <f>SUM([3]Comair!$DJ$37:$DR$37)</f>
        <v>0</v>
      </c>
      <c r="M21" s="22">
        <f>SUM('[3]Charter Misc'!$DJ$37:$DR$37)++SUM([3]Ryan!$DJ$37:$DR$37)+SUM([3]Omni!$DJ$37:$DR$37)</f>
        <v>0</v>
      </c>
      <c r="N21" s="286">
        <f>SUM(B21:M21)</f>
        <v>17655</v>
      </c>
    </row>
    <row r="22" spans="1:14" x14ac:dyDescent="0.2">
      <c r="A22" s="65" t="s">
        <v>36</v>
      </c>
      <c r="B22" s="14">
        <f>SUM([3]Delta!$DJ$38:$DR$38)</f>
        <v>12290</v>
      </c>
      <c r="C22" s="14">
        <f>SUM('[3]Atlantic Southeast'!$DJ$38:$DR$38)</f>
        <v>25</v>
      </c>
      <c r="D22" s="14">
        <f>SUM([3]Pinnacle!$DJ$38:$DR$38)</f>
        <v>1698</v>
      </c>
      <c r="E22" s="14">
        <f>SUM([3]Compass!$DJ$38:$DR$38)</f>
        <v>1262</v>
      </c>
      <c r="F22" s="14">
        <f>SUM('[3]Sky West'!$DJ$38:$DR$38)</f>
        <v>301</v>
      </c>
      <c r="G22" s="14">
        <f>SUM('[3]Sun Country'!$DJ$38:$DR$38)</f>
        <v>714</v>
      </c>
      <c r="H22" s="14">
        <f>SUM([3]Icelandair!$DJ$38:$DR$38)</f>
        <v>338</v>
      </c>
      <c r="I22" s="14">
        <f>SUM([3]AirCanada!$DJ$38:$DR$38)</f>
        <v>360</v>
      </c>
      <c r="J22" s="14">
        <f>SUM([3]Condor!$DJ$38:$DR$38)</f>
        <v>53</v>
      </c>
      <c r="K22" s="14">
        <f>SUM('[3]Air France'!$DJ$38:$DR$38)</f>
        <v>102</v>
      </c>
      <c r="L22" s="14">
        <f>SUM([3]Comair!$DJ$38:$DR$38)</f>
        <v>0</v>
      </c>
      <c r="M22" s="14">
        <f>SUM('[3]Charter Misc'!$DJ$38:$DR$38)++SUM([3]Ryan!$DJ$38:$DR$38)+SUM([3]Omni!$DJ$38:$DR$38)</f>
        <v>0</v>
      </c>
      <c r="N22" s="287">
        <f>SUM(B22:M22)</f>
        <v>17143</v>
      </c>
    </row>
    <row r="23" spans="1:14" ht="15.75" thickBot="1" x14ac:dyDescent="0.3">
      <c r="A23" s="66" t="s">
        <v>37</v>
      </c>
      <c r="B23" s="289">
        <f t="shared" ref="B23:M23" si="4">SUM(B21:B22)</f>
        <v>25129</v>
      </c>
      <c r="C23" s="289">
        <f t="shared" si="4"/>
        <v>48</v>
      </c>
      <c r="D23" s="289">
        <f t="shared" si="4"/>
        <v>3402</v>
      </c>
      <c r="E23" s="289">
        <f t="shared" si="4"/>
        <v>2674</v>
      </c>
      <c r="F23" s="289">
        <f t="shared" si="4"/>
        <v>569</v>
      </c>
      <c r="G23" s="289">
        <f t="shared" si="4"/>
        <v>1315</v>
      </c>
      <c r="H23" s="289">
        <f t="shared" si="4"/>
        <v>627</v>
      </c>
      <c r="I23" s="289">
        <f t="shared" si="4"/>
        <v>724</v>
      </c>
      <c r="J23" s="289">
        <f t="shared" si="4"/>
        <v>86</v>
      </c>
      <c r="K23" s="289">
        <f t="shared" si="4"/>
        <v>224</v>
      </c>
      <c r="L23" s="289">
        <f t="shared" si="4"/>
        <v>0</v>
      </c>
      <c r="M23" s="289">
        <f t="shared" si="4"/>
        <v>0</v>
      </c>
      <c r="N23" s="290">
        <f>SUM(B23:M23)</f>
        <v>34798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7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7" t="s">
        <v>211</v>
      </c>
      <c r="M25" s="458" t="s">
        <v>158</v>
      </c>
      <c r="N25" s="277" t="s">
        <v>24</v>
      </c>
    </row>
    <row r="26" spans="1:14" ht="15" x14ac:dyDescent="0.25">
      <c r="A26" s="510" t="s">
        <v>162</v>
      </c>
      <c r="B26" s="511"/>
      <c r="C26" s="511"/>
      <c r="D26" s="512"/>
      <c r="E26" s="511"/>
      <c r="F26" s="511"/>
      <c r="G26" s="511"/>
      <c r="H26" s="511"/>
      <c r="I26" s="511"/>
      <c r="J26" s="511"/>
      <c r="K26" s="511"/>
      <c r="L26" s="511"/>
      <c r="M26" s="511"/>
      <c r="N26" s="513"/>
    </row>
    <row r="27" spans="1:14" x14ac:dyDescent="0.2">
      <c r="A27" s="65" t="s">
        <v>25</v>
      </c>
      <c r="B27" s="22">
        <f>[3]Delta!$DR$15</f>
        <v>298</v>
      </c>
      <c r="C27" s="22">
        <f>'[3]Atlantic Southeast'!$DR$15</f>
        <v>22</v>
      </c>
      <c r="D27" s="22">
        <f>[3]Pinnacle!$DR$15</f>
        <v>168</v>
      </c>
      <c r="E27" s="22">
        <f>[3]Compass!$DR$15</f>
        <v>224</v>
      </c>
      <c r="F27" s="22">
        <f>'[3]Sky West'!$DR$15</f>
        <v>48</v>
      </c>
      <c r="G27" s="22">
        <f>'[3]Sun Country'!$DR$15</f>
        <v>4</v>
      </c>
      <c r="H27" s="22">
        <f>[3]Icelandair!$DR$15</f>
        <v>18</v>
      </c>
      <c r="I27" s="22">
        <f>[3]AirCanada!$DR$15</f>
        <v>87</v>
      </c>
      <c r="J27" s="22">
        <f>[3]Condor!$DR$15</f>
        <v>4</v>
      </c>
      <c r="K27" s="22">
        <f>'[3]Air France'!$DR$15</f>
        <v>0</v>
      </c>
      <c r="L27" s="22">
        <f>[3]Comair!$DR$15</f>
        <v>0</v>
      </c>
      <c r="M27" s="22">
        <f>'[3]Charter Misc'!$DR$15+[3]Ryan!$DR$15+[3]Omni!$DR$15</f>
        <v>0</v>
      </c>
      <c r="N27" s="286">
        <f>SUM(B27:M27)</f>
        <v>873</v>
      </c>
    </row>
    <row r="28" spans="1:14" x14ac:dyDescent="0.2">
      <c r="A28" s="65" t="s">
        <v>26</v>
      </c>
      <c r="B28" s="22">
        <f>[3]Delta!$DR$16</f>
        <v>299</v>
      </c>
      <c r="C28" s="22">
        <f>'[3]Atlantic Southeast'!$DR$16</f>
        <v>23</v>
      </c>
      <c r="D28" s="22">
        <f>[3]Pinnacle!$DR$16</f>
        <v>165</v>
      </c>
      <c r="E28" s="22">
        <f>[3]Compass!$DR$16</f>
        <v>225</v>
      </c>
      <c r="F28" s="22">
        <f>'[3]Sky West'!$DR$16</f>
        <v>48</v>
      </c>
      <c r="G28" s="22">
        <f>'[3]Sun Country'!$DR$16</f>
        <v>4</v>
      </c>
      <c r="H28" s="22">
        <f>[3]Icelandair!$DR$16</f>
        <v>18</v>
      </c>
      <c r="I28" s="22">
        <f>[3]AirCanada!$DR$16</f>
        <v>86</v>
      </c>
      <c r="J28" s="22">
        <f>[3]Condor!$DR$16</f>
        <v>4</v>
      </c>
      <c r="K28" s="22">
        <f>'[3]Air France'!$DR$16</f>
        <v>0</v>
      </c>
      <c r="L28" s="22">
        <f>[3]Comair!$DR$16</f>
        <v>0</v>
      </c>
      <c r="M28" s="22">
        <f>'[3]Charter Misc'!$DR$16+[3]Ryan!$DR$16+[3]Omni!$DR$16</f>
        <v>0</v>
      </c>
      <c r="N28" s="286">
        <f>SUM(B28:M28)</f>
        <v>872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597</v>
      </c>
      <c r="C30" s="402">
        <f t="shared" si="5"/>
        <v>45</v>
      </c>
      <c r="D30" s="402">
        <f t="shared" si="5"/>
        <v>333</v>
      </c>
      <c r="E30" s="402">
        <f t="shared" si="5"/>
        <v>449</v>
      </c>
      <c r="F30" s="402">
        <f>SUM(F27:F28)</f>
        <v>96</v>
      </c>
      <c r="G30" s="402">
        <f t="shared" si="5"/>
        <v>8</v>
      </c>
      <c r="H30" s="402">
        <f t="shared" si="5"/>
        <v>36</v>
      </c>
      <c r="I30" s="402">
        <f t="shared" si="5"/>
        <v>173</v>
      </c>
      <c r="J30" s="402">
        <f>SUM(J27:J28)</f>
        <v>8</v>
      </c>
      <c r="K30" s="402">
        <f>SUM(K27:K28)</f>
        <v>0</v>
      </c>
      <c r="L30" s="402">
        <f>SUM(L27:L28)</f>
        <v>0</v>
      </c>
      <c r="M30" s="402">
        <f>SUM(M27:M28)</f>
        <v>0</v>
      </c>
      <c r="N30" s="403">
        <f>SUM(B30:M30)</f>
        <v>1745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7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7" t="s">
        <v>211</v>
      </c>
      <c r="M32" s="458" t="s">
        <v>158</v>
      </c>
      <c r="N32" s="277" t="s">
        <v>160</v>
      </c>
    </row>
    <row r="33" spans="1:14" ht="15" x14ac:dyDescent="0.25">
      <c r="A33" s="514" t="s">
        <v>163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6"/>
    </row>
    <row r="34" spans="1:14" x14ac:dyDescent="0.2">
      <c r="A34" s="65" t="s">
        <v>25</v>
      </c>
      <c r="B34" s="22">
        <f>SUM([3]Delta!$DJ$15:$DR$15)</f>
        <v>3019</v>
      </c>
      <c r="C34" s="22">
        <f>SUM('[3]Atlantic Southeast'!$DJ$15:$DR$15)</f>
        <v>25</v>
      </c>
      <c r="D34" s="22">
        <f>SUM([3]Pinnacle!$DJ$15:$DR$15)</f>
        <v>2081</v>
      </c>
      <c r="E34" s="22">
        <f>SUM([3]Compass!$DJ$15:$DR$15)</f>
        <v>1862</v>
      </c>
      <c r="F34" s="22">
        <f>SUM('[3]Sky West'!$DJ$15:$DR$15)</f>
        <v>739</v>
      </c>
      <c r="G34" s="22">
        <f>SUM('[3]Sun Country'!$DJ$15:$DR$15)</f>
        <v>679</v>
      </c>
      <c r="H34" s="22">
        <f>SUM([3]Icelandair!$DJ$15:$DR$15)</f>
        <v>122</v>
      </c>
      <c r="I34" s="22">
        <f>SUM([3]AirCanada!$DJ$15:$DR$15)</f>
        <v>771</v>
      </c>
      <c r="J34" s="22">
        <f>SUM([3]Condor!$DJ$15:$DR$15)</f>
        <v>23</v>
      </c>
      <c r="K34" s="22">
        <f>SUM('[3]Air France'!$DJ$15:$DR$15)</f>
        <v>91</v>
      </c>
      <c r="L34" s="22">
        <f>SUM([3]Comair!$DJ$15:$DR$15)</f>
        <v>0</v>
      </c>
      <c r="M34" s="22">
        <f>SUM('[3]Charter Misc'!$DJ$15:$DR$15)+SUM([3]Ryan!$DJ$15:$DR$15)+SUM([3]Omni!$DJ$15:$DR$15)</f>
        <v>0</v>
      </c>
      <c r="N34" s="286">
        <f>SUM(B34:M34)</f>
        <v>9412</v>
      </c>
    </row>
    <row r="35" spans="1:14" x14ac:dyDescent="0.2">
      <c r="A35" s="65" t="s">
        <v>26</v>
      </c>
      <c r="B35" s="22">
        <f>SUM([3]Delta!$DJ$16:$DR$16)</f>
        <v>3032</v>
      </c>
      <c r="C35" s="14">
        <f>SUM('[3]Atlantic Southeast'!$DJ$16:$DR$16)</f>
        <v>25</v>
      </c>
      <c r="D35" s="14">
        <f>SUM([3]Pinnacle!$DJ$16:$DR$16)</f>
        <v>2063</v>
      </c>
      <c r="E35" s="14">
        <f>SUM([3]Compass!$DJ$16:$DR$16)</f>
        <v>1854</v>
      </c>
      <c r="F35" s="14">
        <f>SUM('[3]Sky West'!$DJ$16:$DR$16)</f>
        <v>741</v>
      </c>
      <c r="G35" s="14">
        <f>SUM('[3]Sun Country'!$DJ$16:$DR$16)</f>
        <v>691</v>
      </c>
      <c r="H35" s="14">
        <f>SUM([3]Icelandair!$DJ$16:$DR$16)</f>
        <v>122</v>
      </c>
      <c r="I35" s="14">
        <f>SUM([3]AirCanada!$DJ$16:$DR$16)</f>
        <v>770</v>
      </c>
      <c r="J35" s="14">
        <f>SUM([3]Condor!$DJ$16:$DR$16)</f>
        <v>23</v>
      </c>
      <c r="K35" s="14">
        <f>SUM('[3]Air France'!$DJ$16:$DR$16)</f>
        <v>91</v>
      </c>
      <c r="L35" s="14">
        <f>SUM([3]Comair!$DJ$16:$DR$16)</f>
        <v>0</v>
      </c>
      <c r="M35" s="14">
        <f>SUM('[3]Charter Misc'!$DJ$16:$DR$16)++SUM([3]Ryan!$DJ$16:$DR$16)+SUM([3]Omni!$DJ$16:$DR$16)</f>
        <v>0</v>
      </c>
      <c r="N35" s="286">
        <f>SUM(B35:M35)</f>
        <v>9412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6051</v>
      </c>
      <c r="C37" s="402">
        <f t="shared" si="6"/>
        <v>50</v>
      </c>
      <c r="D37" s="402">
        <f t="shared" si="6"/>
        <v>4144</v>
      </c>
      <c r="E37" s="402">
        <f t="shared" si="6"/>
        <v>3716</v>
      </c>
      <c r="F37" s="402">
        <f>+SUM(F34:F35)</f>
        <v>1480</v>
      </c>
      <c r="G37" s="402">
        <f t="shared" si="6"/>
        <v>1370</v>
      </c>
      <c r="H37" s="402">
        <f t="shared" si="6"/>
        <v>244</v>
      </c>
      <c r="I37" s="402">
        <f t="shared" si="6"/>
        <v>1541</v>
      </c>
      <c r="J37" s="402">
        <f>+SUM(J34:J35)</f>
        <v>46</v>
      </c>
      <c r="K37" s="402">
        <f>+SUM(K34:K35)</f>
        <v>182</v>
      </c>
      <c r="L37" s="402">
        <f>+SUM(L34:L35)</f>
        <v>0</v>
      </c>
      <c r="M37" s="402">
        <f>+SUM(M34:M35)</f>
        <v>0</v>
      </c>
      <c r="N37" s="403">
        <f>SUM(B37:M37)</f>
        <v>18824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2" orientation="landscape" r:id="rId1"/>
  <headerFooter alignWithMargins="0">
    <oddHeader>&amp;LSchedule 9&amp;CMinneapolis-St. Paul International Airport
&amp;"Arial,Bold"International Detail&amp;"Arial,Regular"
&amp;"Arial,Bold"September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2014-11-06T18:05:45Z</cp:lastPrinted>
  <dcterms:created xsi:type="dcterms:W3CDTF">2007-09-24T12:26:24Z</dcterms:created>
  <dcterms:modified xsi:type="dcterms:W3CDTF">2018-11-14T00:50:32Z</dcterms:modified>
</cp:coreProperties>
</file>