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C937D584-7507-4749-B914-3C4737579C82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Activity'!$A$1:$R$64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8" l="1"/>
  <c r="D4" i="8"/>
  <c r="B11" i="7" l="1"/>
  <c r="B10" i="7"/>
  <c r="O29" i="7" l="1"/>
  <c r="J29" i="7"/>
  <c r="E29" i="7"/>
  <c r="Q59" i="9"/>
  <c r="N59" i="9"/>
  <c r="H59" i="9"/>
  <c r="E59" i="9"/>
  <c r="Q58" i="9"/>
  <c r="N58" i="9"/>
  <c r="H58" i="9"/>
  <c r="E58" i="9"/>
  <c r="Q57" i="9"/>
  <c r="N57" i="9"/>
  <c r="H57" i="9"/>
  <c r="E57" i="9"/>
  <c r="Q56" i="9"/>
  <c r="N56" i="9"/>
  <c r="H56" i="9"/>
  <c r="E56" i="9"/>
  <c r="Q55" i="9"/>
  <c r="N55" i="9"/>
  <c r="H55" i="9"/>
  <c r="E55" i="9"/>
  <c r="Q54" i="9"/>
  <c r="N54" i="9"/>
  <c r="H54" i="9"/>
  <c r="E54" i="9"/>
  <c r="Q53" i="9"/>
  <c r="N53" i="9"/>
  <c r="H53" i="9"/>
  <c r="E53" i="9"/>
  <c r="Q50" i="9"/>
  <c r="N50" i="9"/>
  <c r="H50" i="9"/>
  <c r="E50" i="9"/>
  <c r="Q48" i="9"/>
  <c r="N48" i="9"/>
  <c r="H48" i="9"/>
  <c r="E48" i="9"/>
  <c r="Q46" i="9"/>
  <c r="N46" i="9"/>
  <c r="H46" i="9"/>
  <c r="E46" i="9"/>
  <c r="Q43" i="9"/>
  <c r="N43" i="9"/>
  <c r="H43" i="9"/>
  <c r="E43" i="9"/>
  <c r="Q41" i="9"/>
  <c r="N41" i="9"/>
  <c r="H41" i="9"/>
  <c r="E41" i="9"/>
  <c r="Q39" i="9"/>
  <c r="N39" i="9"/>
  <c r="H39" i="9"/>
  <c r="E39" i="9"/>
  <c r="Q37" i="9"/>
  <c r="N37" i="9"/>
  <c r="H37" i="9"/>
  <c r="E37" i="9"/>
  <c r="Q36" i="9"/>
  <c r="N36" i="9"/>
  <c r="H36" i="9"/>
  <c r="E36" i="9"/>
  <c r="Q35" i="9"/>
  <c r="N35" i="9"/>
  <c r="H35" i="9"/>
  <c r="E35" i="9"/>
  <c r="Q34" i="9"/>
  <c r="N34" i="9"/>
  <c r="H34" i="9"/>
  <c r="E34" i="9"/>
  <c r="Q33" i="9"/>
  <c r="N33" i="9"/>
  <c r="H33" i="9"/>
  <c r="E33" i="9"/>
  <c r="Q32" i="9"/>
  <c r="N32" i="9"/>
  <c r="H32" i="9"/>
  <c r="E32" i="9"/>
  <c r="Q31" i="9"/>
  <c r="N31" i="9"/>
  <c r="H31" i="9"/>
  <c r="E31" i="9"/>
  <c r="Q28" i="9"/>
  <c r="N28" i="9"/>
  <c r="H28" i="9"/>
  <c r="E28" i="9"/>
  <c r="Q26" i="9"/>
  <c r="N26" i="9"/>
  <c r="H26" i="9"/>
  <c r="E26" i="9"/>
  <c r="Q24" i="9"/>
  <c r="N24" i="9"/>
  <c r="H24" i="9"/>
  <c r="E24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5" i="9"/>
  <c r="N15" i="9"/>
  <c r="H15" i="9"/>
  <c r="E15" i="9"/>
  <c r="Q14" i="9"/>
  <c r="N14" i="9"/>
  <c r="H14" i="9"/>
  <c r="E14" i="9"/>
  <c r="Q11" i="9"/>
  <c r="N11" i="9"/>
  <c r="H11" i="9"/>
  <c r="E11" i="9"/>
  <c r="Q9" i="9"/>
  <c r="N9" i="9"/>
  <c r="H9" i="9"/>
  <c r="E9" i="9"/>
  <c r="Q7" i="9"/>
  <c r="N7" i="9"/>
  <c r="H7" i="9"/>
  <c r="E7" i="9"/>
  <c r="Q6" i="9"/>
  <c r="N6" i="9"/>
  <c r="H6" i="9"/>
  <c r="E6" i="9"/>
  <c r="P59" i="9"/>
  <c r="L59" i="9"/>
  <c r="G59" i="9"/>
  <c r="C59" i="9"/>
  <c r="P58" i="9"/>
  <c r="L58" i="9"/>
  <c r="G58" i="9"/>
  <c r="C58" i="9"/>
  <c r="P57" i="9"/>
  <c r="L57" i="9"/>
  <c r="G57" i="9"/>
  <c r="C57" i="9"/>
  <c r="P56" i="9"/>
  <c r="L56" i="9"/>
  <c r="G56" i="9"/>
  <c r="C56" i="9"/>
  <c r="P55" i="9"/>
  <c r="L55" i="9"/>
  <c r="G55" i="9"/>
  <c r="C55" i="9"/>
  <c r="P54" i="9"/>
  <c r="L54" i="9"/>
  <c r="G54" i="9"/>
  <c r="C54" i="9"/>
  <c r="P53" i="9"/>
  <c r="L53" i="9"/>
  <c r="G53" i="9"/>
  <c r="C53" i="9"/>
  <c r="P50" i="9"/>
  <c r="L50" i="9"/>
  <c r="G50" i="9"/>
  <c r="C50" i="9"/>
  <c r="P48" i="9"/>
  <c r="L48" i="9"/>
  <c r="G48" i="9"/>
  <c r="C48" i="9"/>
  <c r="P46" i="9"/>
  <c r="L46" i="9"/>
  <c r="G46" i="9"/>
  <c r="C46" i="9"/>
  <c r="P43" i="9"/>
  <c r="L43" i="9"/>
  <c r="G43" i="9"/>
  <c r="C43" i="9"/>
  <c r="P41" i="9"/>
  <c r="L41" i="9"/>
  <c r="G41" i="9"/>
  <c r="C41" i="9"/>
  <c r="P39" i="9"/>
  <c r="L39" i="9"/>
  <c r="G39" i="9"/>
  <c r="C39" i="9"/>
  <c r="P37" i="9"/>
  <c r="L37" i="9"/>
  <c r="G37" i="9"/>
  <c r="C37" i="9"/>
  <c r="P36" i="9"/>
  <c r="L36" i="9"/>
  <c r="G36" i="9"/>
  <c r="C36" i="9"/>
  <c r="P35" i="9"/>
  <c r="L35" i="9"/>
  <c r="G35" i="9"/>
  <c r="C35" i="9"/>
  <c r="P34" i="9"/>
  <c r="L34" i="9"/>
  <c r="G34" i="9"/>
  <c r="C34" i="9"/>
  <c r="P33" i="9"/>
  <c r="L33" i="9"/>
  <c r="G33" i="9"/>
  <c r="C33" i="9"/>
  <c r="P32" i="9"/>
  <c r="L32" i="9"/>
  <c r="G32" i="9"/>
  <c r="C32" i="9"/>
  <c r="P31" i="9"/>
  <c r="L31" i="9"/>
  <c r="G31" i="9"/>
  <c r="C31" i="9"/>
  <c r="P28" i="9"/>
  <c r="L28" i="9"/>
  <c r="G28" i="9"/>
  <c r="C28" i="9"/>
  <c r="P26" i="9"/>
  <c r="L26" i="9"/>
  <c r="G26" i="9"/>
  <c r="C26" i="9"/>
  <c r="P24" i="9"/>
  <c r="L24" i="9"/>
  <c r="G24" i="9"/>
  <c r="C24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5" i="9"/>
  <c r="L15" i="9"/>
  <c r="G15" i="9"/>
  <c r="C15" i="9"/>
  <c r="P14" i="9"/>
  <c r="L14" i="9"/>
  <c r="G14" i="9"/>
  <c r="C14" i="9"/>
  <c r="P11" i="9"/>
  <c r="L11" i="9"/>
  <c r="G11" i="9"/>
  <c r="C11" i="9"/>
  <c r="P9" i="9"/>
  <c r="L9" i="9"/>
  <c r="G9" i="9"/>
  <c r="C9" i="9"/>
  <c r="P7" i="9"/>
  <c r="L7" i="9"/>
  <c r="G7" i="9"/>
  <c r="C7" i="9"/>
  <c r="P6" i="9"/>
  <c r="L6" i="9"/>
  <c r="G6" i="9"/>
  <c r="C6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C5" i="8"/>
  <c r="B5" i="8"/>
  <c r="L4" i="8"/>
  <c r="K4" i="8"/>
  <c r="J4" i="8"/>
  <c r="I4" i="8"/>
  <c r="H4" i="8"/>
  <c r="G4" i="8"/>
  <c r="F4" i="8"/>
  <c r="C4" i="8"/>
  <c r="B4" i="8"/>
  <c r="F11" i="7"/>
  <c r="E11" i="7"/>
  <c r="D11" i="7"/>
  <c r="C11" i="7"/>
  <c r="F10" i="7"/>
  <c r="E10" i="7"/>
  <c r="D10" i="7"/>
  <c r="C10" i="7"/>
  <c r="F6" i="7"/>
  <c r="E6" i="7"/>
  <c r="D6" i="7"/>
  <c r="C6" i="7"/>
  <c r="B6" i="7"/>
  <c r="F5" i="7"/>
  <c r="E5" i="7"/>
  <c r="D5" i="7"/>
  <c r="C5" i="7"/>
  <c r="B5" i="7"/>
  <c r="H47" i="15"/>
  <c r="F47" i="15"/>
  <c r="E47" i="15"/>
  <c r="C47" i="15"/>
  <c r="H46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E45" i="4"/>
  <c r="D45" i="4"/>
  <c r="B45" i="4"/>
  <c r="E44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J16" i="5" l="1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28" i="7"/>
  <c r="J28" i="7"/>
  <c r="E28" i="7"/>
  <c r="R22" i="9" l="1"/>
  <c r="I22" i="9"/>
  <c r="F22" i="9"/>
  <c r="O22" i="9" l="1"/>
  <c r="D36" i="15"/>
  <c r="J27" i="7" l="1"/>
  <c r="O27" i="7" l="1"/>
  <c r="E27" i="7"/>
  <c r="C63" i="9" l="1"/>
  <c r="G63" i="9"/>
  <c r="H63" i="9"/>
  <c r="E63" i="9"/>
  <c r="L63" i="9"/>
  <c r="N63" i="9"/>
  <c r="P63" i="9"/>
  <c r="Q63" i="9"/>
  <c r="M16" i="8"/>
  <c r="G11" i="2"/>
  <c r="F11" i="2"/>
  <c r="F6" i="2"/>
  <c r="G6" i="2" l="1"/>
  <c r="I7" i="15"/>
  <c r="I12" i="15"/>
  <c r="G17" i="2"/>
  <c r="I28" i="9"/>
  <c r="R31" i="9" l="1"/>
  <c r="O31" i="9"/>
  <c r="R28" i="9"/>
  <c r="F28" i="9"/>
  <c r="O28" i="9"/>
  <c r="G21" i="2"/>
  <c r="G23" i="2" s="1"/>
  <c r="D22" i="3" l="1"/>
  <c r="E7" i="3"/>
  <c r="E44" i="3"/>
  <c r="E12" i="3"/>
  <c r="F26" i="9"/>
  <c r="D12" i="3"/>
  <c r="E18" i="3"/>
  <c r="E40" i="3"/>
  <c r="E22" i="3"/>
  <c r="E43" i="3"/>
  <c r="D7" i="3"/>
  <c r="D43" i="3"/>
  <c r="D35" i="3"/>
  <c r="E35" i="3"/>
  <c r="D40" i="3"/>
  <c r="D44" i="3"/>
  <c r="I26" i="9"/>
  <c r="R26" i="9"/>
  <c r="D18" i="3"/>
  <c r="D30" i="3"/>
  <c r="E30" i="3"/>
  <c r="O26" i="9"/>
  <c r="I9" i="9"/>
  <c r="R9" i="9"/>
  <c r="O9" i="9"/>
  <c r="F9" i="9"/>
  <c r="J26" i="7"/>
  <c r="O26" i="7"/>
  <c r="O25" i="7"/>
  <c r="E26" i="7"/>
  <c r="E25" i="7"/>
  <c r="D23" i="3" l="1"/>
  <c r="E45" i="3"/>
  <c r="E23" i="3"/>
  <c r="D45" i="3"/>
  <c r="J24" i="7"/>
  <c r="J25" i="7"/>
  <c r="J30" i="16" l="1"/>
  <c r="J18" i="16"/>
  <c r="J6" i="16"/>
  <c r="J23" i="16"/>
  <c r="J11" i="16" l="1"/>
  <c r="J37" i="16"/>
  <c r="O24" i="7"/>
  <c r="E24" i="7"/>
  <c r="N16" i="16" l="1"/>
  <c r="G18" i="8" l="1"/>
  <c r="G10" i="8"/>
  <c r="G28" i="8" l="1"/>
  <c r="G6" i="8"/>
  <c r="G12" i="8" s="1"/>
  <c r="G32" i="8"/>
  <c r="G23" i="8"/>
  <c r="G31" i="8"/>
  <c r="G33" i="8" l="1"/>
  <c r="O23" i="7"/>
  <c r="J23" i="7"/>
  <c r="E23" i="7"/>
  <c r="M5" i="8" l="1"/>
  <c r="I7" i="9"/>
  <c r="I7" i="4" l="1"/>
  <c r="I12" i="4"/>
  <c r="I20" i="4"/>
  <c r="I32" i="4"/>
  <c r="I41" i="4"/>
  <c r="I37" i="4" l="1"/>
  <c r="I40" i="4"/>
  <c r="I17" i="4"/>
  <c r="I21" i="4" s="1"/>
  <c r="I27" i="4"/>
  <c r="I42" i="4" l="1"/>
  <c r="R57" i="9"/>
  <c r="I57" i="9"/>
  <c r="O22" i="7"/>
  <c r="J22" i="7"/>
  <c r="F57" i="9" l="1"/>
  <c r="O57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F41" i="4" l="1"/>
  <c r="F20" i="4"/>
  <c r="F17" i="4"/>
  <c r="F40" i="4"/>
  <c r="F7" i="4"/>
  <c r="F27" i="4"/>
  <c r="F12" i="4"/>
  <c r="F32" i="4"/>
  <c r="F37" i="4"/>
  <c r="F21" i="4" l="1"/>
  <c r="F42" i="4"/>
  <c r="N13" i="9"/>
  <c r="E13" i="9"/>
  <c r="R5" i="9"/>
  <c r="O5" i="9"/>
  <c r="I5" i="9"/>
  <c r="F5" i="9"/>
  <c r="P4" i="9"/>
  <c r="H4" i="9"/>
  <c r="F20" i="9"/>
  <c r="F18" i="9"/>
  <c r="O21" i="7"/>
  <c r="J21" i="7"/>
  <c r="E21" i="7"/>
  <c r="E45" i="15"/>
  <c r="E44" i="15"/>
  <c r="K36" i="15"/>
  <c r="J36" i="15"/>
  <c r="I36" i="15"/>
  <c r="H36" i="15"/>
  <c r="G36" i="15"/>
  <c r="F36" i="15"/>
  <c r="E36" i="15"/>
  <c r="C36" i="15"/>
  <c r="B36" i="15"/>
  <c r="K35" i="15"/>
  <c r="J35" i="15"/>
  <c r="I35" i="15"/>
  <c r="H35" i="15"/>
  <c r="J30" i="15"/>
  <c r="O19" i="9" l="1"/>
  <c r="Q13" i="9"/>
  <c r="G17" i="9"/>
  <c r="H17" i="9"/>
  <c r="O7" i="9"/>
  <c r="H13" i="9"/>
  <c r="P17" i="9"/>
  <c r="Q17" i="9"/>
  <c r="F21" i="9"/>
  <c r="F23" i="9"/>
  <c r="F24" i="9"/>
  <c r="R19" i="9"/>
  <c r="I21" i="9"/>
  <c r="R21" i="9"/>
  <c r="I23" i="9"/>
  <c r="R23" i="9"/>
  <c r="I24" i="9"/>
  <c r="R24" i="9"/>
  <c r="I19" i="9"/>
  <c r="I6" i="9"/>
  <c r="F7" i="9"/>
  <c r="F19" i="9"/>
  <c r="O6" i="9"/>
  <c r="C17" i="9"/>
  <c r="L4" i="9"/>
  <c r="F14" i="9"/>
  <c r="R14" i="9"/>
  <c r="G4" i="9"/>
  <c r="L17" i="9"/>
  <c r="N17" i="9"/>
  <c r="E17" i="9"/>
  <c r="R7" i="9"/>
  <c r="I14" i="9"/>
  <c r="O14" i="9"/>
  <c r="Q4" i="9"/>
  <c r="E4" i="9"/>
  <c r="C4" i="9"/>
  <c r="R6" i="9"/>
  <c r="N4" i="9"/>
  <c r="F6" i="9"/>
  <c r="O21" i="9"/>
  <c r="O23" i="9"/>
  <c r="O24" i="9"/>
  <c r="J7" i="15"/>
  <c r="K23" i="16"/>
  <c r="I40" i="15"/>
  <c r="F21" i="2"/>
  <c r="F35" i="2"/>
  <c r="G30" i="2"/>
  <c r="G40" i="2"/>
  <c r="J37" i="15"/>
  <c r="K30" i="16"/>
  <c r="K6" i="16"/>
  <c r="I17" i="15"/>
  <c r="I27" i="15"/>
  <c r="I37" i="15"/>
  <c r="G43" i="2"/>
  <c r="I32" i="15"/>
  <c r="K37" i="16"/>
  <c r="F17" i="2"/>
  <c r="F30" i="2"/>
  <c r="F40" i="2"/>
  <c r="J32" i="15"/>
  <c r="J12" i="15"/>
  <c r="J27" i="15"/>
  <c r="J17" i="15"/>
  <c r="I41" i="15"/>
  <c r="G35" i="2"/>
  <c r="K18" i="16"/>
  <c r="I20" i="15"/>
  <c r="J40" i="15"/>
  <c r="J20" i="15"/>
  <c r="K11" i="16"/>
  <c r="J41" i="15"/>
  <c r="F43" i="2"/>
  <c r="G44" i="2"/>
  <c r="F44" i="2"/>
  <c r="F4" i="9" l="1"/>
  <c r="F17" i="9"/>
  <c r="I21" i="15"/>
  <c r="F45" i="2"/>
  <c r="I42" i="15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F35" i="3"/>
  <c r="H35" i="3"/>
  <c r="E32" i="4"/>
  <c r="B32" i="15"/>
  <c r="D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J12" i="4"/>
  <c r="C12" i="15"/>
  <c r="E12" i="15"/>
  <c r="B7" i="15"/>
  <c r="K7" i="15"/>
  <c r="J49" i="3"/>
  <c r="H51" i="2" s="1"/>
  <c r="R37" i="9"/>
  <c r="R58" i="9"/>
  <c r="O32" i="9"/>
  <c r="I31" i="9"/>
  <c r="I48" i="9"/>
  <c r="F43" i="9"/>
  <c r="O33" i="7"/>
  <c r="J33" i="7"/>
  <c r="E33" i="7"/>
  <c r="I47" i="2"/>
  <c r="N30" i="7"/>
  <c r="P30" i="7"/>
  <c r="N31" i="7"/>
  <c r="P31" i="7" s="1"/>
  <c r="D30" i="7"/>
  <c r="F30" i="7" s="1"/>
  <c r="D31" i="7"/>
  <c r="F31" i="7" s="1"/>
  <c r="N32" i="7"/>
  <c r="P32" i="7" s="1"/>
  <c r="I32" i="7"/>
  <c r="K32" i="7"/>
  <c r="D32" i="7"/>
  <c r="F32" i="7"/>
  <c r="I31" i="7"/>
  <c r="K31" i="7" s="1"/>
  <c r="I30" i="7"/>
  <c r="K30" i="7" s="1"/>
  <c r="L45" i="15"/>
  <c r="L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M37" i="16"/>
  <c r="H18" i="3"/>
  <c r="H23" i="3" s="1"/>
  <c r="C17" i="4"/>
  <c r="J37" i="4"/>
  <c r="I37" i="16"/>
  <c r="D32" i="8"/>
  <c r="H37" i="16"/>
  <c r="R59" i="9"/>
  <c r="B18" i="3"/>
  <c r="E17" i="15"/>
  <c r="B37" i="16"/>
  <c r="F37" i="16"/>
  <c r="H45" i="9"/>
  <c r="H44" i="3"/>
  <c r="J48" i="3"/>
  <c r="H50" i="2" s="1"/>
  <c r="I50" i="2" s="1"/>
  <c r="D30" i="16"/>
  <c r="H30" i="16"/>
  <c r="F34" i="9"/>
  <c r="O56" i="9"/>
  <c r="F58" i="9"/>
  <c r="F32" i="9"/>
  <c r="M11" i="16"/>
  <c r="E41" i="15"/>
  <c r="J41" i="4"/>
  <c r="C23" i="16"/>
  <c r="K28" i="8"/>
  <c r="B22" i="3"/>
  <c r="J20" i="4"/>
  <c r="J17" i="4"/>
  <c r="B46" i="4"/>
  <c r="B47" i="4" s="1"/>
  <c r="N45" i="9"/>
  <c r="B44" i="3"/>
  <c r="D44" i="2"/>
  <c r="B18" i="8"/>
  <c r="O20" i="9"/>
  <c r="L18" i="16"/>
  <c r="O35" i="9"/>
  <c r="R53" i="9"/>
  <c r="D6" i="16"/>
  <c r="C7" i="7"/>
  <c r="G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I18" i="16"/>
  <c r="O41" i="9"/>
  <c r="R41" i="9"/>
  <c r="R39" i="9"/>
  <c r="R50" i="9"/>
  <c r="F39" i="9"/>
  <c r="I35" i="9"/>
  <c r="F54" i="9"/>
  <c r="E6" i="2"/>
  <c r="D7" i="15"/>
  <c r="F12" i="15"/>
  <c r="I22" i="3"/>
  <c r="I23" i="3" s="1"/>
  <c r="B17" i="15"/>
  <c r="B21" i="15" s="1"/>
  <c r="F12" i="7"/>
  <c r="B12" i="7"/>
  <c r="J6" i="8"/>
  <c r="J12" i="8" s="1"/>
  <c r="D20" i="1"/>
  <c r="L32" i="8"/>
  <c r="K41" i="15"/>
  <c r="F41" i="15"/>
  <c r="B41" i="15"/>
  <c r="D41" i="4"/>
  <c r="C28" i="8"/>
  <c r="E40" i="15"/>
  <c r="J40" i="4"/>
  <c r="H18" i="16"/>
  <c r="F53" i="9"/>
  <c r="O43" i="9"/>
  <c r="E43" i="2"/>
  <c r="B43" i="2"/>
  <c r="G32" i="15"/>
  <c r="C32" i="15"/>
  <c r="G44" i="3"/>
  <c r="B23" i="16"/>
  <c r="I18" i="9"/>
  <c r="R54" i="9"/>
  <c r="R20" i="9"/>
  <c r="G11" i="16"/>
  <c r="F6" i="16"/>
  <c r="B6" i="16"/>
  <c r="I11" i="16"/>
  <c r="E11" i="16"/>
  <c r="H6" i="16"/>
  <c r="H12" i="15"/>
  <c r="G12" i="4"/>
  <c r="G12" i="3"/>
  <c r="C21" i="2"/>
  <c r="C23" i="2" s="1"/>
  <c r="G20" i="4"/>
  <c r="H17" i="15"/>
  <c r="D17" i="15"/>
  <c r="D21" i="15" s="1"/>
  <c r="D32" i="4"/>
  <c r="I35" i="3"/>
  <c r="C35" i="3"/>
  <c r="L23" i="8"/>
  <c r="D23" i="8"/>
  <c r="K27" i="15"/>
  <c r="F27" i="15"/>
  <c r="J28" i="3"/>
  <c r="H28" i="2" s="1"/>
  <c r="I28" i="2" s="1"/>
  <c r="B5" i="5" s="1"/>
  <c r="J23" i="8"/>
  <c r="H33" i="8"/>
  <c r="C30" i="16"/>
  <c r="G30" i="16"/>
  <c r="H52" i="9"/>
  <c r="I59" i="9"/>
  <c r="G7" i="3"/>
  <c r="E7" i="7"/>
  <c r="C12" i="7"/>
  <c r="K6" i="8"/>
  <c r="K12" i="8" s="1"/>
  <c r="C44" i="3"/>
  <c r="E32" i="15"/>
  <c r="J32" i="4"/>
  <c r="D27" i="4"/>
  <c r="L18" i="8"/>
  <c r="D18" i="8"/>
  <c r="F31" i="8"/>
  <c r="H23" i="16"/>
  <c r="I11" i="9"/>
  <c r="I58" i="9"/>
  <c r="I32" i="9"/>
  <c r="G6" i="16"/>
  <c r="C6" i="16"/>
  <c r="E6" i="16"/>
  <c r="F7" i="3"/>
  <c r="I7" i="3"/>
  <c r="C7" i="3"/>
  <c r="B6" i="8"/>
  <c r="B12" i="8" s="1"/>
  <c r="B40" i="4"/>
  <c r="E23" i="16"/>
  <c r="I23" i="16"/>
  <c r="I43" i="9"/>
  <c r="F37" i="9"/>
  <c r="O33" i="9"/>
  <c r="O59" i="9"/>
  <c r="O54" i="9"/>
  <c r="R11" i="9"/>
  <c r="R36" i="9"/>
  <c r="J7" i="4"/>
  <c r="C7" i="4"/>
  <c r="J10" i="3"/>
  <c r="H9" i="2" s="1"/>
  <c r="B17" i="2"/>
  <c r="D21" i="1"/>
  <c r="G41" i="15"/>
  <c r="L36" i="15"/>
  <c r="K36" i="4" s="1"/>
  <c r="L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R43" i="9"/>
  <c r="R48" i="9"/>
  <c r="H7" i="15"/>
  <c r="K12" i="15"/>
  <c r="D12" i="4"/>
  <c r="C12" i="3"/>
  <c r="C22" i="3"/>
  <c r="G40" i="3"/>
  <c r="C40" i="2"/>
  <c r="O37" i="9"/>
  <c r="C52" i="9"/>
  <c r="R34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30" i="9"/>
  <c r="L52" i="9"/>
  <c r="G6" i="7"/>
  <c r="C7" i="1" s="1"/>
  <c r="J11" i="3"/>
  <c r="H10" i="2" s="1"/>
  <c r="I10" i="2" s="1"/>
  <c r="G11" i="7"/>
  <c r="C18" i="1" s="1"/>
  <c r="N4" i="16"/>
  <c r="N5" i="16"/>
  <c r="L26" i="15"/>
  <c r="K26" i="4" s="1"/>
  <c r="L26" i="4" s="1"/>
  <c r="C6" i="5" s="1"/>
  <c r="C40" i="3"/>
  <c r="B23" i="8"/>
  <c r="L23" i="16"/>
  <c r="P30" i="9"/>
  <c r="R56" i="9"/>
  <c r="D37" i="4"/>
  <c r="B40" i="15"/>
  <c r="J20" i="3"/>
  <c r="H19" i="2" s="1"/>
  <c r="I19" i="2" s="1"/>
  <c r="M8" i="8"/>
  <c r="G43" i="3"/>
  <c r="B27" i="4"/>
  <c r="L19" i="15"/>
  <c r="K19" i="4" s="1"/>
  <c r="L19" i="4" s="1"/>
  <c r="D31" i="8"/>
  <c r="I41" i="9"/>
  <c r="I50" i="9"/>
  <c r="Q45" i="9"/>
  <c r="I54" i="9"/>
  <c r="R33" i="9"/>
  <c r="D7" i="4"/>
  <c r="J39" i="3"/>
  <c r="H39" i="2" s="1"/>
  <c r="I39" i="2" s="1"/>
  <c r="B16" i="5" s="1"/>
  <c r="B32" i="4"/>
  <c r="E35" i="2"/>
  <c r="B35" i="2"/>
  <c r="F23" i="8"/>
  <c r="D43" i="2"/>
  <c r="F23" i="16"/>
  <c r="L11" i="16"/>
  <c r="K20" i="15"/>
  <c r="K21" i="15" s="1"/>
  <c r="C40" i="4"/>
  <c r="C31" i="8"/>
  <c r="F43" i="3"/>
  <c r="B41" i="4"/>
  <c r="C32" i="4"/>
  <c r="B18" i="16"/>
  <c r="F18" i="16"/>
  <c r="N21" i="16"/>
  <c r="I55" i="9"/>
  <c r="N30" i="9"/>
  <c r="O36" i="9"/>
  <c r="Q52" i="9"/>
  <c r="O53" i="9"/>
  <c r="F35" i="9"/>
  <c r="H7" i="3"/>
  <c r="C6" i="2"/>
  <c r="E7" i="15"/>
  <c r="G7" i="15"/>
  <c r="E7" i="4"/>
  <c r="J16" i="3"/>
  <c r="H15" i="2" s="1"/>
  <c r="I15" i="2" s="1"/>
  <c r="H40" i="15"/>
  <c r="R55" i="9"/>
  <c r="P52" i="9"/>
  <c r="D6" i="8"/>
  <c r="D12" i="8" s="1"/>
  <c r="C19" i="1"/>
  <c r="M27" i="8"/>
  <c r="D16" i="5" s="1"/>
  <c r="C44" i="2"/>
  <c r="G23" i="16"/>
  <c r="R32" i="9"/>
  <c r="Q30" i="9"/>
  <c r="J5" i="3"/>
  <c r="H4" i="2" s="1"/>
  <c r="I4" i="2" s="1"/>
  <c r="B5" i="1" s="1"/>
  <c r="C7" i="15"/>
  <c r="L5" i="15"/>
  <c r="K5" i="4" s="1"/>
  <c r="L5" i="4" s="1"/>
  <c r="B6" i="1" s="1"/>
  <c r="L16" i="15"/>
  <c r="K16" i="4" s="1"/>
  <c r="L16" i="4" s="1"/>
  <c r="F20" i="15"/>
  <c r="F21" i="15" s="1"/>
  <c r="I30" i="3"/>
  <c r="I43" i="3"/>
  <c r="E30" i="9"/>
  <c r="F31" i="9"/>
  <c r="J34" i="3"/>
  <c r="H34" i="2" s="1"/>
  <c r="I34" i="2" s="1"/>
  <c r="B11" i="5" s="1"/>
  <c r="J29" i="3"/>
  <c r="H29" i="2" s="1"/>
  <c r="F12" i="3"/>
  <c r="G35" i="3"/>
  <c r="L31" i="15"/>
  <c r="K31" i="4" s="1"/>
  <c r="F18" i="8"/>
  <c r="C30" i="2"/>
  <c r="I40" i="3"/>
  <c r="I44" i="3"/>
  <c r="M9" i="8"/>
  <c r="I30" i="16"/>
  <c r="N28" i="16"/>
  <c r="N17" i="16"/>
  <c r="G18" i="16"/>
  <c r="D23" i="16"/>
  <c r="G40" i="4"/>
  <c r="G37" i="4"/>
  <c r="J38" i="3"/>
  <c r="H38" i="2" s="1"/>
  <c r="F40" i="3"/>
  <c r="F28" i="8"/>
  <c r="F32" i="8"/>
  <c r="D5" i="5"/>
  <c r="G37" i="15"/>
  <c r="L18" i="15"/>
  <c r="K18" i="4" s="1"/>
  <c r="J32" i="8"/>
  <c r="F41" i="9"/>
  <c r="N10" i="16"/>
  <c r="B11" i="16"/>
  <c r="I51" i="2"/>
  <c r="J21" i="3"/>
  <c r="H20" i="2" s="1"/>
  <c r="I20" i="2" s="1"/>
  <c r="G22" i="3"/>
  <c r="G41" i="4"/>
  <c r="M26" i="8"/>
  <c r="D15" i="5" s="1"/>
  <c r="C37" i="15"/>
  <c r="G30" i="3"/>
  <c r="L46" i="15"/>
  <c r="K44" i="4" s="1"/>
  <c r="L44" i="4" s="1"/>
  <c r="L37" i="16"/>
  <c r="F50" i="9"/>
  <c r="I39" i="9"/>
  <c r="O34" i="9"/>
  <c r="O55" i="9"/>
  <c r="F56" i="9"/>
  <c r="F55" i="9"/>
  <c r="F11" i="16"/>
  <c r="L47" i="15"/>
  <c r="K45" i="4" s="1"/>
  <c r="L45" i="4" s="1"/>
  <c r="F22" i="3"/>
  <c r="F23" i="3" s="1"/>
  <c r="B21" i="2"/>
  <c r="K37" i="15"/>
  <c r="E37" i="4"/>
  <c r="L30" i="15"/>
  <c r="K30" i="4" s="1"/>
  <c r="L30" i="4" s="1"/>
  <c r="C10" i="5" s="1"/>
  <c r="H27" i="15"/>
  <c r="M22" i="8"/>
  <c r="D11" i="5" s="1"/>
  <c r="G27" i="15"/>
  <c r="C41" i="15"/>
  <c r="E41" i="4"/>
  <c r="F30" i="3"/>
  <c r="M17" i="8"/>
  <c r="E30" i="16"/>
  <c r="O11" i="9"/>
  <c r="G37" i="16"/>
  <c r="O48" i="9"/>
  <c r="R35" i="9"/>
  <c r="I6" i="16"/>
  <c r="H11" i="16"/>
  <c r="D11" i="16"/>
  <c r="D6" i="2"/>
  <c r="L6" i="15"/>
  <c r="K6" i="4" s="1"/>
  <c r="L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53" i="9"/>
  <c r="F48" i="9"/>
  <c r="I37" i="9"/>
  <c r="O58" i="9"/>
  <c r="F33" i="9"/>
  <c r="M6" i="16"/>
  <c r="J6" i="3"/>
  <c r="H5" i="2" s="1"/>
  <c r="I5" i="2" s="1"/>
  <c r="C5" i="1" s="1"/>
  <c r="B7" i="3"/>
  <c r="F7" i="15"/>
  <c r="G7" i="4"/>
  <c r="D7" i="7"/>
  <c r="I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9" i="9"/>
  <c r="I56" i="9"/>
  <c r="G52" i="9"/>
  <c r="I36" i="9"/>
  <c r="G30" i="9"/>
  <c r="I33" i="9"/>
  <c r="H30" i="9"/>
  <c r="B6" i="2"/>
  <c r="J17" i="3"/>
  <c r="H16" i="2" s="1"/>
  <c r="D41" i="15"/>
  <c r="D37" i="15"/>
  <c r="C41" i="4"/>
  <c r="C40" i="15"/>
  <c r="L25" i="15"/>
  <c r="K25" i="4" s="1"/>
  <c r="C27" i="15"/>
  <c r="E40" i="4"/>
  <c r="E27" i="4"/>
  <c r="M30" i="16"/>
  <c r="N27" i="16"/>
  <c r="D18" i="16"/>
  <c r="M23" i="16"/>
  <c r="N22" i="16"/>
  <c r="E37" i="16"/>
  <c r="N34" i="16"/>
  <c r="E52" i="9"/>
  <c r="J12" i="5"/>
  <c r="J21" i="5"/>
  <c r="M4" i="8"/>
  <c r="B19" i="1" s="1"/>
  <c r="C6" i="8"/>
  <c r="K31" i="8"/>
  <c r="K23" i="8"/>
  <c r="C32" i="8"/>
  <c r="F11" i="9"/>
  <c r="B43" i="3"/>
  <c r="C11" i="16"/>
  <c r="N9" i="16"/>
  <c r="B12" i="15"/>
  <c r="L10" i="15"/>
  <c r="K10" i="4" s="1"/>
  <c r="F40" i="15"/>
  <c r="L35" i="15"/>
  <c r="K35" i="4" s="1"/>
  <c r="F37" i="15"/>
  <c r="E44" i="2"/>
  <c r="E30" i="2"/>
  <c r="B44" i="2"/>
  <c r="B30" i="2"/>
  <c r="J33" i="3"/>
  <c r="H33" i="2" s="1"/>
  <c r="C18" i="8"/>
  <c r="D37" i="16"/>
  <c r="C37" i="16"/>
  <c r="N35" i="16"/>
  <c r="O18" i="9"/>
  <c r="O39" i="9"/>
  <c r="O50" i="9"/>
  <c r="L11" i="15"/>
  <c r="K11" i="4" s="1"/>
  <c r="L11" i="4" s="1"/>
  <c r="D12" i="15"/>
  <c r="F36" i="9"/>
  <c r="R18" i="9"/>
  <c r="L15" i="15"/>
  <c r="K15" i="4" s="1"/>
  <c r="C30" i="9"/>
  <c r="E45" i="9"/>
  <c r="N52" i="9"/>
  <c r="L6" i="16"/>
  <c r="B7" i="7"/>
  <c r="F32" i="15"/>
  <c r="C43" i="2"/>
  <c r="C35" i="2"/>
  <c r="D21" i="4"/>
  <c r="C18" i="16"/>
  <c r="I34" i="9"/>
  <c r="I20" i="9"/>
  <c r="B7" i="4"/>
  <c r="C12" i="4"/>
  <c r="H12" i="3"/>
  <c r="C18" i="3"/>
  <c r="G10" i="7"/>
  <c r="B18" i="1" s="1"/>
  <c r="C37" i="4"/>
  <c r="H43" i="3"/>
  <c r="H30" i="3"/>
  <c r="C30" i="3"/>
  <c r="C43" i="3"/>
  <c r="C29" i="7" l="1"/>
  <c r="B29" i="7"/>
  <c r="N64" i="9"/>
  <c r="N62" i="9" s="1"/>
  <c r="H64" i="9"/>
  <c r="H62" i="9" s="1"/>
  <c r="E64" i="9"/>
  <c r="E62" i="9" s="1"/>
  <c r="Q64" i="9"/>
  <c r="Q62" i="9" s="1"/>
  <c r="F20" i="1"/>
  <c r="F21" i="1"/>
  <c r="G21" i="4"/>
  <c r="O30" i="9"/>
  <c r="F52" i="9"/>
  <c r="G21" i="15"/>
  <c r="B23" i="3"/>
  <c r="B42" i="15"/>
  <c r="J42" i="4"/>
  <c r="K42" i="15"/>
  <c r="K7" i="4"/>
  <c r="L7" i="4" s="1"/>
  <c r="J21" i="4"/>
  <c r="I45" i="3"/>
  <c r="O52" i="9"/>
  <c r="R17" i="9"/>
  <c r="C21" i="4"/>
  <c r="B23" i="2"/>
  <c r="B33" i="1"/>
  <c r="M10" i="8"/>
  <c r="H45" i="3"/>
  <c r="I17" i="9"/>
  <c r="J33" i="8"/>
  <c r="E21" i="15"/>
  <c r="G45" i="3"/>
  <c r="D45" i="2"/>
  <c r="C45" i="3"/>
  <c r="L12" i="8"/>
  <c r="G23" i="3"/>
  <c r="B33" i="8"/>
  <c r="G42" i="15"/>
  <c r="H21" i="15"/>
  <c r="E42" i="15"/>
  <c r="B42" i="4"/>
  <c r="D7" i="1"/>
  <c r="H17" i="2"/>
  <c r="I17" i="2" s="1"/>
  <c r="R30" i="9"/>
  <c r="J12" i="3"/>
  <c r="J44" i="3"/>
  <c r="E45" i="2"/>
  <c r="L33" i="8"/>
  <c r="E21" i="4"/>
  <c r="D17" i="5"/>
  <c r="F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J35" i="3"/>
  <c r="J40" i="3"/>
  <c r="H44" i="2"/>
  <c r="I44" i="2" s="1"/>
  <c r="L32" i="15"/>
  <c r="L25" i="4"/>
  <c r="C5" i="5" s="1"/>
  <c r="J30" i="3"/>
  <c r="N6" i="16"/>
  <c r="J7" i="3"/>
  <c r="M23" i="8"/>
  <c r="B21" i="4"/>
  <c r="M18" i="8"/>
  <c r="L20" i="15"/>
  <c r="D6" i="1"/>
  <c r="M31" i="8"/>
  <c r="G12" i="7"/>
  <c r="C8" i="1"/>
  <c r="N11" i="16"/>
  <c r="J22" i="5"/>
  <c r="I29" i="2"/>
  <c r="B6" i="5" s="1"/>
  <c r="B7" i="5" s="1"/>
  <c r="L7" i="15"/>
  <c r="H21" i="2"/>
  <c r="I21" i="2" s="1"/>
  <c r="G42" i="4"/>
  <c r="N23" i="16"/>
  <c r="K32" i="4"/>
  <c r="L32" i="4" s="1"/>
  <c r="C37" i="1"/>
  <c r="H42" i="15"/>
  <c r="J22" i="3"/>
  <c r="R52" i="9"/>
  <c r="E23" i="2"/>
  <c r="L27" i="15"/>
  <c r="B16" i="1"/>
  <c r="C17" i="1"/>
  <c r="N37" i="16"/>
  <c r="K41" i="4"/>
  <c r="L41" i="4" s="1"/>
  <c r="N18" i="16"/>
  <c r="D19" i="1"/>
  <c r="H6" i="2"/>
  <c r="I6" i="2" s="1"/>
  <c r="D5" i="1" s="1"/>
  <c r="B8" i="1"/>
  <c r="I30" i="9"/>
  <c r="L17" i="15"/>
  <c r="K20" i="4"/>
  <c r="L20" i="4" s="1"/>
  <c r="L18" i="4"/>
  <c r="M32" i="8"/>
  <c r="G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F30" i="9"/>
  <c r="H35" i="2"/>
  <c r="I35" i="2" s="1"/>
  <c r="H43" i="2"/>
  <c r="D6" i="5"/>
  <c r="I33" i="2"/>
  <c r="B10" i="5" s="1"/>
  <c r="K33" i="8"/>
  <c r="L37" i="15"/>
  <c r="J18" i="3"/>
  <c r="C23" i="3"/>
  <c r="K17" i="4"/>
  <c r="L15" i="4"/>
  <c r="D10" i="5"/>
  <c r="C12" i="8"/>
  <c r="M6" i="8"/>
  <c r="E42" i="4"/>
  <c r="C42" i="15"/>
  <c r="L40" i="15"/>
  <c r="D42" i="15"/>
  <c r="L41" i="15"/>
  <c r="C33" i="8"/>
  <c r="O17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2"/>
  <c r="C16" i="1" s="1"/>
  <c r="C42" i="4"/>
  <c r="L12" i="15"/>
  <c r="B45" i="3"/>
  <c r="J43" i="3"/>
  <c r="I52" i="9"/>
  <c r="D29" i="7" l="1"/>
  <c r="F29" i="7" s="1"/>
  <c r="F18" i="1"/>
  <c r="M12" i="8"/>
  <c r="B10" i="1"/>
  <c r="L21" i="15"/>
  <c r="D21" i="7"/>
  <c r="F21" i="7" s="1"/>
  <c r="F19" i="1"/>
  <c r="F6" i="1"/>
  <c r="H45" i="2"/>
  <c r="I45" i="2" s="1"/>
  <c r="B32" i="1"/>
  <c r="J45" i="3"/>
  <c r="F7" i="1"/>
  <c r="H23" i="2"/>
  <c r="I23" i="2" s="1"/>
  <c r="B27" i="1"/>
  <c r="B21" i="5"/>
  <c r="B28" i="1"/>
  <c r="K42" i="4"/>
  <c r="L42" i="4" s="1"/>
  <c r="L42" i="15"/>
  <c r="J23" i="3"/>
  <c r="C11" i="1"/>
  <c r="C33" i="1"/>
  <c r="B17" i="1"/>
  <c r="D17" i="1" s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C7" i="5"/>
  <c r="E5" i="5"/>
  <c r="M29" i="7" l="1"/>
  <c r="H29" i="7" s="1"/>
  <c r="D10" i="1"/>
  <c r="C32" i="1"/>
  <c r="B11" i="1"/>
  <c r="L29" i="7" s="1"/>
  <c r="D28" i="1"/>
  <c r="B22" i="1"/>
  <c r="B29" i="1"/>
  <c r="H21" i="7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N29" i="7" l="1"/>
  <c r="P29" i="7" s="1"/>
  <c r="G29" i="7"/>
  <c r="D11" i="1"/>
  <c r="F11" i="1" s="1"/>
  <c r="F10" i="1"/>
  <c r="F28" i="1"/>
  <c r="N21" i="7"/>
  <c r="P21" i="7" s="1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9" i="7" l="1"/>
  <c r="K29" i="7" s="1"/>
  <c r="I21" i="7"/>
  <c r="F22" i="5"/>
  <c r="H22" i="5" s="1"/>
  <c r="H20" i="5"/>
  <c r="K21" i="7" l="1"/>
  <c r="R4" i="9" l="1"/>
  <c r="O4" i="9"/>
  <c r="I4" i="9" l="1"/>
  <c r="F15" i="9" l="1"/>
  <c r="C13" i="9"/>
  <c r="F13" i="9" s="1"/>
  <c r="G13" i="9"/>
  <c r="I13" i="9" s="1"/>
  <c r="I15" i="9"/>
  <c r="I63" i="9" l="1"/>
  <c r="L13" i="9"/>
  <c r="O13" i="9" s="1"/>
  <c r="O15" i="9"/>
  <c r="R15" i="9"/>
  <c r="P13" i="9"/>
  <c r="R13" i="9" s="1"/>
  <c r="F63" i="9"/>
  <c r="D54" i="9"/>
  <c r="R63" i="9" l="1"/>
  <c r="M54" i="9"/>
  <c r="O63" i="9"/>
  <c r="O46" i="9" l="1"/>
  <c r="L45" i="9"/>
  <c r="R46" i="9"/>
  <c r="P45" i="9"/>
  <c r="P64" i="9" s="1"/>
  <c r="I46" i="9"/>
  <c r="G45" i="9"/>
  <c r="C45" i="9"/>
  <c r="C64" i="9" s="1"/>
  <c r="F46" i="9"/>
  <c r="G64" i="9" l="1"/>
  <c r="D28" i="9"/>
  <c r="D22" i="9"/>
  <c r="L64" i="9"/>
  <c r="R45" i="9"/>
  <c r="O45" i="9"/>
  <c r="F45" i="9"/>
  <c r="D26" i="9"/>
  <c r="I45" i="9"/>
  <c r="M28" i="9" l="1"/>
  <c r="M22" i="9"/>
  <c r="M26" i="9"/>
  <c r="M31" i="9"/>
  <c r="M9" i="9"/>
  <c r="D45" i="9"/>
  <c r="D9" i="9"/>
  <c r="M57" i="9"/>
  <c r="M15" i="9"/>
  <c r="M13" i="9"/>
  <c r="M6" i="9"/>
  <c r="M5" i="9"/>
  <c r="M48" i="9"/>
  <c r="M41" i="9"/>
  <c r="M14" i="9"/>
  <c r="M39" i="9"/>
  <c r="M19" i="9"/>
  <c r="M18" i="9"/>
  <c r="M50" i="9"/>
  <c r="O64" i="9"/>
  <c r="M53" i="9"/>
  <c r="M55" i="9"/>
  <c r="M23" i="9"/>
  <c r="M52" i="9"/>
  <c r="M21" i="9"/>
  <c r="M37" i="9"/>
  <c r="M4" i="9"/>
  <c r="L62" i="9"/>
  <c r="M20" i="9"/>
  <c r="M56" i="9"/>
  <c r="M43" i="9"/>
  <c r="M30" i="9"/>
  <c r="M59" i="9"/>
  <c r="M64" i="9"/>
  <c r="M36" i="9"/>
  <c r="M63" i="9"/>
  <c r="M11" i="9"/>
  <c r="M24" i="9"/>
  <c r="M33" i="9"/>
  <c r="M34" i="9"/>
  <c r="M7" i="9"/>
  <c r="M58" i="9"/>
  <c r="M17" i="9"/>
  <c r="M35" i="9"/>
  <c r="M32" i="9"/>
  <c r="M46" i="9"/>
  <c r="R64" i="9"/>
  <c r="P62" i="9"/>
  <c r="M45" i="9"/>
  <c r="I64" i="9"/>
  <c r="G62" i="9"/>
  <c r="D13" i="9"/>
  <c r="D64" i="9"/>
  <c r="D59" i="9"/>
  <c r="D50" i="9"/>
  <c r="D57" i="9"/>
  <c r="D56" i="9"/>
  <c r="D32" i="9"/>
  <c r="D21" i="9"/>
  <c r="D15" i="9"/>
  <c r="D17" i="9"/>
  <c r="D52" i="9"/>
  <c r="D41" i="9"/>
  <c r="D39" i="9"/>
  <c r="D5" i="9"/>
  <c r="D19" i="9"/>
  <c r="D30" i="9"/>
  <c r="D36" i="9"/>
  <c r="D18" i="9"/>
  <c r="D7" i="9"/>
  <c r="C62" i="9"/>
  <c r="D58" i="9"/>
  <c r="D55" i="9"/>
  <c r="D4" i="9"/>
  <c r="D53" i="9"/>
  <c r="D33" i="9"/>
  <c r="F64" i="9"/>
  <c r="D63" i="9"/>
  <c r="D6" i="9"/>
  <c r="D31" i="9"/>
  <c r="D34" i="9"/>
  <c r="D35" i="9"/>
  <c r="D37" i="9"/>
  <c r="D48" i="9"/>
  <c r="D20" i="9"/>
  <c r="D24" i="9"/>
  <c r="D11" i="9"/>
  <c r="D14" i="9"/>
  <c r="D43" i="9"/>
  <c r="D23" i="9"/>
  <c r="D46" i="9"/>
  <c r="R62" i="9" l="1"/>
  <c r="I62" i="9"/>
  <c r="M62" i="9"/>
  <c r="O62" i="9"/>
  <c r="F62" i="9"/>
  <c r="D62" i="9"/>
  <c r="C25" i="7" l="1"/>
  <c r="B25" i="7"/>
  <c r="D25" i="7" s="1"/>
  <c r="F25" i="7" s="1"/>
  <c r="L25" i="7" l="1"/>
  <c r="G25" i="7" l="1"/>
  <c r="M25" i="7"/>
  <c r="H25" i="7" s="1"/>
  <c r="I25" i="7" l="1"/>
  <c r="K25" i="7" s="1"/>
  <c r="N25" i="7"/>
  <c r="P25" i="7" s="1"/>
  <c r="B23" i="7" l="1"/>
  <c r="C23" i="7"/>
  <c r="D23" i="7" l="1"/>
  <c r="F23" i="7" s="1"/>
  <c r="L23" i="7"/>
  <c r="G23" i="7" l="1"/>
  <c r="M23" i="7"/>
  <c r="H23" i="7" s="1"/>
  <c r="I23" i="7" l="1"/>
  <c r="K23" i="7" s="1"/>
  <c r="N23" i="7"/>
  <c r="P23" i="7" s="1"/>
  <c r="C26" i="7"/>
  <c r="B26" i="7"/>
  <c r="D26" i="7" s="1"/>
  <c r="F26" i="7" s="1"/>
  <c r="M26" i="7" l="1"/>
  <c r="H26" i="7" s="1"/>
  <c r="L26" i="7"/>
  <c r="N26" i="7" l="1"/>
  <c r="P26" i="7" s="1"/>
  <c r="G26" i="7"/>
  <c r="I26" i="7" s="1"/>
  <c r="K26" i="7" s="1"/>
  <c r="B27" i="7" l="1"/>
  <c r="D27" i="7" s="1"/>
  <c r="F27" i="7" s="1"/>
  <c r="C27" i="7"/>
  <c r="M27" i="7" l="1"/>
  <c r="H27" i="7" s="1"/>
  <c r="L27" i="7"/>
  <c r="G27" i="7" l="1"/>
  <c r="I27" i="7" s="1"/>
  <c r="K27" i="7" s="1"/>
  <c r="N27" i="7"/>
  <c r="P27" i="7" s="1"/>
  <c r="C22" i="7" l="1"/>
  <c r="B22" i="7"/>
  <c r="D22" i="7" l="1"/>
  <c r="M22" i="7"/>
  <c r="F22" i="7" l="1"/>
  <c r="H22" i="7"/>
  <c r="L22" i="7" l="1"/>
  <c r="N22" i="7" l="1"/>
  <c r="G22" i="7"/>
  <c r="I22" i="7" l="1"/>
  <c r="P22" i="7"/>
  <c r="K22" i="7" l="1"/>
  <c r="C28" i="7" l="1"/>
  <c r="B28" i="7"/>
  <c r="M28" i="7"/>
  <c r="H28" i="7" l="1"/>
  <c r="D28" i="7"/>
  <c r="F28" i="7" s="1"/>
  <c r="L28" i="7"/>
  <c r="N28" i="7" l="1"/>
  <c r="P28" i="7" s="1"/>
  <c r="G28" i="7"/>
  <c r="I28" i="7" s="1"/>
  <c r="K28" i="7" s="1"/>
  <c r="D33" i="1" l="1"/>
  <c r="I16" i="5" l="1"/>
  <c r="C24" i="7"/>
  <c r="C33" i="7" s="1"/>
  <c r="B24" i="7"/>
  <c r="M24" i="7"/>
  <c r="H24" i="7" l="1"/>
  <c r="H33" i="7" s="1"/>
  <c r="M33" i="7"/>
  <c r="D24" i="7"/>
  <c r="B33" i="7"/>
  <c r="G20" i="1" l="1"/>
  <c r="L24" i="7"/>
  <c r="F24" i="7"/>
  <c r="D33" i="7"/>
  <c r="F33" i="7" s="1"/>
  <c r="I6" i="5"/>
  <c r="N24" i="7" l="1"/>
  <c r="G24" i="7"/>
  <c r="L33" i="7"/>
  <c r="K6" i="5"/>
  <c r="I20" i="1"/>
  <c r="G21" i="1"/>
  <c r="I11" i="5"/>
  <c r="G5" i="1"/>
  <c r="I5" i="5"/>
  <c r="I10" i="5"/>
  <c r="I15" i="5"/>
  <c r="D32" i="1"/>
  <c r="I5" i="1" l="1"/>
  <c r="D34" i="1"/>
  <c r="E33" i="1" s="1"/>
  <c r="G7" i="1"/>
  <c r="I12" i="5"/>
  <c r="K12" i="5" s="1"/>
  <c r="K10" i="5"/>
  <c r="K11" i="5"/>
  <c r="G18" i="1"/>
  <c r="G19" i="1"/>
  <c r="G17" i="1"/>
  <c r="I21" i="1"/>
  <c r="I24" i="7"/>
  <c r="G33" i="7"/>
  <c r="I17" i="5"/>
  <c r="K17" i="5" s="1"/>
  <c r="K15" i="5"/>
  <c r="I20" i="5"/>
  <c r="I7" i="5"/>
  <c r="K7" i="5" s="1"/>
  <c r="K5" i="5"/>
  <c r="I21" i="5"/>
  <c r="K21" i="5" s="1"/>
  <c r="P24" i="7"/>
  <c r="N33" i="7"/>
  <c r="P33" i="7" s="1"/>
  <c r="G16" i="1"/>
  <c r="G27" i="1"/>
  <c r="I7" i="1" l="1"/>
  <c r="I27" i="1"/>
  <c r="K20" i="5"/>
  <c r="I22" i="5"/>
  <c r="K22" i="5" s="1"/>
  <c r="I19" i="1"/>
  <c r="G6" i="1"/>
  <c r="I16" i="1"/>
  <c r="G22" i="1"/>
  <c r="I22" i="1" s="1"/>
  <c r="K24" i="7"/>
  <c r="I33" i="7"/>
  <c r="K33" i="7" s="1"/>
  <c r="G28" i="1"/>
  <c r="G29" i="1" s="1"/>
  <c r="I29" i="1" s="1"/>
  <c r="I17" i="1"/>
  <c r="I18" i="1"/>
  <c r="E32" i="1"/>
  <c r="G10" i="1" l="1"/>
  <c r="I6" i="1"/>
  <c r="G8" i="1"/>
  <c r="I28" i="1"/>
  <c r="I8" i="1" l="1"/>
  <c r="G11" i="1"/>
  <c r="I11" i="1" s="1"/>
  <c r="I10" i="1"/>
</calcChain>
</file>

<file path=xl/sharedStrings.xml><?xml version="1.0" encoding="utf-8"?>
<sst xmlns="http://schemas.openxmlformats.org/spreadsheetml/2006/main" count="545" uniqueCount="222">
  <si>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</si>
  <si>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</si>
  <si>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</si>
  <si>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</si>
  <si>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</si>
  <si>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</si>
  <si>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</si>
  <si>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</si>
  <si>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</si>
  <si>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</si>
  <si>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</si>
  <si>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</si>
  <si>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</si>
  <si>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</si>
  <si>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</si>
  <si>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</si>
  <si>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</si>
  <si>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</si>
  <si>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</si>
  <si>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</si>
  <si>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</si>
  <si>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</si>
  <si>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</si>
  <si>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</si>
  <si>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</si>
  <si>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</si>
  <si>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</si>
  <si>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</si>
  <si>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</si>
  <si>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</si>
  <si>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</si>
  <si>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</si>
  <si>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</si>
  <si>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</si>
  <si>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</si>
  <si>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</si>
  <si>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</si>
  <si>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</si>
  <si>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</si>
  <si>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</si>
  <si>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</si>
  <si>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</si>
  <si>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</si>
  <si>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</si>
  <si>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</si>
  <si>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</si>
  <si>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</si>
  <si>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</si>
  <si>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</si>
  <si>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</si>
  <si>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</si>
  <si>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</si>
  <si>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</si>
  <si>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</si>
  <si>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</si>
  <si>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</si>
  <si>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</si>
  <si>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</si>
  <si>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</si>
  <si>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</si>
  <si>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</si>
  <si>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</si>
  <si>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</si>
  <si>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</si>
  <si>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</si>
  <si>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</si>
  <si>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</si>
  <si>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</si>
  <si>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</si>
  <si>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</si>
  <si>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</si>
  <si>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</si>
  <si>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</si>
  <si>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</si>
  <si>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</si>
  <si>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</si>
  <si>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</si>
  <si>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</si>
  <si>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</si>
  <si>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</si>
  <si>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</si>
  <si>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</si>
  <si>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</si>
  <si>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</si>
  <si>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</si>
  <si>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</si>
  <si>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</si>
  <si>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</si>
  <si>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</si>
  <si>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</si>
  <si>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</si>
  <si>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</si>
  <si>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</si>
  <si>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</si>
  <si>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</si>
  <si>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</si>
  <si>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</si>
  <si>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</si>
  <si>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</si>
  <si>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</si>
  <si>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</si>
  <si>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</si>
  <si>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</si>
  <si>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</si>
  <si>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</si>
  <si>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</si>
  <si>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</si>
  <si>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</si>
  <si>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</si>
  <si>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</si>
  <si>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</si>
  <si>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</si>
  <si>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</si>
  <si>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</si>
  <si>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</si>
  <si>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</si>
  <si>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</si>
  <si>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</si>
  <si>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</si>
  <si>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</si>
  <si>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</si>
  <si>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</si>
  <si>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</si>
  <si>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</si>
  <si>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</si>
  <si>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</si>
  <si>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</si>
  <si>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</si>
  <si>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</si>
  <si>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</si>
  <si>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</si>
  <si>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</si>
  <si>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</si>
  <si>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</si>
  <si>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</si>
  <si>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</si>
  <si>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</si>
  <si>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</si>
  <si>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</si>
  <si>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</si>
  <si>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</si>
  <si>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</si>
  <si>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</si>
  <si>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</si>
  <si>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</si>
  <si>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</si>
  <si>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</si>
  <si>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</si>
  <si>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</si>
  <si>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</si>
  <si>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</si>
  <si>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</si>
  <si>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</si>
  <si>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</si>
  <si>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</si>
  <si>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</si>
  <si>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</si>
  <si>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</si>
  <si>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</si>
  <si>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</si>
  <si>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</si>
  <si>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</si>
  <si>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</si>
  <si>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</si>
  <si>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</si>
  <si>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</si>
  <si>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</si>
  <si>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</si>
  <si>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</si>
  <si>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</si>
  <si>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</si>
  <si>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</si>
  <si>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</si>
  <si>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</si>
  <si>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</si>
  <si>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</si>
  <si>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</si>
  <si>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</si>
  <si>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</si>
  <si>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</si>
  <si>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</si>
  <si>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</si>
  <si>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</si>
  <si>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</si>
  <si>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</si>
  <si>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</si>
  <si>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</si>
  <si>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</si>
  <si>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</si>
  <si>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</si>
  <si>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</si>
  <si>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</si>
  <si>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</si>
  <si>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</si>
  <si>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</si>
  <si>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</si>
  <si>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</si>
  <si>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</si>
  <si>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</si>
  <si>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</si>
  <si>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</si>
  <si>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</si>
  <si>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</si>
  <si>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</si>
  <si>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</si>
  <si>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</si>
  <si>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</si>
  <si>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</si>
  <si>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</si>
  <si>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</si>
  <si>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</si>
  <si>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</si>
  <si>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</si>
  <si>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</si>
  <si>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</si>
  <si>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IFL</t>
  </si>
  <si>
    <t>Major</t>
  </si>
  <si>
    <t>Air Choice One</t>
  </si>
  <si>
    <t>Boutique Air</t>
  </si>
  <si>
    <t>PSA - American</t>
  </si>
  <si>
    <t>PSA</t>
  </si>
  <si>
    <t>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</si>
</sst>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6" xfId="0" applyNumberFormat="1" applyFont="1" applyBorder="1"/>
    <xf numFmtId="10" fontId="13" fillId="0" borderId="77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79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41" fontId="3" fillId="5" borderId="5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September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pril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y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ne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ly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ugust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2249577</v>
          </cell>
          <cell r="G5">
            <v>20507612</v>
          </cell>
        </row>
        <row r="6">
          <cell r="D6">
            <v>668947</v>
          </cell>
          <cell r="G6">
            <v>6426189</v>
          </cell>
        </row>
        <row r="7">
          <cell r="D7">
            <v>532</v>
          </cell>
          <cell r="G7">
            <v>4286</v>
          </cell>
        </row>
        <row r="10">
          <cell r="D10">
            <v>87784</v>
          </cell>
          <cell r="G10">
            <v>827170</v>
          </cell>
        </row>
        <row r="16">
          <cell r="D16">
            <v>17361</v>
          </cell>
          <cell r="G16">
            <v>155164</v>
          </cell>
        </row>
        <row r="17">
          <cell r="D17">
            <v>12754</v>
          </cell>
          <cell r="G17">
            <v>123588</v>
          </cell>
        </row>
        <row r="18">
          <cell r="D18">
            <v>5</v>
          </cell>
          <cell r="G18">
            <v>65</v>
          </cell>
        </row>
        <row r="19">
          <cell r="D19">
            <v>1037</v>
          </cell>
          <cell r="G19">
            <v>9359</v>
          </cell>
        </row>
        <row r="20">
          <cell r="D20">
            <v>1926</v>
          </cell>
          <cell r="G20">
            <v>16871</v>
          </cell>
        </row>
        <row r="21">
          <cell r="D21">
            <v>108</v>
          </cell>
          <cell r="G21">
            <v>1002</v>
          </cell>
        </row>
        <row r="27">
          <cell r="D27">
            <v>15259.938670042218</v>
          </cell>
          <cell r="G27">
            <v>134432.12777680071</v>
          </cell>
        </row>
        <row r="28">
          <cell r="D28">
            <v>1152.8970876061098</v>
          </cell>
          <cell r="G28">
            <v>11871.817308148489</v>
          </cell>
        </row>
        <row r="32">
          <cell r="B32">
            <v>769368</v>
          </cell>
          <cell r="D32">
            <v>7326338</v>
          </cell>
        </row>
        <row r="33">
          <cell r="B33">
            <v>694062</v>
          </cell>
          <cell r="D33">
            <v>6102089</v>
          </cell>
        </row>
      </sheetData>
      <sheetData sheetId="1"/>
      <sheetData sheetId="2"/>
      <sheetData sheetId="3"/>
      <sheetData sheetId="4"/>
      <sheetData sheetId="5">
        <row r="29">
          <cell r="D29">
            <v>200482</v>
          </cell>
          <cell r="I29">
            <v>2806358</v>
          </cell>
          <cell r="N29">
            <v>3006840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120288</v>
          </cell>
          <cell r="C24">
            <v>106367</v>
          </cell>
          <cell r="L24">
            <v>1541349</v>
          </cell>
          <cell r="M24">
            <v>1461593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205270</v>
          </cell>
          <cell r="I24">
            <v>2699423</v>
          </cell>
          <cell r="N24">
            <v>2904693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97442</v>
          </cell>
          <cell r="C25">
            <v>100703</v>
          </cell>
          <cell r="L25">
            <v>1591739</v>
          </cell>
          <cell r="M25">
            <v>1572527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198399</v>
          </cell>
          <cell r="I25">
            <v>2835494</v>
          </cell>
          <cell r="N25">
            <v>3033893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120133</v>
          </cell>
          <cell r="C26">
            <v>124700</v>
          </cell>
          <cell r="L26">
            <v>1730350</v>
          </cell>
          <cell r="M26">
            <v>1726520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221901</v>
          </cell>
          <cell r="I26">
            <v>3152360</v>
          </cell>
          <cell r="N26">
            <v>3374261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142826</v>
          </cell>
          <cell r="C27">
            <v>132539</v>
          </cell>
          <cell r="L27">
            <v>1823310</v>
          </cell>
          <cell r="M27">
            <v>1823604</v>
          </cell>
        </row>
      </sheetData>
      <sheetData sheetId="6"/>
      <sheetData sheetId="7">
        <row r="5">
          <cell r="I5">
            <v>54962.002022091008</v>
          </cell>
        </row>
        <row r="6">
          <cell r="I6">
            <v>3360.0868795349438</v>
          </cell>
        </row>
        <row r="10">
          <cell r="I10">
            <v>49930.415259773508</v>
          </cell>
        </row>
        <row r="11">
          <cell r="I11">
            <v>3782.9041203461202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235974</v>
          </cell>
          <cell r="I27">
            <v>3333064</v>
          </cell>
          <cell r="N27">
            <v>3569038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237011</v>
          </cell>
          <cell r="I28">
            <v>3290700</v>
          </cell>
          <cell r="N28">
            <v>3527711</v>
          </cell>
        </row>
      </sheetData>
      <sheetData sheetId="6"/>
      <sheetData sheetId="7">
        <row r="5">
          <cell r="F5">
            <v>6850.5633800195901</v>
          </cell>
          <cell r="I5">
            <v>50680.542280883907</v>
          </cell>
        </row>
        <row r="6">
          <cell r="F6">
            <v>763.44676105543999</v>
          </cell>
          <cell r="I6">
            <v>4563.6064423410999</v>
          </cell>
        </row>
        <row r="10">
          <cell r="F10">
            <v>7008.2012435504303</v>
          </cell>
          <cell r="I10">
            <v>53307.543356987924</v>
          </cell>
        </row>
        <row r="11">
          <cell r="F11">
            <v>1110.8735688950899</v>
          </cell>
          <cell r="I11">
            <v>5095.1454859790101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13858.764623570019</v>
          </cell>
        </row>
        <row r="21">
          <cell r="F21">
            <v>1874.3203299505299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19031946</v>
          </cell>
        </row>
        <row r="6">
          <cell r="G6">
            <v>5649395</v>
          </cell>
        </row>
        <row r="7">
          <cell r="G7">
            <v>3352</v>
          </cell>
        </row>
        <row r="10">
          <cell r="G10">
            <v>787289</v>
          </cell>
        </row>
        <row r="16">
          <cell r="G16">
            <v>143539</v>
          </cell>
        </row>
        <row r="17">
          <cell r="G17">
            <v>109427</v>
          </cell>
        </row>
        <row r="18">
          <cell r="G18">
            <v>46</v>
          </cell>
        </row>
        <row r="19">
          <cell r="G19">
            <v>9140</v>
          </cell>
        </row>
        <row r="20">
          <cell r="G20">
            <v>15216.5</v>
          </cell>
        </row>
        <row r="21">
          <cell r="G21">
            <v>871</v>
          </cell>
        </row>
        <row r="27">
          <cell r="G27">
            <v>121754.77124284551</v>
          </cell>
        </row>
        <row r="28">
          <cell r="G28">
            <v>8779.4288937164238</v>
          </cell>
        </row>
        <row r="32">
          <cell r="D32">
            <v>7042848</v>
          </cell>
        </row>
        <row r="33">
          <cell r="D33">
            <v>5264961</v>
          </cell>
        </row>
      </sheetData>
      <sheetData sheetId="1"/>
      <sheetData sheetId="2"/>
      <sheetData sheetId="3"/>
      <sheetData sheetId="4"/>
      <sheetData sheetId="5">
        <row r="28">
          <cell r="B28">
            <v>131232</v>
          </cell>
          <cell r="C28">
            <v>123377</v>
          </cell>
          <cell r="L28">
            <v>1776780</v>
          </cell>
          <cell r="M28">
            <v>1768776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ET4">
            <v>22</v>
          </cell>
        </row>
        <row r="5">
          <cell r="ET5">
            <v>22</v>
          </cell>
        </row>
        <row r="8">
          <cell r="ET8"/>
        </row>
        <row r="9">
          <cell r="ET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</row>
        <row r="22">
          <cell r="ET22">
            <v>136</v>
          </cell>
        </row>
        <row r="23">
          <cell r="ET23">
            <v>115</v>
          </cell>
        </row>
        <row r="27">
          <cell r="ET27"/>
        </row>
        <row r="28">
          <cell r="ET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3"/>
      <sheetData sheetId="4">
        <row r="4">
          <cell r="ET4"/>
        </row>
        <row r="5">
          <cell r="ET5"/>
        </row>
        <row r="8">
          <cell r="ET8"/>
        </row>
        <row r="9">
          <cell r="ET9"/>
        </row>
        <row r="15">
          <cell r="EL15"/>
          <cell r="EM15"/>
          <cell r="EN15"/>
          <cell r="EO15"/>
          <cell r="EP15">
            <v>18</v>
          </cell>
          <cell r="EQ15">
            <v>27</v>
          </cell>
          <cell r="ER15">
            <v>30</v>
          </cell>
          <cell r="ES15">
            <v>31</v>
          </cell>
          <cell r="ET15">
            <v>19</v>
          </cell>
        </row>
        <row r="16">
          <cell r="EL16"/>
          <cell r="EM16"/>
          <cell r="EN16"/>
          <cell r="EO16"/>
          <cell r="EP16">
            <v>18</v>
          </cell>
          <cell r="EQ16">
            <v>27</v>
          </cell>
          <cell r="ER16">
            <v>30</v>
          </cell>
          <cell r="ES16">
            <v>31</v>
          </cell>
          <cell r="ET16">
            <v>19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</row>
        <row r="22">
          <cell r="ET22"/>
        </row>
        <row r="23">
          <cell r="ET23"/>
        </row>
        <row r="27">
          <cell r="ET27"/>
        </row>
        <row r="28">
          <cell r="ET28"/>
        </row>
        <row r="32">
          <cell r="EL32"/>
          <cell r="EM32"/>
          <cell r="EN32"/>
          <cell r="EO32"/>
          <cell r="EP32">
            <v>4037</v>
          </cell>
          <cell r="EQ32">
            <v>6560</v>
          </cell>
          <cell r="ER32">
            <v>7668</v>
          </cell>
          <cell r="ES32">
            <v>7486</v>
          </cell>
          <cell r="ET32">
            <v>4440</v>
          </cell>
        </row>
        <row r="33">
          <cell r="EL33"/>
          <cell r="EM33"/>
          <cell r="EN33"/>
          <cell r="EO33"/>
          <cell r="EP33"/>
          <cell r="EQ33">
            <v>6560</v>
          </cell>
          <cell r="ER33">
            <v>5537</v>
          </cell>
          <cell r="ES33">
            <v>6583</v>
          </cell>
          <cell r="ET33">
            <v>3974</v>
          </cell>
        </row>
        <row r="37">
          <cell r="EL37"/>
          <cell r="EM37"/>
          <cell r="EN37"/>
          <cell r="EO37"/>
          <cell r="EP37">
            <v>9</v>
          </cell>
          <cell r="EQ37">
            <v>11</v>
          </cell>
          <cell r="ER37">
            <v>15</v>
          </cell>
          <cell r="ES37">
            <v>8</v>
          </cell>
          <cell r="ET37">
            <v>12</v>
          </cell>
        </row>
        <row r="38">
          <cell r="EL38"/>
          <cell r="EM38"/>
          <cell r="EN38"/>
          <cell r="EO38"/>
          <cell r="EP38">
            <v>5</v>
          </cell>
          <cell r="EQ38">
            <v>6</v>
          </cell>
          <cell r="ER38">
            <v>5</v>
          </cell>
          <cell r="ES38">
            <v>5</v>
          </cell>
          <cell r="ET38">
            <v>7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</row>
        <row r="47">
          <cell r="ET47">
            <v>113463</v>
          </cell>
        </row>
        <row r="48">
          <cell r="ET48"/>
        </row>
        <row r="52">
          <cell r="ET52">
            <v>7236</v>
          </cell>
        </row>
        <row r="53">
          <cell r="ET53"/>
        </row>
        <row r="57">
          <cell r="ET57"/>
        </row>
        <row r="58">
          <cell r="ET58"/>
        </row>
      </sheetData>
      <sheetData sheetId="5"/>
      <sheetData sheetId="6">
        <row r="4">
          <cell r="ET4">
            <v>60</v>
          </cell>
        </row>
        <row r="5">
          <cell r="ET5">
            <v>60</v>
          </cell>
        </row>
        <row r="8">
          <cell r="ET8"/>
        </row>
        <row r="9">
          <cell r="ET9"/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</row>
        <row r="22">
          <cell r="ET22">
            <v>9540</v>
          </cell>
        </row>
        <row r="23">
          <cell r="ET23">
            <v>9085</v>
          </cell>
        </row>
        <row r="27">
          <cell r="ET27">
            <v>326</v>
          </cell>
        </row>
        <row r="28">
          <cell r="ET28">
            <v>385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</row>
        <row r="47">
          <cell r="ET47">
            <v>2361</v>
          </cell>
        </row>
        <row r="48">
          <cell r="ET48"/>
        </row>
        <row r="52">
          <cell r="ET52">
            <v>6495</v>
          </cell>
        </row>
        <row r="53">
          <cell r="ET53"/>
        </row>
        <row r="57">
          <cell r="ET57"/>
        </row>
        <row r="58">
          <cell r="ET58"/>
        </row>
      </sheetData>
      <sheetData sheetId="7"/>
      <sheetData sheetId="8">
        <row r="4">
          <cell r="ET4">
            <v>720</v>
          </cell>
        </row>
        <row r="5">
          <cell r="ET5">
            <v>720</v>
          </cell>
        </row>
        <row r="8">
          <cell r="ET8"/>
        </row>
        <row r="9">
          <cell r="ET9"/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</row>
        <row r="22">
          <cell r="ET22">
            <v>88122</v>
          </cell>
        </row>
        <row r="23">
          <cell r="ET23">
            <v>85309</v>
          </cell>
        </row>
        <row r="27">
          <cell r="ET27">
            <v>3097</v>
          </cell>
        </row>
        <row r="28">
          <cell r="ET28">
            <v>3381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</row>
        <row r="47">
          <cell r="ET47">
            <v>44889</v>
          </cell>
        </row>
        <row r="48">
          <cell r="ET48">
            <v>66014</v>
          </cell>
        </row>
        <row r="52">
          <cell r="ET52">
            <v>14275</v>
          </cell>
        </row>
        <row r="53">
          <cell r="ET53">
            <v>121410</v>
          </cell>
        </row>
        <row r="57">
          <cell r="ET57"/>
        </row>
        <row r="58">
          <cell r="ET58"/>
        </row>
      </sheetData>
      <sheetData sheetId="9"/>
      <sheetData sheetId="10">
        <row r="4">
          <cell r="ET4">
            <v>591</v>
          </cell>
        </row>
        <row r="5">
          <cell r="ET5">
            <v>599</v>
          </cell>
        </row>
        <row r="8">
          <cell r="ET8">
            <v>51</v>
          </cell>
        </row>
        <row r="9">
          <cell r="ET9">
            <v>48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  <cell r="EP15">
            <v>18</v>
          </cell>
          <cell r="EQ15">
            <v>8</v>
          </cell>
          <cell r="ER15">
            <v>7</v>
          </cell>
          <cell r="ES15">
            <v>4</v>
          </cell>
          <cell r="ET15">
            <v>3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  <cell r="EP16">
            <v>15</v>
          </cell>
          <cell r="EQ16">
            <v>8</v>
          </cell>
          <cell r="ER16">
            <v>8</v>
          </cell>
          <cell r="ES16">
            <v>1</v>
          </cell>
          <cell r="ET16">
            <v>4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</row>
        <row r="22">
          <cell r="ET22">
            <v>67606</v>
          </cell>
        </row>
        <row r="23">
          <cell r="ET23">
            <v>69681</v>
          </cell>
        </row>
        <row r="27">
          <cell r="ET27">
            <v>1572</v>
          </cell>
        </row>
        <row r="28">
          <cell r="ET28">
            <v>1659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  <cell r="EP32">
            <v>2549</v>
          </cell>
          <cell r="EQ32">
            <v>1837</v>
          </cell>
          <cell r="ER32">
            <v>1556</v>
          </cell>
          <cell r="ES32">
            <v>1314</v>
          </cell>
          <cell r="ET32">
            <v>765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  <cell r="EQ33">
            <v>1832</v>
          </cell>
          <cell r="ER33">
            <v>1486</v>
          </cell>
          <cell r="ES33">
            <v>1369</v>
          </cell>
          <cell r="ET33">
            <v>805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  <cell r="EP37">
            <v>24</v>
          </cell>
          <cell r="EQ37">
            <v>4</v>
          </cell>
          <cell r="ER37">
            <v>11</v>
          </cell>
          <cell r="ES37">
            <v>1</v>
          </cell>
          <cell r="ET37">
            <v>6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  <cell r="EQ38">
            <v>3</v>
          </cell>
          <cell r="ER38">
            <v>11</v>
          </cell>
          <cell r="ES38">
            <v>7</v>
          </cell>
          <cell r="ET38">
            <v>2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</row>
        <row r="47">
          <cell r="ET47">
            <v>253500</v>
          </cell>
        </row>
        <row r="48">
          <cell r="ET48">
            <v>263843</v>
          </cell>
        </row>
        <row r="52">
          <cell r="ET52">
            <v>188042</v>
          </cell>
        </row>
        <row r="53">
          <cell r="ET53">
            <v>312654</v>
          </cell>
        </row>
        <row r="57">
          <cell r="ET57"/>
        </row>
        <row r="58">
          <cell r="ET58"/>
        </row>
        <row r="70">
          <cell r="ET70">
            <v>60465</v>
          </cell>
        </row>
        <row r="71">
          <cell r="ET71">
            <v>9216</v>
          </cell>
        </row>
        <row r="73">
          <cell r="ET73">
            <v>805</v>
          </cell>
        </row>
      </sheetData>
      <sheetData sheetId="11">
        <row r="4">
          <cell r="ET4">
            <v>78</v>
          </cell>
        </row>
        <row r="5">
          <cell r="ET5">
            <v>78</v>
          </cell>
        </row>
        <row r="8">
          <cell r="ET8">
            <v>3</v>
          </cell>
        </row>
        <row r="9">
          <cell r="ET9">
            <v>2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</row>
        <row r="22">
          <cell r="ET22">
            <v>521</v>
          </cell>
        </row>
        <row r="23">
          <cell r="ET23">
            <v>539</v>
          </cell>
        </row>
        <row r="27">
          <cell r="ET27"/>
        </row>
        <row r="28">
          <cell r="ET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12">
        <row r="8">
          <cell r="ET8"/>
        </row>
        <row r="9">
          <cell r="ET9"/>
        </row>
        <row r="15">
          <cell r="EL15"/>
          <cell r="EM15"/>
          <cell r="EN15"/>
          <cell r="EO15"/>
          <cell r="EP15"/>
          <cell r="EQ15">
            <v>13</v>
          </cell>
          <cell r="ER15">
            <v>13</v>
          </cell>
          <cell r="ES15">
            <v>13</v>
          </cell>
          <cell r="ET15">
            <v>3</v>
          </cell>
        </row>
        <row r="16">
          <cell r="EL16"/>
          <cell r="EM16"/>
          <cell r="EN16"/>
          <cell r="EO16"/>
          <cell r="EP16"/>
          <cell r="EQ16">
            <v>13</v>
          </cell>
          <cell r="ER16">
            <v>13</v>
          </cell>
          <cell r="ES16">
            <v>13</v>
          </cell>
          <cell r="ET16">
            <v>3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</row>
        <row r="22">
          <cell r="ET22"/>
        </row>
        <row r="23">
          <cell r="ET23"/>
        </row>
        <row r="27">
          <cell r="ET27"/>
        </row>
        <row r="28">
          <cell r="ET28"/>
        </row>
        <row r="32">
          <cell r="EL32"/>
          <cell r="EM32"/>
          <cell r="EN32"/>
          <cell r="EO32"/>
          <cell r="EP32"/>
          <cell r="EQ32">
            <v>2622</v>
          </cell>
          <cell r="ER32">
            <v>3223</v>
          </cell>
          <cell r="ES32">
            <v>3194</v>
          </cell>
          <cell r="ET32">
            <v>678</v>
          </cell>
        </row>
        <row r="33">
          <cell r="EL33"/>
          <cell r="EM33"/>
          <cell r="EN33"/>
          <cell r="EO33"/>
          <cell r="EP33"/>
          <cell r="EQ33">
            <v>3106</v>
          </cell>
          <cell r="ER33">
            <v>2622</v>
          </cell>
          <cell r="ES33">
            <v>2859</v>
          </cell>
          <cell r="ET33">
            <v>557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</row>
        <row r="47">
          <cell r="ET47">
            <v>1259</v>
          </cell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13">
        <row r="4">
          <cell r="ET4">
            <v>5451</v>
          </cell>
        </row>
        <row r="5">
          <cell r="ET5">
            <v>5452</v>
          </cell>
        </row>
        <row r="8">
          <cell r="ET8">
            <v>1</v>
          </cell>
        </row>
        <row r="9">
          <cell r="ET9">
            <v>4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  <cell r="EP15">
            <v>273</v>
          </cell>
          <cell r="EQ15">
            <v>398</v>
          </cell>
          <cell r="ER15">
            <v>447</v>
          </cell>
          <cell r="ES15">
            <v>437</v>
          </cell>
          <cell r="ET15">
            <v>359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  <cell r="EP16">
            <v>278</v>
          </cell>
          <cell r="EQ16">
            <v>398</v>
          </cell>
          <cell r="ER16">
            <v>448</v>
          </cell>
          <cell r="ES16">
            <v>436</v>
          </cell>
          <cell r="ET16">
            <v>356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</row>
        <row r="22">
          <cell r="ET22">
            <v>730450</v>
          </cell>
        </row>
        <row r="23">
          <cell r="ET23">
            <v>727585</v>
          </cell>
        </row>
        <row r="27">
          <cell r="ET27">
            <v>26064</v>
          </cell>
        </row>
        <row r="28">
          <cell r="ET28">
            <v>26565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  <cell r="EP32">
            <v>48803</v>
          </cell>
          <cell r="EQ32">
            <v>75163</v>
          </cell>
          <cell r="ER32">
            <v>86604</v>
          </cell>
          <cell r="ES32">
            <v>82188</v>
          </cell>
          <cell r="ET32">
            <v>63426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  <cell r="EP33">
            <v>53425</v>
          </cell>
          <cell r="EQ33">
            <v>77382</v>
          </cell>
          <cell r="ER33">
            <v>77803</v>
          </cell>
          <cell r="ES33">
            <v>75458</v>
          </cell>
          <cell r="ET33">
            <v>63024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  <cell r="EP37">
            <v>1441</v>
          </cell>
          <cell r="EQ37">
            <v>1936</v>
          </cell>
          <cell r="ER37">
            <v>1924</v>
          </cell>
          <cell r="ES37">
            <v>2251</v>
          </cell>
          <cell r="ET37">
            <v>1832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  <cell r="EP38">
            <v>1228</v>
          </cell>
          <cell r="EQ38">
            <v>1900</v>
          </cell>
          <cell r="ER38">
            <v>2083</v>
          </cell>
          <cell r="ES38">
            <v>2381</v>
          </cell>
          <cell r="ET38">
            <v>1773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</row>
        <row r="47">
          <cell r="ET47">
            <v>3866768</v>
          </cell>
        </row>
        <row r="48">
          <cell r="ET48">
            <v>923232</v>
          </cell>
        </row>
        <row r="52">
          <cell r="ET52">
            <v>1734640</v>
          </cell>
        </row>
        <row r="53">
          <cell r="ET53">
            <v>1176568</v>
          </cell>
        </row>
        <row r="57">
          <cell r="ET57"/>
        </row>
        <row r="58">
          <cell r="ET58"/>
        </row>
        <row r="70">
          <cell r="ET70">
            <v>312134</v>
          </cell>
        </row>
        <row r="71">
          <cell r="ET71">
            <v>415451</v>
          </cell>
        </row>
        <row r="73">
          <cell r="ET73">
            <v>27037</v>
          </cell>
        </row>
        <row r="74">
          <cell r="ET74">
            <v>35987</v>
          </cell>
        </row>
      </sheetData>
      <sheetData sheetId="14">
        <row r="4">
          <cell r="ET4">
            <v>78</v>
          </cell>
        </row>
        <row r="5">
          <cell r="ET5">
            <v>80</v>
          </cell>
        </row>
        <row r="8">
          <cell r="ET8"/>
        </row>
        <row r="9">
          <cell r="ET9"/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</row>
        <row r="22">
          <cell r="ET22">
            <v>11812</v>
          </cell>
        </row>
        <row r="23">
          <cell r="ET23">
            <v>12285</v>
          </cell>
        </row>
        <row r="27">
          <cell r="ET27">
            <v>88</v>
          </cell>
        </row>
        <row r="28">
          <cell r="ET28">
            <v>104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15">
        <row r="4">
          <cell r="ET4"/>
        </row>
        <row r="5">
          <cell r="ET5"/>
        </row>
        <row r="8">
          <cell r="ET8"/>
        </row>
        <row r="9">
          <cell r="ET9"/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</row>
        <row r="22">
          <cell r="ET22"/>
        </row>
        <row r="23">
          <cell r="ET23"/>
        </row>
        <row r="27">
          <cell r="ET27"/>
        </row>
        <row r="28">
          <cell r="ET28"/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16">
        <row r="8">
          <cell r="ET8"/>
        </row>
        <row r="9">
          <cell r="ET9"/>
        </row>
        <row r="15">
          <cell r="EL15">
            <v>6</v>
          </cell>
          <cell r="EM15"/>
          <cell r="EN15"/>
          <cell r="EO15">
            <v>3</v>
          </cell>
          <cell r="EP15">
            <v>24</v>
          </cell>
          <cell r="EQ15">
            <v>30</v>
          </cell>
          <cell r="ER15">
            <v>32</v>
          </cell>
          <cell r="ES15">
            <v>32</v>
          </cell>
          <cell r="ET15">
            <v>26</v>
          </cell>
        </row>
        <row r="16">
          <cell r="EL16">
            <v>6</v>
          </cell>
          <cell r="EM16"/>
          <cell r="EN16"/>
          <cell r="EO16">
            <v>3</v>
          </cell>
          <cell r="EP16">
            <v>24</v>
          </cell>
          <cell r="EQ16">
            <v>30</v>
          </cell>
          <cell r="ER16">
            <v>32</v>
          </cell>
          <cell r="ES16">
            <v>32</v>
          </cell>
          <cell r="ET16">
            <v>26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</row>
        <row r="32">
          <cell r="EL32">
            <v>888</v>
          </cell>
          <cell r="EM32"/>
          <cell r="EN32"/>
          <cell r="EO32">
            <v>234</v>
          </cell>
          <cell r="EP32">
            <v>3169</v>
          </cell>
          <cell r="EQ32">
            <v>5528</v>
          </cell>
          <cell r="ER32">
            <v>6237</v>
          </cell>
          <cell r="ES32">
            <v>6306</v>
          </cell>
          <cell r="ET32">
            <v>4315</v>
          </cell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  <cell r="EQ33">
            <v>6262</v>
          </cell>
          <cell r="ER33">
            <v>7656</v>
          </cell>
          <cell r="ES33">
            <v>6964</v>
          </cell>
          <cell r="ET33">
            <v>4817</v>
          </cell>
        </row>
        <row r="37">
          <cell r="EL37">
            <v>26</v>
          </cell>
          <cell r="EM37"/>
          <cell r="EN37"/>
          <cell r="EO37">
            <v>8</v>
          </cell>
          <cell r="EP37">
            <v>36</v>
          </cell>
          <cell r="EQ37">
            <v>38</v>
          </cell>
          <cell r="ER37">
            <v>78</v>
          </cell>
          <cell r="ES37">
            <v>67</v>
          </cell>
          <cell r="ET37">
            <v>45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  <cell r="EQ38">
            <v>58</v>
          </cell>
          <cell r="ER38">
            <v>86</v>
          </cell>
          <cell r="ES38">
            <v>84</v>
          </cell>
          <cell r="ET38">
            <v>52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</row>
        <row r="47">
          <cell r="ET47">
            <v>101402</v>
          </cell>
        </row>
        <row r="48">
          <cell r="ET48"/>
        </row>
        <row r="52">
          <cell r="ET52">
            <v>800</v>
          </cell>
        </row>
        <row r="53">
          <cell r="ET53"/>
        </row>
        <row r="57">
          <cell r="ET57"/>
        </row>
        <row r="58">
          <cell r="ET58"/>
        </row>
      </sheetData>
      <sheetData sheetId="17"/>
      <sheetData sheetId="18"/>
      <sheetData sheetId="19"/>
      <sheetData sheetId="20">
        <row r="19">
          <cell r="EF19">
            <v>172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</row>
      </sheetData>
      <sheetData sheetId="21">
        <row r="4">
          <cell r="ET4">
            <v>792</v>
          </cell>
        </row>
        <row r="5">
          <cell r="ET5">
            <v>790</v>
          </cell>
        </row>
        <row r="8">
          <cell r="ET8">
            <v>2</v>
          </cell>
        </row>
        <row r="9">
          <cell r="ET9"/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</row>
        <row r="22">
          <cell r="ET22">
            <v>96924</v>
          </cell>
        </row>
        <row r="23">
          <cell r="ET23">
            <v>95703</v>
          </cell>
        </row>
        <row r="27">
          <cell r="ET27">
            <v>1290</v>
          </cell>
        </row>
        <row r="28">
          <cell r="ET28">
            <v>1320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</row>
        <row r="47">
          <cell r="ET47">
            <v>187536</v>
          </cell>
        </row>
        <row r="48">
          <cell r="ET48"/>
        </row>
        <row r="52">
          <cell r="ET52">
            <v>104285</v>
          </cell>
        </row>
        <row r="53">
          <cell r="ET53"/>
        </row>
        <row r="57">
          <cell r="ET57"/>
        </row>
        <row r="58">
          <cell r="ET58"/>
        </row>
        <row r="70">
          <cell r="ET70">
            <v>95050</v>
          </cell>
        </row>
        <row r="71">
          <cell r="ET71">
            <v>653</v>
          </cell>
        </row>
      </sheetData>
      <sheetData sheetId="22">
        <row r="4">
          <cell r="ET4">
            <v>381</v>
          </cell>
        </row>
        <row r="5">
          <cell r="ET5">
            <v>379</v>
          </cell>
        </row>
        <row r="8">
          <cell r="ET8"/>
        </row>
        <row r="9">
          <cell r="ET9"/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</row>
        <row r="22">
          <cell r="ET22">
            <v>46583</v>
          </cell>
        </row>
        <row r="23">
          <cell r="ET23">
            <v>48323</v>
          </cell>
        </row>
        <row r="27">
          <cell r="ET27">
            <v>439</v>
          </cell>
        </row>
        <row r="28">
          <cell r="ET28">
            <v>440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23">
        <row r="4">
          <cell r="ET4">
            <v>408</v>
          </cell>
        </row>
        <row r="5">
          <cell r="ET5">
            <v>408</v>
          </cell>
        </row>
        <row r="8">
          <cell r="ET8"/>
        </row>
        <row r="9">
          <cell r="ET9"/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</row>
        <row r="22">
          <cell r="ET22">
            <v>52899</v>
          </cell>
        </row>
        <row r="23">
          <cell r="ET23">
            <v>52379</v>
          </cell>
        </row>
        <row r="27">
          <cell r="ET27">
            <v>1647</v>
          </cell>
        </row>
        <row r="28">
          <cell r="ET28">
            <v>1526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</row>
        <row r="47">
          <cell r="ET47">
            <v>46295</v>
          </cell>
        </row>
        <row r="48">
          <cell r="ET48">
            <v>149914</v>
          </cell>
        </row>
        <row r="52">
          <cell r="ET52">
            <v>55080</v>
          </cell>
        </row>
        <row r="53">
          <cell r="ET53">
            <v>264373</v>
          </cell>
        </row>
        <row r="57">
          <cell r="ET57"/>
        </row>
        <row r="58">
          <cell r="ET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</row>
      </sheetData>
      <sheetData sheetId="25">
        <row r="15">
          <cell r="EL15">
            <v>89</v>
          </cell>
          <cell r="EM15">
            <v>3</v>
          </cell>
          <cell r="EN15"/>
          <cell r="EO15"/>
          <cell r="EP15"/>
          <cell r="ER15"/>
          <cell r="ES15"/>
          <cell r="ET15"/>
        </row>
        <row r="16">
          <cell r="EL16">
            <v>89</v>
          </cell>
          <cell r="EM16">
            <v>4</v>
          </cell>
          <cell r="EN16"/>
          <cell r="EO16"/>
          <cell r="EP16"/>
          <cell r="ER16"/>
          <cell r="ES16"/>
          <cell r="ET16"/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</row>
        <row r="32">
          <cell r="EL32">
            <v>3406</v>
          </cell>
          <cell r="EM32">
            <v>147</v>
          </cell>
          <cell r="EN32"/>
          <cell r="EO32"/>
          <cell r="EP32"/>
          <cell r="EQ32"/>
          <cell r="ER32"/>
          <cell r="ES32"/>
          <cell r="ET32"/>
        </row>
        <row r="33">
          <cell r="EL33">
            <v>3083</v>
          </cell>
          <cell r="EM33">
            <v>123</v>
          </cell>
          <cell r="EN33"/>
          <cell r="EO33"/>
          <cell r="EP33"/>
          <cell r="EQ33"/>
          <cell r="ER33"/>
          <cell r="ES33"/>
          <cell r="ET33"/>
        </row>
        <row r="37">
          <cell r="EL37">
            <v>23</v>
          </cell>
          <cell r="EM37">
            <v>1</v>
          </cell>
          <cell r="EN37"/>
          <cell r="EO37"/>
          <cell r="EP37"/>
          <cell r="EQ37"/>
          <cell r="ER37"/>
          <cell r="ES37"/>
          <cell r="ET37"/>
        </row>
        <row r="38">
          <cell r="EL38">
            <v>35</v>
          </cell>
          <cell r="EM38">
            <v>4</v>
          </cell>
          <cell r="EN38"/>
          <cell r="EO38"/>
          <cell r="EP38"/>
          <cell r="EQ38"/>
          <cell r="ER38"/>
          <cell r="ES38"/>
          <cell r="ET38"/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</row>
      </sheetData>
      <sheetData sheetId="26">
        <row r="8">
          <cell r="ET8">
            <v>0</v>
          </cell>
        </row>
        <row r="9">
          <cell r="ET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  <cell r="EP15">
            <v>108</v>
          </cell>
          <cell r="EQ15"/>
          <cell r="ER15">
            <v>123</v>
          </cell>
          <cell r="ES15">
            <v>123</v>
          </cell>
          <cell r="ET15">
            <v>115</v>
          </cell>
        </row>
        <row r="16">
          <cell r="EL16"/>
          <cell r="EM16">
            <v>78</v>
          </cell>
          <cell r="EN16">
            <v>90</v>
          </cell>
          <cell r="EO16">
            <v>86</v>
          </cell>
          <cell r="EP16">
            <v>108</v>
          </cell>
          <cell r="EQ16"/>
          <cell r="ER16">
            <v>123</v>
          </cell>
          <cell r="ES16">
            <v>123</v>
          </cell>
          <cell r="ET16">
            <v>115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  <cell r="EP32">
            <v>4425</v>
          </cell>
          <cell r="EQ32"/>
          <cell r="ER32">
            <v>5629</v>
          </cell>
          <cell r="ES32">
            <v>5564</v>
          </cell>
          <cell r="ET32">
            <v>4816</v>
          </cell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  <cell r="EQ33"/>
          <cell r="ER33">
            <v>5179</v>
          </cell>
          <cell r="ES33">
            <v>4976</v>
          </cell>
          <cell r="ET33">
            <v>4558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</sheetData>
      <sheetData sheetId="27">
        <row r="4">
          <cell r="ET4">
            <v>1</v>
          </cell>
        </row>
        <row r="5">
          <cell r="ET5">
            <v>1</v>
          </cell>
        </row>
        <row r="8">
          <cell r="ET8"/>
        </row>
        <row r="9">
          <cell r="ET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</row>
        <row r="22">
          <cell r="ET22">
            <v>23</v>
          </cell>
        </row>
        <row r="23">
          <cell r="ET23">
            <v>39</v>
          </cell>
        </row>
        <row r="27">
          <cell r="ET27"/>
        </row>
        <row r="28">
          <cell r="ET28">
            <v>6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</row>
        <row r="47">
          <cell r="ET47"/>
        </row>
        <row r="48">
          <cell r="ET48"/>
        </row>
        <row r="52">
          <cell r="BH52"/>
        </row>
        <row r="53">
          <cell r="ET53"/>
        </row>
        <row r="57">
          <cell r="BG57"/>
        </row>
        <row r="58">
          <cell r="BG58"/>
        </row>
      </sheetData>
      <sheetData sheetId="28">
        <row r="4">
          <cell r="ET4">
            <v>10</v>
          </cell>
        </row>
        <row r="5">
          <cell r="ET5">
            <v>10</v>
          </cell>
        </row>
        <row r="8">
          <cell r="ET8"/>
        </row>
        <row r="9">
          <cell r="ET9"/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</row>
        <row r="22">
          <cell r="ET22">
            <v>404</v>
          </cell>
        </row>
        <row r="23">
          <cell r="ET23">
            <v>350</v>
          </cell>
        </row>
        <row r="27">
          <cell r="ET27">
            <v>29</v>
          </cell>
        </row>
        <row r="28">
          <cell r="ET28">
            <v>34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29">
        <row r="4">
          <cell r="ET4">
            <v>291</v>
          </cell>
        </row>
        <row r="5">
          <cell r="ET5">
            <v>294</v>
          </cell>
        </row>
        <row r="8">
          <cell r="ET8"/>
        </row>
        <row r="9">
          <cell r="ET9"/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  <cell r="EP15">
            <v>6</v>
          </cell>
          <cell r="EQ15">
            <v>22</v>
          </cell>
          <cell r="ER15">
            <v>48</v>
          </cell>
          <cell r="ES15">
            <v>55</v>
          </cell>
          <cell r="ET15">
            <v>56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  <cell r="EP16">
            <v>6</v>
          </cell>
          <cell r="EQ16">
            <v>43</v>
          </cell>
          <cell r="ER16">
            <v>23</v>
          </cell>
          <cell r="ES16">
            <v>32</v>
          </cell>
          <cell r="ET16">
            <v>52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</row>
        <row r="22">
          <cell r="ET22">
            <v>16161</v>
          </cell>
        </row>
        <row r="23">
          <cell r="ET23">
            <v>16327</v>
          </cell>
        </row>
        <row r="27">
          <cell r="ET27">
            <v>446</v>
          </cell>
        </row>
        <row r="28">
          <cell r="ET28">
            <v>442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  <cell r="EP32">
            <v>379</v>
          </cell>
          <cell r="EQ32">
            <v>1352</v>
          </cell>
          <cell r="ER32">
            <v>3115</v>
          </cell>
          <cell r="ES32">
            <v>3483</v>
          </cell>
          <cell r="ET32">
            <v>5962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  <cell r="EP33">
            <v>381</v>
          </cell>
          <cell r="EQ33">
            <v>2616</v>
          </cell>
          <cell r="ER33">
            <v>1575</v>
          </cell>
          <cell r="ES33">
            <v>2066</v>
          </cell>
          <cell r="ET33">
            <v>2991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  <cell r="EP37">
            <v>2</v>
          </cell>
          <cell r="EQ37">
            <v>16</v>
          </cell>
          <cell r="ER37">
            <v>38</v>
          </cell>
          <cell r="ES37">
            <v>52</v>
          </cell>
          <cell r="ET37">
            <v>63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  <cell r="EP38">
            <v>4</v>
          </cell>
          <cell r="EQ38">
            <v>33</v>
          </cell>
          <cell r="ER38">
            <v>30</v>
          </cell>
          <cell r="ES38">
            <v>36</v>
          </cell>
          <cell r="ET38">
            <v>34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BG58"/>
        </row>
        <row r="70">
          <cell r="ET70">
            <v>6547</v>
          </cell>
        </row>
        <row r="71">
          <cell r="ET71">
            <v>9780</v>
          </cell>
        </row>
        <row r="73">
          <cell r="ET73">
            <v>1199</v>
          </cell>
        </row>
        <row r="74">
          <cell r="ET74">
            <v>1792</v>
          </cell>
        </row>
      </sheetData>
      <sheetData sheetId="30"/>
      <sheetData sheetId="31"/>
      <sheetData sheetId="32"/>
      <sheetData sheetId="33">
        <row r="4">
          <cell r="ET4">
            <v>693</v>
          </cell>
        </row>
        <row r="5">
          <cell r="ET5">
            <v>692</v>
          </cell>
        </row>
        <row r="8">
          <cell r="ET8"/>
        </row>
        <row r="9">
          <cell r="ET9">
            <v>1</v>
          </cell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  <cell r="EP15">
            <v>58</v>
          </cell>
          <cell r="EQ15">
            <v>26</v>
          </cell>
          <cell r="ER15">
            <v>61</v>
          </cell>
          <cell r="ES15">
            <v>61</v>
          </cell>
          <cell r="ET15">
            <v>52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  <cell r="EP16">
            <v>57</v>
          </cell>
          <cell r="EQ16">
            <v>27</v>
          </cell>
          <cell r="ER16">
            <v>62</v>
          </cell>
          <cell r="ES16">
            <v>62</v>
          </cell>
          <cell r="ET16">
            <v>52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</row>
        <row r="22">
          <cell r="ET22">
            <v>38846</v>
          </cell>
        </row>
        <row r="23">
          <cell r="ET23">
            <v>39906</v>
          </cell>
        </row>
        <row r="27">
          <cell r="ET27">
            <v>1708</v>
          </cell>
        </row>
        <row r="28">
          <cell r="ET28">
            <v>1723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  <cell r="EP32">
            <v>3981</v>
          </cell>
          <cell r="EQ32">
            <v>1511</v>
          </cell>
          <cell r="ER32">
            <v>3961</v>
          </cell>
          <cell r="ES32">
            <v>3852</v>
          </cell>
          <cell r="ET32">
            <v>3425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  <cell r="EP33">
            <v>3851</v>
          </cell>
          <cell r="EQ33">
            <v>1749</v>
          </cell>
          <cell r="ER33">
            <v>3930</v>
          </cell>
          <cell r="ES33">
            <v>3921</v>
          </cell>
          <cell r="ET33">
            <v>3404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  <cell r="EP37">
            <v>79</v>
          </cell>
          <cell r="EQ37">
            <v>35</v>
          </cell>
          <cell r="ER37">
            <v>66</v>
          </cell>
          <cell r="ES37">
            <v>48</v>
          </cell>
          <cell r="ET37">
            <v>18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  <cell r="EP38">
            <v>60</v>
          </cell>
          <cell r="EQ38">
            <v>31</v>
          </cell>
          <cell r="ER38">
            <v>47</v>
          </cell>
          <cell r="ES38">
            <v>53</v>
          </cell>
          <cell r="ET38">
            <v>25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BG58"/>
        </row>
        <row r="70">
          <cell r="BG70">
            <v>26242</v>
          </cell>
          <cell r="ET70">
            <v>15484</v>
          </cell>
        </row>
        <row r="71">
          <cell r="BG71">
            <v>44562</v>
          </cell>
          <cell r="ET71">
            <v>24422</v>
          </cell>
        </row>
        <row r="73">
          <cell r="BG73">
            <v>1540</v>
          </cell>
          <cell r="ET73">
            <v>1321</v>
          </cell>
        </row>
        <row r="74">
          <cell r="BG74">
            <v>2614</v>
          </cell>
          <cell r="ET74">
            <v>2083</v>
          </cell>
        </row>
      </sheetData>
      <sheetData sheetId="34"/>
      <sheetData sheetId="35">
        <row r="4">
          <cell r="ET4">
            <v>2</v>
          </cell>
        </row>
        <row r="5">
          <cell r="ET5">
            <v>2</v>
          </cell>
        </row>
        <row r="8">
          <cell r="ET8"/>
        </row>
        <row r="9">
          <cell r="ET9"/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</row>
        <row r="22">
          <cell r="ET22">
            <v>89</v>
          </cell>
        </row>
        <row r="23">
          <cell r="ET23">
            <v>95</v>
          </cell>
        </row>
        <row r="27">
          <cell r="ET27">
            <v>6</v>
          </cell>
        </row>
        <row r="28">
          <cell r="ET28"/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BG58"/>
        </row>
      </sheetData>
      <sheetData sheetId="36"/>
      <sheetData sheetId="37">
        <row r="4">
          <cell r="ET4">
            <v>58</v>
          </cell>
        </row>
        <row r="5">
          <cell r="ET5">
            <v>58</v>
          </cell>
        </row>
        <row r="8">
          <cell r="ET8"/>
        </row>
        <row r="9">
          <cell r="ET9"/>
        </row>
        <row r="15">
          <cell r="ET15"/>
        </row>
        <row r="16">
          <cell r="ET16"/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</row>
        <row r="22">
          <cell r="ET22">
            <v>3465</v>
          </cell>
        </row>
        <row r="23">
          <cell r="ET23">
            <v>3805</v>
          </cell>
        </row>
        <row r="27">
          <cell r="ET27">
            <v>77</v>
          </cell>
        </row>
        <row r="28">
          <cell r="ET28">
            <v>78</v>
          </cell>
        </row>
        <row r="32">
          <cell r="ET32"/>
        </row>
        <row r="33">
          <cell r="ET33"/>
        </row>
        <row r="37">
          <cell r="ET37"/>
        </row>
        <row r="38">
          <cell r="ET38"/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AJ57"/>
        </row>
        <row r="58">
          <cell r="AJ58"/>
        </row>
        <row r="70">
          <cell r="ET70">
            <v>1979</v>
          </cell>
        </row>
        <row r="71">
          <cell r="ET71">
            <v>1826</v>
          </cell>
        </row>
      </sheetData>
      <sheetData sheetId="38">
        <row r="4">
          <cell r="ET4">
            <v>1</v>
          </cell>
        </row>
        <row r="5">
          <cell r="ET5">
            <v>1</v>
          </cell>
        </row>
        <row r="8">
          <cell r="ET8"/>
        </row>
        <row r="9">
          <cell r="ET9"/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</row>
        <row r="22">
          <cell r="ET22">
            <v>70</v>
          </cell>
        </row>
        <row r="23">
          <cell r="ET23">
            <v>69</v>
          </cell>
        </row>
        <row r="27">
          <cell r="ET27"/>
        </row>
        <row r="28">
          <cell r="ET28">
            <v>1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AJ57"/>
        </row>
        <row r="58">
          <cell r="AJ58"/>
        </row>
      </sheetData>
      <sheetData sheetId="39"/>
      <sheetData sheetId="40">
        <row r="4">
          <cell r="ET4">
            <v>204</v>
          </cell>
        </row>
        <row r="5">
          <cell r="ET5">
            <v>204</v>
          </cell>
        </row>
        <row r="8">
          <cell r="ET8"/>
        </row>
        <row r="9">
          <cell r="ET9"/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</row>
        <row r="22">
          <cell r="ET22">
            <v>12341</v>
          </cell>
        </row>
        <row r="23">
          <cell r="ET23">
            <v>12135</v>
          </cell>
        </row>
        <row r="27">
          <cell r="ET27">
            <v>471</v>
          </cell>
        </row>
        <row r="28">
          <cell r="ET28">
            <v>452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41">
        <row r="4">
          <cell r="ET4"/>
        </row>
        <row r="5">
          <cell r="ET5"/>
        </row>
        <row r="8">
          <cell r="ET8"/>
        </row>
        <row r="9">
          <cell r="ET9"/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</row>
        <row r="22">
          <cell r="ET22"/>
        </row>
        <row r="23">
          <cell r="ET23"/>
        </row>
        <row r="27">
          <cell r="ET27"/>
        </row>
        <row r="28">
          <cell r="ET28"/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AJ57"/>
        </row>
        <row r="58">
          <cell r="AJ58"/>
        </row>
      </sheetData>
      <sheetData sheetId="42"/>
      <sheetData sheetId="43">
        <row r="4">
          <cell r="ET4">
            <v>1808</v>
          </cell>
        </row>
        <row r="5">
          <cell r="ET5">
            <v>1797</v>
          </cell>
        </row>
        <row r="8">
          <cell r="ET8"/>
        </row>
        <row r="9">
          <cell r="ET9">
            <v>4</v>
          </cell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  <cell r="EP15">
            <v>315</v>
          </cell>
          <cell r="EQ15">
            <v>286</v>
          </cell>
          <cell r="ER15">
            <v>242</v>
          </cell>
          <cell r="ES15">
            <v>176</v>
          </cell>
          <cell r="ET15">
            <v>161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  <cell r="EP16">
            <v>314</v>
          </cell>
          <cell r="EQ16">
            <v>283</v>
          </cell>
          <cell r="ER16">
            <v>269</v>
          </cell>
          <cell r="ES16">
            <v>198</v>
          </cell>
          <cell r="ET16">
            <v>168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</row>
        <row r="22">
          <cell r="ET22">
            <v>90711</v>
          </cell>
        </row>
        <row r="23">
          <cell r="ET23">
            <v>89171</v>
          </cell>
        </row>
        <row r="27">
          <cell r="ET27">
            <v>3302</v>
          </cell>
        </row>
        <row r="28">
          <cell r="ET28">
            <v>3129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  <cell r="EP32">
            <v>18474</v>
          </cell>
          <cell r="EQ32">
            <v>16352</v>
          </cell>
          <cell r="ER32">
            <v>15345</v>
          </cell>
          <cell r="ES32">
            <v>11241</v>
          </cell>
          <cell r="ET32">
            <v>9427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  <cell r="EP33">
            <v>20160</v>
          </cell>
          <cell r="EQ33">
            <v>16937</v>
          </cell>
          <cell r="ER33">
            <v>17101</v>
          </cell>
          <cell r="ES33">
            <v>12346</v>
          </cell>
          <cell r="ET33">
            <v>9736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  <cell r="EP37">
            <v>208</v>
          </cell>
          <cell r="EQ37">
            <v>183</v>
          </cell>
          <cell r="ER37">
            <v>183</v>
          </cell>
          <cell r="ES37">
            <v>176</v>
          </cell>
          <cell r="ET37">
            <v>149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  <cell r="EP38">
            <v>226</v>
          </cell>
          <cell r="EQ38">
            <v>228</v>
          </cell>
          <cell r="ER38">
            <v>222</v>
          </cell>
          <cell r="ES38">
            <v>206</v>
          </cell>
          <cell r="ET38">
            <v>171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  <row r="70">
          <cell r="ET70">
            <v>27197</v>
          </cell>
        </row>
        <row r="71">
          <cell r="ET71">
            <v>61974</v>
          </cell>
        </row>
        <row r="73">
          <cell r="ET73">
            <v>2969</v>
          </cell>
        </row>
        <row r="74">
          <cell r="ET74">
            <v>6767</v>
          </cell>
        </row>
      </sheetData>
      <sheetData sheetId="44">
        <row r="4">
          <cell r="ET4">
            <v>4</v>
          </cell>
        </row>
        <row r="5">
          <cell r="ET5">
            <v>4</v>
          </cell>
        </row>
        <row r="8">
          <cell r="ET8"/>
        </row>
        <row r="9">
          <cell r="ET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</row>
        <row r="22">
          <cell r="ET22">
            <v>193</v>
          </cell>
        </row>
        <row r="23">
          <cell r="ET23">
            <v>180</v>
          </cell>
        </row>
        <row r="27">
          <cell r="ET27">
            <v>14</v>
          </cell>
        </row>
        <row r="28">
          <cell r="ET28">
            <v>6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BG58"/>
        </row>
      </sheetData>
      <sheetData sheetId="45">
        <row r="4">
          <cell r="ET4">
            <v>177</v>
          </cell>
        </row>
        <row r="5">
          <cell r="ET5">
            <v>177</v>
          </cell>
        </row>
        <row r="8">
          <cell r="ET8"/>
        </row>
        <row r="9">
          <cell r="ET9"/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</row>
        <row r="22">
          <cell r="ET22">
            <v>9126</v>
          </cell>
        </row>
        <row r="23">
          <cell r="ET23">
            <v>8930</v>
          </cell>
        </row>
        <row r="27">
          <cell r="ET27">
            <v>305</v>
          </cell>
        </row>
        <row r="28">
          <cell r="ET28">
            <v>450</v>
          </cell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</row>
        <row r="47">
          <cell r="ET47">
            <v>1278</v>
          </cell>
        </row>
        <row r="48">
          <cell r="ET48"/>
        </row>
        <row r="52">
          <cell r="ET52">
            <v>156</v>
          </cell>
        </row>
        <row r="53">
          <cell r="ET53"/>
        </row>
        <row r="57">
          <cell r="ET57"/>
        </row>
        <row r="58">
          <cell r="ET58"/>
        </row>
      </sheetData>
      <sheetData sheetId="46">
        <row r="4">
          <cell r="ET4">
            <v>109</v>
          </cell>
        </row>
        <row r="5">
          <cell r="ET5">
            <v>109</v>
          </cell>
        </row>
        <row r="8">
          <cell r="ET8"/>
        </row>
        <row r="9">
          <cell r="ET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</row>
        <row r="22">
          <cell r="ET22">
            <v>6319</v>
          </cell>
        </row>
        <row r="23">
          <cell r="ET23">
            <v>6356</v>
          </cell>
        </row>
        <row r="27">
          <cell r="ET27">
            <v>214</v>
          </cell>
        </row>
        <row r="28">
          <cell r="ET28">
            <v>274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</sheetData>
      <sheetData sheetId="47"/>
      <sheetData sheetId="48">
        <row r="4">
          <cell r="ET4">
            <v>2268</v>
          </cell>
        </row>
        <row r="5">
          <cell r="ET5">
            <v>2261</v>
          </cell>
        </row>
        <row r="8">
          <cell r="ET8"/>
        </row>
        <row r="9">
          <cell r="ET9">
            <v>5</v>
          </cell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  <cell r="EP15">
            <v>150</v>
          </cell>
          <cell r="EQ15">
            <v>85</v>
          </cell>
          <cell r="ER15">
            <v>52</v>
          </cell>
          <cell r="ES15">
            <v>57</v>
          </cell>
          <cell r="ET15">
            <v>87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  <cell r="EP16">
            <v>149</v>
          </cell>
          <cell r="EQ16">
            <v>86</v>
          </cell>
          <cell r="ER16">
            <v>55</v>
          </cell>
          <cell r="ES16">
            <v>58</v>
          </cell>
          <cell r="ET16">
            <v>87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</row>
        <row r="22">
          <cell r="ET22">
            <v>91756</v>
          </cell>
        </row>
        <row r="23">
          <cell r="ET23">
            <v>91892</v>
          </cell>
        </row>
        <row r="27">
          <cell r="ET27">
            <v>2914</v>
          </cell>
        </row>
        <row r="28">
          <cell r="ET28">
            <v>2914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  <cell r="EP32">
            <v>9728</v>
          </cell>
          <cell r="EQ32">
            <v>5545</v>
          </cell>
          <cell r="ER32">
            <v>3552</v>
          </cell>
          <cell r="ES32">
            <v>3756</v>
          </cell>
          <cell r="ET32">
            <v>5962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  <cell r="EP33">
            <v>9635</v>
          </cell>
          <cell r="EQ33">
            <v>5712</v>
          </cell>
          <cell r="ER33">
            <v>3664</v>
          </cell>
          <cell r="ES33">
            <v>3842</v>
          </cell>
          <cell r="ET33">
            <v>5783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  <cell r="EP37">
            <v>98</v>
          </cell>
          <cell r="EQ37">
            <v>63</v>
          </cell>
          <cell r="ER37">
            <v>18</v>
          </cell>
          <cell r="ES37">
            <v>52</v>
          </cell>
          <cell r="ET37">
            <v>63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  <cell r="EP38">
            <v>10</v>
          </cell>
          <cell r="EQ38">
            <v>79</v>
          </cell>
          <cell r="ER38">
            <v>32</v>
          </cell>
          <cell r="ES38">
            <v>28</v>
          </cell>
          <cell r="ET38">
            <v>72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  <row r="70">
          <cell r="ET70">
            <v>23616</v>
          </cell>
        </row>
        <row r="71">
          <cell r="ET71">
            <v>68276</v>
          </cell>
        </row>
        <row r="73">
          <cell r="ET73">
            <v>1486</v>
          </cell>
        </row>
        <row r="74">
          <cell r="ET74">
            <v>4297</v>
          </cell>
        </row>
      </sheetData>
      <sheetData sheetId="49">
        <row r="4">
          <cell r="ET4">
            <v>148</v>
          </cell>
        </row>
        <row r="5">
          <cell r="ET5">
            <v>148</v>
          </cell>
        </row>
        <row r="8">
          <cell r="ET8"/>
        </row>
        <row r="9">
          <cell r="ET9"/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</row>
        <row r="22">
          <cell r="ET22">
            <v>10197</v>
          </cell>
        </row>
        <row r="23">
          <cell r="ET23">
            <v>9772</v>
          </cell>
        </row>
        <row r="27">
          <cell r="ET27">
            <v>148</v>
          </cell>
        </row>
        <row r="28">
          <cell r="ET28">
            <v>211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</row>
      </sheetData>
      <sheetData sheetId="51"/>
      <sheetData sheetId="52">
        <row r="4">
          <cell r="ET4">
            <v>30</v>
          </cell>
        </row>
        <row r="5">
          <cell r="ET5">
            <v>30</v>
          </cell>
        </row>
        <row r="8">
          <cell r="ET8">
            <v>0</v>
          </cell>
        </row>
        <row r="9">
          <cell r="ET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</row>
        <row r="22">
          <cell r="ET22">
            <v>2084</v>
          </cell>
        </row>
        <row r="23">
          <cell r="ET23">
            <v>2071</v>
          </cell>
        </row>
        <row r="27">
          <cell r="ET27">
            <v>69</v>
          </cell>
        </row>
        <row r="28">
          <cell r="ET28">
            <v>65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</row>
        <row r="47">
          <cell r="ET47">
            <v>4118</v>
          </cell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ET58"/>
        </row>
      </sheetData>
      <sheetData sheetId="53">
        <row r="4">
          <cell r="ET4">
            <v>21</v>
          </cell>
        </row>
        <row r="5">
          <cell r="ET5">
            <v>21</v>
          </cell>
        </row>
        <row r="8">
          <cell r="ET8"/>
        </row>
        <row r="9">
          <cell r="ET9"/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</row>
        <row r="22">
          <cell r="ET22">
            <v>806</v>
          </cell>
        </row>
        <row r="23">
          <cell r="ET23">
            <v>1131</v>
          </cell>
        </row>
        <row r="27">
          <cell r="ET27">
            <v>79</v>
          </cell>
        </row>
        <row r="28">
          <cell r="ET28">
            <v>68</v>
          </cell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</row>
        <row r="47">
          <cell r="ET47"/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BG58"/>
        </row>
      </sheetData>
      <sheetData sheetId="54">
        <row r="4">
          <cell r="ET4">
            <v>80</v>
          </cell>
        </row>
        <row r="5">
          <cell r="ET5">
            <v>80</v>
          </cell>
        </row>
        <row r="8">
          <cell r="ET8"/>
        </row>
        <row r="9">
          <cell r="ET9"/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</row>
        <row r="22">
          <cell r="ET22">
            <v>5300</v>
          </cell>
        </row>
        <row r="23">
          <cell r="ET23">
            <v>5172</v>
          </cell>
        </row>
        <row r="27">
          <cell r="ET27">
            <v>163</v>
          </cell>
        </row>
        <row r="28">
          <cell r="ET28">
            <v>177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</row>
        <row r="47">
          <cell r="ET47">
            <v>141</v>
          </cell>
        </row>
        <row r="48">
          <cell r="ET48"/>
        </row>
        <row r="52">
          <cell r="ET52"/>
        </row>
        <row r="53">
          <cell r="ET53"/>
        </row>
        <row r="57">
          <cell r="ET57"/>
        </row>
        <row r="58">
          <cell r="BH58"/>
        </row>
        <row r="70">
          <cell r="ET70">
            <v>2814</v>
          </cell>
        </row>
        <row r="71">
          <cell r="ET71">
            <v>2358</v>
          </cell>
        </row>
      </sheetData>
      <sheetData sheetId="55"/>
      <sheetData sheetId="56"/>
      <sheetData sheetId="57"/>
      <sheetData sheetId="58">
        <row r="4">
          <cell r="ET4"/>
        </row>
        <row r="5">
          <cell r="ET5"/>
        </row>
        <row r="15">
          <cell r="EL15"/>
          <cell r="EM15"/>
          <cell r="EN15"/>
          <cell r="EO15"/>
          <cell r="EP15"/>
          <cell r="ER15"/>
          <cell r="ES15"/>
          <cell r="ET15"/>
        </row>
        <row r="16">
          <cell r="EL16"/>
          <cell r="EM16"/>
          <cell r="EN16"/>
          <cell r="EO16"/>
          <cell r="EP16"/>
          <cell r="ER16"/>
          <cell r="ES16"/>
          <cell r="ET16"/>
        </row>
        <row r="22">
          <cell r="ET22"/>
        </row>
        <row r="23">
          <cell r="ET23"/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</row>
      </sheetData>
      <sheetData sheetId="59">
        <row r="4">
          <cell r="ET4"/>
        </row>
        <row r="5">
          <cell r="ET5"/>
        </row>
        <row r="15">
          <cell r="ET15"/>
        </row>
        <row r="16">
          <cell r="ET16"/>
        </row>
        <row r="22">
          <cell r="ET22"/>
        </row>
        <row r="23">
          <cell r="ET23"/>
        </row>
        <row r="32">
          <cell r="ET32"/>
        </row>
        <row r="33">
          <cell r="ET33"/>
        </row>
      </sheetData>
      <sheetData sheetId="60">
        <row r="15">
          <cell r="EL15"/>
          <cell r="EM15"/>
          <cell r="EN15"/>
          <cell r="EO15"/>
          <cell r="EP15"/>
          <cell r="EQ15">
            <v>2</v>
          </cell>
          <cell r="ER15"/>
          <cell r="ES15">
            <v>1</v>
          </cell>
          <cell r="ET15"/>
        </row>
        <row r="16">
          <cell r="EL16"/>
          <cell r="EM16"/>
          <cell r="EN16"/>
          <cell r="EO16"/>
          <cell r="EP16"/>
          <cell r="EQ16">
            <v>2</v>
          </cell>
          <cell r="ER16"/>
          <cell r="ES16">
            <v>1</v>
          </cell>
          <cell r="ET16"/>
        </row>
        <row r="32">
          <cell r="EL32"/>
          <cell r="EM32"/>
          <cell r="EN32"/>
          <cell r="EO32"/>
          <cell r="EP32"/>
          <cell r="EQ32">
            <v>210</v>
          </cell>
          <cell r="ER32">
            <v>159</v>
          </cell>
          <cell r="ES32">
            <v>193</v>
          </cell>
          <cell r="ET32"/>
        </row>
        <row r="33">
          <cell r="EL33"/>
          <cell r="EM33"/>
          <cell r="EN33"/>
          <cell r="EO33">
            <v>364</v>
          </cell>
          <cell r="EP33">
            <v>243</v>
          </cell>
          <cell r="EQ33">
            <v>206</v>
          </cell>
          <cell r="ER33"/>
          <cell r="ES33">
            <v>193</v>
          </cell>
          <cell r="ET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</row>
      </sheetData>
      <sheetData sheetId="61">
        <row r="4">
          <cell r="ET4">
            <v>5</v>
          </cell>
        </row>
        <row r="5">
          <cell r="ET5">
            <v>5</v>
          </cell>
        </row>
        <row r="8">
          <cell r="ET8"/>
        </row>
        <row r="9">
          <cell r="ET9">
            <v>1</v>
          </cell>
        </row>
        <row r="15">
          <cell r="EL15"/>
          <cell r="EM15"/>
          <cell r="EN15"/>
          <cell r="EO15"/>
          <cell r="EP15"/>
          <cell r="EQ15">
            <v>2</v>
          </cell>
          <cell r="ER15"/>
          <cell r="ES15"/>
          <cell r="ET15">
            <v>1</v>
          </cell>
        </row>
        <row r="16">
          <cell r="EL16"/>
          <cell r="EM16"/>
          <cell r="EN16"/>
          <cell r="EO16"/>
          <cell r="EP16"/>
          <cell r="ER16"/>
          <cell r="ES16"/>
          <cell r="ET16"/>
        </row>
        <row r="22">
          <cell r="ET22">
            <v>495</v>
          </cell>
        </row>
        <row r="23">
          <cell r="ET23">
            <v>499</v>
          </cell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</row>
      </sheetData>
      <sheetData sheetId="62"/>
      <sheetData sheetId="63"/>
      <sheetData sheetId="64">
        <row r="4">
          <cell r="ET4">
            <v>20</v>
          </cell>
        </row>
        <row r="5">
          <cell r="ET5">
            <v>20</v>
          </cell>
        </row>
        <row r="47">
          <cell r="ET47">
            <v>637365</v>
          </cell>
        </row>
        <row r="48">
          <cell r="ET48"/>
        </row>
        <row r="52">
          <cell r="ET52">
            <v>476403</v>
          </cell>
        </row>
        <row r="53">
          <cell r="ET53"/>
        </row>
        <row r="57">
          <cell r="ET57"/>
        </row>
        <row r="58">
          <cell r="ET58"/>
        </row>
      </sheetData>
      <sheetData sheetId="65">
        <row r="4">
          <cell r="ET4">
            <v>35</v>
          </cell>
        </row>
        <row r="5">
          <cell r="ET5">
            <v>35</v>
          </cell>
        </row>
        <row r="47">
          <cell r="ET47">
            <v>51763</v>
          </cell>
        </row>
        <row r="48">
          <cell r="ET48"/>
        </row>
        <row r="52">
          <cell r="ET52">
            <v>62511</v>
          </cell>
        </row>
        <row r="53">
          <cell r="ET53"/>
        </row>
        <row r="57">
          <cell r="ET57"/>
        </row>
        <row r="58">
          <cell r="ET58"/>
        </row>
      </sheetData>
      <sheetData sheetId="66"/>
      <sheetData sheetId="67">
        <row r="15">
          <cell r="ET15">
            <v>18</v>
          </cell>
        </row>
        <row r="16">
          <cell r="ET16">
            <v>18</v>
          </cell>
        </row>
        <row r="47">
          <cell r="ET47">
            <v>17861</v>
          </cell>
        </row>
        <row r="48">
          <cell r="ET48"/>
        </row>
        <row r="52">
          <cell r="ET52">
            <v>60646</v>
          </cell>
        </row>
        <row r="53">
          <cell r="ET53"/>
        </row>
        <row r="57">
          <cell r="ET57"/>
        </row>
        <row r="58">
          <cell r="ET58"/>
        </row>
      </sheetData>
      <sheetData sheetId="68">
        <row r="4">
          <cell r="ET4">
            <v>97</v>
          </cell>
        </row>
        <row r="5">
          <cell r="ET5">
            <v>97</v>
          </cell>
        </row>
        <row r="15">
          <cell r="ET15"/>
        </row>
        <row r="47">
          <cell r="ET47">
            <v>8551708</v>
          </cell>
        </row>
        <row r="48">
          <cell r="ET48"/>
        </row>
        <row r="52">
          <cell r="ET52">
            <v>8823639</v>
          </cell>
        </row>
        <row r="53">
          <cell r="ET53"/>
        </row>
        <row r="57">
          <cell r="ET57"/>
        </row>
        <row r="58">
          <cell r="ET58"/>
        </row>
      </sheetData>
      <sheetData sheetId="69">
        <row r="4">
          <cell r="ET4">
            <v>98</v>
          </cell>
        </row>
        <row r="5">
          <cell r="ET5">
            <v>98</v>
          </cell>
        </row>
        <row r="15">
          <cell r="ET15">
            <v>15</v>
          </cell>
        </row>
        <row r="16">
          <cell r="ET16">
            <v>15</v>
          </cell>
        </row>
        <row r="47">
          <cell r="ET47">
            <v>6160780</v>
          </cell>
        </row>
        <row r="48">
          <cell r="ET48">
            <v>166</v>
          </cell>
        </row>
        <row r="52">
          <cell r="ET52">
            <v>4630982</v>
          </cell>
        </row>
        <row r="53">
          <cell r="ET53">
            <v>342227</v>
          </cell>
        </row>
        <row r="57">
          <cell r="ET57"/>
        </row>
        <row r="58">
          <cell r="ET58"/>
        </row>
      </sheetData>
      <sheetData sheetId="70"/>
      <sheetData sheetId="71"/>
      <sheetData sheetId="72"/>
      <sheetData sheetId="73">
        <row r="4">
          <cell r="ET4">
            <v>261</v>
          </cell>
        </row>
        <row r="5">
          <cell r="ET5">
            <v>261</v>
          </cell>
        </row>
      </sheetData>
      <sheetData sheetId="74">
        <row r="4">
          <cell r="ET4">
            <v>22</v>
          </cell>
        </row>
        <row r="5">
          <cell r="ET5">
            <v>22</v>
          </cell>
        </row>
        <row r="47">
          <cell r="ET47">
            <v>36324</v>
          </cell>
        </row>
        <row r="48">
          <cell r="ET48"/>
        </row>
        <row r="52">
          <cell r="ET52">
            <v>31718</v>
          </cell>
        </row>
        <row r="53">
          <cell r="ET53"/>
        </row>
        <row r="57">
          <cell r="ET57"/>
        </row>
        <row r="58">
          <cell r="ET58"/>
        </row>
      </sheetData>
      <sheetData sheetId="75">
        <row r="4">
          <cell r="ET4">
            <v>21</v>
          </cell>
        </row>
        <row r="5">
          <cell r="ET5">
            <v>21</v>
          </cell>
        </row>
        <row r="47">
          <cell r="ET47">
            <v>60297</v>
          </cell>
        </row>
        <row r="48">
          <cell r="ET48"/>
        </row>
        <row r="52">
          <cell r="ET52">
            <v>155567</v>
          </cell>
        </row>
        <row r="53">
          <cell r="ET53"/>
        </row>
        <row r="57">
          <cell r="ET57"/>
        </row>
        <row r="58">
          <cell r="ET58"/>
        </row>
      </sheetData>
      <sheetData sheetId="76">
        <row r="4">
          <cell r="ET4">
            <v>22</v>
          </cell>
        </row>
        <row r="5">
          <cell r="ET5">
            <v>22</v>
          </cell>
        </row>
        <row r="8">
          <cell r="ET8"/>
        </row>
        <row r="9">
          <cell r="ET9"/>
        </row>
        <row r="47">
          <cell r="ET47">
            <v>41965</v>
          </cell>
        </row>
        <row r="48">
          <cell r="ET48"/>
        </row>
        <row r="52">
          <cell r="ET52">
            <v>32522</v>
          </cell>
        </row>
        <row r="53">
          <cell r="ET53"/>
        </row>
        <row r="57">
          <cell r="ET57"/>
        </row>
        <row r="58">
          <cell r="ET58"/>
        </row>
      </sheetData>
      <sheetData sheetId="77">
        <row r="4">
          <cell r="ET4">
            <v>69</v>
          </cell>
        </row>
        <row r="5">
          <cell r="ET5">
            <v>69</v>
          </cell>
        </row>
      </sheetData>
      <sheetData sheetId="78">
        <row r="4">
          <cell r="ET4">
            <v>995</v>
          </cell>
        </row>
        <row r="5">
          <cell r="ET5">
            <v>995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170911</v>
          </cell>
          <cell r="C23">
            <v>169553</v>
          </cell>
          <cell r="L23">
            <v>1653366</v>
          </cell>
          <cell r="M23">
            <v>1662857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Normal="100" zoomScaleSheetLayoutView="100" workbookViewId="0">
      <selection activeCell="B21" sqref="B21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9">
        <v>42614</v>
      </c>
      <c r="B2" s="17"/>
      <c r="C2" s="17"/>
      <c r="D2" s="483" t="s">
        <v>186</v>
      </c>
      <c r="E2" s="483" t="s">
        <v>181</v>
      </c>
      <c r="F2" s="8"/>
      <c r="G2" s="8"/>
      <c r="H2" s="8"/>
      <c r="I2" s="8"/>
      <c r="J2" s="23"/>
    </row>
    <row r="3" spans="1:14" ht="13.5" thickBot="1" x14ac:dyDescent="0.25">
      <c r="A3" s="395"/>
      <c r="B3" s="8" t="s">
        <v>0</v>
      </c>
      <c r="C3" s="8" t="s">
        <v>1</v>
      </c>
      <c r="D3" s="484"/>
      <c r="E3" s="485"/>
      <c r="F3" s="8" t="s">
        <v>2</v>
      </c>
      <c r="G3" s="8" t="s">
        <v>187</v>
      </c>
      <c r="H3" s="8" t="s">
        <v>178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8">
        <f>'Major Airline Stats'!I4</f>
        <v>1178217</v>
      </c>
      <c r="C5" s="300">
        <f>'Major Airline Stats'!I5</f>
        <v>1174181</v>
      </c>
      <c r="D5" s="5">
        <f>'Major Airline Stats'!I6</f>
        <v>2352398</v>
      </c>
      <c r="E5" s="9">
        <f>'[1]Monthly Summary'!D5</f>
        <v>2249577</v>
      </c>
      <c r="F5" s="39">
        <f>(D5-E5)/E5</f>
        <v>4.5706815103461675E-2</v>
      </c>
      <c r="G5" s="9">
        <f>+D5+'[2]Monthly Summary'!G5</f>
        <v>21384344</v>
      </c>
      <c r="H5" s="9">
        <f>'[1]Monthly Summary'!G5</f>
        <v>20507612</v>
      </c>
      <c r="I5" s="85">
        <f>(G5-H5)/H5</f>
        <v>4.2751540257344442E-2</v>
      </c>
      <c r="J5" s="9"/>
    </row>
    <row r="6" spans="1:14" x14ac:dyDescent="0.2">
      <c r="A6" s="67" t="s">
        <v>5</v>
      </c>
      <c r="B6" s="298">
        <f>'Regional Major'!L5</f>
        <v>317483</v>
      </c>
      <c r="C6" s="298">
        <f>'Regional Major'!L6</f>
        <v>313873</v>
      </c>
      <c r="D6" s="5">
        <f>B6+C6</f>
        <v>631356</v>
      </c>
      <c r="E6" s="9">
        <f>'[1]Monthly Summary'!D6</f>
        <v>668947</v>
      </c>
      <c r="F6" s="39">
        <f>(D6-E6)/E6</f>
        <v>-5.619428743981212E-2</v>
      </c>
      <c r="G6" s="9">
        <f>+D6+'[2]Monthly Summary'!G6</f>
        <v>6280751</v>
      </c>
      <c r="H6" s="9">
        <f>'[1]Monthly Summary'!G6</f>
        <v>6426189</v>
      </c>
      <c r="I6" s="85">
        <f>(G6-H6)/H6</f>
        <v>-2.2632076336379151E-2</v>
      </c>
      <c r="J6" s="20"/>
      <c r="K6" s="2"/>
    </row>
    <row r="7" spans="1:14" x14ac:dyDescent="0.2">
      <c r="A7" s="67" t="s">
        <v>6</v>
      </c>
      <c r="B7" s="9">
        <f>Charter!G5</f>
        <v>495</v>
      </c>
      <c r="C7" s="299">
        <f>Charter!G6</f>
        <v>499</v>
      </c>
      <c r="D7" s="5">
        <f>B7+C7</f>
        <v>994</v>
      </c>
      <c r="E7" s="9">
        <f>'[1]Monthly Summary'!D7</f>
        <v>532</v>
      </c>
      <c r="F7" s="39">
        <f>(D7-E7)/E7</f>
        <v>0.86842105263157898</v>
      </c>
      <c r="G7" s="9">
        <f>+D7+'[2]Monthly Summary'!G7</f>
        <v>4346</v>
      </c>
      <c r="H7" s="9">
        <f>'[1]Monthly Summary'!G7</f>
        <v>4286</v>
      </c>
      <c r="I7" s="85">
        <f>(G7-H7)/H7</f>
        <v>1.3999066728884742E-2</v>
      </c>
      <c r="J7" s="20"/>
      <c r="K7" s="2"/>
    </row>
    <row r="8" spans="1:14" x14ac:dyDescent="0.2">
      <c r="A8" s="70" t="s">
        <v>7</v>
      </c>
      <c r="B8" s="148">
        <f>SUM(B5:B7)</f>
        <v>1496195</v>
      </c>
      <c r="C8" s="148">
        <f>SUM(C5:C7)</f>
        <v>1488553</v>
      </c>
      <c r="D8" s="148">
        <f>SUM(D5:D7)</f>
        <v>2984748</v>
      </c>
      <c r="E8" s="148">
        <f>SUM(E5:E7)</f>
        <v>2919056</v>
      </c>
      <c r="F8" s="92">
        <f>(D8-E8)/E8</f>
        <v>2.250453571291541E-2</v>
      </c>
      <c r="G8" s="148">
        <f>SUM(G5:G7)</f>
        <v>27669441</v>
      </c>
      <c r="H8" s="148">
        <f>SUM(H5:H7)</f>
        <v>26938087</v>
      </c>
      <c r="I8" s="91">
        <f>(G8-H8)/H8</f>
        <v>2.7149440864156389E-2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1">
        <f>'Major Airline Stats'!I9+'Regional Major'!L10</f>
        <v>46656</v>
      </c>
      <c r="C10" s="301">
        <f>'Major Airline Stats'!I10+'Regional Major'!L11</f>
        <v>47546</v>
      </c>
      <c r="D10" s="120">
        <f>SUM(B10:C10)</f>
        <v>94202</v>
      </c>
      <c r="E10" s="120">
        <f>'[1]Monthly Summary'!D10</f>
        <v>87784</v>
      </c>
      <c r="F10" s="93">
        <f>(D10-E10)/E10</f>
        <v>7.3111273124943046E-2</v>
      </c>
      <c r="G10" s="9">
        <f>+D10+'[2]Monthly Summary'!G10</f>
        <v>881491</v>
      </c>
      <c r="H10" s="120">
        <f>'[1]Monthly Summary'!G10</f>
        <v>827170</v>
      </c>
      <c r="I10" s="96">
        <f>(G10-H10)/H10</f>
        <v>6.5670901991126365E-2</v>
      </c>
      <c r="J10" s="264"/>
    </row>
    <row r="11" spans="1:14" ht="15.75" thickBot="1" x14ac:dyDescent="0.3">
      <c r="A11" s="69" t="s">
        <v>15</v>
      </c>
      <c r="B11" s="278">
        <f>B10+B8</f>
        <v>1542851</v>
      </c>
      <c r="C11" s="278">
        <f>C10+C8</f>
        <v>1536099</v>
      </c>
      <c r="D11" s="278">
        <f>D10+D8</f>
        <v>3078950</v>
      </c>
      <c r="E11" s="278">
        <f>E10+E8</f>
        <v>3006840</v>
      </c>
      <c r="F11" s="94">
        <f>(D11-E11)/E11</f>
        <v>2.3981987734631706E-2</v>
      </c>
      <c r="G11" s="278">
        <f>G8+G10</f>
        <v>28550932</v>
      </c>
      <c r="H11" s="278">
        <f>H8+H10</f>
        <v>27765257</v>
      </c>
      <c r="I11" s="97">
        <f>(G11-H11)/H11</f>
        <v>2.8297054840875416E-2</v>
      </c>
      <c r="J11" s="7"/>
    </row>
    <row r="12" spans="1:14" ht="15" x14ac:dyDescent="0.25">
      <c r="A12" s="15"/>
      <c r="B12" s="124"/>
      <c r="C12" s="124"/>
      <c r="D12" s="124"/>
      <c r="E12" s="124"/>
      <c r="F12" s="280"/>
      <c r="G12" s="124"/>
      <c r="H12" s="124"/>
      <c r="I12" s="281"/>
      <c r="J12" s="7"/>
      <c r="K12" s="130"/>
    </row>
    <row r="13" spans="1:14" ht="16.5" customHeight="1" x14ac:dyDescent="0.2">
      <c r="B13" s="8"/>
      <c r="C13" s="8"/>
      <c r="D13" s="483" t="s">
        <v>186</v>
      </c>
      <c r="E13" s="483" t="s">
        <v>181</v>
      </c>
      <c r="F13" s="441"/>
      <c r="G13" s="441"/>
      <c r="H13" s="441"/>
      <c r="I13" s="441"/>
    </row>
    <row r="14" spans="1:14" ht="13.5" thickBot="1" x14ac:dyDescent="0.25">
      <c r="A14" s="16"/>
      <c r="B14" s="102" t="s">
        <v>14</v>
      </c>
      <c r="C14" s="102" t="s">
        <v>13</v>
      </c>
      <c r="D14" s="484"/>
      <c r="E14" s="485"/>
      <c r="F14" s="441" t="s">
        <v>2</v>
      </c>
      <c r="G14" s="441" t="s">
        <v>187</v>
      </c>
      <c r="H14" s="441" t="s">
        <v>178</v>
      </c>
      <c r="I14" s="441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9">
        <f>'Major Airline Stats'!I15+'Major Airline Stats'!I19</f>
        <v>9048</v>
      </c>
      <c r="C16" s="309">
        <f>'Major Airline Stats'!I16+'Major Airline Stats'!I20</f>
        <v>9050</v>
      </c>
      <c r="D16" s="47">
        <f t="shared" ref="D16:D21" si="0">SUM(B16:C16)</f>
        <v>18098</v>
      </c>
      <c r="E16" s="9">
        <f>'[1]Monthly Summary'!D16</f>
        <v>17361</v>
      </c>
      <c r="F16" s="95">
        <f t="shared" ref="F16:F22" si="1">(D16-E16)/E16</f>
        <v>4.2451471689418811E-2</v>
      </c>
      <c r="G16" s="9">
        <f>+D16+'[2]Monthly Summary'!G16</f>
        <v>161637</v>
      </c>
      <c r="H16" s="9">
        <f>'[1]Monthly Summary'!G16</f>
        <v>155164</v>
      </c>
      <c r="I16" s="262">
        <f t="shared" ref="I16:I22" si="2">(G16-H16)/H16</f>
        <v>4.1717150885514684E-2</v>
      </c>
      <c r="N16" s="130"/>
    </row>
    <row r="17" spans="1:12" x14ac:dyDescent="0.2">
      <c r="A17" s="68" t="s">
        <v>5</v>
      </c>
      <c r="B17" s="47">
        <f>'Regional Major'!L15+'Regional Major'!L18</f>
        <v>6376</v>
      </c>
      <c r="C17" s="47">
        <f>'Regional Major'!L16+'Regional Major'!L19</f>
        <v>6373</v>
      </c>
      <c r="D17" s="47">
        <f>SUM(B17:C17)</f>
        <v>12749</v>
      </c>
      <c r="E17" s="9">
        <f>'[1]Monthly Summary'!D17</f>
        <v>12754</v>
      </c>
      <c r="F17" s="95">
        <f t="shared" si="1"/>
        <v>-3.9203387172651716E-4</v>
      </c>
      <c r="G17" s="9">
        <f>+D17+'[2]Monthly Summary'!G17</f>
        <v>122176</v>
      </c>
      <c r="H17" s="9">
        <f>'[1]Monthly Summary'!G17</f>
        <v>123588</v>
      </c>
      <c r="I17" s="262">
        <f t="shared" si="2"/>
        <v>-1.1425057448943263E-2</v>
      </c>
    </row>
    <row r="18" spans="1:12" x14ac:dyDescent="0.2">
      <c r="A18" s="68" t="s">
        <v>10</v>
      </c>
      <c r="B18" s="47">
        <f>Charter!G10</f>
        <v>6</v>
      </c>
      <c r="C18" s="47">
        <f>Charter!G11</f>
        <v>6</v>
      </c>
      <c r="D18" s="47">
        <f t="shared" si="0"/>
        <v>12</v>
      </c>
      <c r="E18" s="9">
        <f>'[1]Monthly Summary'!D18</f>
        <v>5</v>
      </c>
      <c r="F18" s="95">
        <f t="shared" si="1"/>
        <v>1.4</v>
      </c>
      <c r="G18" s="9">
        <f>+D18+'[2]Monthly Summary'!G18</f>
        <v>58</v>
      </c>
      <c r="H18" s="9">
        <f>'[1]Monthly Summary'!G18</f>
        <v>65</v>
      </c>
      <c r="I18" s="262">
        <f t="shared" si="2"/>
        <v>-0.1076923076923077</v>
      </c>
    </row>
    <row r="19" spans="1:12" x14ac:dyDescent="0.2">
      <c r="A19" s="68" t="s">
        <v>11</v>
      </c>
      <c r="B19" s="47">
        <f>Cargo!M4</f>
        <v>609</v>
      </c>
      <c r="C19" s="47">
        <f>Cargo!M5</f>
        <v>609</v>
      </c>
      <c r="D19" s="47">
        <f t="shared" si="0"/>
        <v>1218</v>
      </c>
      <c r="E19" s="9">
        <f>'[1]Monthly Summary'!D19</f>
        <v>1037</v>
      </c>
      <c r="F19" s="95">
        <f t="shared" si="1"/>
        <v>0.17454194792671165</v>
      </c>
      <c r="G19" s="9">
        <f>+D19+'[2]Monthly Summary'!G19</f>
        <v>10358</v>
      </c>
      <c r="H19" s="9">
        <f>'[1]Monthly Summary'!G19</f>
        <v>9359</v>
      </c>
      <c r="I19" s="262">
        <f t="shared" si="2"/>
        <v>0.10674217330911422</v>
      </c>
    </row>
    <row r="20" spans="1:12" x14ac:dyDescent="0.2">
      <c r="A20" s="68" t="s">
        <v>159</v>
      </c>
      <c r="B20" s="47">
        <f>'[3]General Avation'!$ET$4</f>
        <v>995</v>
      </c>
      <c r="C20" s="47">
        <f>'[3]General Avation'!$ET$5</f>
        <v>995</v>
      </c>
      <c r="D20" s="47">
        <f t="shared" si="0"/>
        <v>1990</v>
      </c>
      <c r="E20" s="9">
        <f>'[1]Monthly Summary'!D20</f>
        <v>1926</v>
      </c>
      <c r="F20" s="95">
        <f t="shared" si="1"/>
        <v>3.3229491173416406E-2</v>
      </c>
      <c r="G20" s="9">
        <f>+D20+'[2]Monthly Summary'!G20</f>
        <v>17206.5</v>
      </c>
      <c r="H20" s="9">
        <f>'[1]Monthly Summary'!G20</f>
        <v>16871</v>
      </c>
      <c r="I20" s="262">
        <f t="shared" si="2"/>
        <v>1.9886195246280599E-2</v>
      </c>
    </row>
    <row r="21" spans="1:12" ht="12.75" customHeight="1" x14ac:dyDescent="0.2">
      <c r="A21" s="68" t="s">
        <v>12</v>
      </c>
      <c r="B21" s="18">
        <f>'[3]Military '!$ET$4</f>
        <v>69</v>
      </c>
      <c r="C21" s="18">
        <f>'[3]Military '!$ET$5</f>
        <v>69</v>
      </c>
      <c r="D21" s="18">
        <f t="shared" si="0"/>
        <v>138</v>
      </c>
      <c r="E21" s="120">
        <f>'[1]Monthly Summary'!D21</f>
        <v>108</v>
      </c>
      <c r="F21" s="260">
        <f t="shared" si="1"/>
        <v>0.27777777777777779</v>
      </c>
      <c r="G21" s="476">
        <f>+D21+'[2]Monthly Summary'!G21</f>
        <v>1009</v>
      </c>
      <c r="H21" s="120">
        <f>'[1]Monthly Summary'!G21</f>
        <v>1002</v>
      </c>
      <c r="I21" s="263">
        <f t="shared" si="2"/>
        <v>6.9860279441117763E-3</v>
      </c>
    </row>
    <row r="22" spans="1:12" ht="15.75" thickBot="1" x14ac:dyDescent="0.3">
      <c r="A22" s="69" t="s">
        <v>31</v>
      </c>
      <c r="B22" s="279">
        <f>SUM(B16:B21)</f>
        <v>17103</v>
      </c>
      <c r="C22" s="279">
        <f>SUM(C16:C21)</f>
        <v>17102</v>
      </c>
      <c r="D22" s="279">
        <f>SUM(D16:D21)</f>
        <v>34205</v>
      </c>
      <c r="E22" s="279">
        <f>SUM(E16:E21)</f>
        <v>33191</v>
      </c>
      <c r="F22" s="275">
        <f t="shared" si="1"/>
        <v>3.0550450423307524E-2</v>
      </c>
      <c r="G22" s="279">
        <f>SUM(G16:G21)</f>
        <v>312444.5</v>
      </c>
      <c r="H22" s="279">
        <f>SUM(H16:H21)</f>
        <v>306049</v>
      </c>
      <c r="I22" s="276">
        <f t="shared" si="2"/>
        <v>2.0896980548866358E-2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3" t="s">
        <v>186</v>
      </c>
      <c r="E24" s="483" t="s">
        <v>181</v>
      </c>
      <c r="F24" s="441"/>
      <c r="G24" s="441"/>
      <c r="H24" s="441"/>
      <c r="I24" s="441"/>
    </row>
    <row r="25" spans="1:12" ht="13.5" thickBot="1" x14ac:dyDescent="0.25">
      <c r="B25" s="8" t="s">
        <v>0</v>
      </c>
      <c r="C25" s="8" t="s">
        <v>1</v>
      </c>
      <c r="D25" s="484"/>
      <c r="E25" s="485"/>
      <c r="F25" s="441" t="s">
        <v>2</v>
      </c>
      <c r="G25" s="441" t="s">
        <v>187</v>
      </c>
      <c r="H25" s="441" t="s">
        <v>178</v>
      </c>
      <c r="I25" s="441" t="s">
        <v>2</v>
      </c>
    </row>
    <row r="26" spans="1:12" ht="15" x14ac:dyDescent="0.25">
      <c r="A26" s="65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9153.9807312130106</v>
      </c>
      <c r="C27" s="22">
        <f>(Cargo!M21+'Major Airline Stats'!I33+'Regional Major'!L30)*0.00045359237</f>
        <v>7432.1096216728902</v>
      </c>
      <c r="D27" s="22">
        <f>(SUM(B27:C27)+('Cargo Summary'!E17*0.00045359237))</f>
        <v>16586.090352885902</v>
      </c>
      <c r="E27" s="9">
        <f>'[1]Monthly Summary'!D27</f>
        <v>15259.938670042218</v>
      </c>
      <c r="F27" s="98">
        <f>(D27-E27)/E27</f>
        <v>8.6904129270659408E-2</v>
      </c>
      <c r="G27" s="9">
        <f>+D27+'[2]Monthly Summary'!G27</f>
        <v>138340.8615957314</v>
      </c>
      <c r="H27" s="9">
        <f>'[1]Monthly Summary'!G27</f>
        <v>134432.12777680071</v>
      </c>
      <c r="I27" s="100">
        <f>(G27-H27)/H27</f>
        <v>2.9075890440567957E-2</v>
      </c>
    </row>
    <row r="28" spans="1:12" x14ac:dyDescent="0.2">
      <c r="A28" s="62" t="s">
        <v>18</v>
      </c>
      <c r="B28" s="22">
        <f>(Cargo!M17+'Major Airline Stats'!I29+'Regional Major'!L26)*0.00045359237</f>
        <v>636.46675222053</v>
      </c>
      <c r="C28" s="22">
        <f>(Cargo!M22+'Major Airline Stats'!I34+'Regional Major'!L31)*0.00045359237</f>
        <v>1005.7195177198399</v>
      </c>
      <c r="D28" s="22">
        <f>SUM(B28:C28)</f>
        <v>1642.18626994037</v>
      </c>
      <c r="E28" s="9">
        <f>'[1]Monthly Summary'!D28</f>
        <v>1152.8970876061098</v>
      </c>
      <c r="F28" s="98">
        <f>(D28-E28)/E28</f>
        <v>0.4243997036632528</v>
      </c>
      <c r="G28" s="9">
        <f>+D28+'[2]Monthly Summary'!G28</f>
        <v>10421.615163656794</v>
      </c>
      <c r="H28" s="9">
        <f>'[1]Monthly Summary'!G28</f>
        <v>11871.817308148489</v>
      </c>
      <c r="I28" s="100">
        <f>(G28-H28)/H28</f>
        <v>-0.12215502537225843</v>
      </c>
    </row>
    <row r="29" spans="1:12" ht="15.75" thickBot="1" x14ac:dyDescent="0.3">
      <c r="A29" s="63" t="s">
        <v>66</v>
      </c>
      <c r="B29" s="54">
        <f>SUM(B27:B28)</f>
        <v>9790.4474834335415</v>
      </c>
      <c r="C29" s="54">
        <f>SUM(C27:C28)</f>
        <v>8437.8291393927302</v>
      </c>
      <c r="D29" s="54">
        <f>SUM(D27:D28)</f>
        <v>18228.27662282627</v>
      </c>
      <c r="E29" s="54">
        <f>SUM(E27:E28)</f>
        <v>16412.835757648329</v>
      </c>
      <c r="F29" s="99">
        <f>(D29-E29)/E29</f>
        <v>0.11061104199083645</v>
      </c>
      <c r="G29" s="54">
        <f>SUM(G27:G28)</f>
        <v>148762.4767593882</v>
      </c>
      <c r="H29" s="54">
        <f>SUM(H27:H28)</f>
        <v>146303.9450849492</v>
      </c>
      <c r="I29" s="101">
        <f>(G29-H29)/H29</f>
        <v>1.6804274642160132E-2</v>
      </c>
    </row>
    <row r="30" spans="1:12" s="7" customFormat="1" ht="4.5" customHeight="1" thickBot="1" x14ac:dyDescent="0.3">
      <c r="A30" s="59"/>
      <c r="B30" s="397"/>
      <c r="C30" s="397"/>
      <c r="D30" s="397"/>
      <c r="E30" s="397"/>
      <c r="F30" s="280"/>
      <c r="G30" s="397"/>
      <c r="H30" s="397"/>
      <c r="I30" s="280"/>
    </row>
    <row r="31" spans="1:12" ht="13.5" thickBot="1" x14ac:dyDescent="0.25">
      <c r="B31" s="482" t="s">
        <v>155</v>
      </c>
      <c r="C31" s="481"/>
      <c r="D31" s="482" t="s">
        <v>162</v>
      </c>
      <c r="E31" s="481"/>
      <c r="F31" s="420"/>
      <c r="G31" s="421"/>
      <c r="H31" s="419"/>
      <c r="I31" s="419"/>
    </row>
    <row r="32" spans="1:12" x14ac:dyDescent="0.2">
      <c r="A32" s="401" t="s">
        <v>156</v>
      </c>
      <c r="B32" s="402">
        <f>C8-B33</f>
        <v>843671</v>
      </c>
      <c r="C32" s="403">
        <f>B32/C8</f>
        <v>0.56677256369104756</v>
      </c>
      <c r="D32" s="404">
        <f>+B32+'[2]Monthly Summary'!$D$32</f>
        <v>7886519</v>
      </c>
      <c r="E32" s="405">
        <f>+D32/D34</f>
        <v>0.57163758097968143</v>
      </c>
      <c r="G32" s="428"/>
      <c r="H32" s="419"/>
      <c r="I32" s="418"/>
    </row>
    <row r="33" spans="1:14" ht="13.5" thickBot="1" x14ac:dyDescent="0.25">
      <c r="A33" s="406" t="s">
        <v>157</v>
      </c>
      <c r="B33" s="407">
        <f>'Major Airline Stats'!I51+'Regional Major'!L45</f>
        <v>644882</v>
      </c>
      <c r="C33" s="408">
        <f>+B33/C8</f>
        <v>0.43322743630895238</v>
      </c>
      <c r="D33" s="409">
        <f>+B33+'[2]Monthly Summary'!$D$33</f>
        <v>5909843</v>
      </c>
      <c r="E33" s="410">
        <f>+D33/D34</f>
        <v>0.42836241902031852</v>
      </c>
      <c r="G33" s="419"/>
      <c r="H33" s="419"/>
      <c r="I33" s="418"/>
    </row>
    <row r="34" spans="1:14" ht="13.5" thickBot="1" x14ac:dyDescent="0.25">
      <c r="B34" s="313"/>
      <c r="D34" s="411">
        <f>SUM(D32:D33)</f>
        <v>13796362</v>
      </c>
    </row>
    <row r="35" spans="1:14" ht="13.5" thickBot="1" x14ac:dyDescent="0.25">
      <c r="B35" s="480" t="s">
        <v>221</v>
      </c>
      <c r="C35" s="481"/>
      <c r="D35" s="482" t="s">
        <v>188</v>
      </c>
      <c r="E35" s="481"/>
    </row>
    <row r="36" spans="1:14" x14ac:dyDescent="0.2">
      <c r="A36" s="401" t="s">
        <v>156</v>
      </c>
      <c r="B36" s="402">
        <f>'[1]Monthly Summary'!$B$32</f>
        <v>769368</v>
      </c>
      <c r="C36" s="403">
        <f>+B36/B38</f>
        <v>0.52572927984256168</v>
      </c>
      <c r="D36" s="404">
        <f>'[1]Monthly Summary'!$D$32</f>
        <v>7326338</v>
      </c>
      <c r="E36" s="405">
        <f>+D36/D38</f>
        <v>0.54558422963464004</v>
      </c>
    </row>
    <row r="37" spans="1:14" ht="13.5" thickBot="1" x14ac:dyDescent="0.25">
      <c r="A37" s="406" t="s">
        <v>157</v>
      </c>
      <c r="B37" s="407">
        <f>'[1]Monthly Summary'!$B$33</f>
        <v>694062</v>
      </c>
      <c r="C37" s="410">
        <f>+B37/B38</f>
        <v>0.47427072015743837</v>
      </c>
      <c r="D37" s="409">
        <f>'[1]Monthly Summary'!$D$33</f>
        <v>6102089</v>
      </c>
      <c r="E37" s="410">
        <f>+D37/D38</f>
        <v>0.45441577036536002</v>
      </c>
    </row>
    <row r="38" spans="1:14" x14ac:dyDescent="0.2">
      <c r="B38" s="427">
        <f>+SUM(B36:B37)</f>
        <v>1463430</v>
      </c>
      <c r="D38" s="411">
        <f>SUM(D36:D37)</f>
        <v>13428427</v>
      </c>
    </row>
    <row r="39" spans="1:14" x14ac:dyDescent="0.2">
      <c r="A39" s="415" t="s">
        <v>158</v>
      </c>
    </row>
    <row r="40" spans="1:14" x14ac:dyDescent="0.2">
      <c r="A40" s="229" t="s">
        <v>160</v>
      </c>
      <c r="I40" s="2"/>
    </row>
    <row r="41" spans="1:14" x14ac:dyDescent="0.2">
      <c r="N41" s="416"/>
    </row>
    <row r="42" spans="1:14" x14ac:dyDescent="0.2">
      <c r="G42" s="2"/>
      <c r="N42" s="416"/>
    </row>
    <row r="43" spans="1:14" x14ac:dyDescent="0.2">
      <c r="J43" s="2"/>
      <c r="N43" s="416"/>
    </row>
    <row r="44" spans="1:14" x14ac:dyDescent="0.2">
      <c r="N44" s="416"/>
    </row>
    <row r="45" spans="1:14" x14ac:dyDescent="0.2">
      <c r="J45" s="2"/>
      <c r="N45" s="416"/>
    </row>
    <row r="46" spans="1:14" x14ac:dyDescent="0.2">
      <c r="B46" s="2"/>
      <c r="F46" s="313"/>
    </row>
    <row r="47" spans="1:14" x14ac:dyDescent="0.2">
      <c r="N47" s="416"/>
    </row>
    <row r="51" spans="12:12" x14ac:dyDescent="0.2">
      <c r="L51" s="417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708"/>
  <sheetViews>
    <sheetView topLeftCell="A31" zoomScaleNormal="100" zoomScaleSheetLayoutView="85" workbookViewId="0">
      <selection activeCell="N52" sqref="N52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11" customWidth="1"/>
  </cols>
  <sheetData>
    <row r="1" spans="1:20" s="224" customFormat="1" ht="26.25" thickBot="1" x14ac:dyDescent="0.25">
      <c r="A1" s="518" t="s">
        <v>140</v>
      </c>
      <c r="B1" s="519"/>
      <c r="C1" s="265" t="s">
        <v>191</v>
      </c>
      <c r="D1" s="266" t="s">
        <v>145</v>
      </c>
      <c r="E1" s="267" t="s">
        <v>174</v>
      </c>
      <c r="F1" s="269" t="s">
        <v>102</v>
      </c>
      <c r="G1" s="268" t="s">
        <v>192</v>
      </c>
      <c r="H1" s="267" t="s">
        <v>175</v>
      </c>
      <c r="I1" s="269" t="s">
        <v>103</v>
      </c>
      <c r="J1" s="525" t="s">
        <v>144</v>
      </c>
      <c r="K1" s="526"/>
      <c r="L1" s="270" t="s">
        <v>193</v>
      </c>
      <c r="M1" s="388" t="s">
        <v>147</v>
      </c>
      <c r="N1" s="271" t="s">
        <v>176</v>
      </c>
      <c r="O1" s="347" t="s">
        <v>103</v>
      </c>
      <c r="P1" s="272" t="s">
        <v>194</v>
      </c>
      <c r="Q1" s="272" t="s">
        <v>177</v>
      </c>
      <c r="R1" s="273" t="s">
        <v>103</v>
      </c>
    </row>
    <row r="2" spans="1:20" s="224" customFormat="1" ht="13.5" thickBot="1" x14ac:dyDescent="0.25">
      <c r="A2" s="520">
        <v>42614</v>
      </c>
      <c r="B2" s="521"/>
      <c r="C2" s="522" t="s">
        <v>9</v>
      </c>
      <c r="D2" s="523"/>
      <c r="E2" s="523"/>
      <c r="F2" s="523"/>
      <c r="G2" s="523"/>
      <c r="H2" s="523"/>
      <c r="I2" s="524"/>
      <c r="J2" s="520">
        <v>42614</v>
      </c>
      <c r="K2" s="521"/>
      <c r="L2" s="515" t="s">
        <v>146</v>
      </c>
      <c r="M2" s="516"/>
      <c r="N2" s="516"/>
      <c r="O2" s="516"/>
      <c r="P2" s="516"/>
      <c r="Q2" s="516"/>
      <c r="R2" s="517"/>
    </row>
    <row r="3" spans="1:20" x14ac:dyDescent="0.2">
      <c r="A3" s="348"/>
      <c r="B3" s="349"/>
      <c r="C3" s="350"/>
      <c r="D3" s="351"/>
      <c r="E3" s="352"/>
      <c r="F3" s="353"/>
      <c r="G3" s="422"/>
      <c r="H3" s="423"/>
      <c r="I3" s="353"/>
      <c r="J3" s="354"/>
      <c r="K3" s="349"/>
      <c r="L3" s="350"/>
      <c r="M3" s="351"/>
      <c r="N3" s="352"/>
      <c r="O3" s="353"/>
      <c r="P3" s="355"/>
      <c r="Q3" s="355"/>
      <c r="R3" s="349"/>
    </row>
    <row r="4" spans="1:20" ht="14.1" customHeight="1" x14ac:dyDescent="0.2">
      <c r="A4" s="356" t="s">
        <v>105</v>
      </c>
      <c r="B4" s="55"/>
      <c r="C4" s="357">
        <f>SUM(C5:C7)</f>
        <v>230</v>
      </c>
      <c r="D4" s="358">
        <f>C4/$C$64</f>
        <v>7.4561545693260286E-3</v>
      </c>
      <c r="E4" s="359">
        <f>SUM(E5:E7)</f>
        <v>172</v>
      </c>
      <c r="F4" s="360">
        <f>(C4-E4)/E4</f>
        <v>0.33720930232558138</v>
      </c>
      <c r="G4" s="357">
        <f>SUM(G5:G7)</f>
        <v>1632</v>
      </c>
      <c r="H4" s="359">
        <f>SUM(H5:H7)</f>
        <v>1592</v>
      </c>
      <c r="I4" s="360">
        <f>(G4-H4)/H4</f>
        <v>2.5125628140703519E-2</v>
      </c>
      <c r="J4" s="356" t="s">
        <v>105</v>
      </c>
      <c r="K4" s="55"/>
      <c r="L4" s="357">
        <f>SUM(L5:L7)</f>
        <v>9374</v>
      </c>
      <c r="M4" s="358">
        <f>L4/$L$64</f>
        <v>3.1416799106092526E-3</v>
      </c>
      <c r="N4" s="359">
        <f>SUM(N5:N7)</f>
        <v>7670</v>
      </c>
      <c r="O4" s="360">
        <f>(L4-N4)/N4</f>
        <v>0.22216427640156453</v>
      </c>
      <c r="P4" s="357">
        <f>SUM(P5:P7)</f>
        <v>66739</v>
      </c>
      <c r="Q4" s="359">
        <f>SUM(Q5:Q7)</f>
        <v>68981</v>
      </c>
      <c r="R4" s="360">
        <f>(P4-Q4)/Q4</f>
        <v>-3.2501703367593976E-2</v>
      </c>
      <c r="T4" s="20"/>
    </row>
    <row r="5" spans="1:20" ht="14.1" customHeight="1" x14ac:dyDescent="0.2">
      <c r="A5" s="356"/>
      <c r="B5" s="442" t="s">
        <v>105</v>
      </c>
      <c r="C5" s="361">
        <v>0</v>
      </c>
      <c r="D5" s="39">
        <f>C5/$C$64</f>
        <v>0</v>
      </c>
      <c r="E5" s="9">
        <v>0</v>
      </c>
      <c r="F5" s="86" t="e">
        <f>(C5-E5)/E5</f>
        <v>#DIV/0!</v>
      </c>
      <c r="G5" s="299">
        <v>0</v>
      </c>
      <c r="H5" s="299">
        <v>0</v>
      </c>
      <c r="I5" s="451" t="e">
        <f>(G5-H5)/H5</f>
        <v>#DIV/0!</v>
      </c>
      <c r="J5" s="356"/>
      <c r="K5" s="442" t="s">
        <v>105</v>
      </c>
      <c r="L5" s="449">
        <v>0</v>
      </c>
      <c r="M5" s="450">
        <f>L5/$L$64</f>
        <v>0</v>
      </c>
      <c r="N5" s="299">
        <v>0</v>
      </c>
      <c r="O5" s="451" t="e">
        <f>(L5-N5)/N5</f>
        <v>#DIV/0!</v>
      </c>
      <c r="P5" s="299">
        <v>0</v>
      </c>
      <c r="Q5" s="299">
        <v>0</v>
      </c>
      <c r="R5" s="451" t="e">
        <f>(P5-Q5)/Q5</f>
        <v>#DIV/0!</v>
      </c>
      <c r="T5" s="20"/>
    </row>
    <row r="6" spans="1:20" ht="14.1" customHeight="1" x14ac:dyDescent="0.2">
      <c r="A6" s="356"/>
      <c r="B6" s="442" t="s">
        <v>195</v>
      </c>
      <c r="C6" s="449">
        <f>'[3]Jazz Air'!$ET$19</f>
        <v>0</v>
      </c>
      <c r="D6" s="450">
        <f>C6/$C$64</f>
        <v>0</v>
      </c>
      <c r="E6" s="299">
        <f>[3]AirCanada!$EF$19</f>
        <v>172</v>
      </c>
      <c r="F6" s="451">
        <f>(C6-E6)/E6</f>
        <v>-1</v>
      </c>
      <c r="G6" s="299">
        <f>SUM('[3]Jazz Air'!$EL$19:$ET$19)</f>
        <v>185</v>
      </c>
      <c r="H6" s="299">
        <f>SUM('[3]Jazz Air'!$DX$19:$EF$19)</f>
        <v>1592</v>
      </c>
      <c r="I6" s="451">
        <f>(G6-H6)/H6</f>
        <v>-0.88379396984924619</v>
      </c>
      <c r="J6" s="452"/>
      <c r="K6" s="442" t="s">
        <v>195</v>
      </c>
      <c r="L6" s="449">
        <f>'[3]Jazz Air'!$ET$41</f>
        <v>0</v>
      </c>
      <c r="M6" s="450">
        <f>L6/$L$64</f>
        <v>0</v>
      </c>
      <c r="N6" s="299">
        <f>[3]AirCanada!$EF$41</f>
        <v>7670</v>
      </c>
      <c r="O6" s="451">
        <f>(L6-N6)/N6</f>
        <v>-1</v>
      </c>
      <c r="P6" s="299">
        <f>SUM('[3]Jazz Air'!$EL$41:$ET$41)</f>
        <v>6759</v>
      </c>
      <c r="Q6" s="299">
        <f>SUM([3]AirCanada!$DX$41:$EF$41)</f>
        <v>68981</v>
      </c>
      <c r="R6" s="451">
        <f>(P6-Q6)/Q6</f>
        <v>-0.90201649729635702</v>
      </c>
      <c r="T6" s="20"/>
    </row>
    <row r="7" spans="1:20" ht="14.1" customHeight="1" x14ac:dyDescent="0.2">
      <c r="A7" s="356"/>
      <c r="B7" s="442" t="s">
        <v>196</v>
      </c>
      <c r="C7" s="361">
        <f>'[3]Air Georgian'!$ET$19</f>
        <v>230</v>
      </c>
      <c r="D7" s="39">
        <f>C7/$C$64</f>
        <v>7.4561545693260286E-3</v>
      </c>
      <c r="E7" s="9">
        <f>'[3]Air Georgian'!$EF$19</f>
        <v>0</v>
      </c>
      <c r="F7" s="86" t="e">
        <f>(C7-E7)/E7</f>
        <v>#DIV/0!</v>
      </c>
      <c r="G7" s="299">
        <f>SUM('[3]Air Georgian'!$EL$19:$ET$19)</f>
        <v>1447</v>
      </c>
      <c r="H7" s="299">
        <f>SUM('[3]Air Georgian'!$DX$19:$EF$19)</f>
        <v>0</v>
      </c>
      <c r="I7" s="451" t="e">
        <f>(G7-H7)/H7</f>
        <v>#DIV/0!</v>
      </c>
      <c r="J7" s="356"/>
      <c r="K7" s="442" t="s">
        <v>196</v>
      </c>
      <c r="L7" s="361">
        <f>'[3]Air Georgian'!$ET$41</f>
        <v>9374</v>
      </c>
      <c r="M7" s="39">
        <f>L7/$L$64</f>
        <v>3.1416799106092526E-3</v>
      </c>
      <c r="N7" s="9">
        <f>'[3]Air Georgian'!$EF$41</f>
        <v>0</v>
      </c>
      <c r="O7" s="86" t="e">
        <f>(L7-N7)/N7</f>
        <v>#DIV/0!</v>
      </c>
      <c r="P7" s="9">
        <f>SUM('[3]Air Georgian'!$EL$41:$ET$41)</f>
        <v>59980</v>
      </c>
      <c r="Q7" s="9">
        <f>SUM('[3]Air Georgian'!$DX$41:$EF$41)</f>
        <v>0</v>
      </c>
      <c r="R7" s="86" t="e">
        <f>(P7-Q7)/Q7</f>
        <v>#DIV/0!</v>
      </c>
      <c r="T7" s="20"/>
    </row>
    <row r="8" spans="1:20" ht="14.1" customHeight="1" x14ac:dyDescent="0.2">
      <c r="A8" s="356"/>
      <c r="B8" s="55"/>
      <c r="C8" s="357"/>
      <c r="D8" s="358"/>
      <c r="E8" s="359"/>
      <c r="F8" s="360"/>
      <c r="G8" s="359"/>
      <c r="H8" s="359"/>
      <c r="I8" s="360"/>
      <c r="J8" s="356"/>
      <c r="K8" s="55"/>
      <c r="L8" s="361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6" t="s">
        <v>217</v>
      </c>
      <c r="B9" s="55"/>
      <c r="C9" s="357">
        <f>'[3]Air Choice One'!$ET$19</f>
        <v>44</v>
      </c>
      <c r="D9" s="358">
        <f t="shared" ref="D9" si="0">C9/$C$64</f>
        <v>1.4263947871754141E-3</v>
      </c>
      <c r="E9" s="359">
        <f>'[3]Air Choice One'!$EF$19</f>
        <v>0</v>
      </c>
      <c r="F9" s="360" t="e">
        <f t="shared" ref="F9" si="1">(C9-E9)/E9</f>
        <v>#DIV/0!</v>
      </c>
      <c r="G9" s="359">
        <f>SUM('[3]Air Choice One'!$EL$19:$ET$19)</f>
        <v>176</v>
      </c>
      <c r="H9" s="359">
        <f>SUM('[3]Air Choice One'!$DX$19:$EF$19)</f>
        <v>0</v>
      </c>
      <c r="I9" s="360" t="e">
        <f t="shared" ref="I9" si="2">(G9-H9)/H9</f>
        <v>#DIV/0!</v>
      </c>
      <c r="J9" s="356" t="s">
        <v>217</v>
      </c>
      <c r="K9" s="55"/>
      <c r="L9" s="357">
        <f>'[3]Air Choice One'!$ET$41</f>
        <v>251</v>
      </c>
      <c r="M9" s="358">
        <f t="shared" ref="M9" si="3">L9/$L$64</f>
        <v>8.4122216509806101E-5</v>
      </c>
      <c r="N9" s="359">
        <f>'[3]Air Choice One'!$EF$41</f>
        <v>0</v>
      </c>
      <c r="O9" s="360" t="e">
        <f t="shared" ref="O9" si="4">(L9-N9)/N9</f>
        <v>#DIV/0!</v>
      </c>
      <c r="P9" s="359">
        <f>SUM('[3]Air Choice One'!$EL$41:$ET$41)</f>
        <v>1053</v>
      </c>
      <c r="Q9" s="359">
        <f>SUM('[3]Air Choice One'!$DX$41:$EF$41)</f>
        <v>0</v>
      </c>
      <c r="R9" s="360" t="e">
        <f t="shared" ref="R9" si="5">(P9-Q9)/Q9</f>
        <v>#DIV/0!</v>
      </c>
      <c r="T9" s="20"/>
    </row>
    <row r="10" spans="1:20" ht="14.1" customHeight="1" x14ac:dyDescent="0.2">
      <c r="A10" s="356"/>
      <c r="B10" s="55"/>
      <c r="C10" s="357"/>
      <c r="D10" s="358"/>
      <c r="E10" s="359"/>
      <c r="F10" s="360"/>
      <c r="G10" s="359"/>
      <c r="H10" s="359"/>
      <c r="I10" s="360"/>
      <c r="J10" s="356"/>
      <c r="K10" s="55"/>
      <c r="L10" s="361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6" t="s">
        <v>168</v>
      </c>
      <c r="B11" s="55"/>
      <c r="C11" s="357">
        <f>'[3]Air France'!$ET$19</f>
        <v>38</v>
      </c>
      <c r="D11" s="358">
        <f>C11/$C$64</f>
        <v>1.2318864071060394E-3</v>
      </c>
      <c r="E11" s="359">
        <f>'[3]Air France'!$EF$19</f>
        <v>36</v>
      </c>
      <c r="F11" s="360">
        <f>(C11-E11)/E11</f>
        <v>5.5555555555555552E-2</v>
      </c>
      <c r="G11" s="359">
        <f>SUM('[3]Air France'!$EL$19:$ET$19)</f>
        <v>250</v>
      </c>
      <c r="H11" s="359">
        <f>SUM('[3]Air France'!$DX$19:$EF$19)</f>
        <v>244</v>
      </c>
      <c r="I11" s="360">
        <f>(G11-H11)/H11</f>
        <v>2.4590163934426229E-2</v>
      </c>
      <c r="J11" s="356" t="s">
        <v>168</v>
      </c>
      <c r="K11" s="55"/>
      <c r="L11" s="357">
        <f>'[3]Air France'!$ET$41</f>
        <v>8414</v>
      </c>
      <c r="M11" s="358">
        <f>L11/$L$64</f>
        <v>2.8199375685797152E-3</v>
      </c>
      <c r="N11" s="359">
        <f>'[3]Air France'!$EF$41</f>
        <v>9520</v>
      </c>
      <c r="O11" s="360">
        <f>(L11-N11)/N11</f>
        <v>-0.1161764705882353</v>
      </c>
      <c r="P11" s="359">
        <f>SUM('[3]Air France'!$EL$41:$ET$41)</f>
        <v>52845</v>
      </c>
      <c r="Q11" s="359">
        <f>SUM('[3]Air France'!$DX$41:$EF$41)</f>
        <v>60100</v>
      </c>
      <c r="R11" s="360">
        <f>(P11-Q11)/Q11</f>
        <v>-0.12071547420965058</v>
      </c>
      <c r="T11" s="20"/>
    </row>
    <row r="12" spans="1:20" ht="14.1" customHeight="1" x14ac:dyDescent="0.2">
      <c r="A12" s="356"/>
      <c r="B12" s="55"/>
      <c r="C12" s="357"/>
      <c r="D12" s="358"/>
      <c r="E12" s="359"/>
      <c r="F12" s="360"/>
      <c r="G12" s="359"/>
      <c r="H12" s="359"/>
      <c r="I12" s="360"/>
      <c r="J12" s="356"/>
      <c r="K12" s="55"/>
      <c r="L12" s="361"/>
      <c r="M12" s="39"/>
      <c r="N12" s="9"/>
      <c r="O12" s="86"/>
      <c r="P12" s="9"/>
      <c r="Q12" s="9"/>
      <c r="R12" s="86"/>
      <c r="T12" s="20"/>
    </row>
    <row r="13" spans="1:20" ht="14.1" customHeight="1" x14ac:dyDescent="0.2">
      <c r="A13" s="356" t="s">
        <v>135</v>
      </c>
      <c r="B13" s="55"/>
      <c r="C13" s="357">
        <f>SUM(C14:C15)</f>
        <v>180</v>
      </c>
      <c r="D13" s="358">
        <f>C13/$C$64</f>
        <v>5.8352514020812395E-3</v>
      </c>
      <c r="E13" s="359">
        <f>SUM(E14:E15)</f>
        <v>124</v>
      </c>
      <c r="F13" s="360">
        <f>(C13-E13)/E13</f>
        <v>0.45161290322580644</v>
      </c>
      <c r="G13" s="359">
        <f>SUM(G14:G15)</f>
        <v>1678</v>
      </c>
      <c r="H13" s="359">
        <f>SUM(H14:H15)</f>
        <v>976</v>
      </c>
      <c r="I13" s="360">
        <f>(G13-H13)/H13</f>
        <v>0.71926229508196726</v>
      </c>
      <c r="J13" s="356" t="s">
        <v>135</v>
      </c>
      <c r="K13" s="55"/>
      <c r="L13" s="357">
        <f>SUM(L14:L15)</f>
        <v>22780</v>
      </c>
      <c r="M13" s="358">
        <f>L13/$L$64</f>
        <v>7.6346776577425621E-3</v>
      </c>
      <c r="N13" s="359">
        <f>SUM(N14:N15)</f>
        <v>19027</v>
      </c>
      <c r="O13" s="360">
        <f>(L13-N13)/N13</f>
        <v>0.19724601881536763</v>
      </c>
      <c r="P13" s="359">
        <f>SUM(P14:P15)</f>
        <v>214386</v>
      </c>
      <c r="Q13" s="359">
        <f>SUM(Q14:Q15)</f>
        <v>143460</v>
      </c>
      <c r="R13" s="360">
        <f>(P13-Q13)/Q13</f>
        <v>0.49439565035549982</v>
      </c>
      <c r="T13" s="20"/>
    </row>
    <row r="14" spans="1:20" ht="14.1" customHeight="1" x14ac:dyDescent="0.2">
      <c r="A14" s="356"/>
      <c r="B14" s="442" t="s">
        <v>135</v>
      </c>
      <c r="C14" s="449">
        <f>[3]Alaska!$ET$19</f>
        <v>120</v>
      </c>
      <c r="D14" s="450">
        <f>C14/$C$64</f>
        <v>3.8901676013874931E-3</v>
      </c>
      <c r="E14" s="299">
        <f>[3]Alaska!$EF$19</f>
        <v>124</v>
      </c>
      <c r="F14" s="451">
        <f>(C14-E14)/E14</f>
        <v>-3.2258064516129031E-2</v>
      </c>
      <c r="G14" s="299">
        <f>SUM([3]Alaska!$EL$19:$ET$19)</f>
        <v>1250</v>
      </c>
      <c r="H14" s="299">
        <f>SUM([3]Alaska!$DX$19:$EF$19)</f>
        <v>976</v>
      </c>
      <c r="I14" s="451">
        <f>(G14-H14)/H14</f>
        <v>0.28073770491803279</v>
      </c>
      <c r="J14" s="356"/>
      <c r="K14" s="442" t="s">
        <v>135</v>
      </c>
      <c r="L14" s="449">
        <f>[3]Alaska!$ET$41</f>
        <v>18625</v>
      </c>
      <c r="M14" s="450">
        <f>L14/$L$64</f>
        <v>6.2421365836459707E-3</v>
      </c>
      <c r="N14" s="299">
        <f>[3]Alaska!$EF$41</f>
        <v>19027</v>
      </c>
      <c r="O14" s="451">
        <f>(L14-N14)/N14</f>
        <v>-2.1127870920271193E-2</v>
      </c>
      <c r="P14" s="299">
        <f>SUM([3]Alaska!$EL$41:$ET$41)</f>
        <v>185851</v>
      </c>
      <c r="Q14" s="299">
        <f>SUM([3]Alaska!$DX$41:$EF$41)</f>
        <v>143460</v>
      </c>
      <c r="R14" s="451">
        <f>(P14-Q14)/Q14</f>
        <v>0.29549003206468705</v>
      </c>
      <c r="T14" s="20"/>
    </row>
    <row r="15" spans="1:20" ht="14.1" customHeight="1" x14ac:dyDescent="0.2">
      <c r="A15" s="356"/>
      <c r="B15" s="442" t="s">
        <v>104</v>
      </c>
      <c r="C15" s="361">
        <f>'[3]Sky West_AS'!$ET$19</f>
        <v>60</v>
      </c>
      <c r="D15" s="39">
        <f>C15/$C$64</f>
        <v>1.9450838006937466E-3</v>
      </c>
      <c r="E15" s="9">
        <f>'[3]Sky West_AS'!$EF$19</f>
        <v>0</v>
      </c>
      <c r="F15" s="86" t="e">
        <f>(C15-E15)/E15</f>
        <v>#DIV/0!</v>
      </c>
      <c r="G15" s="9">
        <f>SUM('[3]Sky West_AS'!$EL$19:$ET$19)</f>
        <v>428</v>
      </c>
      <c r="H15" s="9">
        <f>SUM('[3]Sky West_AS'!$DX$19:$EF$19)</f>
        <v>0</v>
      </c>
      <c r="I15" s="86" t="e">
        <f>(G15-H15)/H15</f>
        <v>#DIV/0!</v>
      </c>
      <c r="J15" s="356"/>
      <c r="K15" s="442" t="s">
        <v>104</v>
      </c>
      <c r="L15" s="361">
        <f>'[3]Sky West_AS'!$ET$41</f>
        <v>4155</v>
      </c>
      <c r="M15" s="39">
        <f>L15/$L$64</f>
        <v>1.392541074096591E-3</v>
      </c>
      <c r="N15" s="9">
        <f>'[3]Sky West_AS'!$EF$41</f>
        <v>0</v>
      </c>
      <c r="O15" s="86" t="e">
        <f>(L15-N15)/N15</f>
        <v>#DIV/0!</v>
      </c>
      <c r="P15" s="9">
        <f>SUM('[3]Sky West_AS'!$EL$41:$ET$41)</f>
        <v>28535</v>
      </c>
      <c r="Q15" s="9">
        <f>SUM('[3]Sky West_AS'!$DX$41:$EF$41)</f>
        <v>0</v>
      </c>
      <c r="R15" s="86" t="e">
        <f>(P15-Q15)/Q15</f>
        <v>#DIV/0!</v>
      </c>
      <c r="T15" s="20"/>
    </row>
    <row r="16" spans="1:20" ht="14.1" customHeight="1" x14ac:dyDescent="0.2">
      <c r="A16" s="356"/>
      <c r="B16" s="55"/>
      <c r="C16" s="357"/>
      <c r="D16" s="358"/>
      <c r="E16" s="362"/>
      <c r="F16" s="360"/>
      <c r="G16" s="362"/>
      <c r="H16" s="362"/>
      <c r="I16" s="360"/>
      <c r="J16" s="356"/>
      <c r="K16" s="55"/>
      <c r="L16" s="363"/>
      <c r="M16" s="39"/>
      <c r="N16" s="146"/>
      <c r="O16" s="86"/>
      <c r="P16" s="146"/>
      <c r="Q16" s="146"/>
      <c r="R16" s="86"/>
      <c r="T16" s="20"/>
    </row>
    <row r="17" spans="1:20" ht="14.1" customHeight="1" x14ac:dyDescent="0.2">
      <c r="A17" s="356" t="s">
        <v>19</v>
      </c>
      <c r="B17" s="364"/>
      <c r="C17" s="357">
        <f>SUM(C18:C24)</f>
        <v>1824</v>
      </c>
      <c r="D17" s="358">
        <f t="shared" ref="D17:D24" si="6">C17/$C$64</f>
        <v>5.9130547541089894E-2</v>
      </c>
      <c r="E17" s="359">
        <f>SUM(E18:E24)</f>
        <v>1555</v>
      </c>
      <c r="F17" s="360">
        <f t="shared" ref="F17:F24" si="7">(C17-E17)/E17</f>
        <v>0.17299035369774921</v>
      </c>
      <c r="G17" s="357">
        <f>SUM(G18:G24)</f>
        <v>16428</v>
      </c>
      <c r="H17" s="359">
        <f>SUM(H18:H24)</f>
        <v>14160</v>
      </c>
      <c r="I17" s="360">
        <f t="shared" ref="I17:I24" si="8">(G17-H17)/H17</f>
        <v>0.16016949152542373</v>
      </c>
      <c r="J17" s="356" t="s">
        <v>19</v>
      </c>
      <c r="K17" s="364"/>
      <c r="L17" s="357">
        <f>SUM(L18:L24)</f>
        <v>192676</v>
      </c>
      <c r="M17" s="358">
        <f t="shared" ref="M17:M24" si="9">L17/$L$64</f>
        <v>6.4575028638419921E-2</v>
      </c>
      <c r="N17" s="359">
        <f>SUM(N18:N24)</f>
        <v>181213</v>
      </c>
      <c r="O17" s="360">
        <f t="shared" ref="O17:O24" si="10">(L17-N17)/N17</f>
        <v>6.3257051094568265E-2</v>
      </c>
      <c r="P17" s="357">
        <f>SUM(P18:P24)</f>
        <v>1842640</v>
      </c>
      <c r="Q17" s="359">
        <f>SUM(Q18:Q24)</f>
        <v>1713275</v>
      </c>
      <c r="R17" s="360">
        <f t="shared" ref="R17:R24" si="11">(P17-Q17)/Q17</f>
        <v>7.5507434591644662E-2</v>
      </c>
      <c r="T17" s="20"/>
    </row>
    <row r="18" spans="1:20" ht="14.1" customHeight="1" x14ac:dyDescent="0.2">
      <c r="A18" s="53"/>
      <c r="B18" s="365" t="s">
        <v>19</v>
      </c>
      <c r="C18" s="361">
        <f>[3]American!$ET$19</f>
        <v>1440</v>
      </c>
      <c r="D18" s="39">
        <f t="shared" si="6"/>
        <v>4.6682011216649916E-2</v>
      </c>
      <c r="E18" s="9">
        <f>[3]American!$EF$19</f>
        <v>634</v>
      </c>
      <c r="F18" s="86">
        <f t="shared" si="7"/>
        <v>1.2712933753943219</v>
      </c>
      <c r="G18" s="9">
        <f>SUM([3]American!$EL$19:$ET$19)</f>
        <v>12951</v>
      </c>
      <c r="H18" s="9">
        <f>SUM([3]American!$DX$19:$EF$19)</f>
        <v>6052</v>
      </c>
      <c r="I18" s="86">
        <f t="shared" si="8"/>
        <v>1.1399537343027097</v>
      </c>
      <c r="J18" s="53"/>
      <c r="K18" s="365" t="s">
        <v>19</v>
      </c>
      <c r="L18" s="361">
        <f>[3]American!$ET$41</f>
        <v>173431</v>
      </c>
      <c r="M18" s="39">
        <f t="shared" si="9"/>
        <v>5.8125100125546544E-2</v>
      </c>
      <c r="N18" s="9">
        <f>[3]American!$EF$41</f>
        <v>82201</v>
      </c>
      <c r="O18" s="86">
        <f t="shared" si="10"/>
        <v>1.1098405128891375</v>
      </c>
      <c r="P18" s="9">
        <f>SUM([3]American!$EL$41:$ET$41)</f>
        <v>1636353</v>
      </c>
      <c r="Q18" s="9">
        <f>SUM([3]American!$DX$41:$EF$41)</f>
        <v>766711</v>
      </c>
      <c r="R18" s="86">
        <f t="shared" si="11"/>
        <v>1.1342500629311436</v>
      </c>
      <c r="T18" s="20"/>
    </row>
    <row r="19" spans="1:20" ht="14.1" customHeight="1" x14ac:dyDescent="0.2">
      <c r="A19" s="53"/>
      <c r="B19" s="440" t="s">
        <v>22</v>
      </c>
      <c r="C19" s="361">
        <f>'[3]US Airways'!$ET$19</f>
        <v>0</v>
      </c>
      <c r="D19" s="39">
        <f t="shared" si="6"/>
        <v>0</v>
      </c>
      <c r="E19" s="9">
        <f>'[3]US Airways'!$EF$19</f>
        <v>755</v>
      </c>
      <c r="F19" s="86">
        <f t="shared" si="7"/>
        <v>-1</v>
      </c>
      <c r="G19" s="9">
        <f>SUM('[3]US Airways'!$EL$19:$ET$19)</f>
        <v>0</v>
      </c>
      <c r="H19" s="9">
        <f>SUM('[3]US Airways'!$DX$19:$EF$19)</f>
        <v>6381</v>
      </c>
      <c r="I19" s="86">
        <f t="shared" si="8"/>
        <v>-1</v>
      </c>
      <c r="J19" s="372"/>
      <c r="K19" s="365" t="s">
        <v>22</v>
      </c>
      <c r="L19" s="361">
        <f>'[3]US Airways'!$ET$41</f>
        <v>0</v>
      </c>
      <c r="M19" s="39">
        <f t="shared" si="9"/>
        <v>0</v>
      </c>
      <c r="N19" s="9">
        <f>'[3]US Airways'!$EF$41</f>
        <v>87926</v>
      </c>
      <c r="O19" s="86">
        <f t="shared" si="10"/>
        <v>-1</v>
      </c>
      <c r="P19" s="9">
        <f>SUM('[3]US Airways'!$EL$41:$ET$41)</f>
        <v>0</v>
      </c>
      <c r="Q19" s="9">
        <f>SUM('[3]US Airways'!$DX$41:$EF$41)</f>
        <v>835540</v>
      </c>
      <c r="R19" s="86">
        <f t="shared" si="11"/>
        <v>-1</v>
      </c>
      <c r="T19" s="20"/>
    </row>
    <row r="20" spans="1:20" ht="14.1" customHeight="1" x14ac:dyDescent="0.2">
      <c r="A20" s="53"/>
      <c r="B20" s="440" t="s">
        <v>197</v>
      </c>
      <c r="C20" s="361">
        <f>'[3]American Eagle'!$ET$19</f>
        <v>20</v>
      </c>
      <c r="D20" s="39">
        <f t="shared" si="6"/>
        <v>6.4836126689791552E-4</v>
      </c>
      <c r="E20" s="9">
        <f>'[3]American Eagle'!$EF$19</f>
        <v>164</v>
      </c>
      <c r="F20" s="86">
        <f t="shared" si="7"/>
        <v>-0.87804878048780488</v>
      </c>
      <c r="G20" s="9">
        <f>SUM('[3]American Eagle'!$EL$19:$ET$19)</f>
        <v>132</v>
      </c>
      <c r="H20" s="9">
        <f>SUM('[3]American Eagle'!$DX$19:$EF$19)</f>
        <v>1519</v>
      </c>
      <c r="I20" s="86">
        <f t="shared" si="8"/>
        <v>-0.91310072416063204</v>
      </c>
      <c r="J20" s="53"/>
      <c r="K20" s="440" t="s">
        <v>197</v>
      </c>
      <c r="L20" s="361">
        <f>'[3]American Eagle'!$ET$41</f>
        <v>754</v>
      </c>
      <c r="M20" s="39">
        <f t="shared" si="9"/>
        <v>2.5270179780236576E-4</v>
      </c>
      <c r="N20" s="9">
        <f>'[3]American Eagle'!$EF$41</f>
        <v>10972</v>
      </c>
      <c r="O20" s="86">
        <f t="shared" si="10"/>
        <v>-0.93127962085308058</v>
      </c>
      <c r="P20" s="9">
        <f>SUM('[3]American Eagle'!$EL$41:$ET$41)</f>
        <v>6577</v>
      </c>
      <c r="Q20" s="9">
        <f>SUM('[3]American Eagle'!$DX$41:$EF$41)</f>
        <v>97725</v>
      </c>
      <c r="R20" s="86">
        <f t="shared" si="11"/>
        <v>-0.93269889997441802</v>
      </c>
      <c r="T20" s="20"/>
    </row>
    <row r="21" spans="1:20" ht="14.1" customHeight="1" x14ac:dyDescent="0.2">
      <c r="A21" s="53"/>
      <c r="B21" s="440" t="s">
        <v>56</v>
      </c>
      <c r="C21" s="361">
        <f>[3]Republic!$ET$19</f>
        <v>354</v>
      </c>
      <c r="D21" s="39">
        <f t="shared" si="6"/>
        <v>1.1475994424093104E-2</v>
      </c>
      <c r="E21" s="9">
        <f>[3]Republic!$EF$19</f>
        <v>2</v>
      </c>
      <c r="F21" s="86">
        <f t="shared" si="7"/>
        <v>176</v>
      </c>
      <c r="G21" s="9">
        <f>SUM([3]Republic!$EL$19:$ET$19)</f>
        <v>3103</v>
      </c>
      <c r="H21" s="9">
        <f>SUM([3]Republic!$DX$19:$EF$19)</f>
        <v>196</v>
      </c>
      <c r="I21" s="86">
        <f t="shared" si="8"/>
        <v>14.831632653061224</v>
      </c>
      <c r="J21" s="372"/>
      <c r="K21" s="367" t="s">
        <v>56</v>
      </c>
      <c r="L21" s="361">
        <f>[3]Republic!$ET$41</f>
        <v>18056</v>
      </c>
      <c r="M21" s="39">
        <f t="shared" si="9"/>
        <v>6.0514372163388806E-3</v>
      </c>
      <c r="N21" s="9">
        <f>[3]Republic!$EF$41</f>
        <v>114</v>
      </c>
      <c r="O21" s="86">
        <f t="shared" si="10"/>
        <v>157.38596491228071</v>
      </c>
      <c r="P21" s="9">
        <f>SUM([3]Republic!$EL$41:$ET$41)</f>
        <v>187124</v>
      </c>
      <c r="Q21" s="9">
        <f>SUM([3]Republic!$DX$41:$EF$41)</f>
        <v>12602</v>
      </c>
      <c r="R21" s="86">
        <f t="shared" si="11"/>
        <v>13.848754166005396</v>
      </c>
      <c r="T21" s="20"/>
    </row>
    <row r="22" spans="1:20" ht="14.1" customHeight="1" x14ac:dyDescent="0.2">
      <c r="A22" s="53"/>
      <c r="B22" s="440" t="s">
        <v>220</v>
      </c>
      <c r="C22" s="361">
        <f>[3]PSA!$ET$19</f>
        <v>8</v>
      </c>
      <c r="D22" s="39">
        <f t="shared" ref="D22" si="12">C22/$C$64</f>
        <v>2.5934450675916621E-4</v>
      </c>
      <c r="E22" s="9">
        <f>[3]PSA!$EF$19</f>
        <v>0</v>
      </c>
      <c r="F22" s="86" t="e">
        <f t="shared" ref="F22" si="13">(C22-E22)/E22</f>
        <v>#DIV/0!</v>
      </c>
      <c r="G22" s="9">
        <f>SUM([3]PSA!$EL$19:$ET$19)</f>
        <v>120</v>
      </c>
      <c r="H22" s="9">
        <f>SUM([3]PSA!$DX$19:$EF$19)</f>
        <v>0</v>
      </c>
      <c r="I22" s="86" t="e">
        <f t="shared" ref="I22" si="14">(G22-H22)/H22</f>
        <v>#DIV/0!</v>
      </c>
      <c r="J22" s="372"/>
      <c r="K22" s="479" t="s">
        <v>220</v>
      </c>
      <c r="L22" s="361">
        <f>[3]PSA!$ET$41</f>
        <v>373</v>
      </c>
      <c r="M22" s="39">
        <f t="shared" ref="M22" si="15">L22/$L$64</f>
        <v>1.2501030580939313E-4</v>
      </c>
      <c r="N22" s="9">
        <f>[3]PSA!$EF$41</f>
        <v>0</v>
      </c>
      <c r="O22" s="86" t="e">
        <f t="shared" ref="O22" si="16">(L22-N22)/N22</f>
        <v>#DIV/0!</v>
      </c>
      <c r="P22" s="9">
        <f>SUM([3]PSA!$EL$41:$ET$41)</f>
        <v>7633</v>
      </c>
      <c r="Q22" s="9">
        <f>SUM([3]PSA!$DX$41:$EF$41)</f>
        <v>0</v>
      </c>
      <c r="R22" s="86" t="e">
        <f t="shared" ref="R22" si="17">(P22-Q22)/Q22</f>
        <v>#DIV/0!</v>
      </c>
      <c r="T22" s="20"/>
    </row>
    <row r="23" spans="1:20" ht="14.1" customHeight="1" x14ac:dyDescent="0.2">
      <c r="A23" s="53"/>
      <c r="B23" s="440" t="s">
        <v>55</v>
      </c>
      <c r="C23" s="361">
        <f>[3]MESA!$ET$19</f>
        <v>0</v>
      </c>
      <c r="D23" s="39">
        <f t="shared" si="6"/>
        <v>0</v>
      </c>
      <c r="E23" s="9">
        <f>[3]MESA!$EF$19</f>
        <v>0</v>
      </c>
      <c r="F23" s="86" t="e">
        <f t="shared" si="7"/>
        <v>#DIV/0!</v>
      </c>
      <c r="G23" s="9">
        <f>SUM([3]MESA!$EL$19:$ET$19)</f>
        <v>14</v>
      </c>
      <c r="H23" s="9">
        <f>SUM([3]MESA!$DX$19:$EF$19)</f>
        <v>12</v>
      </c>
      <c r="I23" s="86">
        <f t="shared" si="8"/>
        <v>0.16666666666666666</v>
      </c>
      <c r="J23" s="372"/>
      <c r="K23" s="440" t="s">
        <v>55</v>
      </c>
      <c r="L23" s="361">
        <f>[3]MESA!$ET$41</f>
        <v>0</v>
      </c>
      <c r="M23" s="39">
        <f t="shared" si="9"/>
        <v>0</v>
      </c>
      <c r="N23" s="9">
        <f>[3]MESA!$EF$41</f>
        <v>0</v>
      </c>
      <c r="O23" s="86" t="e">
        <f t="shared" si="10"/>
        <v>#DIV/0!</v>
      </c>
      <c r="P23" s="9">
        <f>SUM([3]MESA!$EL$41:$ET$41)</f>
        <v>1079</v>
      </c>
      <c r="Q23" s="9">
        <f>SUM([3]MESA!$DX$41:$EF$41)</f>
        <v>697</v>
      </c>
      <c r="R23" s="86">
        <f t="shared" si="11"/>
        <v>0.54806312769010046</v>
      </c>
      <c r="T23" s="20"/>
    </row>
    <row r="24" spans="1:20" ht="14.1" customHeight="1" x14ac:dyDescent="0.2">
      <c r="A24" s="53"/>
      <c r="B24" s="440" t="s">
        <v>53</v>
      </c>
      <c r="C24" s="361">
        <f>'[3]Air Wisconsin'!$ET$19</f>
        <v>2</v>
      </c>
      <c r="D24" s="39">
        <f t="shared" si="6"/>
        <v>6.4836126689791552E-5</v>
      </c>
      <c r="E24" s="9">
        <f>'[3]Air Wisconsin'!$EF$19</f>
        <v>0</v>
      </c>
      <c r="F24" s="86" t="e">
        <f t="shared" si="7"/>
        <v>#DIV/0!</v>
      </c>
      <c r="G24" s="9">
        <f>SUM('[3]Air Wisconsin'!$EL$19:$ET$19)</f>
        <v>108</v>
      </c>
      <c r="H24" s="9">
        <f>SUM('[3]Air Wisconsin'!$DX$19:$EF$19)</f>
        <v>0</v>
      </c>
      <c r="I24" s="444" t="e">
        <f t="shared" si="8"/>
        <v>#DIV/0!</v>
      </c>
      <c r="J24" s="53"/>
      <c r="K24" s="445" t="s">
        <v>53</v>
      </c>
      <c r="L24" s="361">
        <f>'[3]Air Wisconsin'!$ET$41</f>
        <v>62</v>
      </c>
      <c r="M24" s="39">
        <f t="shared" si="9"/>
        <v>2.0779192922740949E-5</v>
      </c>
      <c r="N24" s="9">
        <f>'[3]Air Wisconsin'!$EF$41</f>
        <v>0</v>
      </c>
      <c r="O24" s="86" t="e">
        <f t="shared" si="10"/>
        <v>#DIV/0!</v>
      </c>
      <c r="P24" s="9">
        <f>SUM('[3]Air Wisconsin'!$EL$41:$ET$41)</f>
        <v>3874</v>
      </c>
      <c r="Q24" s="9">
        <f>SUM('[3]Air Wisconsin'!$DX$41:$EF$41)</f>
        <v>0</v>
      </c>
      <c r="R24" s="86" t="e">
        <f t="shared" si="11"/>
        <v>#DIV/0!</v>
      </c>
      <c r="T24" s="20"/>
    </row>
    <row r="25" spans="1:20" ht="14.1" customHeight="1" x14ac:dyDescent="0.2">
      <c r="A25" s="53"/>
      <c r="B25" s="366"/>
      <c r="C25" s="361"/>
      <c r="D25" s="39"/>
      <c r="E25" s="9"/>
      <c r="F25" s="86"/>
      <c r="G25" s="9"/>
      <c r="H25" s="9"/>
      <c r="I25" s="86"/>
      <c r="J25" s="53"/>
      <c r="K25" s="366"/>
      <c r="L25" s="361"/>
      <c r="M25" s="39"/>
      <c r="N25" s="9"/>
      <c r="O25" s="86"/>
      <c r="P25" s="9"/>
      <c r="Q25" s="9"/>
      <c r="R25" s="86"/>
      <c r="T25" s="20"/>
    </row>
    <row r="26" spans="1:20" ht="14.1" customHeight="1" x14ac:dyDescent="0.2">
      <c r="A26" s="356" t="s">
        <v>218</v>
      </c>
      <c r="B26" s="366"/>
      <c r="C26" s="357">
        <f>'[3]Boutique Air'!$ET$19</f>
        <v>161</v>
      </c>
      <c r="D26" s="358">
        <f t="shared" ref="D26" si="18">C26/$C$64</f>
        <v>5.2193081985282197E-3</v>
      </c>
      <c r="E26" s="359">
        <f>'[3]Boutique Air'!$EF$19</f>
        <v>0</v>
      </c>
      <c r="F26" s="360" t="e">
        <f t="shared" ref="F26" si="19">(C26-E26)/E26</f>
        <v>#DIV/0!</v>
      </c>
      <c r="G26" s="359">
        <f>SUM('[3]Boutique Air'!$EL$19:$ET$19)</f>
        <v>521</v>
      </c>
      <c r="H26" s="359">
        <f>SUM('[3]Boutique Air'!$DX$19:$EF$19)</f>
        <v>0</v>
      </c>
      <c r="I26" s="360" t="e">
        <f t="shared" ref="I26" si="20">(G26-H26)/H26</f>
        <v>#DIV/0!</v>
      </c>
      <c r="J26" s="356" t="s">
        <v>218</v>
      </c>
      <c r="K26" s="366"/>
      <c r="L26" s="357">
        <f>'[3]Boutique Air'!$ET$41</f>
        <v>1060</v>
      </c>
      <c r="M26" s="358">
        <f t="shared" ref="M26" si="21">L26/$L$64</f>
        <v>3.5525716932428077E-4</v>
      </c>
      <c r="N26" s="359">
        <f>'[3]Boutique Air'!$EF$41</f>
        <v>0</v>
      </c>
      <c r="O26" s="360" t="e">
        <f t="shared" ref="O26" si="22">(L26-N26)/N26</f>
        <v>#DIV/0!</v>
      </c>
      <c r="P26" s="359">
        <f>SUM('[3]Boutique Air'!$EL$41:$ET$41)</f>
        <v>3270</v>
      </c>
      <c r="Q26" s="359">
        <f>SUM('[3]Boutique Air'!$DX$41:$EF$41)</f>
        <v>0</v>
      </c>
      <c r="R26" s="360" t="e">
        <f t="shared" ref="R26" si="23">(P26-Q26)/Q26</f>
        <v>#DIV/0!</v>
      </c>
      <c r="T26" s="20"/>
    </row>
    <row r="27" spans="1:20" ht="14.1" customHeight="1" x14ac:dyDescent="0.2">
      <c r="A27" s="53"/>
      <c r="B27" s="366"/>
      <c r="C27" s="361"/>
      <c r="D27" s="39"/>
      <c r="E27" s="9"/>
      <c r="F27" s="86"/>
      <c r="G27" s="9"/>
      <c r="H27" s="9"/>
      <c r="I27" s="86"/>
      <c r="J27" s="53"/>
      <c r="K27" s="366"/>
      <c r="L27" s="361"/>
      <c r="M27" s="39"/>
      <c r="N27" s="9"/>
      <c r="O27" s="86"/>
      <c r="P27" s="9"/>
      <c r="Q27" s="9"/>
      <c r="R27" s="86"/>
      <c r="T27" s="20"/>
    </row>
    <row r="28" spans="1:20" ht="14.1" customHeight="1" x14ac:dyDescent="0.2">
      <c r="A28" s="356" t="s">
        <v>182</v>
      </c>
      <c r="B28" s="366"/>
      <c r="C28" s="357">
        <f>[3]Condor!$ET$19</f>
        <v>6</v>
      </c>
      <c r="D28" s="358">
        <f t="shared" ref="D28" si="24">C28/$C$64</f>
        <v>1.9450838006937466E-4</v>
      </c>
      <c r="E28" s="359">
        <f>[3]Condor!$EF$19</f>
        <v>4</v>
      </c>
      <c r="F28" s="360">
        <f t="shared" ref="F28" si="25">(C28-E28)/E28</f>
        <v>0.5</v>
      </c>
      <c r="G28" s="359">
        <f>SUM([3]Condor!$EL$19:$ET$19)</f>
        <v>84</v>
      </c>
      <c r="H28" s="359">
        <f>SUM([3]Condor!$DX$19:$EF$19)</f>
        <v>44</v>
      </c>
      <c r="I28" s="360">
        <f t="shared" ref="I28" si="26">(G28-H28)/H28</f>
        <v>0.90909090909090906</v>
      </c>
      <c r="J28" s="356" t="s">
        <v>182</v>
      </c>
      <c r="K28" s="366"/>
      <c r="L28" s="357">
        <f>[3]Condor!$ET$41</f>
        <v>1235</v>
      </c>
      <c r="M28" s="358">
        <f t="shared" ref="M28" si="27">L28/$L$64</f>
        <v>4.1390811709008182E-4</v>
      </c>
      <c r="N28" s="359">
        <f>[3]Condor!$EF$41</f>
        <v>978</v>
      </c>
      <c r="O28" s="360">
        <f t="shared" ref="O28" si="28">(L28-N28)/N28</f>
        <v>0.26278118609406953</v>
      </c>
      <c r="P28" s="359">
        <f>SUM([3]Condor!$EL$41:$ET$41)</f>
        <v>18861</v>
      </c>
      <c r="Q28" s="359">
        <f>SUM([3]Condor!$DX$41:$EF$41)</f>
        <v>10581</v>
      </c>
      <c r="R28" s="360">
        <f t="shared" ref="R28" si="29">(P28-Q28)/Q28</f>
        <v>0.78253473206691238</v>
      </c>
      <c r="T28" s="20"/>
    </row>
    <row r="29" spans="1:20" ht="14.1" customHeight="1" x14ac:dyDescent="0.2">
      <c r="A29" s="53"/>
      <c r="B29" s="366"/>
      <c r="C29" s="361"/>
      <c r="D29" s="39"/>
      <c r="E29" s="9"/>
      <c r="F29" s="86"/>
      <c r="G29" s="9"/>
      <c r="H29" s="9"/>
      <c r="I29" s="86"/>
      <c r="J29" s="53"/>
      <c r="K29" s="366"/>
      <c r="L29" s="361"/>
      <c r="M29" s="39"/>
      <c r="N29" s="9"/>
      <c r="O29" s="86"/>
      <c r="P29" s="9"/>
      <c r="Q29" s="9"/>
      <c r="R29" s="86"/>
      <c r="T29" s="20"/>
    </row>
    <row r="30" spans="1:20" ht="14.1" customHeight="1" x14ac:dyDescent="0.2">
      <c r="A30" s="356" t="s">
        <v>20</v>
      </c>
      <c r="B30" s="369"/>
      <c r="C30" s="357">
        <f>SUM(C31:C37)</f>
        <v>22728</v>
      </c>
      <c r="D30" s="358">
        <f t="shared" ref="D30:D37" si="30">C30/$C$64</f>
        <v>0.73679774370279116</v>
      </c>
      <c r="E30" s="359">
        <f>SUM(E31:E37)</f>
        <v>22567</v>
      </c>
      <c r="F30" s="360">
        <f t="shared" ref="F30:F37" si="31">(C30-E30)/E30</f>
        <v>7.1343111623166575E-3</v>
      </c>
      <c r="G30" s="362">
        <f>SUM(G31:G37)</f>
        <v>211384</v>
      </c>
      <c r="H30" s="362">
        <f>SUM(H31:H37)</f>
        <v>210732</v>
      </c>
      <c r="I30" s="360">
        <f>(G30-H30)/H30</f>
        <v>3.0939771842909479E-3</v>
      </c>
      <c r="J30" s="356" t="s">
        <v>20</v>
      </c>
      <c r="K30" s="369"/>
      <c r="L30" s="357">
        <f>SUM(L31:L37)</f>
        <v>2123687</v>
      </c>
      <c r="M30" s="358">
        <f t="shared" ref="M30:M37" si="32">L30/$L$64</f>
        <v>0.71175003033091866</v>
      </c>
      <c r="N30" s="359">
        <f>SUM(N31:N37)</f>
        <v>2132589</v>
      </c>
      <c r="O30" s="360">
        <f t="shared" ref="O30:O37" si="33">(L30-N30)/N30</f>
        <v>-4.1742689285183413E-3</v>
      </c>
      <c r="P30" s="359">
        <f>SUM(P31:P37)</f>
        <v>19688777</v>
      </c>
      <c r="Q30" s="359">
        <f>SUM(Q31:Q37)</f>
        <v>19645119</v>
      </c>
      <c r="R30" s="360">
        <f t="shared" ref="R30:R37" si="34">(P30-Q30)/Q30</f>
        <v>2.2223331912624199E-3</v>
      </c>
      <c r="T30" s="426"/>
    </row>
    <row r="31" spans="1:20" ht="14.1" customHeight="1" x14ac:dyDescent="0.2">
      <c r="A31" s="53"/>
      <c r="B31" s="365" t="s">
        <v>20</v>
      </c>
      <c r="C31" s="361">
        <f>[3]Delta!$ET$19</f>
        <v>11623</v>
      </c>
      <c r="D31" s="39">
        <f t="shared" si="30"/>
        <v>0.37679515025772359</v>
      </c>
      <c r="E31" s="9">
        <f>[3]Delta!$EF$19</f>
        <v>11167</v>
      </c>
      <c r="F31" s="86">
        <f t="shared" si="31"/>
        <v>4.0834601952180534E-2</v>
      </c>
      <c r="G31" s="9">
        <f>SUM([3]Delta!$EL$19:$ET$19)</f>
        <v>104153</v>
      </c>
      <c r="H31" s="9">
        <f>SUM([3]Delta!$DX$19:$EF$19)</f>
        <v>99567</v>
      </c>
      <c r="I31" s="86">
        <f t="shared" ref="I31:I37" si="35">(G31-H31)/H31</f>
        <v>4.6059437363785191E-2</v>
      </c>
      <c r="J31" s="53"/>
      <c r="K31" s="365" t="s">
        <v>20</v>
      </c>
      <c r="L31" s="361">
        <f>[3]Delta!$ET$41</f>
        <v>1584485</v>
      </c>
      <c r="M31" s="39">
        <f t="shared" si="32"/>
        <v>0.53103741126111603</v>
      </c>
      <c r="N31" s="9">
        <f>[3]Delta!$EF$41</f>
        <v>1544022</v>
      </c>
      <c r="O31" s="86">
        <f t="shared" si="33"/>
        <v>2.6206232812744895E-2</v>
      </c>
      <c r="P31" s="9">
        <f>SUM([3]Delta!$EL$41:$ET$41)</f>
        <v>14298502</v>
      </c>
      <c r="Q31" s="9">
        <f>SUM([3]Delta!$DX$41:$EF$41)</f>
        <v>13918691</v>
      </c>
      <c r="R31" s="86">
        <f t="shared" si="34"/>
        <v>2.7287839064751133E-2</v>
      </c>
      <c r="T31" s="20"/>
    </row>
    <row r="32" spans="1:20" ht="14.1" customHeight="1" x14ac:dyDescent="0.2">
      <c r="A32" s="53"/>
      <c r="B32" s="367" t="s">
        <v>124</v>
      </c>
      <c r="C32" s="361">
        <f>[3]Compass!$ET$19</f>
        <v>1490</v>
      </c>
      <c r="D32" s="39">
        <f t="shared" si="30"/>
        <v>4.8302914383894703E-2</v>
      </c>
      <c r="E32" s="9">
        <f>[3]Compass!$EF$19</f>
        <v>1400</v>
      </c>
      <c r="F32" s="86">
        <f t="shared" si="31"/>
        <v>6.4285714285714279E-2</v>
      </c>
      <c r="G32" s="9">
        <f>SUM([3]Compass!$EL$19:$ET$19)</f>
        <v>13166</v>
      </c>
      <c r="H32" s="9">
        <f>SUM([3]Compass!$DX$19:$EF$19)</f>
        <v>12928</v>
      </c>
      <c r="I32" s="86">
        <f t="shared" si="35"/>
        <v>1.8409653465346534E-2</v>
      </c>
      <c r="J32" s="53"/>
      <c r="K32" s="367" t="s">
        <v>124</v>
      </c>
      <c r="L32" s="361">
        <f>[3]Compass!$ET$41</f>
        <v>85581</v>
      </c>
      <c r="M32" s="39">
        <f t="shared" si="32"/>
        <v>2.8682324347114405E-2</v>
      </c>
      <c r="N32" s="9">
        <f>[3]Compass!$EF$41</f>
        <v>83607</v>
      </c>
      <c r="O32" s="86">
        <f t="shared" si="33"/>
        <v>2.3610463238724032E-2</v>
      </c>
      <c r="P32" s="9">
        <f>SUM([3]Compass!$EL$41:$ET$41)</f>
        <v>774941</v>
      </c>
      <c r="Q32" s="9">
        <f>SUM([3]Compass!$DX$41:$EF$41)</f>
        <v>773123</v>
      </c>
      <c r="R32" s="86">
        <f t="shared" si="34"/>
        <v>2.3515016368676135E-3</v>
      </c>
      <c r="T32" s="9"/>
    </row>
    <row r="33" spans="1:20" ht="14.1" customHeight="1" x14ac:dyDescent="0.2">
      <c r="A33" s="53"/>
      <c r="B33" s="366" t="s">
        <v>170</v>
      </c>
      <c r="C33" s="361">
        <f>[3]Pinnacle!$ET$19</f>
        <v>3938</v>
      </c>
      <c r="D33" s="39">
        <f t="shared" si="30"/>
        <v>0.12766233345219957</v>
      </c>
      <c r="E33" s="9">
        <f>[3]Pinnacle!$EF$19</f>
        <v>4371</v>
      </c>
      <c r="F33" s="86">
        <f t="shared" si="31"/>
        <v>-9.90619995424388E-2</v>
      </c>
      <c r="G33" s="9">
        <f>SUM([3]Pinnacle!$EL$19:$ET$19)</f>
        <v>35796</v>
      </c>
      <c r="H33" s="9">
        <f>SUM([3]Pinnacle!$DX$19:$EF$19)</f>
        <v>44957</v>
      </c>
      <c r="I33" s="86">
        <f t="shared" si="35"/>
        <v>-0.20377249371621772</v>
      </c>
      <c r="J33" s="53"/>
      <c r="K33" s="366" t="s">
        <v>170</v>
      </c>
      <c r="L33" s="361">
        <f>[3]Pinnacle!$ET$41</f>
        <v>199045</v>
      </c>
      <c r="M33" s="39">
        <f t="shared" si="32"/>
        <v>6.6709587988822136E-2</v>
      </c>
      <c r="N33" s="9">
        <f>[3]Pinnacle!$EF$41</f>
        <v>244489</v>
      </c>
      <c r="O33" s="86">
        <f t="shared" si="33"/>
        <v>-0.18587339307698914</v>
      </c>
      <c r="P33" s="9">
        <f>SUM([3]Pinnacle!$EL$41:$ET$41)</f>
        <v>1939155</v>
      </c>
      <c r="Q33" s="9">
        <f>SUM([3]Pinnacle!$DX$41:$EF$41)</f>
        <v>2502382</v>
      </c>
      <c r="R33" s="86">
        <f t="shared" si="34"/>
        <v>-0.22507634725633416</v>
      </c>
      <c r="T33" s="20"/>
    </row>
    <row r="34" spans="1:20" ht="14.1" customHeight="1" x14ac:dyDescent="0.2">
      <c r="A34" s="53"/>
      <c r="B34" s="365" t="s">
        <v>166</v>
      </c>
      <c r="C34" s="361">
        <f>'[3]Go Jet'!$ET$19</f>
        <v>116</v>
      </c>
      <c r="D34" s="39">
        <f t="shared" si="30"/>
        <v>3.7604953480079098E-3</v>
      </c>
      <c r="E34" s="9">
        <f>'[3]Go Jet'!$EF$19</f>
        <v>0</v>
      </c>
      <c r="F34" s="86" t="e">
        <f>(C34-E34)/E34</f>
        <v>#DIV/0!</v>
      </c>
      <c r="G34" s="9">
        <f>SUM('[3]Go Jet'!$EL$19:$ET$19)</f>
        <v>471</v>
      </c>
      <c r="H34" s="9">
        <f>SUM('[3]Go Jet'!$DX$19:$EF$19)</f>
        <v>72</v>
      </c>
      <c r="I34" s="86">
        <f>(G34-H34)/H34</f>
        <v>5.541666666666667</v>
      </c>
      <c r="J34" s="53"/>
      <c r="K34" s="365" t="s">
        <v>166</v>
      </c>
      <c r="L34" s="361">
        <f>'[3]Go Jet'!$ET$41</f>
        <v>7270</v>
      </c>
      <c r="M34" s="39">
        <f t="shared" si="32"/>
        <v>2.4365279443278503E-3</v>
      </c>
      <c r="N34" s="9">
        <f>'[3]Go Jet'!$EF$41</f>
        <v>0</v>
      </c>
      <c r="O34" s="86" t="e">
        <f>(L34-N34)/N34</f>
        <v>#DIV/0!</v>
      </c>
      <c r="P34" s="9">
        <f>SUM('[3]Go Jet'!$EL$41:$ET$41)</f>
        <v>29646</v>
      </c>
      <c r="Q34" s="9">
        <f>SUM('[3]Go Jet'!$DX$41:$EF$41)</f>
        <v>4228</v>
      </c>
      <c r="R34" s="86">
        <f>(P34-Q34)/Q34</f>
        <v>6.0118259224219486</v>
      </c>
      <c r="T34" s="335"/>
    </row>
    <row r="35" spans="1:20" ht="14.1" customHeight="1" x14ac:dyDescent="0.2">
      <c r="A35" s="53"/>
      <c r="B35" s="366" t="s">
        <v>104</v>
      </c>
      <c r="C35" s="361">
        <f>'[3]Sky West'!$ET$19</f>
        <v>4708</v>
      </c>
      <c r="D35" s="39">
        <f t="shared" si="30"/>
        <v>0.15262424222776932</v>
      </c>
      <c r="E35" s="9">
        <f>'[3]Sky West'!$EF$19</f>
        <v>4440</v>
      </c>
      <c r="F35" s="86">
        <f t="shared" si="31"/>
        <v>6.0360360360360361E-2</v>
      </c>
      <c r="G35" s="9">
        <f>SUM('[3]Sky West'!$EL$19:$ET$19)</f>
        <v>50633</v>
      </c>
      <c r="H35" s="9">
        <f>SUM('[3]Sky West'!$DX$19:$EF$19)</f>
        <v>39934</v>
      </c>
      <c r="I35" s="86">
        <f t="shared" si="35"/>
        <v>0.26791706315420444</v>
      </c>
      <c r="J35" s="53"/>
      <c r="K35" s="366" t="s">
        <v>104</v>
      </c>
      <c r="L35" s="361">
        <f>'[3]Sky West'!$ET$41</f>
        <v>195393</v>
      </c>
      <c r="M35" s="39">
        <f t="shared" si="32"/>
        <v>6.5485626496018107E-2</v>
      </c>
      <c r="N35" s="9">
        <f>'[3]Sky West'!$EF$41</f>
        <v>192991</v>
      </c>
      <c r="O35" s="86">
        <f t="shared" si="33"/>
        <v>1.2446176246560721E-2</v>
      </c>
      <c r="P35" s="9">
        <f>SUM('[3]Sky West'!$EL$41:$ET$41)</f>
        <v>2253469</v>
      </c>
      <c r="Q35" s="9">
        <f>SUM('[3]Sky West'!$DX$41:$EF$41)</f>
        <v>1708196</v>
      </c>
      <c r="R35" s="86">
        <f t="shared" si="34"/>
        <v>0.3192098564801697</v>
      </c>
      <c r="T35" s="20"/>
    </row>
    <row r="36" spans="1:20" ht="14.1" customHeight="1" x14ac:dyDescent="0.2">
      <c r="A36" s="53"/>
      <c r="B36" s="366" t="s">
        <v>139</v>
      </c>
      <c r="C36" s="361">
        <f>'[3]Shuttle America_Delta'!$ET$19</f>
        <v>160</v>
      </c>
      <c r="D36" s="39">
        <f t="shared" si="30"/>
        <v>5.1868901351833242E-3</v>
      </c>
      <c r="E36" s="9">
        <f>'[3]Shuttle America_Delta'!$EF$19</f>
        <v>360</v>
      </c>
      <c r="F36" s="86">
        <f t="shared" si="31"/>
        <v>-0.55555555555555558</v>
      </c>
      <c r="G36" s="9">
        <f>SUM('[3]Shuttle America_Delta'!$EL$19:$ET$19)</f>
        <v>1192</v>
      </c>
      <c r="H36" s="9">
        <f>SUM('[3]Shuttle America_Delta'!$DX$19:$EF$19)</f>
        <v>2807</v>
      </c>
      <c r="I36" s="86">
        <f t="shared" si="35"/>
        <v>-0.57534734592091197</v>
      </c>
      <c r="J36" s="53"/>
      <c r="K36" s="366" t="s">
        <v>139</v>
      </c>
      <c r="L36" s="361">
        <f>'[3]Shuttle America_Delta'!$ET$41</f>
        <v>10472</v>
      </c>
      <c r="M36" s="39">
        <f t="shared" si="32"/>
        <v>3.5096727143055359E-3</v>
      </c>
      <c r="N36" s="9">
        <f>'[3]Shuttle America_Delta'!$EF$41</f>
        <v>19502</v>
      </c>
      <c r="O36" s="86">
        <f t="shared" si="33"/>
        <v>-0.46302943287867909</v>
      </c>
      <c r="P36" s="9">
        <f>SUM('[3]Shuttle America_Delta'!$EL$41:$ET$41)</f>
        <v>65802</v>
      </c>
      <c r="Q36" s="9">
        <f>SUM('[3]Shuttle America_Delta'!$DX$41:$EF$41)</f>
        <v>145026</v>
      </c>
      <c r="R36" s="86">
        <f t="shared" si="34"/>
        <v>-0.54627446113110756</v>
      </c>
      <c r="T36" s="20"/>
    </row>
    <row r="37" spans="1:20" ht="14.1" customHeight="1" x14ac:dyDescent="0.2">
      <c r="A37" s="53"/>
      <c r="B37" s="443" t="s">
        <v>198</v>
      </c>
      <c r="C37" s="361">
        <f>'[3]Atlantic Southeast'!$ET$19</f>
        <v>693</v>
      </c>
      <c r="D37" s="39">
        <f t="shared" si="30"/>
        <v>2.2465717898012771E-2</v>
      </c>
      <c r="E37" s="9">
        <f>'[3]Atlantic Southeast'!$EF$19</f>
        <v>829</v>
      </c>
      <c r="F37" s="86">
        <f t="shared" si="31"/>
        <v>-0.16405307599517491</v>
      </c>
      <c r="G37" s="9">
        <f>SUM('[3]Atlantic Southeast'!$EL$19:$ET$19)</f>
        <v>5973</v>
      </c>
      <c r="H37" s="9">
        <f>SUM('[3]Atlantic Southeast'!$DX$19:$EF$19)</f>
        <v>10467</v>
      </c>
      <c r="I37" s="86">
        <f t="shared" si="35"/>
        <v>-0.42934938377758669</v>
      </c>
      <c r="J37" s="53"/>
      <c r="K37" s="443" t="s">
        <v>198</v>
      </c>
      <c r="L37" s="361">
        <f>'[3]Atlantic Southeast'!$ET$41</f>
        <v>41441</v>
      </c>
      <c r="M37" s="39">
        <f t="shared" si="32"/>
        <v>1.388887957921464E-2</v>
      </c>
      <c r="N37" s="9">
        <f>'[3]Atlantic Southeast'!$EF$41</f>
        <v>47978</v>
      </c>
      <c r="O37" s="86">
        <f t="shared" si="33"/>
        <v>-0.13624994789278419</v>
      </c>
      <c r="P37" s="9">
        <f>SUM('[3]Atlantic Southeast'!$EL$41:$ET$41)</f>
        <v>327262</v>
      </c>
      <c r="Q37" s="9">
        <f>SUM('[3]Atlantic Southeast'!$DX$41:$EF$41)</f>
        <v>593473</v>
      </c>
      <c r="R37" s="86">
        <f t="shared" si="34"/>
        <v>-0.44856463562790555</v>
      </c>
      <c r="T37" s="332"/>
    </row>
    <row r="38" spans="1:20" ht="14.1" customHeight="1" x14ac:dyDescent="0.2">
      <c r="A38" s="53"/>
      <c r="B38" s="370"/>
      <c r="C38" s="361"/>
      <c r="D38" s="39"/>
      <c r="E38" s="9"/>
      <c r="F38" s="86"/>
      <c r="G38" s="9"/>
      <c r="H38" s="9"/>
      <c r="I38" s="86"/>
      <c r="J38" s="53"/>
      <c r="K38" s="370"/>
      <c r="L38" s="361"/>
      <c r="M38" s="39"/>
      <c r="N38" s="9"/>
      <c r="O38" s="86"/>
      <c r="P38" s="9"/>
      <c r="Q38" s="9"/>
      <c r="R38" s="86"/>
      <c r="T38" s="332"/>
    </row>
    <row r="39" spans="1:20" s="7" customFormat="1" ht="14.1" customHeight="1" x14ac:dyDescent="0.2">
      <c r="A39" s="356" t="s">
        <v>50</v>
      </c>
      <c r="B39" s="371"/>
      <c r="C39" s="357">
        <f>[3]Frontier!$ET$19</f>
        <v>158</v>
      </c>
      <c r="D39" s="358">
        <f>C39/$C$64</f>
        <v>5.1220540084935323E-3</v>
      </c>
      <c r="E39" s="359">
        <f>[3]Frontier!$EF$19</f>
        <v>360</v>
      </c>
      <c r="F39" s="360">
        <f>(C39-E39)/E39</f>
        <v>-0.56111111111111112</v>
      </c>
      <c r="G39" s="359">
        <f>SUM([3]Frontier!$EL$19:$ET$19)</f>
        <v>1674</v>
      </c>
      <c r="H39" s="359">
        <f>SUM([3]Frontier!$DX$19:$EF$19)</f>
        <v>2579</v>
      </c>
      <c r="I39" s="360">
        <f>(G39-H39)/H39</f>
        <v>-0.35091120589375729</v>
      </c>
      <c r="J39" s="356" t="s">
        <v>50</v>
      </c>
      <c r="K39" s="371"/>
      <c r="L39" s="357">
        <f>[3]Frontier!$ET$41</f>
        <v>24097</v>
      </c>
      <c r="M39" s="358">
        <f>L39/$L$64</f>
        <v>8.0760679332143332E-3</v>
      </c>
      <c r="N39" s="359">
        <f>[3]Frontier!$EF$41</f>
        <v>44298</v>
      </c>
      <c r="O39" s="360">
        <f>(L39-N39)/N39</f>
        <v>-0.45602510271344077</v>
      </c>
      <c r="P39" s="359">
        <f>SUM([3]Frontier!$EL$41:$ET$41)</f>
        <v>248731</v>
      </c>
      <c r="Q39" s="359">
        <f>SUM([3]Frontier!$DX$41:$EF$41)</f>
        <v>337146</v>
      </c>
      <c r="R39" s="360">
        <f>(P39-Q39)/Q39</f>
        <v>-0.26224543669508166</v>
      </c>
      <c r="T39" s="334"/>
    </row>
    <row r="40" spans="1:20" s="7" customFormat="1" ht="14.1" customHeight="1" x14ac:dyDescent="0.2">
      <c r="A40" s="356"/>
      <c r="B40" s="371"/>
      <c r="C40" s="357"/>
      <c r="D40" s="358"/>
      <c r="E40" s="359"/>
      <c r="F40" s="360"/>
      <c r="G40" s="359"/>
      <c r="H40" s="359"/>
      <c r="I40" s="360"/>
      <c r="J40" s="356"/>
      <c r="K40" s="371"/>
      <c r="L40" s="361"/>
      <c r="M40" s="39"/>
      <c r="N40" s="9"/>
      <c r="O40" s="86"/>
      <c r="P40" s="9"/>
      <c r="Q40" s="9"/>
      <c r="R40" s="86"/>
      <c r="T40" s="334"/>
    </row>
    <row r="41" spans="1:20" s="7" customFormat="1" ht="14.1" customHeight="1" x14ac:dyDescent="0.2">
      <c r="A41" s="356" t="s">
        <v>165</v>
      </c>
      <c r="B41" s="371"/>
      <c r="C41" s="357">
        <f>'[3]Great Lakes'!$ET$19</f>
        <v>0</v>
      </c>
      <c r="D41" s="358">
        <f>C41/$C$64</f>
        <v>0</v>
      </c>
      <c r="E41" s="359">
        <f>'[3]Great Lakes'!$EF$19</f>
        <v>320</v>
      </c>
      <c r="F41" s="360">
        <f>(C41-E41)/E41</f>
        <v>-1</v>
      </c>
      <c r="G41" s="359">
        <f>SUM('[3]Great Lakes'!$EL$19:$ET$19)</f>
        <v>571</v>
      </c>
      <c r="H41" s="359">
        <f>SUM('[3]Great Lakes'!$DX$19:$EF$19)</f>
        <v>2148</v>
      </c>
      <c r="I41" s="360">
        <f>(G41-H41)/H41</f>
        <v>-0.73417132216014902</v>
      </c>
      <c r="J41" s="356" t="s">
        <v>165</v>
      </c>
      <c r="K41" s="371"/>
      <c r="L41" s="357">
        <f>'[3]Great Lakes'!$ET$41</f>
        <v>0</v>
      </c>
      <c r="M41" s="358">
        <f>L41/$L$64</f>
        <v>0</v>
      </c>
      <c r="N41" s="359">
        <f>'[3]Great Lakes'!$EF$41</f>
        <v>909</v>
      </c>
      <c r="O41" s="360">
        <f>(L41-N41)/N41</f>
        <v>-1</v>
      </c>
      <c r="P41" s="359">
        <f>SUM('[3]Great Lakes'!$EL$41:$ET$41)</f>
        <v>1557</v>
      </c>
      <c r="Q41" s="359">
        <f>SUM('[3]Great Lakes'!$DX$41:$EF$41)</f>
        <v>6842</v>
      </c>
      <c r="R41" s="360">
        <f>(P41-Q41)/Q41</f>
        <v>-0.77243496053785443</v>
      </c>
      <c r="T41" s="334"/>
    </row>
    <row r="42" spans="1:20" s="7" customFormat="1" ht="14.1" customHeight="1" x14ac:dyDescent="0.2">
      <c r="A42" s="356"/>
      <c r="B42" s="371"/>
      <c r="C42" s="357"/>
      <c r="D42" s="358"/>
      <c r="E42" s="359"/>
      <c r="F42" s="360"/>
      <c r="G42" s="359"/>
      <c r="H42" s="359"/>
      <c r="I42" s="360"/>
      <c r="J42" s="356"/>
      <c r="K42" s="371"/>
      <c r="L42" s="361"/>
      <c r="M42" s="39"/>
      <c r="N42" s="9"/>
      <c r="O42" s="86"/>
      <c r="P42" s="9"/>
      <c r="Q42" s="9"/>
      <c r="R42" s="86"/>
      <c r="T42" s="334"/>
    </row>
    <row r="43" spans="1:20" s="7" customFormat="1" ht="14.1" customHeight="1" x14ac:dyDescent="0.2">
      <c r="A43" s="356" t="s">
        <v>51</v>
      </c>
      <c r="B43" s="371"/>
      <c r="C43" s="357">
        <f>[3]Icelandair!$ET$19</f>
        <v>52</v>
      </c>
      <c r="D43" s="358">
        <f>C43/$C$64</f>
        <v>1.6857392939345804E-3</v>
      </c>
      <c r="E43" s="359">
        <f>[3]Icelandair!$EF$19</f>
        <v>48</v>
      </c>
      <c r="F43" s="360">
        <f>(C43-E43)/E43</f>
        <v>8.3333333333333329E-2</v>
      </c>
      <c r="G43" s="359">
        <f>SUM([3]Icelandair!$EL$19:$ET$19)</f>
        <v>306</v>
      </c>
      <c r="H43" s="359">
        <f>SUM([3]Icelandair!$DX$19:$EF$19)</f>
        <v>262</v>
      </c>
      <c r="I43" s="360">
        <f>(G43-H43)/H43</f>
        <v>0.16793893129770993</v>
      </c>
      <c r="J43" s="356" t="s">
        <v>51</v>
      </c>
      <c r="K43" s="371"/>
      <c r="L43" s="357">
        <f>[3]Icelandair!$ET$41</f>
        <v>9132</v>
      </c>
      <c r="M43" s="358">
        <f>L43/$L$64</f>
        <v>3.0605740285559735E-3</v>
      </c>
      <c r="N43" s="359">
        <f>[3]Icelandair!$EF$41</f>
        <v>7600</v>
      </c>
      <c r="O43" s="360">
        <f>(L43-N43)/N43</f>
        <v>0.20157894736842105</v>
      </c>
      <c r="P43" s="359">
        <f>SUM([3]Icelandair!$EL$41:$ET$41)</f>
        <v>57897</v>
      </c>
      <c r="Q43" s="359">
        <f>SUM([3]Icelandair!$DX$41:$EF$41)</f>
        <v>42703</v>
      </c>
      <c r="R43" s="360">
        <f>(P43-Q43)/Q43</f>
        <v>0.35580638362644312</v>
      </c>
      <c r="T43" s="20"/>
    </row>
    <row r="44" spans="1:20" s="7" customFormat="1" ht="14.1" customHeight="1" x14ac:dyDescent="0.2">
      <c r="A44" s="356"/>
      <c r="B44" s="371"/>
      <c r="C44" s="357"/>
      <c r="D44" s="358"/>
      <c r="E44" s="359"/>
      <c r="F44" s="360"/>
      <c r="G44" s="359"/>
      <c r="H44" s="359"/>
      <c r="I44" s="360"/>
      <c r="J44" s="356"/>
      <c r="K44" s="371"/>
      <c r="L44" s="361"/>
      <c r="M44" s="39"/>
      <c r="N44" s="9"/>
      <c r="O44" s="86"/>
      <c r="P44" s="9"/>
      <c r="Q44" s="9"/>
      <c r="R44" s="86"/>
      <c r="T44" s="20"/>
    </row>
    <row r="45" spans="1:20" ht="14.1" customHeight="1" x14ac:dyDescent="0.2">
      <c r="A45" s="368" t="s">
        <v>136</v>
      </c>
      <c r="B45" s="55"/>
      <c r="C45" s="357">
        <f>SUM(C46:C46)</f>
        <v>1584</v>
      </c>
      <c r="D45" s="358">
        <f>C45/$C$64</f>
        <v>5.135021233831491E-2</v>
      </c>
      <c r="E45" s="359">
        <f>SUM(E46:E46)</f>
        <v>1381</v>
      </c>
      <c r="F45" s="360">
        <f>(C45-E45)/E45</f>
        <v>0.14699493120926865</v>
      </c>
      <c r="G45" s="357">
        <f>SUM(G46:G46)</f>
        <v>12924</v>
      </c>
      <c r="H45" s="359">
        <f>SUM(H46:H46)</f>
        <v>11924</v>
      </c>
      <c r="I45" s="360">
        <f>(G45-H45)/H45</f>
        <v>8.3864475008386452E-2</v>
      </c>
      <c r="J45" s="356" t="s">
        <v>136</v>
      </c>
      <c r="K45" s="55"/>
      <c r="L45" s="357">
        <f>SUM(L46:L46)</f>
        <v>192627</v>
      </c>
      <c r="M45" s="358">
        <f>L45/$L$64</f>
        <v>6.4558606373045502E-2</v>
      </c>
      <c r="N45" s="359">
        <f>SUM(N46:N46)</f>
        <v>164097</v>
      </c>
      <c r="O45" s="360">
        <f>(L45-N45)/N45</f>
        <v>0.17386058246037406</v>
      </c>
      <c r="P45" s="357">
        <f>SUM(P46:P46)</f>
        <v>1588960</v>
      </c>
      <c r="Q45" s="359">
        <f>SUM(Q46:Q46)</f>
        <v>1427664</v>
      </c>
      <c r="R45" s="360">
        <f>(P45-Q45)/Q45</f>
        <v>0.11297896423808403</v>
      </c>
      <c r="T45" s="20"/>
    </row>
    <row r="46" spans="1:20" ht="14.1" customHeight="1" x14ac:dyDescent="0.2">
      <c r="A46" s="368"/>
      <c r="B46" s="55" t="s">
        <v>136</v>
      </c>
      <c r="C46" s="436">
        <f>[3]Southwest!$ET$19</f>
        <v>1584</v>
      </c>
      <c r="D46" s="437">
        <f>C46/$C$64</f>
        <v>5.135021233831491E-2</v>
      </c>
      <c r="E46" s="300">
        <f>[3]Southwest!$EF$19</f>
        <v>1381</v>
      </c>
      <c r="F46" s="438">
        <f>(C46-E46)/E46</f>
        <v>0.14699493120926865</v>
      </c>
      <c r="G46" s="300">
        <f>SUM([3]Southwest!$EL$19:$ET$19)</f>
        <v>12924</v>
      </c>
      <c r="H46" s="300">
        <f>SUM([3]Southwest!$DX$19:$EF$19)</f>
        <v>11924</v>
      </c>
      <c r="I46" s="438">
        <f>(G46-H46)/H46</f>
        <v>8.3864475008386452E-2</v>
      </c>
      <c r="J46" s="356"/>
      <c r="K46" s="55" t="s">
        <v>136</v>
      </c>
      <c r="L46" s="436">
        <f>[3]Southwest!$ET$41</f>
        <v>192627</v>
      </c>
      <c r="M46" s="437">
        <f>L46/$L$64</f>
        <v>6.4558606373045502E-2</v>
      </c>
      <c r="N46" s="300">
        <f>[3]Southwest!$EF$41</f>
        <v>164097</v>
      </c>
      <c r="O46" s="438">
        <f>(L46-N46)/N46</f>
        <v>0.17386058246037406</v>
      </c>
      <c r="P46" s="300">
        <f>SUM([3]Southwest!$EL$41:$ET$41)</f>
        <v>1588960</v>
      </c>
      <c r="Q46" s="300">
        <f>SUM([3]Southwest!$DX$41:$EF$41)</f>
        <v>1427664</v>
      </c>
      <c r="R46" s="438">
        <f>(P46-Q46)/Q46</f>
        <v>0.11297896423808403</v>
      </c>
      <c r="T46" s="20"/>
    </row>
    <row r="47" spans="1:20" ht="14.1" customHeight="1" x14ac:dyDescent="0.2">
      <c r="A47" s="356"/>
      <c r="B47" s="55"/>
      <c r="C47" s="357"/>
      <c r="D47" s="358"/>
      <c r="E47" s="359"/>
      <c r="F47" s="360"/>
      <c r="G47" s="359"/>
      <c r="H47" s="359"/>
      <c r="I47" s="360"/>
      <c r="J47" s="356"/>
      <c r="K47" s="55"/>
      <c r="L47" s="361"/>
      <c r="M47" s="39"/>
      <c r="N47" s="9"/>
      <c r="O47" s="86"/>
      <c r="P47" s="9"/>
      <c r="Q47" s="9"/>
      <c r="R47" s="86"/>
      <c r="T47" s="20"/>
    </row>
    <row r="48" spans="1:20" ht="14.1" customHeight="1" x14ac:dyDescent="0.2">
      <c r="A48" s="356" t="s">
        <v>167</v>
      </c>
      <c r="B48" s="55"/>
      <c r="C48" s="357">
        <f>[3]Spirit!$ET$19</f>
        <v>760</v>
      </c>
      <c r="D48" s="358">
        <f>C48/$C$64</f>
        <v>2.4637728142120788E-2</v>
      </c>
      <c r="E48" s="359">
        <f>[3]Spirit!$EF$19</f>
        <v>602</v>
      </c>
      <c r="F48" s="360">
        <f>(C48-E48)/E48</f>
        <v>0.26245847176079734</v>
      </c>
      <c r="G48" s="359">
        <f>SUM([3]Spirit!$EL$19:$ET$19)</f>
        <v>6569</v>
      </c>
      <c r="H48" s="359">
        <f>SUM([3]Spirit!$DX$19:$EF$19)</f>
        <v>5559</v>
      </c>
      <c r="I48" s="360">
        <f>(G48-H48)/H48</f>
        <v>0.18168735384061882</v>
      </c>
      <c r="J48" s="356" t="s">
        <v>167</v>
      </c>
      <c r="K48" s="55"/>
      <c r="L48" s="357">
        <f>[3]Spirit!$ET$41</f>
        <v>94906</v>
      </c>
      <c r="M48" s="358">
        <f>L48/$L$64</f>
        <v>3.1807581992349232E-2</v>
      </c>
      <c r="N48" s="359">
        <f>[3]Spirit!$EF$41</f>
        <v>77287</v>
      </c>
      <c r="O48" s="360">
        <f>(L48-N48)/N48</f>
        <v>0.22796848111584095</v>
      </c>
      <c r="P48" s="359">
        <f>SUM([3]Spirit!$EL$41:$ET$41)</f>
        <v>917494</v>
      </c>
      <c r="Q48" s="359">
        <f>SUM([3]Spirit!$DX$41:$EF$41)</f>
        <v>747892</v>
      </c>
      <c r="R48" s="360">
        <f>(P48-Q48)/Q48</f>
        <v>0.22677338439239891</v>
      </c>
      <c r="T48" s="20"/>
    </row>
    <row r="49" spans="1:20" ht="14.1" customHeight="1" x14ac:dyDescent="0.2">
      <c r="A49" s="356"/>
      <c r="B49" s="55"/>
      <c r="C49" s="357"/>
      <c r="D49" s="358"/>
      <c r="E49" s="359"/>
      <c r="F49" s="360"/>
      <c r="G49" s="359"/>
      <c r="H49" s="359"/>
      <c r="I49" s="360"/>
      <c r="J49" s="356"/>
      <c r="K49" s="55"/>
      <c r="L49" s="361"/>
      <c r="M49" s="39"/>
      <c r="N49" s="9"/>
      <c r="O49" s="86"/>
      <c r="P49" s="9"/>
      <c r="Q49" s="9"/>
      <c r="R49" s="86"/>
      <c r="T49" s="20"/>
    </row>
    <row r="50" spans="1:20" s="7" customFormat="1" ht="14.1" customHeight="1" x14ac:dyDescent="0.2">
      <c r="A50" s="356" t="s">
        <v>52</v>
      </c>
      <c r="B50" s="371"/>
      <c r="C50" s="357">
        <f>'[3]Sun Country'!$ET$19</f>
        <v>1296</v>
      </c>
      <c r="D50" s="358">
        <f>C50/$C$64</f>
        <v>4.2013810094984928E-2</v>
      </c>
      <c r="E50" s="359">
        <f>'[3]Sun Country'!$EF$19</f>
        <v>1256</v>
      </c>
      <c r="F50" s="360">
        <f>(C50-E50)/E50</f>
        <v>3.1847133757961783E-2</v>
      </c>
      <c r="G50" s="359">
        <f>SUM('[3]Sun Country'!$EL$19:$ET$19)</f>
        <v>14524</v>
      </c>
      <c r="H50" s="359">
        <f>SUM('[3]Sun Country'!$DX$19:$EF$19)</f>
        <v>13978</v>
      </c>
      <c r="I50" s="360">
        <f>(G50-H50)/H50</f>
        <v>3.906138217198455E-2</v>
      </c>
      <c r="J50" s="356" t="s">
        <v>52</v>
      </c>
      <c r="K50" s="371"/>
      <c r="L50" s="357">
        <f>'[3]Sun Country'!$ET$41</f>
        <v>138857</v>
      </c>
      <c r="M50" s="358">
        <f>L50/$L$64</f>
        <v>4.6537683736661936E-2</v>
      </c>
      <c r="N50" s="359">
        <f>'[3]Sun Country'!$EF$41</f>
        <v>130275</v>
      </c>
      <c r="O50" s="360">
        <f>(L50-N50)/N50</f>
        <v>6.5876031471886393E-2</v>
      </c>
      <c r="P50" s="359">
        <f>SUM('[3]Sun Country'!$EL$41:$ET$41)</f>
        <v>1664248</v>
      </c>
      <c r="Q50" s="359">
        <f>SUM('[3]Sun Country'!$DX$41:$EF$41)</f>
        <v>1570565</v>
      </c>
      <c r="R50" s="360">
        <f>(P50-Q50)/Q50</f>
        <v>5.9649234511147259E-2</v>
      </c>
      <c r="T50" s="20"/>
    </row>
    <row r="51" spans="1:20" s="7" customFormat="1" ht="14.1" customHeight="1" x14ac:dyDescent="0.2">
      <c r="A51" s="356"/>
      <c r="B51" s="371"/>
      <c r="C51" s="357"/>
      <c r="D51" s="358"/>
      <c r="E51" s="359"/>
      <c r="F51" s="360"/>
      <c r="G51" s="359"/>
      <c r="H51" s="359"/>
      <c r="I51" s="360"/>
      <c r="J51" s="356"/>
      <c r="K51" s="371"/>
      <c r="L51" s="361"/>
      <c r="M51" s="39"/>
      <c r="N51" s="9"/>
      <c r="O51" s="86"/>
      <c r="P51" s="9"/>
      <c r="Q51" s="9"/>
      <c r="R51" s="86"/>
      <c r="T51" s="20"/>
    </row>
    <row r="52" spans="1:20" s="7" customFormat="1" ht="14.1" customHeight="1" x14ac:dyDescent="0.2">
      <c r="A52" s="356" t="s">
        <v>21</v>
      </c>
      <c r="B52" s="364"/>
      <c r="C52" s="357">
        <f>SUM(C53:C59)</f>
        <v>1786</v>
      </c>
      <c r="D52" s="358">
        <f>C52/$C$64</f>
        <v>5.7898661133983856E-2</v>
      </c>
      <c r="E52" s="359">
        <f>SUM(E53:E59)</f>
        <v>1690</v>
      </c>
      <c r="F52" s="360">
        <f t="shared" ref="F52:F59" si="36">(C52-E52)/E52</f>
        <v>5.6804733727810648E-2</v>
      </c>
      <c r="G52" s="359">
        <f>SUM(G53:G59)</f>
        <v>15092</v>
      </c>
      <c r="H52" s="359">
        <f>SUM(H53:H59)</f>
        <v>14554</v>
      </c>
      <c r="I52" s="360">
        <f t="shared" ref="I52:I59" si="37">(G52-H52)/H52</f>
        <v>3.6965782602720904E-2</v>
      </c>
      <c r="J52" s="356" t="s">
        <v>21</v>
      </c>
      <c r="K52" s="364"/>
      <c r="L52" s="357">
        <f>SUM(L53:L59)</f>
        <v>164658</v>
      </c>
      <c r="M52" s="358">
        <f>L52/$L$64</f>
        <v>5.5184844326978698E-2</v>
      </c>
      <c r="N52" s="359">
        <f>SUM(N53:N59)</f>
        <v>143061</v>
      </c>
      <c r="O52" s="360">
        <f t="shared" ref="O52:O59" si="38">(L52-N52)/N52</f>
        <v>0.15096357497850568</v>
      </c>
      <c r="P52" s="359">
        <f>SUM(P53:P59)</f>
        <v>1297637</v>
      </c>
      <c r="Q52" s="359">
        <f>SUM(Q53:Q59)</f>
        <v>1159473</v>
      </c>
      <c r="R52" s="360">
        <f t="shared" ref="R52:R59" si="39">(P52-Q52)/Q52</f>
        <v>0.11916103264155353</v>
      </c>
      <c r="T52" s="20"/>
    </row>
    <row r="53" spans="1:20" s="7" customFormat="1" ht="14.1" customHeight="1" x14ac:dyDescent="0.2">
      <c r="A53" s="372"/>
      <c r="B53" s="440" t="s">
        <v>21</v>
      </c>
      <c r="C53" s="361">
        <f>[3]United!$ET$19</f>
        <v>816</v>
      </c>
      <c r="D53" s="39">
        <f>C53/$C$64</f>
        <v>2.6453139689434954E-2</v>
      </c>
      <c r="E53" s="9">
        <f>[3]United!$EF$19+[3]Continental!$EF$19</f>
        <v>674</v>
      </c>
      <c r="F53" s="86">
        <f t="shared" si="36"/>
        <v>0.21068249258160238</v>
      </c>
      <c r="G53" s="9">
        <f>SUM([3]United!$EL$19:$ET$19)</f>
        <v>5684</v>
      </c>
      <c r="H53" s="9">
        <f>SUM([3]United!$DX$19:$EF$19)+SUM([3]Continental!$DX$19:$EF$19)</f>
        <v>5450</v>
      </c>
      <c r="I53" s="86">
        <f t="shared" si="37"/>
        <v>4.293577981651376E-2</v>
      </c>
      <c r="J53" s="372"/>
      <c r="K53" s="440" t="s">
        <v>21</v>
      </c>
      <c r="L53" s="361">
        <f>[3]United!$ET$41</f>
        <v>105278</v>
      </c>
      <c r="M53" s="39">
        <f>L53/$L$64</f>
        <v>3.5283739879360031E-2</v>
      </c>
      <c r="N53" s="9">
        <f>[3]United!$EF$41+[3]Continental!$EF$41</f>
        <v>81437</v>
      </c>
      <c r="O53" s="86">
        <f t="shared" si="38"/>
        <v>0.29275390792882844</v>
      </c>
      <c r="P53" s="9">
        <f>SUM([3]United!$EL$41:$ET$41)</f>
        <v>708722</v>
      </c>
      <c r="Q53" s="9">
        <f>SUM([3]United!$DX$41:$EF$41)+SUM([3]Continental!$DX$41:$EF$41)</f>
        <v>639717</v>
      </c>
      <c r="R53" s="86">
        <f t="shared" si="39"/>
        <v>0.10786801038584248</v>
      </c>
      <c r="T53" s="20"/>
    </row>
    <row r="54" spans="1:20" s="7" customFormat="1" ht="14.1" customHeight="1" x14ac:dyDescent="0.2">
      <c r="A54" s="372"/>
      <c r="B54" s="440" t="s">
        <v>198</v>
      </c>
      <c r="C54" s="361">
        <f>'[3]Continental Express'!$ET$19</f>
        <v>4</v>
      </c>
      <c r="D54" s="39">
        <f>C54/$C$63</f>
        <v>3.1375009804690562E-4</v>
      </c>
      <c r="E54" s="9">
        <f>'[3]Continental Express'!$EF$19</f>
        <v>1012</v>
      </c>
      <c r="F54" s="86">
        <f t="shared" si="36"/>
        <v>-0.99604743083003955</v>
      </c>
      <c r="G54" s="9">
        <f>SUM('[3]Continental Express'!$EL$19:$ET$19)</f>
        <v>1140</v>
      </c>
      <c r="H54" s="9">
        <f>SUM('[3]Continental Express'!$DX$19:$EF$19)</f>
        <v>3528</v>
      </c>
      <c r="I54" s="86">
        <f t="shared" si="37"/>
        <v>-0.6768707482993197</v>
      </c>
      <c r="J54" s="53"/>
      <c r="K54" s="440" t="s">
        <v>198</v>
      </c>
      <c r="L54" s="361">
        <f>'[3]Continental Express'!$ET$41</f>
        <v>184</v>
      </c>
      <c r="M54" s="39">
        <f>L54/$L$63</f>
        <v>2.9143621031557475E-4</v>
      </c>
      <c r="N54" s="9">
        <f>'[3]Continental Express'!$EF$41</f>
        <v>61444</v>
      </c>
      <c r="O54" s="86">
        <f t="shared" si="38"/>
        <v>-0.9970054032940564</v>
      </c>
      <c r="P54" s="9">
        <f>SUM('[3]Continental Express'!$EL$41:$ET$41)</f>
        <v>74488</v>
      </c>
      <c r="Q54" s="9">
        <f>SUM('[3]Continental Express'!$DX$41:$EF$41)</f>
        <v>177706</v>
      </c>
      <c r="R54" s="86">
        <f t="shared" si="39"/>
        <v>-0.58083576243908475</v>
      </c>
      <c r="T54" s="20"/>
    </row>
    <row r="55" spans="1:20" s="7" customFormat="1" ht="14.1" customHeight="1" x14ac:dyDescent="0.2">
      <c r="A55" s="372"/>
      <c r="B55" s="365" t="s">
        <v>166</v>
      </c>
      <c r="C55" s="361">
        <f>'[3]Go Jet_UA'!$ET$19</f>
        <v>2</v>
      </c>
      <c r="D55" s="39">
        <f>C55/$C$64</f>
        <v>6.4836126689791552E-5</v>
      </c>
      <c r="E55" s="9">
        <f>'[3]Go Jet_UA'!$EF$19</f>
        <v>4</v>
      </c>
      <c r="F55" s="86">
        <f t="shared" si="36"/>
        <v>-0.5</v>
      </c>
      <c r="G55" s="9">
        <f>SUM('[3]Go Jet_UA'!$EL$19:$ET$19)</f>
        <v>272</v>
      </c>
      <c r="H55" s="9">
        <f>SUM('[3]Go Jet_UA'!$DX$19:$EF$19)</f>
        <v>292</v>
      </c>
      <c r="I55" s="86">
        <f t="shared" si="37"/>
        <v>-6.8493150684931503E-2</v>
      </c>
      <c r="J55" s="372"/>
      <c r="K55" s="365" t="s">
        <v>166</v>
      </c>
      <c r="L55" s="361">
        <f>'[3]Go Jet_UA'!$ET$41</f>
        <v>139</v>
      </c>
      <c r="M55" s="39">
        <f>L55/$L$64</f>
        <v>4.658560993969342E-5</v>
      </c>
      <c r="N55" s="9">
        <f>'[3]Go Jet_UA'!$EF$41</f>
        <v>180</v>
      </c>
      <c r="O55" s="86">
        <f t="shared" si="38"/>
        <v>-0.22777777777777777</v>
      </c>
      <c r="P55" s="9">
        <f>SUM('[3]Go Jet_UA'!$EL$41:$ET$41)</f>
        <v>17294</v>
      </c>
      <c r="Q55" s="9">
        <f>SUM('[3]Go Jet_UA'!$DX$41:$EF$41)</f>
        <v>17949</v>
      </c>
      <c r="R55" s="86">
        <f t="shared" si="39"/>
        <v>-3.6492283692684827E-2</v>
      </c>
      <c r="T55" s="20"/>
    </row>
    <row r="56" spans="1:20" s="7" customFormat="1" ht="14.1" customHeight="1" x14ac:dyDescent="0.2">
      <c r="A56" s="372"/>
      <c r="B56" s="365" t="s">
        <v>55</v>
      </c>
      <c r="C56" s="361">
        <f>[3]MESA_UA!$ET$19</f>
        <v>408</v>
      </c>
      <c r="D56" s="39">
        <f>C56/$C$64</f>
        <v>1.3226569844717477E-2</v>
      </c>
      <c r="E56" s="9">
        <f>[3]MESA_UA!$EF$19</f>
        <v>0</v>
      </c>
      <c r="F56" s="86" t="e">
        <f>(C56-E56)/E56</f>
        <v>#DIV/0!</v>
      </c>
      <c r="G56" s="9">
        <f>SUM([3]MESA_UA!$EL$19:$ET$19)</f>
        <v>2534</v>
      </c>
      <c r="H56" s="9">
        <f>SUM([3]MESA_UA!$DX$19:$EF$19)</f>
        <v>1960</v>
      </c>
      <c r="I56" s="86">
        <f>(G56-H56)/H56</f>
        <v>0.29285714285714287</v>
      </c>
      <c r="J56" s="372"/>
      <c r="K56" s="365" t="s">
        <v>55</v>
      </c>
      <c r="L56" s="361">
        <f>[3]MESA_UA!$ET$41</f>
        <v>24476</v>
      </c>
      <c r="M56" s="39">
        <f>L56/$L$64</f>
        <v>8.2030891286614116E-3</v>
      </c>
      <c r="N56" s="9">
        <f>[3]MESA_UA!$EF$41</f>
        <v>0</v>
      </c>
      <c r="O56" s="86" t="e">
        <f>(L56-N56)/N56</f>
        <v>#DIV/0!</v>
      </c>
      <c r="P56" s="9">
        <f>SUM([3]MESA_UA!$EL$41:$ET$41)</f>
        <v>148412</v>
      </c>
      <c r="Q56" s="9">
        <f>SUM([3]MESA_UA!$DX$41:$EF$41)</f>
        <v>118579</v>
      </c>
      <c r="R56" s="86">
        <f t="shared" si="39"/>
        <v>0.25158754922878418</v>
      </c>
      <c r="T56" s="20"/>
    </row>
    <row r="57" spans="1:20" ht="14.1" customHeight="1" x14ac:dyDescent="0.2">
      <c r="A57" s="53"/>
      <c r="B57" s="440" t="s">
        <v>56</v>
      </c>
      <c r="C57" s="361">
        <f>[3]Republic_UA!$ET$19</f>
        <v>218</v>
      </c>
      <c r="D57" s="39">
        <f t="shared" ref="D57" si="40">C57/$C$64</f>
        <v>7.0671378091872791E-3</v>
      </c>
      <c r="E57" s="9">
        <f>[3]Republic_UA!$EF$19</f>
        <v>0</v>
      </c>
      <c r="F57" s="86" t="e">
        <f t="shared" ref="F57" si="41">(C57-E57)/E57</f>
        <v>#DIV/0!</v>
      </c>
      <c r="G57" s="9">
        <f>SUM([3]Republic_UA!$EL$19:$ET$19)</f>
        <v>1674</v>
      </c>
      <c r="H57" s="9">
        <f>SUM([3]Republic_UA!$DX$19:$EF$19)</f>
        <v>0</v>
      </c>
      <c r="I57" s="86" t="e">
        <f t="shared" ref="I57" si="42">(G57-H57)/H57</f>
        <v>#DIV/0!</v>
      </c>
      <c r="J57" s="372"/>
      <c r="K57" s="367" t="s">
        <v>213</v>
      </c>
      <c r="L57" s="361">
        <f>[3]Republic_UA!$ET$41</f>
        <v>12675</v>
      </c>
      <c r="M57" s="39">
        <f t="shared" ref="M57" si="43">L57/$L$64</f>
        <v>4.2480043596087348E-3</v>
      </c>
      <c r="N57" s="9">
        <f>[3]Republic_UA!$EF$41</f>
        <v>0</v>
      </c>
      <c r="O57" s="86" t="e">
        <f t="shared" ref="O57" si="44">(L57-N57)/N57</f>
        <v>#DIV/0!</v>
      </c>
      <c r="P57" s="9">
        <f>SUM([3]Republic_UA!$EL$41:$ET$41)</f>
        <v>102556</v>
      </c>
      <c r="Q57" s="9">
        <f>SUM([3]Republic_UA!$DX$41:$EF$41)</f>
        <v>0</v>
      </c>
      <c r="R57" s="86" t="e">
        <f t="shared" si="39"/>
        <v>#DIV/0!</v>
      </c>
      <c r="T57" s="20"/>
    </row>
    <row r="58" spans="1:20" s="7" customFormat="1" ht="14.1" customHeight="1" x14ac:dyDescent="0.2">
      <c r="A58" s="372"/>
      <c r="B58" s="365" t="s">
        <v>104</v>
      </c>
      <c r="C58" s="361">
        <f>'[3]Sky West_UA'!$ET$19</f>
        <v>296</v>
      </c>
      <c r="D58" s="39">
        <f>C58/$C$64</f>
        <v>9.5957467500891493E-3</v>
      </c>
      <c r="E58" s="9">
        <f>'[3]Sky West_UA'!$EF$19+'[3]Sky West_CO'!$EF$19</f>
        <v>0</v>
      </c>
      <c r="F58" s="86" t="e">
        <f t="shared" si="36"/>
        <v>#DIV/0!</v>
      </c>
      <c r="G58" s="9">
        <f>SUM('[3]Sky West_UA'!$EL$19:$ET$19)</f>
        <v>3204</v>
      </c>
      <c r="H58" s="9">
        <f>SUM('[3]Sky West_UA'!$DX$19:$EF$19)+SUM('[3]Sky West_CO'!$DX$19:$EF$19)</f>
        <v>2074</v>
      </c>
      <c r="I58" s="86">
        <f t="shared" si="37"/>
        <v>0.54484088717454193</v>
      </c>
      <c r="J58" s="372"/>
      <c r="K58" s="365" t="s">
        <v>104</v>
      </c>
      <c r="L58" s="361">
        <f>'[3]Sky West_UA'!$ET$41</f>
        <v>19969</v>
      </c>
      <c r="M58" s="39">
        <f>L58/$L$64</f>
        <v>6.692575862487323E-3</v>
      </c>
      <c r="N58" s="9">
        <f>'[3]Sky West_UA'!$EF$41+'[3]Sky West_CO'!$EF$41</f>
        <v>0</v>
      </c>
      <c r="O58" s="86" t="e">
        <f t="shared" si="38"/>
        <v>#DIV/0!</v>
      </c>
      <c r="P58" s="9">
        <f>SUM('[3]Sky West_UA'!$EL$41:$ET$41)</f>
        <v>212308</v>
      </c>
      <c r="Q58" s="9">
        <f>SUM('[3]Sky West_UA'!$DX$41:$EF$41)+SUM('[3]Sky West_CO'!$DX$41:$EF$41)</f>
        <v>131384</v>
      </c>
      <c r="R58" s="86">
        <f t="shared" si="39"/>
        <v>0.61593496925044144</v>
      </c>
      <c r="T58" s="20"/>
    </row>
    <row r="59" spans="1:20" s="7" customFormat="1" ht="14.1" customHeight="1" x14ac:dyDescent="0.2">
      <c r="A59" s="372"/>
      <c r="B59" s="367" t="s">
        <v>139</v>
      </c>
      <c r="C59" s="361">
        <f>'[3]Shuttle America'!$ET$19</f>
        <v>42</v>
      </c>
      <c r="D59" s="39">
        <f>C59/$C$64</f>
        <v>1.3615586604856225E-3</v>
      </c>
      <c r="E59" s="9">
        <f>'[3]Shuttle America'!$EF$19</f>
        <v>0</v>
      </c>
      <c r="F59" s="86" t="e">
        <f t="shared" si="36"/>
        <v>#DIV/0!</v>
      </c>
      <c r="G59" s="9">
        <f>SUM('[3]Shuttle America'!$EL$19:$ET$19)</f>
        <v>584</v>
      </c>
      <c r="H59" s="9">
        <f>SUM('[3]Shuttle America'!$DX$19:$EF$19)</f>
        <v>1250</v>
      </c>
      <c r="I59" s="86">
        <f t="shared" si="37"/>
        <v>-0.53280000000000005</v>
      </c>
      <c r="J59" s="372"/>
      <c r="K59" s="367" t="s">
        <v>139</v>
      </c>
      <c r="L59" s="361">
        <f>'[3]Shuttle America'!$ET$41</f>
        <v>1937</v>
      </c>
      <c r="M59" s="39">
        <f>L59/$L$64</f>
        <v>6.4918220469918099E-4</v>
      </c>
      <c r="N59" s="9">
        <f>'[3]Shuttle America'!$EF$41</f>
        <v>0</v>
      </c>
      <c r="O59" s="86" t="e">
        <f t="shared" si="38"/>
        <v>#DIV/0!</v>
      </c>
      <c r="P59" s="9">
        <f>SUM('[3]Shuttle America'!$EL$41:$ET$41)</f>
        <v>33857</v>
      </c>
      <c r="Q59" s="9">
        <f>SUM('[3]Shuttle America'!$DX$41:$EF$41)</f>
        <v>74138</v>
      </c>
      <c r="R59" s="86">
        <f t="shared" si="39"/>
        <v>-0.54332461086082706</v>
      </c>
      <c r="T59" s="20"/>
    </row>
    <row r="60" spans="1:20" s="7" customFormat="1" ht="14.1" customHeight="1" thickBot="1" x14ac:dyDescent="0.25">
      <c r="A60" s="372"/>
      <c r="B60" s="367"/>
      <c r="C60" s="373"/>
      <c r="D60" s="374"/>
      <c r="E60" s="375"/>
      <c r="F60" s="376"/>
      <c r="G60" s="377"/>
      <c r="H60" s="377"/>
      <c r="I60" s="376"/>
      <c r="J60" s="447"/>
      <c r="K60" s="448"/>
      <c r="L60" s="373"/>
      <c r="M60" s="374"/>
      <c r="N60" s="377"/>
      <c r="O60" s="376"/>
      <c r="P60" s="377"/>
      <c r="Q60" s="377"/>
      <c r="R60" s="376"/>
      <c r="T60" s="20"/>
    </row>
    <row r="61" spans="1:20" s="229" customFormat="1" ht="14.1" customHeight="1" thickBot="1" x14ac:dyDescent="0.25">
      <c r="B61" s="264"/>
      <c r="C61" s="359"/>
      <c r="D61" s="358"/>
      <c r="E61" s="359"/>
      <c r="F61" s="358"/>
      <c r="G61" s="446"/>
      <c r="H61" s="359"/>
      <c r="I61" s="358"/>
      <c r="J61" s="378"/>
      <c r="K61" s="264"/>
      <c r="L61" s="379"/>
      <c r="M61" s="378"/>
      <c r="N61" s="380"/>
      <c r="O61" s="378"/>
      <c r="P61" s="230"/>
      <c r="Q61" s="230"/>
      <c r="R61" s="230"/>
      <c r="T61" s="228"/>
    </row>
    <row r="62" spans="1:20" ht="14.1" customHeight="1" x14ac:dyDescent="0.2">
      <c r="B62" s="381" t="s">
        <v>141</v>
      </c>
      <c r="C62" s="459">
        <f>+C64-C63</f>
        <v>18098</v>
      </c>
      <c r="D62" s="471">
        <f>C62/$C$64</f>
        <v>0.58670211041592379</v>
      </c>
      <c r="E62" s="461">
        <f>+E64-E63</f>
        <v>17361</v>
      </c>
      <c r="F62" s="462">
        <f>(C62-E62)/E62</f>
        <v>4.2451471689418811E-2</v>
      </c>
      <c r="G62" s="459">
        <f>+G64-G63</f>
        <v>161637</v>
      </c>
      <c r="H62" s="461">
        <f>+H64-H63</f>
        <v>155164</v>
      </c>
      <c r="I62" s="468">
        <f>(G62-H62)/H62</f>
        <v>4.1717150885514684E-2</v>
      </c>
      <c r="K62" s="381" t="s">
        <v>141</v>
      </c>
      <c r="L62" s="459">
        <f>+L64-L63</f>
        <v>2352398</v>
      </c>
      <c r="M62" s="460">
        <f>+L62/L64</f>
        <v>0.78840212698499945</v>
      </c>
      <c r="N62" s="461">
        <f>+N64-N63</f>
        <v>2249577</v>
      </c>
      <c r="O62" s="462">
        <f>(L62-N62)/N62</f>
        <v>4.5706815103461675E-2</v>
      </c>
      <c r="P62" s="459">
        <f>+P64-P63</f>
        <v>21384344</v>
      </c>
      <c r="Q62" s="461">
        <f>+Q64-Q63</f>
        <v>20507612</v>
      </c>
      <c r="R62" s="468">
        <f>(P62-Q62)/Q62</f>
        <v>4.2751540257344442E-2</v>
      </c>
    </row>
    <row r="63" spans="1:20" ht="14.1" customHeight="1" x14ac:dyDescent="0.2">
      <c r="B63" s="333" t="s">
        <v>142</v>
      </c>
      <c r="C63" s="463">
        <f>C59+C37+C35+C33+C32+C36+C20+C58+C55+C34+C54+C56+C24+C23+C21+C15+C7+C6+C57+C22</f>
        <v>12749</v>
      </c>
      <c r="D63" s="435">
        <f>C63/$C$64</f>
        <v>0.41329788958407626</v>
      </c>
      <c r="E63" s="382">
        <f>E59+E37+E35+E33+E32+E36+E20+E58+E55+E34+E54+E56+E24+E23+E21+E15+E7+E6+E57+E22</f>
        <v>12754</v>
      </c>
      <c r="F63" s="384">
        <f>(C63-E63)/E63</f>
        <v>-3.9203387172651716E-4</v>
      </c>
      <c r="G63" s="463">
        <f>G59+G37+G35+G33+G32+G36+G20+G58+G55+G34+G54+G56+G24+G23+G21+G15+G7+G6+G57+G22</f>
        <v>122176</v>
      </c>
      <c r="H63" s="382">
        <f>H59+H37+H35+H33+H32+H36+H20+H58+H55+H34+H54+H56+H24+H23+H21+H15+H7+H6+H57+H22</f>
        <v>123588</v>
      </c>
      <c r="I63" s="469">
        <f>(G63-H63)/H63</f>
        <v>-1.1425057448943263E-2</v>
      </c>
      <c r="K63" s="333" t="s">
        <v>142</v>
      </c>
      <c r="L63" s="463">
        <f>L59+L37+L35+L33+L32+L36+L20+L58+L55+L34+L54+L56+L24+L23+L21+L15+L7+L6+L57+L22</f>
        <v>631356</v>
      </c>
      <c r="M63" s="383">
        <f>+L63/L64</f>
        <v>0.21159787301500058</v>
      </c>
      <c r="N63" s="382">
        <f>N59+N37+N35+N33+N32+N36+N20+N58+N55+N34+N54+N56+N24+N23+N21+N15+N7+N6+N57+N22</f>
        <v>668947</v>
      </c>
      <c r="O63" s="384">
        <f>(L63-N63)/N63</f>
        <v>-5.619428743981212E-2</v>
      </c>
      <c r="P63" s="463">
        <f>P59+P37+P35+P33+P32+P36+P20+P58+P55+P34+P54+P56+P24+P23+P21+P15+P7+P6+P57+P22</f>
        <v>6280751</v>
      </c>
      <c r="Q63" s="382">
        <f>Q59+Q37+Q35+Q33+Q32+Q36+Q20+Q58+Q55+Q34+Q54+Q56+Q24+Q23+Q21+Q15+Q7+Q6+Q57+Q22</f>
        <v>6426189</v>
      </c>
      <c r="R63" s="469">
        <f>(P63-Q63)/Q63</f>
        <v>-2.2632076336379151E-2</v>
      </c>
    </row>
    <row r="64" spans="1:20" ht="14.1" customHeight="1" thickBot="1" x14ac:dyDescent="0.25">
      <c r="B64" s="333" t="s">
        <v>143</v>
      </c>
      <c r="C64" s="464">
        <f>C52+C50+C45+C43+C39+C30+C17+C13+C4+C41+C48+C28+C26+C9+C11</f>
        <v>30847</v>
      </c>
      <c r="D64" s="472">
        <f>+C64/C64</f>
        <v>1</v>
      </c>
      <c r="E64" s="466">
        <f>E52+E50+E45+E43+E39+E30+E17+E13+E4+E41+E48+E28+E26+E11+E9</f>
        <v>30115</v>
      </c>
      <c r="F64" s="467">
        <f>(C64-E64)/E64</f>
        <v>2.4306823841939232E-2</v>
      </c>
      <c r="G64" s="464">
        <f>G52+G50+G45+G43+G39+G30+G17+G13+G4+G41+G48+G28+G26+G11+G9</f>
        <v>283813</v>
      </c>
      <c r="H64" s="466">
        <f>H52+H50+H45+H43+H39+H30+H17+H13+H4+H41+H48+H11+H9+H26+H28</f>
        <v>278752</v>
      </c>
      <c r="I64" s="470">
        <f>(G64-H64)/H64</f>
        <v>1.8155923544943175E-2</v>
      </c>
      <c r="K64" s="333" t="s">
        <v>143</v>
      </c>
      <c r="L64" s="464">
        <f>L52+L50+L45+L43+L39+L30+L17+L13+L4+L41+L48+L9+L11+L26+L28</f>
        <v>2983754</v>
      </c>
      <c r="M64" s="465">
        <f>+L64/L64</f>
        <v>1</v>
      </c>
      <c r="N64" s="466">
        <f>N52+N50+N45+N43+N39+N30+N17+N13+N4+N41+N48+N9+N11+N26+N28</f>
        <v>2918524</v>
      </c>
      <c r="O64" s="467">
        <f>(L64-N64)/N64</f>
        <v>2.2350338732866338E-2</v>
      </c>
      <c r="P64" s="464">
        <f>P52+P50+P45+P43+P39+P30+P17+P13+P4+P41+P48+P11+P9+P26+P28</f>
        <v>27665095</v>
      </c>
      <c r="Q64" s="464">
        <f>Q52+Q50+Q45+Q43+Q39+Q30+Q17+Q13+Q4+Q41+Q48+Q11+Q9+Q26+Q28</f>
        <v>26933801</v>
      </c>
      <c r="R64" s="470">
        <f>(P64-Q64)/Q64</f>
        <v>2.7151533495031022E-2</v>
      </c>
    </row>
    <row r="65" spans="2:18" x14ac:dyDescent="0.2">
      <c r="B65" s="333"/>
      <c r="F65" s="37"/>
      <c r="G65" s="231"/>
      <c r="H65" s="5"/>
      <c r="I65" s="37"/>
      <c r="K65" s="11"/>
      <c r="L65" s="4"/>
      <c r="M65" s="227"/>
      <c r="N65" s="4"/>
      <c r="O65" s="227"/>
      <c r="P65" s="4"/>
      <c r="Q65" s="7"/>
      <c r="R65" s="7"/>
    </row>
    <row r="66" spans="2:18" x14ac:dyDescent="0.2">
      <c r="B66" s="264"/>
      <c r="D66" s="4"/>
      <c r="E66" s="425"/>
      <c r="F66" s="227"/>
      <c r="G66" s="4"/>
      <c r="H66" s="4"/>
      <c r="I66"/>
      <c r="J66"/>
      <c r="K66"/>
      <c r="M66"/>
      <c r="O66"/>
      <c r="P66" s="2"/>
      <c r="Q66" s="2"/>
    </row>
    <row r="67" spans="2:18" x14ac:dyDescent="0.2">
      <c r="B67" s="333"/>
      <c r="D67" s="4"/>
      <c r="E67" s="425"/>
      <c r="F67" s="227"/>
      <c r="G67" s="4"/>
      <c r="H67" s="4"/>
      <c r="I67"/>
      <c r="J67"/>
      <c r="K67"/>
      <c r="M67"/>
      <c r="O67"/>
      <c r="P67" s="2"/>
      <c r="Q67" s="2"/>
    </row>
    <row r="68" spans="2:18" x14ac:dyDescent="0.2">
      <c r="B68" s="264"/>
      <c r="D68" s="4"/>
      <c r="E68" s="425"/>
      <c r="F68" s="227"/>
      <c r="G68" s="4"/>
      <c r="H68" s="4"/>
      <c r="I68"/>
      <c r="J68"/>
      <c r="K68"/>
      <c r="M68"/>
      <c r="O68"/>
      <c r="P68" s="2"/>
      <c r="Q68" s="2"/>
    </row>
    <row r="69" spans="2:18" x14ac:dyDescent="0.2">
      <c r="D69" s="4"/>
      <c r="E69" s="227"/>
      <c r="F69" s="227"/>
      <c r="G69" s="4"/>
      <c r="H69" s="7"/>
      <c r="I69"/>
      <c r="J69"/>
      <c r="K69"/>
      <c r="L69"/>
      <c r="M69"/>
      <c r="N69"/>
      <c r="O69"/>
      <c r="P69" s="130"/>
    </row>
    <row r="70" spans="2:18" x14ac:dyDescent="0.2">
      <c r="D70" s="4"/>
      <c r="E70" s="227"/>
      <c r="F70" s="227"/>
      <c r="G70" s="4"/>
      <c r="H70" s="7"/>
      <c r="I70"/>
      <c r="J70"/>
      <c r="K70"/>
      <c r="M70"/>
      <c r="N70"/>
      <c r="O70"/>
    </row>
    <row r="71" spans="2:18" x14ac:dyDescent="0.2">
      <c r="D71" s="4"/>
      <c r="E71" s="3"/>
      <c r="G71" s="4"/>
      <c r="H71"/>
      <c r="I71"/>
      <c r="J71"/>
      <c r="K71"/>
      <c r="L71"/>
      <c r="M71"/>
      <c r="N71"/>
      <c r="O71"/>
    </row>
    <row r="72" spans="2:18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2:18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2:18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2:18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2:18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2:18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2:18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2:18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2:18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D134" s="2"/>
      <c r="E134" s="3"/>
      <c r="G134"/>
      <c r="H134"/>
      <c r="I134"/>
      <c r="J134"/>
      <c r="K134"/>
      <c r="L134"/>
      <c r="M134"/>
      <c r="N134"/>
      <c r="O134"/>
    </row>
    <row r="135" spans="4:15" x14ac:dyDescent="0.2">
      <c r="D135" s="2"/>
      <c r="E135" s="3"/>
      <c r="G135"/>
      <c r="H135"/>
      <c r="I135"/>
      <c r="J135"/>
      <c r="K135"/>
      <c r="L135"/>
      <c r="M135"/>
      <c r="N135"/>
      <c r="O135"/>
    </row>
    <row r="136" spans="4:15" x14ac:dyDescent="0.2">
      <c r="D136" s="2"/>
      <c r="E136" s="3"/>
      <c r="G136"/>
      <c r="H136"/>
      <c r="I136"/>
      <c r="J136"/>
      <c r="K136"/>
      <c r="L136"/>
      <c r="M136"/>
      <c r="N136"/>
      <c r="O136"/>
    </row>
    <row r="137" spans="4:15" x14ac:dyDescent="0.2">
      <c r="D137" s="2"/>
      <c r="E137" s="3"/>
      <c r="G137"/>
      <c r="H137"/>
      <c r="I137"/>
      <c r="J137"/>
      <c r="K137"/>
      <c r="L137"/>
      <c r="M137"/>
      <c r="N137"/>
      <c r="O137"/>
    </row>
    <row r="138" spans="4:15" x14ac:dyDescent="0.2">
      <c r="D138" s="2"/>
      <c r="E138" s="3"/>
      <c r="G138"/>
      <c r="H138"/>
      <c r="I138"/>
      <c r="J138"/>
      <c r="K138"/>
      <c r="L138"/>
      <c r="M138"/>
      <c r="N138"/>
      <c r="O138"/>
    </row>
    <row r="139" spans="4:15" x14ac:dyDescent="0.2">
      <c r="D139" s="2"/>
      <c r="E139" s="3"/>
      <c r="G139"/>
      <c r="H139"/>
      <c r="I139"/>
      <c r="J139"/>
      <c r="K139"/>
      <c r="L139"/>
      <c r="M139"/>
      <c r="N139"/>
      <c r="O139"/>
    </row>
    <row r="140" spans="4:15" x14ac:dyDescent="0.2">
      <c r="D140" s="2"/>
      <c r="E140" s="3"/>
      <c r="G140"/>
      <c r="H140"/>
      <c r="I140"/>
      <c r="J140"/>
      <c r="K140"/>
      <c r="L140"/>
      <c r="M140"/>
      <c r="N140"/>
      <c r="O140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F1187" s="37"/>
      <c r="G1187" s="231"/>
      <c r="H1187" s="5"/>
      <c r="I1187" s="37"/>
      <c r="K1187" s="11"/>
    </row>
    <row r="1188" spans="6:11" x14ac:dyDescent="0.2">
      <c r="F1188" s="37"/>
      <c r="G1188" s="231"/>
      <c r="H1188" s="5"/>
      <c r="I1188" s="37"/>
      <c r="K1188" s="11"/>
    </row>
    <row r="1189" spans="6:11" x14ac:dyDescent="0.2">
      <c r="F1189" s="37"/>
      <c r="G1189" s="231"/>
      <c r="H1189" s="5"/>
      <c r="I1189" s="37"/>
      <c r="K1189" s="11"/>
    </row>
    <row r="1190" spans="6:11" x14ac:dyDescent="0.2">
      <c r="F1190" s="37"/>
      <c r="G1190" s="231"/>
      <c r="H1190" s="5"/>
      <c r="I1190" s="37"/>
      <c r="K1190" s="11"/>
    </row>
    <row r="1191" spans="6:11" x14ac:dyDescent="0.2">
      <c r="F1191" s="37"/>
      <c r="G1191" s="231"/>
      <c r="H1191" s="5"/>
      <c r="I1191" s="37"/>
      <c r="K1191" s="11"/>
    </row>
    <row r="1192" spans="6:11" x14ac:dyDescent="0.2">
      <c r="F1192" s="37"/>
      <c r="G1192" s="231"/>
      <c r="H1192" s="5"/>
      <c r="I1192" s="37"/>
      <c r="K1192" s="11"/>
    </row>
    <row r="1193" spans="6:11" x14ac:dyDescent="0.2">
      <c r="F1193" s="37"/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  <row r="4702" spans="7:11" x14ac:dyDescent="0.2">
      <c r="G4702" s="231"/>
      <c r="H4702" s="5"/>
      <c r="I4702" s="37"/>
      <c r="K4702" s="11"/>
    </row>
    <row r="4703" spans="7:11" x14ac:dyDescent="0.2">
      <c r="G4703" s="231"/>
      <c r="H4703" s="5"/>
      <c r="I4703" s="37"/>
      <c r="K4703" s="11"/>
    </row>
    <row r="4704" spans="7:11" x14ac:dyDescent="0.2">
      <c r="G4704" s="231"/>
      <c r="H4704" s="5"/>
      <c r="I4704" s="37"/>
      <c r="K4704" s="11"/>
    </row>
    <row r="4705" spans="7:11" x14ac:dyDescent="0.2">
      <c r="G4705" s="231"/>
      <c r="H4705" s="5"/>
      <c r="I4705" s="37"/>
      <c r="K4705" s="11"/>
    </row>
    <row r="4706" spans="7:11" x14ac:dyDescent="0.2">
      <c r="G4706" s="231"/>
      <c r="H4706" s="5"/>
      <c r="I4706" s="37"/>
      <c r="K4706" s="11"/>
    </row>
    <row r="4707" spans="7:11" x14ac:dyDescent="0.2">
      <c r="G4707" s="231"/>
      <c r="H4707" s="5"/>
      <c r="I4707" s="37"/>
      <c r="K4707" s="11"/>
    </row>
    <row r="4708" spans="7:11" x14ac:dyDescent="0.2">
      <c r="G4708" s="231"/>
      <c r="H4708" s="5"/>
      <c r="I4708" s="37"/>
      <c r="K470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53" orientation="landscape" r:id="rId1"/>
  <headerFooter alignWithMargins="0">
    <oddHeader>&amp;L
Schedule 10
&amp;CMinneapolis-St. Paul International Airport
&amp;"Arial,Bold"&amp;A
September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K8" sqref="K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9">
        <v>42614</v>
      </c>
      <c r="B1" s="456" t="s">
        <v>19</v>
      </c>
      <c r="C1" s="456" t="s">
        <v>20</v>
      </c>
      <c r="D1" s="456" t="s">
        <v>21</v>
      </c>
      <c r="E1" s="456" t="s">
        <v>167</v>
      </c>
      <c r="F1" s="456" t="s">
        <v>182</v>
      </c>
      <c r="G1" s="456" t="s">
        <v>168</v>
      </c>
      <c r="H1" s="456" t="s">
        <v>23</v>
      </c>
      <c r="I1" s="457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5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[3]American!$ET$22</f>
        <v>88122</v>
      </c>
      <c r="C4" s="21">
        <f>[3]Delta!$ET$22+[3]Delta!$ET$32</f>
        <v>793876</v>
      </c>
      <c r="D4" s="21">
        <f>[3]United!$ET$22</f>
        <v>52899</v>
      </c>
      <c r="E4" s="21">
        <f>[3]Spirit!$ET$22</f>
        <v>46583</v>
      </c>
      <c r="F4" s="21">
        <f>[3]Condor!$ET$22+[3]Condor!$ET$32</f>
        <v>678</v>
      </c>
      <c r="G4" s="21">
        <f>'[3]Air France'!$ET$22+'[3]Air France'!$ET$32</f>
        <v>4440</v>
      </c>
      <c r="H4" s="21">
        <f>'Other Major Airline Stats'!J5</f>
        <v>191619</v>
      </c>
      <c r="I4" s="286">
        <f>SUM(B4:H4)</f>
        <v>1178217</v>
      </c>
    </row>
    <row r="5" spans="1:18" x14ac:dyDescent="0.2">
      <c r="A5" s="62" t="s">
        <v>34</v>
      </c>
      <c r="B5" s="14">
        <f>[3]American!$ET$23</f>
        <v>85309</v>
      </c>
      <c r="C5" s="14">
        <f>[3]Delta!$ET$23+[3]Delta!$ET$33</f>
        <v>790609</v>
      </c>
      <c r="D5" s="14">
        <f>[3]United!$ET$23</f>
        <v>52379</v>
      </c>
      <c r="E5" s="14">
        <f>[3]Spirit!$ET$23</f>
        <v>48323</v>
      </c>
      <c r="F5" s="14">
        <f>[3]Condor!$ET$23+[3]Condor!$ET$33</f>
        <v>557</v>
      </c>
      <c r="G5" s="14">
        <f>'[3]Air France'!$ET$23+'[3]Air France'!$ET$33</f>
        <v>3974</v>
      </c>
      <c r="H5" s="14">
        <f>'Other Major Airline Stats'!J6</f>
        <v>193030</v>
      </c>
      <c r="I5" s="287">
        <f>SUM(B5:H5)</f>
        <v>1174181</v>
      </c>
      <c r="K5" s="313"/>
      <c r="L5" s="313"/>
      <c r="M5" s="313"/>
      <c r="N5" s="313"/>
      <c r="O5" s="313"/>
      <c r="P5" s="313"/>
      <c r="Q5" s="313"/>
      <c r="R5" s="313"/>
    </row>
    <row r="6" spans="1:18" ht="15" x14ac:dyDescent="0.25">
      <c r="A6" s="60" t="s">
        <v>7</v>
      </c>
      <c r="B6" s="34">
        <f t="shared" ref="B6:H6" si="0">SUM(B4:B5)</f>
        <v>173431</v>
      </c>
      <c r="C6" s="34">
        <f t="shared" si="0"/>
        <v>1584485</v>
      </c>
      <c r="D6" s="34">
        <f t="shared" si="0"/>
        <v>105278</v>
      </c>
      <c r="E6" s="34">
        <f t="shared" si="0"/>
        <v>94906</v>
      </c>
      <c r="F6" s="34">
        <f t="shared" ref="F6:G6" si="1">SUM(F4:F5)</f>
        <v>1235</v>
      </c>
      <c r="G6" s="34">
        <f t="shared" si="1"/>
        <v>8414</v>
      </c>
      <c r="H6" s="34">
        <f t="shared" si="0"/>
        <v>384649</v>
      </c>
      <c r="I6" s="288">
        <f>SUM(B6:H6)</f>
        <v>2352398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6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6">
        <f>SUM(B8:H8)</f>
        <v>0</v>
      </c>
    </row>
    <row r="9" spans="1:18" x14ac:dyDescent="0.2">
      <c r="A9" s="62" t="s">
        <v>33</v>
      </c>
      <c r="B9" s="21">
        <f>[3]American!$ET$27</f>
        <v>3097</v>
      </c>
      <c r="C9" s="21">
        <f>[3]Delta!$ET$27+[3]Delta!$ET$37</f>
        <v>27896</v>
      </c>
      <c r="D9" s="21">
        <f>[3]United!$ET$27</f>
        <v>1647</v>
      </c>
      <c r="E9" s="21">
        <f>[3]Spirit!$ET$27</f>
        <v>439</v>
      </c>
      <c r="F9" s="21">
        <f>[3]Condor!$ET$27+[3]Condor!$ET$37</f>
        <v>0</v>
      </c>
      <c r="G9" s="21">
        <f>'[3]Air France'!$ET$27+'[3]Air France'!$ET$37</f>
        <v>12</v>
      </c>
      <c r="H9" s="21">
        <f>'Other Major Airline Stats'!J10</f>
        <v>3327</v>
      </c>
      <c r="I9" s="286">
        <f>SUM(B9:H9)</f>
        <v>36418</v>
      </c>
    </row>
    <row r="10" spans="1:18" x14ac:dyDescent="0.2">
      <c r="A10" s="62" t="s">
        <v>36</v>
      </c>
      <c r="B10" s="14">
        <f>[3]American!$ET$28</f>
        <v>3381</v>
      </c>
      <c r="C10" s="14">
        <f>[3]Delta!$ET$28+[3]Delta!$ET$38</f>
        <v>28338</v>
      </c>
      <c r="D10" s="14">
        <f>[3]United!$ET$28</f>
        <v>1526</v>
      </c>
      <c r="E10" s="14">
        <f>[3]Spirit!$ET$28</f>
        <v>440</v>
      </c>
      <c r="F10" s="14">
        <f>[3]Condor!$ET$28+[3]Condor!$ET$38</f>
        <v>0</v>
      </c>
      <c r="G10" s="14">
        <f>'[3]Air France'!$ET$28+'[3]Air France'!$ET$38</f>
        <v>7</v>
      </c>
      <c r="H10" s="14">
        <f>'Other Major Airline Stats'!J11</f>
        <v>3522</v>
      </c>
      <c r="I10" s="287">
        <f>SUM(B10:H10)</f>
        <v>37214</v>
      </c>
    </row>
    <row r="11" spans="1:18" ht="15.75" thickBot="1" x14ac:dyDescent="0.3">
      <c r="A11" s="63" t="s">
        <v>37</v>
      </c>
      <c r="B11" s="289">
        <f t="shared" ref="B11:H11" si="2">SUM(B9:B10)</f>
        <v>6478</v>
      </c>
      <c r="C11" s="289">
        <f t="shared" si="2"/>
        <v>56234</v>
      </c>
      <c r="D11" s="289">
        <f t="shared" si="2"/>
        <v>3173</v>
      </c>
      <c r="E11" s="289">
        <f t="shared" si="2"/>
        <v>879</v>
      </c>
      <c r="F11" s="289">
        <f t="shared" ref="F11:G11" si="3">SUM(F9:F10)</f>
        <v>0</v>
      </c>
      <c r="G11" s="289">
        <f t="shared" si="3"/>
        <v>19</v>
      </c>
      <c r="H11" s="289">
        <f t="shared" si="2"/>
        <v>6849</v>
      </c>
      <c r="I11" s="290">
        <f>SUM(B11:H11)</f>
        <v>73632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[3]American!$ET$4</f>
        <v>720</v>
      </c>
      <c r="C15" s="21">
        <f>[3]Delta!$ET$4+[3]Delta!$ET$15</f>
        <v>5810</v>
      </c>
      <c r="D15" s="21">
        <f>[3]United!$ET$4</f>
        <v>408</v>
      </c>
      <c r="E15" s="21">
        <f>[3]Spirit!$ET$4</f>
        <v>381</v>
      </c>
      <c r="F15" s="21">
        <f>[3]Condor!$ET$15</f>
        <v>3</v>
      </c>
      <c r="G15" s="21">
        <f>'[3]Air France'!$ET$4+'[3]Air France'!$ET$15</f>
        <v>19</v>
      </c>
      <c r="H15" s="21">
        <f>'Other Major Airline Stats'!J16</f>
        <v>1650</v>
      </c>
      <c r="I15" s="27">
        <f>SUM(B15:H15)</f>
        <v>8991</v>
      </c>
    </row>
    <row r="16" spans="1:18" x14ac:dyDescent="0.2">
      <c r="A16" s="62" t="s">
        <v>26</v>
      </c>
      <c r="B16" s="14">
        <f>[3]American!$ET$5</f>
        <v>720</v>
      </c>
      <c r="C16" s="14">
        <f>[3]Delta!$ET$5+[3]Delta!$ET$16</f>
        <v>5808</v>
      </c>
      <c r="D16" s="14">
        <f>[3]United!$ET$5</f>
        <v>408</v>
      </c>
      <c r="E16" s="14">
        <f>[3]Spirit!$ET$5</f>
        <v>379</v>
      </c>
      <c r="F16" s="14">
        <f>[3]Condor!$ET$16</f>
        <v>3</v>
      </c>
      <c r="G16" s="14">
        <f>'[3]Air France'!$ET$5+'[3]Air France'!$ET$16</f>
        <v>19</v>
      </c>
      <c r="H16" s="14">
        <f>'Other Major Airline Stats'!J17</f>
        <v>1659</v>
      </c>
      <c r="I16" s="33">
        <f>SUM(B16:H16)</f>
        <v>8996</v>
      </c>
    </row>
    <row r="17" spans="1:9" x14ac:dyDescent="0.2">
      <c r="A17" s="62" t="s">
        <v>27</v>
      </c>
      <c r="B17" s="293">
        <f t="shared" ref="B17:H17" si="4">SUM(B15:B16)</f>
        <v>1440</v>
      </c>
      <c r="C17" s="291">
        <f t="shared" si="4"/>
        <v>11618</v>
      </c>
      <c r="D17" s="291">
        <f t="shared" si="4"/>
        <v>816</v>
      </c>
      <c r="E17" s="291">
        <f t="shared" si="4"/>
        <v>760</v>
      </c>
      <c r="F17" s="291">
        <f t="shared" ref="F17:G17" si="5">SUM(F15:F16)</f>
        <v>6</v>
      </c>
      <c r="G17" s="291">
        <f t="shared" si="5"/>
        <v>38</v>
      </c>
      <c r="H17" s="291">
        <f t="shared" si="4"/>
        <v>3309</v>
      </c>
      <c r="I17" s="292">
        <f>SUM(B17:H17)</f>
        <v>17987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[3]American!$ET$8</f>
        <v>0</v>
      </c>
      <c r="C19" s="21">
        <f>[3]Delta!$ET$8</f>
        <v>1</v>
      </c>
      <c r="D19" s="21">
        <f>[3]United!$ET$8</f>
        <v>0</v>
      </c>
      <c r="E19" s="21">
        <f>[3]Spirit!$ET$8</f>
        <v>0</v>
      </c>
      <c r="F19" s="21">
        <f>[3]Condor!$ET$8</f>
        <v>0</v>
      </c>
      <c r="G19" s="21">
        <f>'[3]Air France'!$ET$8</f>
        <v>0</v>
      </c>
      <c r="H19" s="21">
        <f>'Other Major Airline Stats'!J20</f>
        <v>56</v>
      </c>
      <c r="I19" s="27">
        <f>SUM(B19:H19)</f>
        <v>57</v>
      </c>
    </row>
    <row r="20" spans="1:9" x14ac:dyDescent="0.2">
      <c r="A20" s="62" t="s">
        <v>29</v>
      </c>
      <c r="B20" s="14">
        <f>[3]American!$ET$9</f>
        <v>0</v>
      </c>
      <c r="C20" s="14">
        <f>[3]Delta!$ET$9</f>
        <v>4</v>
      </c>
      <c r="D20" s="14">
        <f>[3]United!$ET$9</f>
        <v>0</v>
      </c>
      <c r="E20" s="14">
        <f>[3]Spirit!$ET$9</f>
        <v>0</v>
      </c>
      <c r="F20" s="14">
        <f>[3]Condor!$ET$9</f>
        <v>0</v>
      </c>
      <c r="G20" s="14">
        <f>'[3]Air France'!$ET$9</f>
        <v>0</v>
      </c>
      <c r="H20" s="14">
        <f>'Other Major Airline Stats'!J21</f>
        <v>50</v>
      </c>
      <c r="I20" s="33">
        <f>SUM(B20:H20)</f>
        <v>54</v>
      </c>
    </row>
    <row r="21" spans="1:9" x14ac:dyDescent="0.2">
      <c r="A21" s="62" t="s">
        <v>30</v>
      </c>
      <c r="B21" s="293">
        <f t="shared" ref="B21:H21" si="6">SUM(B19:B20)</f>
        <v>0</v>
      </c>
      <c r="C21" s="291">
        <f t="shared" si="6"/>
        <v>5</v>
      </c>
      <c r="D21" s="291">
        <f t="shared" si="6"/>
        <v>0</v>
      </c>
      <c r="E21" s="291">
        <f t="shared" si="6"/>
        <v>0</v>
      </c>
      <c r="F21" s="291">
        <f t="shared" ref="F21:G21" si="7">SUM(F19:F20)</f>
        <v>0</v>
      </c>
      <c r="G21" s="291">
        <f t="shared" si="7"/>
        <v>0</v>
      </c>
      <c r="H21" s="291">
        <f t="shared" si="6"/>
        <v>106</v>
      </c>
      <c r="I21" s="176">
        <f>SUM(B21:H21)</f>
        <v>111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1440</v>
      </c>
      <c r="C23" s="28">
        <f t="shared" si="8"/>
        <v>11623</v>
      </c>
      <c r="D23" s="28">
        <f t="shared" si="8"/>
        <v>816</v>
      </c>
      <c r="E23" s="28">
        <f>E17+E21</f>
        <v>760</v>
      </c>
      <c r="F23" s="28">
        <f t="shared" ref="F23:G23" si="9">F17+F21</f>
        <v>6</v>
      </c>
      <c r="G23" s="28">
        <f t="shared" si="9"/>
        <v>38</v>
      </c>
      <c r="H23" s="28">
        <f t="shared" si="8"/>
        <v>3415</v>
      </c>
      <c r="I23" s="29">
        <f>SUM(B23:H23)</f>
        <v>18098</v>
      </c>
    </row>
    <row r="25" spans="1:9" ht="13.5" thickBot="1" x14ac:dyDescent="0.25">
      <c r="B25" s="424"/>
      <c r="C25" s="424"/>
      <c r="D25" s="424"/>
      <c r="E25" s="424"/>
      <c r="F25" s="424"/>
      <c r="G25" s="424"/>
      <c r="H25" s="424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[3]American!$ET$47</f>
        <v>44889</v>
      </c>
      <c r="C28" s="21">
        <f>[3]Delta!$ET$47</f>
        <v>3866768</v>
      </c>
      <c r="D28" s="21">
        <f>[3]United!$ET$47</f>
        <v>46295</v>
      </c>
      <c r="E28" s="21">
        <f>[3]Spirit!$ET$47</f>
        <v>0</v>
      </c>
      <c r="F28" s="21">
        <f>[3]Condor!$ET$47</f>
        <v>1259</v>
      </c>
      <c r="G28" s="21">
        <f>'[3]Air France'!$ET$47</f>
        <v>113463</v>
      </c>
      <c r="H28" s="21">
        <f>'Other Major Airline Stats'!J28</f>
        <v>544799</v>
      </c>
      <c r="I28" s="27">
        <f>SUM(B28:H28)</f>
        <v>4617473</v>
      </c>
    </row>
    <row r="29" spans="1:9" x14ac:dyDescent="0.2">
      <c r="A29" s="62" t="s">
        <v>41</v>
      </c>
      <c r="B29" s="14">
        <f>[3]American!$ET$48</f>
        <v>66014</v>
      </c>
      <c r="C29" s="14">
        <f>[3]Delta!$ET$48</f>
        <v>923232</v>
      </c>
      <c r="D29" s="14">
        <f>[3]United!$ET$48</f>
        <v>149914</v>
      </c>
      <c r="E29" s="14">
        <f>[3]Spirit!$ET$48</f>
        <v>0</v>
      </c>
      <c r="F29" s="14">
        <f>[3]Condor!$ET$48</f>
        <v>0</v>
      </c>
      <c r="G29" s="14">
        <f>'[3]Air France'!$ET$48</f>
        <v>0</v>
      </c>
      <c r="H29" s="14">
        <f>'Other Major Airline Stats'!J29</f>
        <v>263843</v>
      </c>
      <c r="I29" s="33">
        <f>SUM(B29:H29)</f>
        <v>1403003</v>
      </c>
    </row>
    <row r="30" spans="1:9" x14ac:dyDescent="0.2">
      <c r="A30" s="66" t="s">
        <v>42</v>
      </c>
      <c r="B30" s="293">
        <f t="shared" ref="B30:H30" si="10">SUM(B28:B29)</f>
        <v>110903</v>
      </c>
      <c r="C30" s="293">
        <f t="shared" si="10"/>
        <v>4790000</v>
      </c>
      <c r="D30" s="293">
        <f t="shared" si="10"/>
        <v>196209</v>
      </c>
      <c r="E30" s="293">
        <f t="shared" si="10"/>
        <v>0</v>
      </c>
      <c r="F30" s="293">
        <f t="shared" ref="F30:G30" si="11">SUM(F28:F29)</f>
        <v>1259</v>
      </c>
      <c r="G30" s="293">
        <f t="shared" si="11"/>
        <v>113463</v>
      </c>
      <c r="H30" s="293">
        <f t="shared" si="10"/>
        <v>808642</v>
      </c>
      <c r="I30" s="27">
        <f>SUM(B30:H30)</f>
        <v>6020476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[3]American!$ET$52</f>
        <v>14275</v>
      </c>
      <c r="C33" s="21">
        <f>[3]Delta!$ET$52</f>
        <v>1734640</v>
      </c>
      <c r="D33" s="21">
        <f>[3]United!$ET$52</f>
        <v>55080</v>
      </c>
      <c r="E33" s="21">
        <f>[3]Spirit!$ET$52</f>
        <v>0</v>
      </c>
      <c r="F33" s="21">
        <f>[3]Condor!$ET$52</f>
        <v>0</v>
      </c>
      <c r="G33" s="21">
        <f>'[3]Air France'!$ET$52</f>
        <v>7236</v>
      </c>
      <c r="H33" s="21">
        <f>'Other Major Airline Stats'!J33</f>
        <v>299622</v>
      </c>
      <c r="I33" s="27">
        <f t="shared" si="12"/>
        <v>2110853</v>
      </c>
    </row>
    <row r="34" spans="1:9" x14ac:dyDescent="0.2">
      <c r="A34" s="62" t="s">
        <v>41</v>
      </c>
      <c r="B34" s="14">
        <f>[3]American!$ET$53</f>
        <v>121410</v>
      </c>
      <c r="C34" s="14">
        <f>[3]Delta!$ET$53</f>
        <v>1176568</v>
      </c>
      <c r="D34" s="14">
        <f>[3]United!$ET$53</f>
        <v>264373</v>
      </c>
      <c r="E34" s="14">
        <f>[3]Spirit!$ET$53</f>
        <v>0</v>
      </c>
      <c r="F34" s="14">
        <f>[3]Condor!$ET$53</f>
        <v>0</v>
      </c>
      <c r="G34" s="14">
        <f>'[3]Air France'!$ET$53</f>
        <v>0</v>
      </c>
      <c r="H34" s="14">
        <f>'Other Major Airline Stats'!J34</f>
        <v>312654</v>
      </c>
      <c r="I34" s="33">
        <f t="shared" si="12"/>
        <v>1875005</v>
      </c>
    </row>
    <row r="35" spans="1:9" x14ac:dyDescent="0.2">
      <c r="A35" s="66" t="s">
        <v>44</v>
      </c>
      <c r="B35" s="293">
        <f t="shared" ref="B35:H35" si="13">SUM(B33:B34)</f>
        <v>135685</v>
      </c>
      <c r="C35" s="293">
        <f t="shared" si="13"/>
        <v>2911208</v>
      </c>
      <c r="D35" s="293">
        <f t="shared" si="13"/>
        <v>319453</v>
      </c>
      <c r="E35" s="293">
        <f t="shared" si="13"/>
        <v>0</v>
      </c>
      <c r="F35" s="293">
        <f t="shared" ref="F35:G35" si="14">SUM(F33:F34)</f>
        <v>0</v>
      </c>
      <c r="G35" s="293">
        <f t="shared" si="14"/>
        <v>7236</v>
      </c>
      <c r="H35" s="293">
        <f t="shared" si="13"/>
        <v>612276</v>
      </c>
      <c r="I35" s="27">
        <f t="shared" si="12"/>
        <v>3985858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[3]American!$ET$57</f>
        <v>0</v>
      </c>
      <c r="C38" s="21">
        <f>[3]Delta!$ET$57</f>
        <v>0</v>
      </c>
      <c r="D38" s="21">
        <f>[3]United!$ET$57</f>
        <v>0</v>
      </c>
      <c r="E38" s="21">
        <f>[3]Spirit!$ET$57</f>
        <v>0</v>
      </c>
      <c r="F38" s="21">
        <f>[3]Condor!$ET$57</f>
        <v>0</v>
      </c>
      <c r="G38" s="21">
        <f>'[3]Air France'!$ET$57</f>
        <v>0</v>
      </c>
      <c r="H38" s="21">
        <f>'Other Major Airline Stats'!J38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[3]American!$ET$58</f>
        <v>0</v>
      </c>
      <c r="C39" s="14">
        <f>[3]Delta!$ET$58</f>
        <v>0</v>
      </c>
      <c r="D39" s="14">
        <f>[3]United!$ET$58</f>
        <v>0</v>
      </c>
      <c r="E39" s="14">
        <f>[3]Spirit!$ET$58</f>
        <v>0</v>
      </c>
      <c r="F39" s="14">
        <f>[3]Condor!$ET$58</f>
        <v>0</v>
      </c>
      <c r="G39" s="14">
        <f>'[3]Air France'!$ET$58</f>
        <v>0</v>
      </c>
      <c r="H39" s="14">
        <f>'Other Major Airline Stats'!J39</f>
        <v>0</v>
      </c>
      <c r="I39" s="33">
        <f t="shared" si="12"/>
        <v>0</v>
      </c>
    </row>
    <row r="40" spans="1:9" hidden="1" x14ac:dyDescent="0.2">
      <c r="A40" s="66" t="s">
        <v>46</v>
      </c>
      <c r="B40" s="293">
        <f t="shared" ref="B40:H40" si="15">SUM(B38:B39)</f>
        <v>0</v>
      </c>
      <c r="C40" s="293">
        <f t="shared" si="15"/>
        <v>0</v>
      </c>
      <c r="D40" s="293">
        <f t="shared" si="15"/>
        <v>0</v>
      </c>
      <c r="E40" s="293">
        <f t="shared" si="15"/>
        <v>0</v>
      </c>
      <c r="F40" s="293">
        <f t="shared" ref="F40:G40" si="16">SUM(F38:F39)</f>
        <v>0</v>
      </c>
      <c r="G40" s="293">
        <f t="shared" si="16"/>
        <v>0</v>
      </c>
      <c r="H40" s="293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59164</v>
      </c>
      <c r="C43" s="21">
        <f t="shared" si="17"/>
        <v>5601408</v>
      </c>
      <c r="D43" s="21">
        <f t="shared" si="17"/>
        <v>101375</v>
      </c>
      <c r="E43" s="21">
        <f>E28+E33+E38</f>
        <v>0</v>
      </c>
      <c r="F43" s="21">
        <f t="shared" ref="F43:G43" si="18">F28+F33+F38</f>
        <v>1259</v>
      </c>
      <c r="G43" s="21">
        <f t="shared" si="18"/>
        <v>120699</v>
      </c>
      <c r="H43" s="21">
        <f t="shared" si="17"/>
        <v>844421</v>
      </c>
      <c r="I43" s="27">
        <f>SUM(B43:H43)</f>
        <v>6728326</v>
      </c>
    </row>
    <row r="44" spans="1:9" x14ac:dyDescent="0.2">
      <c r="A44" s="62" t="s">
        <v>41</v>
      </c>
      <c r="B44" s="14">
        <f t="shared" si="17"/>
        <v>187424</v>
      </c>
      <c r="C44" s="14">
        <f t="shared" si="17"/>
        <v>2099800</v>
      </c>
      <c r="D44" s="14">
        <f t="shared" si="17"/>
        <v>414287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576497</v>
      </c>
      <c r="I44" s="27">
        <f>SUM(B44:H44)</f>
        <v>3278008</v>
      </c>
    </row>
    <row r="45" spans="1:9" ht="15.75" thickBot="1" x14ac:dyDescent="0.3">
      <c r="A45" s="63" t="s">
        <v>49</v>
      </c>
      <c r="B45" s="294">
        <f t="shared" ref="B45:H45" si="20">SUM(B43:B44)</f>
        <v>246588</v>
      </c>
      <c r="C45" s="294">
        <f t="shared" si="20"/>
        <v>7701208</v>
      </c>
      <c r="D45" s="294">
        <f t="shared" si="20"/>
        <v>515662</v>
      </c>
      <c r="E45" s="294">
        <f t="shared" si="20"/>
        <v>0</v>
      </c>
      <c r="F45" s="294">
        <f t="shared" ref="F45:G45" si="21">SUM(F43:F44)</f>
        <v>1259</v>
      </c>
      <c r="G45" s="294">
        <f t="shared" si="21"/>
        <v>120699</v>
      </c>
      <c r="H45" s="294">
        <f t="shared" si="20"/>
        <v>1420918</v>
      </c>
      <c r="I45" s="295">
        <f>SUM(B45:H45)</f>
        <v>10006334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5" t="s">
        <v>128</v>
      </c>
      <c r="C47" s="323">
        <f>[3]Delta!$ET$70+[3]Delta!$ET$73</f>
        <v>339171</v>
      </c>
      <c r="D47" s="310"/>
      <c r="E47" s="310"/>
      <c r="F47" s="310"/>
      <c r="G47" s="310"/>
      <c r="H47" s="310"/>
      <c r="I47" s="311">
        <f>SUM(B47:H47)</f>
        <v>339171</v>
      </c>
    </row>
    <row r="48" spans="1:9" hidden="1" x14ac:dyDescent="0.2">
      <c r="A48" s="386" t="s">
        <v>129</v>
      </c>
      <c r="C48" s="323">
        <f>[3]Delta!$ET$71+[3]Delta!$ET$74</f>
        <v>451438</v>
      </c>
      <c r="D48" s="310"/>
      <c r="E48" s="310"/>
      <c r="F48" s="310"/>
      <c r="G48" s="310"/>
      <c r="H48" s="310"/>
      <c r="I48" s="311">
        <f>SUM(B48:H48)</f>
        <v>451438</v>
      </c>
    </row>
    <row r="49" spans="1:9" hidden="1" x14ac:dyDescent="0.2">
      <c r="A49" s="387" t="s">
        <v>130</v>
      </c>
      <c r="C49" s="324">
        <f>SUM(C47:C48)</f>
        <v>790609</v>
      </c>
      <c r="I49" s="311">
        <f>SUM(B49:H49)</f>
        <v>790609</v>
      </c>
    </row>
    <row r="50" spans="1:9" x14ac:dyDescent="0.2">
      <c r="A50" s="385" t="s">
        <v>128</v>
      </c>
      <c r="B50" s="398"/>
      <c r="C50" s="326">
        <f>[3]Delta!$ET$70+[3]Delta!$ET$73</f>
        <v>339171</v>
      </c>
      <c r="D50" s="398"/>
      <c r="E50" s="398"/>
      <c r="F50" s="398"/>
      <c r="G50" s="398"/>
      <c r="H50" s="325">
        <f>'Other Major Airline Stats'!J48</f>
        <v>156320</v>
      </c>
      <c r="I50" s="314">
        <f>SUM(B50:H50)</f>
        <v>495491</v>
      </c>
    </row>
    <row r="51" spans="1:9" x14ac:dyDescent="0.2">
      <c r="A51" s="400" t="s">
        <v>129</v>
      </c>
      <c r="B51" s="398"/>
      <c r="C51" s="326">
        <f>[3]Delta!$ET$71+[3]Delta!$ET$74</f>
        <v>451438</v>
      </c>
      <c r="D51" s="398"/>
      <c r="E51" s="398"/>
      <c r="F51" s="398"/>
      <c r="G51" s="398"/>
      <c r="H51" s="325">
        <f>+'Other Major Airline Stats'!J49</f>
        <v>9869</v>
      </c>
      <c r="I51" s="314">
        <f>SUM(B51:H51)</f>
        <v>461307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L12" sqref="L1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1.42578125" customWidth="1"/>
    <col min="5" max="5" width="9.140625" bestFit="1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9">
        <v>42614</v>
      </c>
      <c r="B2" s="455" t="s">
        <v>50</v>
      </c>
      <c r="C2" s="455" t="s">
        <v>165</v>
      </c>
      <c r="D2" s="454" t="s">
        <v>217</v>
      </c>
      <c r="E2" s="454" t="s">
        <v>218</v>
      </c>
      <c r="F2" s="455" t="s">
        <v>51</v>
      </c>
      <c r="G2" s="454" t="s">
        <v>136</v>
      </c>
      <c r="H2" s="454" t="s">
        <v>52</v>
      </c>
      <c r="I2" s="454" t="s">
        <v>135</v>
      </c>
      <c r="J2" s="277" t="s">
        <v>65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32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33</v>
      </c>
      <c r="B5" s="146">
        <f>[3]Frontier!$ET$22</f>
        <v>11812</v>
      </c>
      <c r="C5" s="146">
        <f>'[3]Great Lakes'!$ET$22</f>
        <v>0</v>
      </c>
      <c r="D5" s="146">
        <f>'[3]Air Choice One'!$ET$22</f>
        <v>136</v>
      </c>
      <c r="E5" s="146">
        <f>'[3]Boutique Air'!$ET$22</f>
        <v>521</v>
      </c>
      <c r="F5" s="146">
        <f>[3]Icelandair!$ET$32</f>
        <v>4315</v>
      </c>
      <c r="G5" s="118">
        <f>[3]Southwest!$ET$22</f>
        <v>96924</v>
      </c>
      <c r="H5" s="118">
        <f>'[3]Sun Country'!$ET$22+'[3]Sun Country'!$ET$32</f>
        <v>68371</v>
      </c>
      <c r="I5" s="118">
        <f>[3]Alaska!$ET$22</f>
        <v>9540</v>
      </c>
      <c r="J5" s="147">
        <f>SUM(B5:I5)</f>
        <v>191619</v>
      </c>
      <c r="M5" s="130"/>
    </row>
    <row r="6" spans="1:13" x14ac:dyDescent="0.2">
      <c r="A6" s="62" t="s">
        <v>34</v>
      </c>
      <c r="B6" s="146">
        <f>[3]Frontier!$ET$23</f>
        <v>12285</v>
      </c>
      <c r="C6" s="146">
        <f>'[3]Great Lakes'!$ET$23</f>
        <v>0</v>
      </c>
      <c r="D6" s="146">
        <f>'[3]Air Choice One'!$ET$23</f>
        <v>115</v>
      </c>
      <c r="E6" s="146">
        <f>'[3]Boutique Air'!$ET$23</f>
        <v>539</v>
      </c>
      <c r="F6" s="146">
        <f>[3]Icelandair!$ET$33</f>
        <v>4817</v>
      </c>
      <c r="G6" s="118">
        <f>[3]Southwest!$ET$23</f>
        <v>95703</v>
      </c>
      <c r="H6" s="118">
        <f>'[3]Sun Country'!$ET$23+'[3]Sun Country'!$ET$33</f>
        <v>70486</v>
      </c>
      <c r="I6" s="118">
        <f>[3]Alaska!$ET$23</f>
        <v>9085</v>
      </c>
      <c r="J6" s="147">
        <f>SUM(B6:I6)</f>
        <v>193030</v>
      </c>
    </row>
    <row r="7" spans="1:13" ht="15" x14ac:dyDescent="0.25">
      <c r="A7" s="60" t="s">
        <v>7</v>
      </c>
      <c r="B7" s="155">
        <f t="shared" ref="B7:I7" si="0">SUM(B5:B6)</f>
        <v>24097</v>
      </c>
      <c r="C7" s="155">
        <f t="shared" si="0"/>
        <v>0</v>
      </c>
      <c r="D7" s="155">
        <f t="shared" ref="D7:E7" si="1">SUM(D5:D6)</f>
        <v>251</v>
      </c>
      <c r="E7" s="155">
        <f t="shared" si="1"/>
        <v>1060</v>
      </c>
      <c r="F7" s="155">
        <f t="shared" si="0"/>
        <v>9132</v>
      </c>
      <c r="G7" s="155">
        <f t="shared" si="0"/>
        <v>192627</v>
      </c>
      <c r="H7" s="155">
        <f>SUM(H5:H6)</f>
        <v>138857</v>
      </c>
      <c r="I7" s="155">
        <f t="shared" si="0"/>
        <v>18625</v>
      </c>
      <c r="J7" s="156">
        <f>SUM(B7:I7)</f>
        <v>384649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35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33</v>
      </c>
      <c r="B10" s="154">
        <f>[3]Frontier!$ET$27</f>
        <v>88</v>
      </c>
      <c r="C10" s="154">
        <f>'[3]Great Lakes'!$ET$27</f>
        <v>0</v>
      </c>
      <c r="D10" s="154">
        <f>'[3]Air Choice One'!$ET$27</f>
        <v>0</v>
      </c>
      <c r="E10" s="154">
        <f>'[3]Boutique Air'!$ET$27</f>
        <v>0</v>
      </c>
      <c r="F10" s="154">
        <f>[3]Icelandair!$ET$37</f>
        <v>45</v>
      </c>
      <c r="G10" s="154">
        <f>[3]Southwest!$ET$27</f>
        <v>1290</v>
      </c>
      <c r="H10" s="154">
        <f>'[3]Sun Country'!$ET$27+'[3]Sun Country'!$ET$37</f>
        <v>1578</v>
      </c>
      <c r="I10" s="154">
        <f>[3]Alaska!$ET$27</f>
        <v>326</v>
      </c>
      <c r="J10" s="147">
        <f>SUM(B10:I10)</f>
        <v>3327</v>
      </c>
    </row>
    <row r="11" spans="1:13" x14ac:dyDescent="0.2">
      <c r="A11" s="62" t="s">
        <v>36</v>
      </c>
      <c r="B11" s="157">
        <f>[3]Frontier!$ET$28</f>
        <v>104</v>
      </c>
      <c r="C11" s="157">
        <f>'[3]Great Lakes'!$ET$28</f>
        <v>0</v>
      </c>
      <c r="D11" s="157">
        <f>'[3]Air Choice One'!$ET$28</f>
        <v>0</v>
      </c>
      <c r="E11" s="157">
        <f>'[3]Boutique Air'!$ET$28</f>
        <v>0</v>
      </c>
      <c r="F11" s="157">
        <f>[3]Icelandair!$ET$38</f>
        <v>52</v>
      </c>
      <c r="G11" s="157">
        <f>[3]Southwest!$ET$28</f>
        <v>1320</v>
      </c>
      <c r="H11" s="157">
        <f>'[3]Sun Country'!$ET$28+'[3]Sun Country'!$ET$38</f>
        <v>1661</v>
      </c>
      <c r="I11" s="157">
        <f>[3]Alaska!$ET$28</f>
        <v>385</v>
      </c>
      <c r="J11" s="147">
        <f>SUM(B11:I11)</f>
        <v>3522</v>
      </c>
    </row>
    <row r="12" spans="1:13" ht="15.75" thickBot="1" x14ac:dyDescent="0.3">
      <c r="A12" s="63" t="s">
        <v>37</v>
      </c>
      <c r="B12" s="150">
        <f t="shared" ref="B12:I12" si="2">SUM(B10:B11)</f>
        <v>192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97</v>
      </c>
      <c r="G12" s="150">
        <f t="shared" si="2"/>
        <v>2610</v>
      </c>
      <c r="H12" s="150">
        <f>SUM(H10:H11)</f>
        <v>3239</v>
      </c>
      <c r="I12" s="150">
        <f t="shared" si="2"/>
        <v>711</v>
      </c>
      <c r="J12" s="158">
        <f>SUM(B12:I12)</f>
        <v>6849</v>
      </c>
      <c r="M12" s="130"/>
    </row>
    <row r="13" spans="1:13" ht="15" x14ac:dyDescent="0.25">
      <c r="A13" s="59"/>
      <c r="B13" s="296"/>
      <c r="C13" s="296"/>
      <c r="D13" s="296"/>
      <c r="E13" s="296"/>
      <c r="F13" s="296"/>
      <c r="G13" s="296"/>
      <c r="H13" s="296"/>
      <c r="I13" s="296"/>
      <c r="J13" s="297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25</v>
      </c>
      <c r="B16" s="146">
        <f>[3]Frontier!$ET$4</f>
        <v>78</v>
      </c>
      <c r="C16" s="146">
        <f>'[3]Great Lakes'!$ET$4</f>
        <v>0</v>
      </c>
      <c r="D16" s="146">
        <f>'[3]Air Choice One'!$ET$4</f>
        <v>22</v>
      </c>
      <c r="E16" s="146">
        <f>'[3]Boutique Air'!$ET$4</f>
        <v>78</v>
      </c>
      <c r="F16" s="146">
        <f>[3]Icelandair!$ET$15</f>
        <v>26</v>
      </c>
      <c r="G16" s="106">
        <f>[3]Southwest!$ET$4</f>
        <v>792</v>
      </c>
      <c r="H16" s="118">
        <f>'[3]Sun Country'!$ET$4+'[3]Sun Country'!$ET$15</f>
        <v>594</v>
      </c>
      <c r="I16" s="118">
        <f>[3]Alaska!$ET$4</f>
        <v>60</v>
      </c>
      <c r="J16" s="147">
        <f>SUM(B16:I16)</f>
        <v>1650</v>
      </c>
    </row>
    <row r="17" spans="1:257" x14ac:dyDescent="0.2">
      <c r="A17" s="62" t="s">
        <v>26</v>
      </c>
      <c r="B17" s="146">
        <f>[3]Frontier!$ET$5</f>
        <v>80</v>
      </c>
      <c r="C17" s="146">
        <f>'[3]Great Lakes'!$ET$5</f>
        <v>0</v>
      </c>
      <c r="D17" s="146">
        <f>'[3]Air Choice One'!$ET$5</f>
        <v>22</v>
      </c>
      <c r="E17" s="146">
        <f>'[3]Boutique Air'!$ET$5</f>
        <v>78</v>
      </c>
      <c r="F17" s="146">
        <f>[3]Icelandair!$ET$16</f>
        <v>26</v>
      </c>
      <c r="G17" s="106">
        <f>[3]Southwest!$ET$5</f>
        <v>790</v>
      </c>
      <c r="H17" s="118">
        <f>'[3]Sun Country'!$ET$5+'[3]Sun Country'!$ET$16</f>
        <v>603</v>
      </c>
      <c r="I17" s="118">
        <f>[3]Alaska!$ET$5</f>
        <v>60</v>
      </c>
      <c r="J17" s="147">
        <f>SUM(B17:I17)</f>
        <v>1659</v>
      </c>
    </row>
    <row r="18" spans="1:257" x14ac:dyDescent="0.2">
      <c r="A18" s="66" t="s">
        <v>27</v>
      </c>
      <c r="B18" s="148">
        <f t="shared" ref="B18:I18" si="4">SUM(B16:B17)</f>
        <v>158</v>
      </c>
      <c r="C18" s="148">
        <f t="shared" si="4"/>
        <v>0</v>
      </c>
      <c r="D18" s="148">
        <f t="shared" ref="D18:E18" si="5">SUM(D16:D17)</f>
        <v>44</v>
      </c>
      <c r="E18" s="148">
        <f t="shared" si="5"/>
        <v>156</v>
      </c>
      <c r="F18" s="148">
        <f t="shared" si="4"/>
        <v>52</v>
      </c>
      <c r="G18" s="148">
        <f t="shared" si="4"/>
        <v>1582</v>
      </c>
      <c r="H18" s="148">
        <f t="shared" si="4"/>
        <v>1197</v>
      </c>
      <c r="I18" s="148">
        <f t="shared" si="4"/>
        <v>120</v>
      </c>
      <c r="J18" s="149">
        <f>SUM(B18:I18)</f>
        <v>3309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28</v>
      </c>
      <c r="B20" s="146">
        <f>[3]Frontier!$ET$8</f>
        <v>0</v>
      </c>
      <c r="C20" s="146">
        <f>'[3]Great Lakes'!$ET$8</f>
        <v>0</v>
      </c>
      <c r="D20" s="146">
        <f>'[3]Air Choice One'!$ET$8</f>
        <v>0</v>
      </c>
      <c r="E20" s="146">
        <f>'[3]Boutique Air'!$ET$8</f>
        <v>3</v>
      </c>
      <c r="F20" s="146">
        <f>[3]Icelandair!$ET$8</f>
        <v>0</v>
      </c>
      <c r="G20" s="118">
        <f>[3]Southwest!$ET$8</f>
        <v>2</v>
      </c>
      <c r="H20" s="118">
        <f>'[3]Sun Country'!$ET$8</f>
        <v>51</v>
      </c>
      <c r="I20" s="118">
        <f>[3]Alaska!$ET$8</f>
        <v>0</v>
      </c>
      <c r="J20" s="147">
        <f>SUM(B20:I20)</f>
        <v>56</v>
      </c>
    </row>
    <row r="21" spans="1:257" x14ac:dyDescent="0.2">
      <c r="A21" s="62" t="s">
        <v>29</v>
      </c>
      <c r="B21" s="146">
        <f>[3]Frontier!$ET$9</f>
        <v>0</v>
      </c>
      <c r="C21" s="146">
        <f>'[3]Great Lakes'!$ET$9</f>
        <v>0</v>
      </c>
      <c r="D21" s="146">
        <f>'[3]Air Choice One'!$ET$9</f>
        <v>0</v>
      </c>
      <c r="E21" s="146">
        <f>'[3]Boutique Air'!$ET$9</f>
        <v>2</v>
      </c>
      <c r="F21" s="146">
        <f>[3]Icelandair!$ET$9</f>
        <v>0</v>
      </c>
      <c r="G21" s="118">
        <f>[3]Southwest!$ET$9</f>
        <v>0</v>
      </c>
      <c r="H21" s="118">
        <f>'[3]Sun Country'!$ET$9</f>
        <v>48</v>
      </c>
      <c r="I21" s="118">
        <f>[3]Alaska!$ET$9</f>
        <v>0</v>
      </c>
      <c r="J21" s="147">
        <f>SUM(B21:I21)</f>
        <v>50</v>
      </c>
    </row>
    <row r="22" spans="1:257" x14ac:dyDescent="0.2">
      <c r="A22" s="66" t="s">
        <v>30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5</v>
      </c>
      <c r="F22" s="148">
        <f t="shared" si="6"/>
        <v>0</v>
      </c>
      <c r="G22" s="148">
        <f t="shared" si="6"/>
        <v>2</v>
      </c>
      <c r="H22" s="148">
        <f t="shared" si="6"/>
        <v>99</v>
      </c>
      <c r="I22" s="148">
        <f t="shared" si="6"/>
        <v>0</v>
      </c>
      <c r="J22" s="149">
        <f>SUM(B22:I22)</f>
        <v>106</v>
      </c>
    </row>
    <row r="23" spans="1:257" ht="15.75" thickBot="1" x14ac:dyDescent="0.3">
      <c r="A23" s="63" t="s">
        <v>31</v>
      </c>
      <c r="B23" s="150">
        <f t="shared" ref="B23:I23" si="8">B22+B18</f>
        <v>158</v>
      </c>
      <c r="C23" s="150">
        <f t="shared" si="8"/>
        <v>0</v>
      </c>
      <c r="D23" s="150">
        <f t="shared" ref="D23:E23" si="9">D22+D18</f>
        <v>44</v>
      </c>
      <c r="E23" s="150">
        <f t="shared" si="9"/>
        <v>161</v>
      </c>
      <c r="F23" s="150">
        <f t="shared" si="8"/>
        <v>52</v>
      </c>
      <c r="G23" s="150">
        <f t="shared" si="8"/>
        <v>1584</v>
      </c>
      <c r="H23" s="150">
        <f t="shared" si="8"/>
        <v>1296</v>
      </c>
      <c r="I23" s="150">
        <f t="shared" si="8"/>
        <v>120</v>
      </c>
      <c r="J23" s="151">
        <f>SUM(B23:I23)</f>
        <v>3415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24"/>
      <c r="C25" s="424"/>
      <c r="D25" s="424"/>
      <c r="E25" s="424"/>
      <c r="F25" s="424"/>
      <c r="G25" s="424"/>
      <c r="H25" s="424"/>
      <c r="I25" s="424"/>
      <c r="J25" s="130"/>
    </row>
    <row r="26" spans="1:257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39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40</v>
      </c>
      <c r="B28" s="146">
        <f>[3]Frontier!$ET$47</f>
        <v>0</v>
      </c>
      <c r="C28" s="146">
        <f>'[3]Great Lakes'!$ET$47</f>
        <v>0</v>
      </c>
      <c r="D28" s="146">
        <f>'[3]Air Choice One'!$ET$47</f>
        <v>0</v>
      </c>
      <c r="E28" s="146">
        <f>'[3]Boutique Air'!$ET$47</f>
        <v>0</v>
      </c>
      <c r="F28" s="146">
        <f>[3]Icelandair!$ET$47</f>
        <v>101402</v>
      </c>
      <c r="G28" s="118">
        <f>[3]Southwest!$ET$47</f>
        <v>187536</v>
      </c>
      <c r="H28" s="118">
        <f>'[3]Sun Country'!$ET$47</f>
        <v>253500</v>
      </c>
      <c r="I28" s="118">
        <f>[3]Alaska!$ET$47</f>
        <v>2361</v>
      </c>
      <c r="J28" s="147">
        <f>SUM(B28:I28)</f>
        <v>544799</v>
      </c>
    </row>
    <row r="29" spans="1:257" x14ac:dyDescent="0.2">
      <c r="A29" s="62" t="s">
        <v>41</v>
      </c>
      <c r="B29" s="146">
        <f>[3]Frontier!$ET$48</f>
        <v>0</v>
      </c>
      <c r="C29" s="146">
        <f>'[3]Great Lakes'!$ET$48</f>
        <v>0</v>
      </c>
      <c r="D29" s="146">
        <f>'[3]Air Choice One'!$ET$48</f>
        <v>0</v>
      </c>
      <c r="E29" s="146">
        <f>'[3]Boutique Air'!$ET$48</f>
        <v>0</v>
      </c>
      <c r="F29" s="146">
        <f>[3]Icelandair!$ET$48</f>
        <v>0</v>
      </c>
      <c r="G29" s="118">
        <f>[3]Southwest!$ET$48</f>
        <v>0</v>
      </c>
      <c r="H29" s="118">
        <f>'[3]Sun Country'!$ET$48</f>
        <v>263843</v>
      </c>
      <c r="I29" s="118">
        <f>[3]Alaska!$ET$48</f>
        <v>0</v>
      </c>
      <c r="J29" s="147">
        <f>SUM(B29:I29)</f>
        <v>263843</v>
      </c>
    </row>
    <row r="30" spans="1:257" x14ac:dyDescent="0.2">
      <c r="A30" s="66" t="s">
        <v>42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101402</v>
      </c>
      <c r="G30" s="162">
        <f t="shared" si="10"/>
        <v>187536</v>
      </c>
      <c r="H30" s="162">
        <f t="shared" si="10"/>
        <v>517343</v>
      </c>
      <c r="I30" s="162">
        <f t="shared" si="10"/>
        <v>2361</v>
      </c>
      <c r="J30" s="165">
        <f>SUM(B30:I30)</f>
        <v>808642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43</v>
      </c>
      <c r="B32" s="146"/>
      <c r="C32" s="146"/>
      <c r="D32" s="146"/>
      <c r="E32" s="146"/>
      <c r="F32" s="146"/>
      <c r="G32" s="118"/>
      <c r="H32" s="118"/>
      <c r="I32" s="118"/>
      <c r="J32" s="147"/>
    </row>
    <row r="33" spans="1:10" x14ac:dyDescent="0.2">
      <c r="A33" s="62" t="s">
        <v>40</v>
      </c>
      <c r="B33" s="146">
        <f>[3]Frontier!$ET$52</f>
        <v>0</v>
      </c>
      <c r="C33" s="146">
        <f>'[3]Great Lakes'!$ET$52</f>
        <v>0</v>
      </c>
      <c r="D33" s="146">
        <f>'[3]Air Choice One'!$ET$52</f>
        <v>0</v>
      </c>
      <c r="E33" s="146">
        <f>'[3]Boutique Air'!$ET$52</f>
        <v>0</v>
      </c>
      <c r="F33" s="146">
        <f>[3]Icelandair!$ET$52</f>
        <v>800</v>
      </c>
      <c r="G33" s="118">
        <f>[3]Southwest!$ET$52</f>
        <v>104285</v>
      </c>
      <c r="H33" s="118">
        <f>'[3]Sun Country'!$ET$52</f>
        <v>188042</v>
      </c>
      <c r="I33" s="118">
        <f>[3]Alaska!$ET$52</f>
        <v>6495</v>
      </c>
      <c r="J33" s="147">
        <f>SUM(B33:I33)</f>
        <v>299622</v>
      </c>
    </row>
    <row r="34" spans="1:10" x14ac:dyDescent="0.2">
      <c r="A34" s="62" t="s">
        <v>41</v>
      </c>
      <c r="B34" s="146">
        <f>[3]Frontier!$ET$53</f>
        <v>0</v>
      </c>
      <c r="C34" s="146">
        <f>'[3]Great Lakes'!$ET$53</f>
        <v>0</v>
      </c>
      <c r="D34" s="146">
        <f>'[3]Air Choice One'!$ET$53</f>
        <v>0</v>
      </c>
      <c r="E34" s="146">
        <f>'[3]Boutique Air'!$ET$53</f>
        <v>0</v>
      </c>
      <c r="F34" s="146">
        <f>[3]Icelandair!$ET$53</f>
        <v>0</v>
      </c>
      <c r="G34" s="118">
        <f>[3]Southwest!$ET$53</f>
        <v>0</v>
      </c>
      <c r="H34" s="118">
        <f>'[3]Sun Country'!$ET$53</f>
        <v>312654</v>
      </c>
      <c r="I34" s="118">
        <f>[3]Alaska!$ET$53</f>
        <v>0</v>
      </c>
      <c r="J34" s="163">
        <f>SUM(B34:I34)</f>
        <v>312654</v>
      </c>
    </row>
    <row r="35" spans="1:10" x14ac:dyDescent="0.2">
      <c r="A35" s="66" t="s">
        <v>44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800</v>
      </c>
      <c r="G35" s="164">
        <f t="shared" si="12"/>
        <v>104285</v>
      </c>
      <c r="H35" s="164">
        <f t="shared" si="12"/>
        <v>500696</v>
      </c>
      <c r="I35" s="164">
        <f t="shared" si="12"/>
        <v>6495</v>
      </c>
      <c r="J35" s="165">
        <f>SUM(B35:I35)</f>
        <v>612276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45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40</v>
      </c>
      <c r="B38" s="154">
        <f>[3]Frontier!$ET$57</f>
        <v>0</v>
      </c>
      <c r="C38" s="154">
        <f>'[3]Great Lakes'!$ET$57</f>
        <v>0</v>
      </c>
      <c r="D38" s="154">
        <f>'[3]Air Choice One'!$ET$57</f>
        <v>0</v>
      </c>
      <c r="E38" s="154">
        <f>'[3]Boutique Air'!$ET$57</f>
        <v>0</v>
      </c>
      <c r="F38" s="154">
        <f>[3]Icelandair!$ET$57</f>
        <v>0</v>
      </c>
      <c r="G38" s="154">
        <f>[3]Southwest!$ET$57</f>
        <v>0</v>
      </c>
      <c r="H38" s="154">
        <f>'[3]Sun Country'!$ET$57</f>
        <v>0</v>
      </c>
      <c r="I38" s="154">
        <f>[3]Alaska!$ET$57</f>
        <v>0</v>
      </c>
      <c r="J38" s="147">
        <f>SUM(B38:H38)</f>
        <v>0</v>
      </c>
    </row>
    <row r="39" spans="1:10" hidden="1" x14ac:dyDescent="0.2">
      <c r="A39" s="62" t="s">
        <v>41</v>
      </c>
      <c r="B39" s="157">
        <f>[3]Frontier!$ET$58</f>
        <v>0</v>
      </c>
      <c r="C39" s="157">
        <f>'[3]Great Lakes'!$ET$58</f>
        <v>0</v>
      </c>
      <c r="D39" s="157">
        <f>'[3]Air Choice One'!$ET$58</f>
        <v>0</v>
      </c>
      <c r="E39" s="157">
        <f>'[3]Boutique Air'!$ET$58</f>
        <v>0</v>
      </c>
      <c r="F39" s="157">
        <f>[3]Icelandair!$ET$58</f>
        <v>0</v>
      </c>
      <c r="G39" s="157">
        <f>[3]Southwest!$ET$58</f>
        <v>0</v>
      </c>
      <c r="H39" s="157">
        <f>'[3]Sun Country'!$ET$58</f>
        <v>0</v>
      </c>
      <c r="I39" s="157">
        <f>[3]Alaska!$ET$58</f>
        <v>0</v>
      </c>
      <c r="J39" s="163">
        <f>SUM(B39:H39)</f>
        <v>0</v>
      </c>
    </row>
    <row r="40" spans="1:10" hidden="1" x14ac:dyDescent="0.2">
      <c r="A40" s="66" t="s">
        <v>46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47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48</v>
      </c>
      <c r="B43" s="154">
        <f t="shared" ref="B43:I43" si="16">B28+B33+B38</f>
        <v>0</v>
      </c>
      <c r="C43" s="154">
        <f>C28+C33+C38</f>
        <v>0</v>
      </c>
      <c r="D43" s="154">
        <f>D28+D33+D38</f>
        <v>0</v>
      </c>
      <c r="E43" s="154">
        <f>E28+E33+E38</f>
        <v>0</v>
      </c>
      <c r="F43" s="154">
        <f t="shared" si="16"/>
        <v>102202</v>
      </c>
      <c r="G43" s="154">
        <f t="shared" si="16"/>
        <v>291821</v>
      </c>
      <c r="H43" s="154">
        <f t="shared" si="16"/>
        <v>441542</v>
      </c>
      <c r="I43" s="154">
        <f t="shared" si="16"/>
        <v>8856</v>
      </c>
      <c r="J43" s="147">
        <f>SUM(B43:I43)</f>
        <v>844421</v>
      </c>
    </row>
    <row r="44" spans="1:10" x14ac:dyDescent="0.2">
      <c r="A44" s="62" t="s">
        <v>41</v>
      </c>
      <c r="B44" s="157">
        <f t="shared" ref="B44:I44" si="17">+B39+B34+B29</f>
        <v>0</v>
      </c>
      <c r="C44" s="157">
        <f>+C39+C34+C29</f>
        <v>0</v>
      </c>
      <c r="D44" s="157">
        <f>+D39+D34+D29</f>
        <v>0</v>
      </c>
      <c r="E44" s="157">
        <f>+E39+E34+E29</f>
        <v>0</v>
      </c>
      <c r="F44" s="157">
        <f t="shared" si="17"/>
        <v>0</v>
      </c>
      <c r="G44" s="157">
        <f t="shared" si="17"/>
        <v>0</v>
      </c>
      <c r="H44" s="157">
        <f t="shared" si="17"/>
        <v>576497</v>
      </c>
      <c r="I44" s="157">
        <f t="shared" si="17"/>
        <v>0</v>
      </c>
      <c r="J44" s="147">
        <f>SUM(B44:I44)</f>
        <v>576497</v>
      </c>
    </row>
    <row r="45" spans="1:10" ht="15.75" thickBot="1" x14ac:dyDescent="0.3">
      <c r="A45" s="63" t="s">
        <v>49</v>
      </c>
      <c r="B45" s="167">
        <f t="shared" ref="B45:I45" si="18">B43+B44</f>
        <v>0</v>
      </c>
      <c r="C45" s="167">
        <f t="shared" si="18"/>
        <v>0</v>
      </c>
      <c r="D45" s="167">
        <f t="shared" ref="D45:E45" si="19">D43+D44</f>
        <v>0</v>
      </c>
      <c r="E45" s="167">
        <f t="shared" si="19"/>
        <v>0</v>
      </c>
      <c r="F45" s="167">
        <f t="shared" si="18"/>
        <v>102202</v>
      </c>
      <c r="G45" s="167">
        <f t="shared" si="18"/>
        <v>291821</v>
      </c>
      <c r="H45" s="167">
        <f t="shared" si="18"/>
        <v>1018039</v>
      </c>
      <c r="I45" s="167">
        <f t="shared" si="18"/>
        <v>8856</v>
      </c>
      <c r="J45" s="168">
        <f>SUM(B45:I45)</f>
        <v>1420918</v>
      </c>
    </row>
    <row r="48" spans="1:10" x14ac:dyDescent="0.2">
      <c r="A48" s="385" t="s">
        <v>128</v>
      </c>
      <c r="B48" s="398"/>
      <c r="C48" s="398"/>
      <c r="D48" s="398"/>
      <c r="E48" s="398"/>
      <c r="G48" s="326">
        <f>[3]Southwest!$ET$70+[3]Southwest!$ET$73</f>
        <v>95050</v>
      </c>
      <c r="H48" s="326">
        <f>'[3]Sun Country'!$ET$70+'[3]Sun Country'!$ET$73</f>
        <v>61270</v>
      </c>
      <c r="I48" s="398"/>
      <c r="J48" s="314">
        <f>SUM(B48:I48)</f>
        <v>156320</v>
      </c>
    </row>
    <row r="49" spans="1:10" x14ac:dyDescent="0.2">
      <c r="A49" s="400" t="s">
        <v>129</v>
      </c>
      <c r="B49" s="398"/>
      <c r="C49" s="398"/>
      <c r="D49" s="398"/>
      <c r="E49" s="398"/>
      <c r="G49" s="326">
        <f>[3]Southwest!$ET$71+[3]Southwest!$ET$74</f>
        <v>653</v>
      </c>
      <c r="H49" s="326">
        <f>'[3]Sun Country'!$ET$71+'[3]Sun Country'!$ET$74</f>
        <v>9216</v>
      </c>
      <c r="I49" s="398"/>
      <c r="J49" s="314">
        <f>SUM(B49:I49)</f>
        <v>9869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September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zoomScaleNormal="100" workbookViewId="0">
      <selection activeCell="H2" sqref="B2:H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6"/>
    </row>
    <row r="2" spans="1:12" s="7" customFormat="1" ht="51.75" thickBot="1" x14ac:dyDescent="0.25">
      <c r="A2" s="389">
        <v>42614</v>
      </c>
      <c r="B2" s="453" t="s">
        <v>169</v>
      </c>
      <c r="C2" s="453" t="s">
        <v>172</v>
      </c>
      <c r="D2" s="453" t="s">
        <v>200</v>
      </c>
      <c r="E2" s="453" t="s">
        <v>199</v>
      </c>
      <c r="F2" s="453" t="s">
        <v>201</v>
      </c>
      <c r="G2" s="453" t="s">
        <v>205</v>
      </c>
      <c r="H2" s="453" t="s">
        <v>212</v>
      </c>
      <c r="I2" s="453" t="s">
        <v>214</v>
      </c>
      <c r="J2" s="453" t="s">
        <v>204</v>
      </c>
      <c r="K2" s="19" t="s">
        <v>122</v>
      </c>
      <c r="L2" s="19" t="s">
        <v>24</v>
      </c>
    </row>
    <row r="3" spans="1:12" ht="15.75" thickTop="1" x14ac:dyDescent="0.25">
      <c r="A3" s="28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[3]Pinnacle!$ET$22+[3]Pinnacle!$ET$32</f>
        <v>100138</v>
      </c>
      <c r="C5" s="132">
        <f>[3]MESA_UA!$ET$22</f>
        <v>12341</v>
      </c>
      <c r="D5" s="130">
        <f>'[3]Sky West'!$ET$22+'[3]Sky West'!$ET$32</f>
        <v>97718</v>
      </c>
      <c r="E5" s="130">
        <f>'[3]Sky West_UA'!$ET$22</f>
        <v>10197</v>
      </c>
      <c r="F5" s="130">
        <f>'[3]Sky West_AS'!$ET$22</f>
        <v>2084</v>
      </c>
      <c r="G5" s="130">
        <f>[3]Republic!$ET$22</f>
        <v>9126</v>
      </c>
      <c r="H5" s="130">
        <f>[3]Republic_UA!$ET$22</f>
        <v>6319</v>
      </c>
      <c r="I5" s="130">
        <f>'[3]Air Georgian'!$ET$32</f>
        <v>4816</v>
      </c>
      <c r="J5" s="130">
        <f>'[3]American Eagle'!$ET$22</f>
        <v>404</v>
      </c>
      <c r="K5" s="130">
        <f>'Other Regional'!L5</f>
        <v>74340</v>
      </c>
      <c r="L5" s="110">
        <f>SUM(B5:K5)</f>
        <v>317483</v>
      </c>
    </row>
    <row r="6" spans="1:12" s="10" customFormat="1" x14ac:dyDescent="0.2">
      <c r="A6" s="62" t="s">
        <v>34</v>
      </c>
      <c r="B6" s="131">
        <f>[3]Pinnacle!$ET$23+[3]Pinnacle!$ET$33</f>
        <v>98907</v>
      </c>
      <c r="C6" s="132">
        <f>[3]MESA_UA!$ET$23</f>
        <v>12135</v>
      </c>
      <c r="D6" s="130">
        <f>'[3]Sky West'!$ET$23+'[3]Sky West'!$ET$33</f>
        <v>97675</v>
      </c>
      <c r="E6" s="130">
        <f>'[3]Sky West_UA'!$ET$23</f>
        <v>9772</v>
      </c>
      <c r="F6" s="130">
        <f>'[3]Sky West_AS'!$ET$23</f>
        <v>2071</v>
      </c>
      <c r="G6" s="130">
        <f>[3]Republic!$ET$23</f>
        <v>8930</v>
      </c>
      <c r="H6" s="130">
        <f>[3]Republic_UA!$ET$23</f>
        <v>6356</v>
      </c>
      <c r="I6" s="130">
        <f>'[3]Air Georgian'!$ET$33</f>
        <v>4558</v>
      </c>
      <c r="J6" s="130">
        <f>'[3]American Eagle'!$ET$23</f>
        <v>350</v>
      </c>
      <c r="K6" s="130">
        <f>'Other Regional'!L6</f>
        <v>73119</v>
      </c>
      <c r="L6" s="115">
        <f>SUM(B6:K6)</f>
        <v>313873</v>
      </c>
    </row>
    <row r="7" spans="1:12" ht="15" thickBot="1" x14ac:dyDescent="0.25">
      <c r="A7" s="73" t="s">
        <v>7</v>
      </c>
      <c r="B7" s="133">
        <f>SUM(B5:B6)</f>
        <v>199045</v>
      </c>
      <c r="C7" s="133">
        <f t="shared" ref="C7:K7" si="0">SUM(C5:C6)</f>
        <v>24476</v>
      </c>
      <c r="D7" s="133">
        <f t="shared" si="0"/>
        <v>195393</v>
      </c>
      <c r="E7" s="133">
        <f t="shared" si="0"/>
        <v>19969</v>
      </c>
      <c r="F7" s="133">
        <f t="shared" ref="F7" si="1">SUM(F5:F6)</f>
        <v>4155</v>
      </c>
      <c r="G7" s="133">
        <f t="shared" si="0"/>
        <v>18056</v>
      </c>
      <c r="H7" s="133">
        <f t="shared" ref="H7:I7" si="2">SUM(H5:H6)</f>
        <v>12675</v>
      </c>
      <c r="I7" s="133">
        <f t="shared" si="2"/>
        <v>9374</v>
      </c>
      <c r="J7" s="133">
        <f t="shared" si="0"/>
        <v>754</v>
      </c>
      <c r="K7" s="133">
        <f t="shared" si="0"/>
        <v>147459</v>
      </c>
      <c r="L7" s="134">
        <f>SUM(B7:K7)</f>
        <v>631356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[3]Pinnacle!$ET$27+[3]Pinnacle!$ET$37</f>
        <v>3451</v>
      </c>
      <c r="C10" s="132">
        <f>[3]MESA_UA!$ET$27</f>
        <v>471</v>
      </c>
      <c r="D10" s="130">
        <f>'[3]Sky West'!$ET$27+'[3]Sky West'!$ET$37</f>
        <v>2977</v>
      </c>
      <c r="E10" s="130">
        <f>'[3]Sky West_UA'!$ET$27</f>
        <v>148</v>
      </c>
      <c r="F10" s="130">
        <f>'[3]Sky West_AS'!$ET$27</f>
        <v>69</v>
      </c>
      <c r="G10" s="130">
        <f>[3]Republic!$ET$27</f>
        <v>305</v>
      </c>
      <c r="H10" s="130">
        <f>[3]Republic_UA!$ET$27</f>
        <v>214</v>
      </c>
      <c r="I10" s="130">
        <f>'[3]Air Georgian'!$ET$37</f>
        <v>0</v>
      </c>
      <c r="J10" s="130">
        <f>'[3]American Eagle'!$ET$27</f>
        <v>29</v>
      </c>
      <c r="K10" s="130">
        <f>'Other Regional'!L10</f>
        <v>2574</v>
      </c>
      <c r="L10" s="110">
        <f>SUM(B10:K10)</f>
        <v>10238</v>
      </c>
    </row>
    <row r="11" spans="1:12" x14ac:dyDescent="0.2">
      <c r="A11" s="62" t="s">
        <v>36</v>
      </c>
      <c r="B11" s="131">
        <f>[3]Pinnacle!$ET$28+[3]Pinnacle!$ET$38</f>
        <v>3300</v>
      </c>
      <c r="C11" s="132">
        <f>[3]MESA_UA!$ET$28</f>
        <v>452</v>
      </c>
      <c r="D11" s="130">
        <f>'[3]Sky West'!$ET$28+'[3]Sky West'!$ET$38</f>
        <v>2986</v>
      </c>
      <c r="E11" s="130">
        <f>'[3]Sky West_UA'!$ET$28</f>
        <v>211</v>
      </c>
      <c r="F11" s="130">
        <f>'[3]Sky West_AS'!$ET$28</f>
        <v>65</v>
      </c>
      <c r="G11" s="130">
        <f>[3]Republic!$ET$28</f>
        <v>450</v>
      </c>
      <c r="H11" s="130">
        <f>[3]Republic_UA!$ET$28</f>
        <v>274</v>
      </c>
      <c r="I11" s="130">
        <f>'[3]Air Georgian'!$ET$38</f>
        <v>0</v>
      </c>
      <c r="J11" s="130">
        <f>'[3]American Eagle'!$ET$28</f>
        <v>34</v>
      </c>
      <c r="K11" s="130">
        <f>'Other Regional'!L11</f>
        <v>2560</v>
      </c>
      <c r="L11" s="115">
        <f>SUM(B11:K11)</f>
        <v>10332</v>
      </c>
    </row>
    <row r="12" spans="1:12" ht="15" thickBot="1" x14ac:dyDescent="0.25">
      <c r="A12" s="74" t="s">
        <v>37</v>
      </c>
      <c r="B12" s="136">
        <f t="shared" ref="B12:K12" si="3">SUM(B10:B11)</f>
        <v>6751</v>
      </c>
      <c r="C12" s="136">
        <f t="shared" si="3"/>
        <v>923</v>
      </c>
      <c r="D12" s="136">
        <f t="shared" si="3"/>
        <v>5963</v>
      </c>
      <c r="E12" s="136">
        <f t="shared" si="3"/>
        <v>359</v>
      </c>
      <c r="F12" s="136">
        <f t="shared" ref="F12" si="4">SUM(F10:F11)</f>
        <v>134</v>
      </c>
      <c r="G12" s="136">
        <f t="shared" si="3"/>
        <v>755</v>
      </c>
      <c r="H12" s="136">
        <f t="shared" ref="H12:I12" si="5">SUM(H10:H11)</f>
        <v>488</v>
      </c>
      <c r="I12" s="136">
        <f t="shared" si="5"/>
        <v>0</v>
      </c>
      <c r="J12" s="136">
        <f t="shared" si="3"/>
        <v>63</v>
      </c>
      <c r="K12" s="136">
        <f t="shared" si="3"/>
        <v>5134</v>
      </c>
      <c r="L12" s="137">
        <f>SUM(B12:K12)</f>
        <v>20570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57</v>
      </c>
      <c r="B15" s="21">
        <f>[3]Pinnacle!$ET$4+[3]Pinnacle!$ET$15</f>
        <v>1969</v>
      </c>
      <c r="C15" s="108">
        <f>[3]MESA_UA!$ET$4</f>
        <v>204</v>
      </c>
      <c r="D15" s="106">
        <f>'[3]Sky West'!$ET$4+'[3]Sky West'!$ET$15</f>
        <v>2355</v>
      </c>
      <c r="E15" s="106">
        <f>'[3]Sky West_UA'!$ET$4</f>
        <v>148</v>
      </c>
      <c r="F15" s="106">
        <f>'[3]Sky West_AS'!$ET$4</f>
        <v>30</v>
      </c>
      <c r="G15" s="109">
        <f>[3]Republic!$ET$4</f>
        <v>177</v>
      </c>
      <c r="H15" s="109">
        <f>[3]Republic_UA!$ET$4</f>
        <v>109</v>
      </c>
      <c r="I15" s="109">
        <f>'[3]Air Georgian'!$ET$15</f>
        <v>115</v>
      </c>
      <c r="J15" s="109">
        <f>'[3]American Eagle'!$ET$4</f>
        <v>10</v>
      </c>
      <c r="K15" s="107">
        <f>'Other Regional'!L15</f>
        <v>1259</v>
      </c>
      <c r="L15" s="110">
        <f t="shared" si="6"/>
        <v>6376</v>
      </c>
    </row>
    <row r="16" spans="1:12" x14ac:dyDescent="0.2">
      <c r="A16" s="62" t="s">
        <v>58</v>
      </c>
      <c r="B16" s="14">
        <f>[3]Pinnacle!$ET$5+[3]Pinnacle!$ET$16</f>
        <v>1965</v>
      </c>
      <c r="C16" s="113">
        <f>[3]MESA_UA!$ET$5</f>
        <v>204</v>
      </c>
      <c r="D16" s="111">
        <f>'[3]Sky West'!$ET$5+'[3]Sky West'!$ET$16</f>
        <v>2348</v>
      </c>
      <c r="E16" s="111">
        <f>'[3]Sky West_UA'!$ET$5</f>
        <v>148</v>
      </c>
      <c r="F16" s="111">
        <f>'[3]Sky West_AS'!$ET$5</f>
        <v>30</v>
      </c>
      <c r="G16" s="114">
        <f>[3]Republic!$ET$5</f>
        <v>177</v>
      </c>
      <c r="H16" s="114">
        <f>[3]Republic_UA!$ET$5</f>
        <v>109</v>
      </c>
      <c r="I16" s="114">
        <f>'[3]Air Georgian'!$ET$16</f>
        <v>115</v>
      </c>
      <c r="J16" s="114">
        <f>'[3]American Eagle'!$ET$5</f>
        <v>10</v>
      </c>
      <c r="K16" s="112">
        <f>'Other Regional'!L16</f>
        <v>1257</v>
      </c>
      <c r="L16" s="115">
        <f t="shared" si="6"/>
        <v>6363</v>
      </c>
    </row>
    <row r="17" spans="1:12" x14ac:dyDescent="0.2">
      <c r="A17" s="71" t="s">
        <v>59</v>
      </c>
      <c r="B17" s="116">
        <f t="shared" ref="B17:J17" si="7">SUM(B15:B16)</f>
        <v>3934</v>
      </c>
      <c r="C17" s="116">
        <f t="shared" si="7"/>
        <v>408</v>
      </c>
      <c r="D17" s="116">
        <f t="shared" si="7"/>
        <v>4703</v>
      </c>
      <c r="E17" s="116">
        <f t="shared" si="7"/>
        <v>296</v>
      </c>
      <c r="F17" s="116">
        <f t="shared" ref="F17" si="8">SUM(F15:F16)</f>
        <v>60</v>
      </c>
      <c r="G17" s="116">
        <f t="shared" si="7"/>
        <v>354</v>
      </c>
      <c r="H17" s="116">
        <f t="shared" ref="H17:I17" si="9">SUM(H15:H16)</f>
        <v>218</v>
      </c>
      <c r="I17" s="116">
        <f t="shared" si="9"/>
        <v>230</v>
      </c>
      <c r="J17" s="116">
        <f t="shared" si="7"/>
        <v>20</v>
      </c>
      <c r="K17" s="116">
        <f>SUM(K15:K16)</f>
        <v>2516</v>
      </c>
      <c r="L17" s="117">
        <f t="shared" si="6"/>
        <v>12739</v>
      </c>
    </row>
    <row r="18" spans="1:12" x14ac:dyDescent="0.2">
      <c r="A18" s="62" t="s">
        <v>60</v>
      </c>
      <c r="B18" s="118">
        <f>[3]Pinnacle!$ET$8</f>
        <v>0</v>
      </c>
      <c r="C18" s="119">
        <f>[3]MESA_UA!$ET$8</f>
        <v>0</v>
      </c>
      <c r="D18" s="118">
        <f>'[3]Sky West'!$ET$8</f>
        <v>0</v>
      </c>
      <c r="E18" s="118">
        <f>'[3]Sky West_UA'!$ET$8</f>
        <v>0</v>
      </c>
      <c r="F18" s="118">
        <f>'[3]Sky West_AS'!$ET$8</f>
        <v>0</v>
      </c>
      <c r="G18" s="118">
        <f>[3]Republic!$ET$8</f>
        <v>0</v>
      </c>
      <c r="H18" s="118">
        <f>[3]Republic_UA!$ET$8</f>
        <v>0</v>
      </c>
      <c r="I18" s="118">
        <f>'[3]Air Georgian'!$ET$8</f>
        <v>0</v>
      </c>
      <c r="J18" s="118">
        <f>'[3]American Eagle'!$ET$8</f>
        <v>0</v>
      </c>
      <c r="K18" s="118">
        <f>'Other Regional'!L18</f>
        <v>0</v>
      </c>
      <c r="L18" s="110">
        <f t="shared" si="6"/>
        <v>0</v>
      </c>
    </row>
    <row r="19" spans="1:12" x14ac:dyDescent="0.2">
      <c r="A19" s="62" t="s">
        <v>61</v>
      </c>
      <c r="B19" s="120">
        <f>[3]Pinnacle!$ET$9</f>
        <v>4</v>
      </c>
      <c r="C19" s="121">
        <f>[3]MESA_UA!$ET$9</f>
        <v>0</v>
      </c>
      <c r="D19" s="120">
        <f>'[3]Sky West'!$ET$9</f>
        <v>5</v>
      </c>
      <c r="E19" s="120">
        <f>'[3]Sky West_UA'!$ET$9</f>
        <v>0</v>
      </c>
      <c r="F19" s="120">
        <f>'[3]Sky West_AS'!$ET$9</f>
        <v>0</v>
      </c>
      <c r="G19" s="120">
        <f>[3]Republic!$ET$9</f>
        <v>0</v>
      </c>
      <c r="H19" s="120">
        <f>[3]Republic_UA!$ET$9</f>
        <v>0</v>
      </c>
      <c r="I19" s="120">
        <f>'[3]Air Georgian'!$ET$9</f>
        <v>0</v>
      </c>
      <c r="J19" s="120">
        <f>'[3]American Eagle'!$ET$9</f>
        <v>0</v>
      </c>
      <c r="K19" s="120">
        <f>'Other Regional'!L19</f>
        <v>1</v>
      </c>
      <c r="L19" s="115">
        <f t="shared" si="6"/>
        <v>10</v>
      </c>
    </row>
    <row r="20" spans="1:12" x14ac:dyDescent="0.2">
      <c r="A20" s="71" t="s">
        <v>62</v>
      </c>
      <c r="B20" s="116">
        <f t="shared" ref="B20:K20" si="10">SUM(B18:B19)</f>
        <v>4</v>
      </c>
      <c r="C20" s="116">
        <f t="shared" si="10"/>
        <v>0</v>
      </c>
      <c r="D20" s="116">
        <f t="shared" si="10"/>
        <v>5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1</v>
      </c>
      <c r="L20" s="117">
        <f t="shared" si="6"/>
        <v>10</v>
      </c>
    </row>
    <row r="21" spans="1:12" ht="15.75" thickBot="1" x14ac:dyDescent="0.3">
      <c r="A21" s="72" t="s">
        <v>31</v>
      </c>
      <c r="B21" s="122">
        <f t="shared" ref="B21:J21" si="13">SUM(B20,B17)</f>
        <v>3938</v>
      </c>
      <c r="C21" s="122">
        <f t="shared" si="13"/>
        <v>408</v>
      </c>
      <c r="D21" s="122">
        <f t="shared" si="13"/>
        <v>4708</v>
      </c>
      <c r="E21" s="122">
        <f t="shared" si="13"/>
        <v>296</v>
      </c>
      <c r="F21" s="122">
        <f t="shared" ref="F21" si="14">SUM(F20,F17)</f>
        <v>60</v>
      </c>
      <c r="G21" s="122">
        <f t="shared" si="13"/>
        <v>354</v>
      </c>
      <c r="H21" s="122">
        <f t="shared" ref="H21:I21" si="15">SUM(H20,H17)</f>
        <v>218</v>
      </c>
      <c r="I21" s="122">
        <f t="shared" si="15"/>
        <v>230</v>
      </c>
      <c r="J21" s="122">
        <f t="shared" si="13"/>
        <v>20</v>
      </c>
      <c r="K21" s="122">
        <f>SUM(K20,K17)</f>
        <v>2517</v>
      </c>
      <c r="L21" s="123">
        <f t="shared" si="6"/>
        <v>12749</v>
      </c>
    </row>
    <row r="22" spans="1:12" ht="13.5" thickBot="1" x14ac:dyDescent="0.25"/>
    <row r="23" spans="1:12" ht="15.75" thickTop="1" x14ac:dyDescent="0.25">
      <c r="A23" s="65" t="s">
        <v>121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[3]Pinnacle!$ET$47</f>
        <v>0</v>
      </c>
      <c r="C25" s="132">
        <f>[3]MESA_UA!$ET$47</f>
        <v>0</v>
      </c>
      <c r="D25" s="130">
        <f>'[3]Sky West'!$ET$47</f>
        <v>0</v>
      </c>
      <c r="E25" s="130">
        <f>'[3]Sky West_UA'!$ET$47</f>
        <v>0</v>
      </c>
      <c r="F25" s="130">
        <f>'[3]Sky West_AS'!$ET$47</f>
        <v>4118</v>
      </c>
      <c r="G25" s="130">
        <f>[3]Republic!$ET$47</f>
        <v>1278</v>
      </c>
      <c r="H25" s="130">
        <f>[3]Republic_UA!$ET$47</f>
        <v>0</v>
      </c>
      <c r="I25" s="130">
        <f>'[3]Air Georgian'!$ET$47</f>
        <v>0</v>
      </c>
      <c r="J25" s="130">
        <f>'[3]American Eagle'!$ET$47</f>
        <v>0</v>
      </c>
      <c r="K25" s="130">
        <f>'Other Regional'!L25</f>
        <v>141</v>
      </c>
      <c r="L25" s="110">
        <f>SUM(B25:K25)</f>
        <v>5537</v>
      </c>
    </row>
    <row r="26" spans="1:12" x14ac:dyDescent="0.2">
      <c r="A26" s="75" t="s">
        <v>41</v>
      </c>
      <c r="B26" s="130">
        <f>[3]Pinnacle!$ET$48</f>
        <v>0</v>
      </c>
      <c r="C26" s="132">
        <f>[3]MESA_UA!$ET$48</f>
        <v>0</v>
      </c>
      <c r="D26" s="130">
        <f>'[3]Sky West'!$ET$48</f>
        <v>0</v>
      </c>
      <c r="E26" s="130">
        <f>'[3]Sky West_UA'!$ET$48</f>
        <v>0</v>
      </c>
      <c r="F26" s="130">
        <f>'[3]Sky West_AS'!$ET$48</f>
        <v>0</v>
      </c>
      <c r="G26" s="130">
        <f>[3]Republic!$ET$48</f>
        <v>0</v>
      </c>
      <c r="H26" s="130">
        <f>[3]Republic_UA!$ET$48</f>
        <v>0</v>
      </c>
      <c r="I26" s="130">
        <f>'[3]Air Georgian'!$ET$48</f>
        <v>0</v>
      </c>
      <c r="J26" s="130">
        <f>'[3]American Eagle'!$ET$48</f>
        <v>0</v>
      </c>
      <c r="K26" s="130">
        <f>'Other Regional'!L26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4118</v>
      </c>
      <c r="G27" s="133">
        <f t="shared" si="16"/>
        <v>1278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141</v>
      </c>
      <c r="L27" s="134">
        <f>SUM(B27:K27)</f>
        <v>5537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63</v>
      </c>
      <c r="B30" s="130">
        <f>[3]Pinnacle!$ET$52</f>
        <v>0</v>
      </c>
      <c r="C30" s="132">
        <f>[3]MESA_UA!$ET$52</f>
        <v>0</v>
      </c>
      <c r="D30" s="130">
        <f>'[3]Sky West'!$ET$52</f>
        <v>0</v>
      </c>
      <c r="E30" s="130">
        <f>'[3]Sky West_UA'!$ET$52</f>
        <v>0</v>
      </c>
      <c r="F30" s="130">
        <f>'[3]Sky West_AS'!$ET$52</f>
        <v>0</v>
      </c>
      <c r="G30" s="130">
        <f>[3]Republic!$ET$52</f>
        <v>156</v>
      </c>
      <c r="H30" s="130">
        <f>[3]Republic_UA!$ET$52</f>
        <v>0</v>
      </c>
      <c r="I30" s="130">
        <f>'[3]Air Georgian'!$ET$52</f>
        <v>0</v>
      </c>
      <c r="J30" s="130">
        <f>'[3]American Eagle'!$ET$52</f>
        <v>0</v>
      </c>
      <c r="K30" s="130">
        <f>'Other Regional'!L30</f>
        <v>0</v>
      </c>
      <c r="L30" s="110">
        <f t="shared" ref="L30:L37" si="19">SUM(B30:K30)</f>
        <v>156</v>
      </c>
    </row>
    <row r="31" spans="1:12" x14ac:dyDescent="0.2">
      <c r="A31" s="75" t="s">
        <v>64</v>
      </c>
      <c r="B31" s="130">
        <f>[3]Pinnacle!$ET$53</f>
        <v>0</v>
      </c>
      <c r="C31" s="132">
        <f>[3]MESA_UA!$ET$53</f>
        <v>0</v>
      </c>
      <c r="D31" s="130">
        <f>'[3]Sky West'!$ET$53</f>
        <v>0</v>
      </c>
      <c r="E31" s="130">
        <f>'[3]Sky West_UA'!$ET$53</f>
        <v>0</v>
      </c>
      <c r="F31" s="130">
        <f>'[3]Sky West_AS'!$ET$53</f>
        <v>0</v>
      </c>
      <c r="G31" s="130">
        <f>[3]Republic!$ET$53</f>
        <v>0</v>
      </c>
      <c r="H31" s="130">
        <f>[3]Republic_UA!$ET$53</f>
        <v>0</v>
      </c>
      <c r="I31" s="130">
        <f>'[3]Air Georgian'!$ET$53</f>
        <v>0</v>
      </c>
      <c r="J31" s="130">
        <f>'[3]American Eagle'!$ET$53</f>
        <v>0</v>
      </c>
      <c r="K31" s="130">
        <f>'Other Regional'!L31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156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156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[3]Pinnacle!$ET$57</f>
        <v>0</v>
      </c>
      <c r="C35" s="132">
        <f>[3]MESA_UA!$ET$57</f>
        <v>0</v>
      </c>
      <c r="D35" s="130">
        <f>'[3]Sky West'!$ET$57</f>
        <v>0</v>
      </c>
      <c r="E35" s="130">
        <f>'[3]Sky West_UA'!$ET$57</f>
        <v>0</v>
      </c>
      <c r="F35" s="130">
        <f>'[3]Sky West_AS'!$ET$57</f>
        <v>0</v>
      </c>
      <c r="G35" s="130">
        <f>[3]Republic!$ET$57</f>
        <v>0</v>
      </c>
      <c r="H35" s="130">
        <f>[3]Republic!$ET$57</f>
        <v>0</v>
      </c>
      <c r="I35" s="130">
        <f>[3]Republic!$ET$57</f>
        <v>0</v>
      </c>
      <c r="J35" s="130">
        <f>'[3]American Eagle'!$ET$57</f>
        <v>0</v>
      </c>
      <c r="K35" s="130">
        <f>'Other Regional'!L35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[3]Pinnacle!$ET$58</f>
        <v>0</v>
      </c>
      <c r="C36" s="132">
        <f>[3]MESA_UA!$ET$58</f>
        <v>0</v>
      </c>
      <c r="D36" s="130">
        <f>'[3]Sky West'!$ET$58</f>
        <v>0</v>
      </c>
      <c r="E36" s="130">
        <f>'[3]Sky West_UA'!$ET$58</f>
        <v>0</v>
      </c>
      <c r="F36" s="130">
        <f>'[3]Sky West_AS'!$ET$58</f>
        <v>0</v>
      </c>
      <c r="G36" s="130">
        <f>[3]Republic!$ET$58</f>
        <v>0</v>
      </c>
      <c r="H36" s="130">
        <f>[3]Republic!$ET$58</f>
        <v>0</v>
      </c>
      <c r="I36" s="130">
        <f>[3]Republic!$ET$58</f>
        <v>0</v>
      </c>
      <c r="J36" s="130">
        <f>'[3]American Eagle'!$ET$58</f>
        <v>0</v>
      </c>
      <c r="K36" s="130">
        <f>'Other Regional'!L36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4118</v>
      </c>
      <c r="G40" s="130">
        <f t="shared" si="26"/>
        <v>1434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141</v>
      </c>
      <c r="L40" s="110">
        <f>SUM(B40:K40)</f>
        <v>5693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4118</v>
      </c>
      <c r="G42" s="136">
        <f t="shared" si="26"/>
        <v>1434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141</v>
      </c>
      <c r="L42" s="137">
        <f>SUM(B42:K42)</f>
        <v>5693</v>
      </c>
    </row>
    <row r="44" spans="1:12" x14ac:dyDescent="0.2">
      <c r="A44" s="385" t="s">
        <v>128</v>
      </c>
      <c r="B44" s="325">
        <f>[3]Pinnacle!$ET$70+[3]Pinnacle!$ET$73</f>
        <v>30166</v>
      </c>
      <c r="D44" s="326">
        <f>'[3]Sky West'!$ET$70+'[3]Sky West'!$ET$73</f>
        <v>25102</v>
      </c>
      <c r="E44" s="326">
        <f>'[3]Sky West_UA'!$ET$70+'[3]Sky West_UA'!$ET$73</f>
        <v>0</v>
      </c>
      <c r="F44" s="5"/>
      <c r="K44" s="326">
        <f>+'Other Regional'!L46</f>
        <v>29344</v>
      </c>
      <c r="L44" s="314">
        <f>SUM(B44:K44)</f>
        <v>84612</v>
      </c>
    </row>
    <row r="45" spans="1:12" x14ac:dyDescent="0.2">
      <c r="A45" s="400" t="s">
        <v>129</v>
      </c>
      <c r="B45" s="325">
        <f>[3]Pinnacle!$ET$71+[3]Pinnacle!$ET$74</f>
        <v>68741</v>
      </c>
      <c r="D45" s="326">
        <f>'[3]Sky West'!$ET$71+'[3]Sky West'!$ET$74</f>
        <v>72573</v>
      </c>
      <c r="E45" s="326">
        <f>'[3]Sky West_UA'!$ET$71+'[3]Sky West_UA'!$ET$74</f>
        <v>0</v>
      </c>
      <c r="F45" s="5"/>
      <c r="K45" s="326">
        <f>+'Other Regional'!L47</f>
        <v>42261</v>
      </c>
      <c r="L45" s="314">
        <f>SUM(B45:K45)</f>
        <v>183575</v>
      </c>
    </row>
    <row r="46" spans="1:12" x14ac:dyDescent="0.2">
      <c r="A46" s="316" t="s">
        <v>130</v>
      </c>
      <c r="B46" s="317">
        <f>SUM(B44:B45)</f>
        <v>98907</v>
      </c>
      <c r="K46" s="2"/>
      <c r="L46" s="315"/>
    </row>
    <row r="47" spans="1:12" x14ac:dyDescent="0.2">
      <c r="A47" s="318"/>
      <c r="B47" s="319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September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O21" sqref="O21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19.5" customHeight="1" x14ac:dyDescent="0.2">
      <c r="A1" s="396"/>
    </row>
    <row r="2" spans="1:12" s="7" customFormat="1" ht="55.5" customHeight="1" x14ac:dyDescent="0.2">
      <c r="A2" s="389">
        <v>42614</v>
      </c>
      <c r="B2" s="453" t="s">
        <v>203</v>
      </c>
      <c r="C2" s="453" t="s">
        <v>202</v>
      </c>
      <c r="D2" s="453" t="s">
        <v>219</v>
      </c>
      <c r="E2" s="453" t="s">
        <v>138</v>
      </c>
      <c r="F2" s="453" t="s">
        <v>208</v>
      </c>
      <c r="G2" s="453" t="s">
        <v>207</v>
      </c>
      <c r="H2" s="453" t="s">
        <v>171</v>
      </c>
      <c r="I2" s="453" t="s">
        <v>183</v>
      </c>
      <c r="J2" s="453" t="s">
        <v>209</v>
      </c>
      <c r="K2" s="453" t="s">
        <v>206</v>
      </c>
      <c r="L2" s="19" t="s">
        <v>24</v>
      </c>
    </row>
    <row r="3" spans="1:12" ht="15" x14ac:dyDescent="0.25">
      <c r="A3" s="284" t="s">
        <v>3</v>
      </c>
      <c r="B3" s="412"/>
      <c r="C3" s="412"/>
      <c r="D3" s="412"/>
      <c r="E3" s="412"/>
      <c r="F3" s="413"/>
      <c r="G3" s="413"/>
      <c r="H3" s="413"/>
      <c r="I3" s="413"/>
      <c r="J3" s="413"/>
      <c r="K3" s="412"/>
      <c r="L3" s="478"/>
    </row>
    <row r="4" spans="1:12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33</v>
      </c>
      <c r="B5" s="131">
        <f>'[3]Shuttle America'!$ET$22</f>
        <v>806</v>
      </c>
      <c r="C5" s="131">
        <f>'[3]Shuttle America_Delta'!$ET$22</f>
        <v>5300</v>
      </c>
      <c r="D5" s="131">
        <f>[3]PSA!$ET$22</f>
        <v>193</v>
      </c>
      <c r="E5" s="21">
        <f>[3]Compass!$ET$22+[3]Compass!$ET$32</f>
        <v>42271</v>
      </c>
      <c r="F5" s="131">
        <f>'[3]Atlantic Southeast'!$ET$22+'[3]Atlantic Southeast'!$ET$32</f>
        <v>22123</v>
      </c>
      <c r="G5" s="131">
        <f>'[3]Continental Express'!$ET$22</f>
        <v>89</v>
      </c>
      <c r="H5" s="130">
        <f>'[3]Go Jet_UA'!$ET$22</f>
        <v>70</v>
      </c>
      <c r="I5" s="21">
        <f>'[3]Go Jet'!$ET$22+'[3]Go Jet'!$ET$32</f>
        <v>3465</v>
      </c>
      <c r="J5" s="132">
        <f>'[3]Air Wisconsin'!$ET$22</f>
        <v>23</v>
      </c>
      <c r="K5" s="130">
        <f>[3]MESA!$ET$22</f>
        <v>0</v>
      </c>
      <c r="L5" s="110">
        <f>SUM(B5:K5)</f>
        <v>74340</v>
      </c>
    </row>
    <row r="6" spans="1:12" s="10" customFormat="1" x14ac:dyDescent="0.2">
      <c r="A6" s="62" t="s">
        <v>34</v>
      </c>
      <c r="B6" s="131">
        <f>'[3]Shuttle America'!$ET$23</f>
        <v>1131</v>
      </c>
      <c r="C6" s="131">
        <f>'[3]Shuttle America_Delta'!$ET$23</f>
        <v>5172</v>
      </c>
      <c r="D6" s="131">
        <f>[3]PSA!$ET$23</f>
        <v>180</v>
      </c>
      <c r="E6" s="14">
        <f>[3]Compass!$ET$23+[3]Compass!$ET$33</f>
        <v>43310</v>
      </c>
      <c r="F6" s="131">
        <f>'[3]Atlantic Southeast'!$ET$23+'[3]Atlantic Southeast'!$ET$33</f>
        <v>19318</v>
      </c>
      <c r="G6" s="131">
        <f>'[3]Continental Express'!$ET$23</f>
        <v>95</v>
      </c>
      <c r="H6" s="130">
        <f>'[3]Go Jet_UA'!$ET$23</f>
        <v>69</v>
      </c>
      <c r="I6" s="14">
        <f>'[3]Go Jet'!$ET$23+'[3]Go Jet'!$ET$33</f>
        <v>3805</v>
      </c>
      <c r="J6" s="132">
        <f>'[3]Air Wisconsin'!$ET$23</f>
        <v>39</v>
      </c>
      <c r="K6" s="130">
        <f>[3]MESA!$ET$23</f>
        <v>0</v>
      </c>
      <c r="L6" s="115">
        <f>SUM(B6:K6)</f>
        <v>73119</v>
      </c>
    </row>
    <row r="7" spans="1:12" ht="15" thickBot="1" x14ac:dyDescent="0.25">
      <c r="A7" s="73" t="s">
        <v>7</v>
      </c>
      <c r="B7" s="133">
        <f t="shared" ref="B7:K7" si="0">SUM(B5:B6)</f>
        <v>1937</v>
      </c>
      <c r="C7" s="133">
        <f t="shared" si="0"/>
        <v>10472</v>
      </c>
      <c r="D7" s="133">
        <f t="shared" si="0"/>
        <v>373</v>
      </c>
      <c r="E7" s="133">
        <f>SUM(E5:E6)</f>
        <v>85581</v>
      </c>
      <c r="F7" s="133">
        <f t="shared" si="0"/>
        <v>41441</v>
      </c>
      <c r="G7" s="133">
        <f t="shared" si="0"/>
        <v>184</v>
      </c>
      <c r="H7" s="133">
        <f t="shared" si="0"/>
        <v>139</v>
      </c>
      <c r="I7" s="133">
        <f>SUM(I5:I6)</f>
        <v>7270</v>
      </c>
      <c r="J7" s="133">
        <f t="shared" si="0"/>
        <v>62</v>
      </c>
      <c r="K7" s="133">
        <f t="shared" si="0"/>
        <v>0</v>
      </c>
      <c r="L7" s="134">
        <f>SUM(L5:L6)</f>
        <v>147459</v>
      </c>
    </row>
    <row r="8" spans="1:12" ht="13.5" thickTop="1" x14ac:dyDescent="0.2">
      <c r="A8" s="62"/>
      <c r="B8" s="131"/>
      <c r="C8" s="131"/>
      <c r="D8" s="131"/>
      <c r="E8" s="346"/>
      <c r="F8" s="131"/>
      <c r="G8" s="131"/>
      <c r="H8" s="130"/>
      <c r="I8" s="346"/>
      <c r="J8" s="132"/>
      <c r="K8" s="130"/>
      <c r="L8" s="135"/>
    </row>
    <row r="9" spans="1:12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21"/>
      <c r="J9" s="132"/>
      <c r="K9" s="130"/>
      <c r="L9" s="110"/>
    </row>
    <row r="10" spans="1:12" x14ac:dyDescent="0.2">
      <c r="A10" s="62" t="s">
        <v>33</v>
      </c>
      <c r="B10" s="131">
        <f>'[3]Shuttle America'!$ET$27</f>
        <v>79</v>
      </c>
      <c r="C10" s="131">
        <f>'[3]Shuttle America_Delta'!$ET$27</f>
        <v>163</v>
      </c>
      <c r="D10" s="131">
        <f>[3]PSA!$ET$27</f>
        <v>14</v>
      </c>
      <c r="E10" s="21">
        <f>[3]Compass!$ET$27+[3]Compass!$ET$37</f>
        <v>1726</v>
      </c>
      <c r="F10" s="21">
        <f>'[3]Atlantic Southeast'!$ET$27+'[3]Atlantic Southeast'!$ET$37</f>
        <v>509</v>
      </c>
      <c r="G10" s="131">
        <f>'[3]Continental Express'!$ET$27</f>
        <v>6</v>
      </c>
      <c r="H10" s="130">
        <f>'[3]Go Jet_UA'!$ET$27</f>
        <v>0</v>
      </c>
      <c r="I10" s="21">
        <f>'[3]Go Jet'!$ET$27+'[3]Go Jet'!$ET$37</f>
        <v>77</v>
      </c>
      <c r="J10" s="132">
        <f>'[3]Air Wisconsin'!$ET$27</f>
        <v>0</v>
      </c>
      <c r="K10" s="130">
        <f>[3]MESA!$ET$27</f>
        <v>0</v>
      </c>
      <c r="L10" s="110">
        <f>SUM(B10:K10)</f>
        <v>2574</v>
      </c>
    </row>
    <row r="11" spans="1:12" x14ac:dyDescent="0.2">
      <c r="A11" s="62" t="s">
        <v>36</v>
      </c>
      <c r="B11" s="131">
        <f>'[3]Shuttle America'!$ET$28</f>
        <v>68</v>
      </c>
      <c r="C11" s="131">
        <f>'[3]Shuttle America_Delta'!$ET$28</f>
        <v>177</v>
      </c>
      <c r="D11" s="131">
        <f>[3]PSA!$ET$28</f>
        <v>6</v>
      </c>
      <c r="E11" s="14">
        <f>[3]Compass!$ET$28+[3]Compass!$ET$38</f>
        <v>1748</v>
      </c>
      <c r="F11" s="14">
        <f>'[3]Atlantic Southeast'!$ET$28+'[3]Atlantic Southeast'!$ET$38</f>
        <v>476</v>
      </c>
      <c r="G11" s="131">
        <f>'[3]Continental Express'!$ET$28</f>
        <v>0</v>
      </c>
      <c r="H11" s="130">
        <f>'[3]Go Jet_UA'!$ET$28</f>
        <v>1</v>
      </c>
      <c r="I11" s="14">
        <f>'[3]Go Jet'!$ET$28+'[3]Go Jet'!$ET$38</f>
        <v>78</v>
      </c>
      <c r="J11" s="132">
        <f>'[3]Air Wisconsin'!$ET$28</f>
        <v>6</v>
      </c>
      <c r="K11" s="130">
        <f>[3]MESA!$ET$28</f>
        <v>0</v>
      </c>
      <c r="L11" s="115">
        <f>SUM(B11:K11)</f>
        <v>2560</v>
      </c>
    </row>
    <row r="12" spans="1:12" ht="15" thickBot="1" x14ac:dyDescent="0.25">
      <c r="A12" s="74" t="s">
        <v>37</v>
      </c>
      <c r="B12" s="136">
        <f>SUM(B10:B11)</f>
        <v>147</v>
      </c>
      <c r="C12" s="136">
        <f>SUM(C10:C11)</f>
        <v>340</v>
      </c>
      <c r="D12" s="136">
        <f t="shared" ref="D12:K12" si="1">SUM(D10:D11)</f>
        <v>20</v>
      </c>
      <c r="E12" s="136">
        <f t="shared" si="1"/>
        <v>3474</v>
      </c>
      <c r="F12" s="136">
        <f t="shared" si="1"/>
        <v>985</v>
      </c>
      <c r="G12" s="136">
        <f t="shared" si="1"/>
        <v>6</v>
      </c>
      <c r="H12" s="136">
        <f t="shared" si="1"/>
        <v>1</v>
      </c>
      <c r="I12" s="136">
        <f t="shared" ref="I12" si="2">SUM(I10:I11)</f>
        <v>155</v>
      </c>
      <c r="J12" s="136">
        <f t="shared" si="1"/>
        <v>6</v>
      </c>
      <c r="K12" s="136">
        <f t="shared" si="1"/>
        <v>0</v>
      </c>
      <c r="L12" s="137">
        <f>SUM(B12:K12)</f>
        <v>5134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57</v>
      </c>
      <c r="B15" s="106">
        <f>'[3]Shuttle America'!$ET$4</f>
        <v>21</v>
      </c>
      <c r="C15" s="106">
        <f>'[3]Shuttle America_Delta'!$ET$4</f>
        <v>80</v>
      </c>
      <c r="D15" s="107">
        <f>[3]PSA!$ET$4</f>
        <v>4</v>
      </c>
      <c r="E15" s="21">
        <f>[3]Compass!$ET$4+[3]Compass!$ET$15</f>
        <v>745</v>
      </c>
      <c r="F15" s="107">
        <f>'[3]Atlantic Southeast'!$ET$4+'[3]Atlantic Southeast'!$ET$15</f>
        <v>347</v>
      </c>
      <c r="G15" s="107">
        <f>'[3]Continental Express'!$ET$4</f>
        <v>2</v>
      </c>
      <c r="H15" s="106">
        <f>'[3]Go Jet_UA'!$ET$4</f>
        <v>1</v>
      </c>
      <c r="I15" s="106">
        <f>'[3]Go Jet'!$ET$4+'[3]Go Jet'!$ET$15</f>
        <v>58</v>
      </c>
      <c r="J15" s="108">
        <f>'[3]Air Wisconsin'!$ET$4</f>
        <v>1</v>
      </c>
      <c r="K15" s="106">
        <f>[3]MESA!$ET$4</f>
        <v>0</v>
      </c>
      <c r="L15" s="110">
        <f t="shared" ref="L15:L21" si="3">SUM(B15:K15)</f>
        <v>1259</v>
      </c>
    </row>
    <row r="16" spans="1:12" x14ac:dyDescent="0.2">
      <c r="A16" s="62" t="s">
        <v>58</v>
      </c>
      <c r="B16" s="111">
        <f>'[3]Shuttle America'!$ET$5</f>
        <v>21</v>
      </c>
      <c r="C16" s="111">
        <f>'[3]Shuttle America_Delta'!$ET$5</f>
        <v>80</v>
      </c>
      <c r="D16" s="112">
        <f>[3]PSA!$ET$5</f>
        <v>4</v>
      </c>
      <c r="E16" s="14">
        <f>[3]Compass!$ET$5+[3]Compass!$ET$16</f>
        <v>744</v>
      </c>
      <c r="F16" s="112">
        <f>'[3]Atlantic Southeast'!$ET$5+'[3]Atlantic Southeast'!$ET$16</f>
        <v>346</v>
      </c>
      <c r="G16" s="112">
        <f>'[3]Continental Express'!$ET$5</f>
        <v>2</v>
      </c>
      <c r="H16" s="111">
        <f>'[3]Go Jet_UA'!$ET$5</f>
        <v>1</v>
      </c>
      <c r="I16" s="111">
        <f>'[3]Go Jet'!$ET$5+'[3]Go Jet'!$ET$16</f>
        <v>58</v>
      </c>
      <c r="J16" s="113">
        <f>'[3]Air Wisconsin'!$ET$5</f>
        <v>1</v>
      </c>
      <c r="K16" s="111">
        <f>[3]MESA!$ET$5</f>
        <v>0</v>
      </c>
      <c r="L16" s="115">
        <f t="shared" si="3"/>
        <v>1257</v>
      </c>
    </row>
    <row r="17" spans="1:12" x14ac:dyDescent="0.2">
      <c r="A17" s="71" t="s">
        <v>59</v>
      </c>
      <c r="B17" s="116">
        <f>SUM(B15:B16)</f>
        <v>42</v>
      </c>
      <c r="C17" s="116">
        <f>SUM(C15:C16)</f>
        <v>160</v>
      </c>
      <c r="D17" s="116">
        <f t="shared" ref="D17:K17" si="4">SUM(D15:D16)</f>
        <v>8</v>
      </c>
      <c r="E17" s="291">
        <f>SUM(E15:E16)</f>
        <v>1489</v>
      </c>
      <c r="F17" s="116">
        <f t="shared" si="4"/>
        <v>693</v>
      </c>
      <c r="G17" s="116">
        <f t="shared" si="4"/>
        <v>4</v>
      </c>
      <c r="H17" s="116">
        <f t="shared" si="4"/>
        <v>2</v>
      </c>
      <c r="I17" s="116">
        <f t="shared" ref="I17" si="5">SUM(I15:I16)</f>
        <v>116</v>
      </c>
      <c r="J17" s="116">
        <f t="shared" si="4"/>
        <v>2</v>
      </c>
      <c r="K17" s="116">
        <f t="shared" si="4"/>
        <v>0</v>
      </c>
      <c r="L17" s="117">
        <f t="shared" si="3"/>
        <v>2516</v>
      </c>
    </row>
    <row r="18" spans="1:12" x14ac:dyDescent="0.2">
      <c r="A18" s="62" t="s">
        <v>60</v>
      </c>
      <c r="B18" s="118">
        <f>'[3]Shuttle America'!$ET$8</f>
        <v>0</v>
      </c>
      <c r="C18" s="118">
        <f>'[3]Shuttle America_Delta'!$ET$8</f>
        <v>0</v>
      </c>
      <c r="D18" s="118">
        <f>[3]PSA!$ET$8</f>
        <v>0</v>
      </c>
      <c r="E18" s="21">
        <f>[3]Compass!$ET$8</f>
        <v>0</v>
      </c>
      <c r="F18" s="109">
        <f>'[3]Atlantic Southeast'!$ET$8</f>
        <v>0</v>
      </c>
      <c r="G18" s="109">
        <f>'[3]Continental Express'!$ET$8</f>
        <v>0</v>
      </c>
      <c r="H18" s="118">
        <f>'[3]Go Jet_UA'!$ET$8</f>
        <v>0</v>
      </c>
      <c r="I18" s="118">
        <f>'[3]Go Jet'!$ET$8</f>
        <v>0</v>
      </c>
      <c r="J18" s="119">
        <f>'[3]Air Wisconsin'!$ET$8</f>
        <v>0</v>
      </c>
      <c r="K18" s="118">
        <f>[3]MESA!$ET$8</f>
        <v>0</v>
      </c>
      <c r="L18" s="110">
        <f t="shared" si="3"/>
        <v>0</v>
      </c>
    </row>
    <row r="19" spans="1:12" x14ac:dyDescent="0.2">
      <c r="A19" s="62" t="s">
        <v>61</v>
      </c>
      <c r="B19" s="120">
        <f>'[3]Shuttle America'!$ET$9</f>
        <v>0</v>
      </c>
      <c r="C19" s="120">
        <f>'[3]Shuttle America_Delta'!$ET$9</f>
        <v>0</v>
      </c>
      <c r="D19" s="120">
        <f>[3]PSA!$ET$9</f>
        <v>0</v>
      </c>
      <c r="E19" s="14">
        <f>[3]Compass!$ET$9</f>
        <v>1</v>
      </c>
      <c r="F19" s="114">
        <f>'[3]Atlantic Southeast'!$ET$9</f>
        <v>0</v>
      </c>
      <c r="G19" s="114">
        <f>'[3]Continental Express'!$ET$9</f>
        <v>0</v>
      </c>
      <c r="H19" s="120">
        <f>'[3]Go Jet_UA'!$ET$9</f>
        <v>0</v>
      </c>
      <c r="I19" s="120">
        <f>'[3]Go Jet'!$ET$9</f>
        <v>0</v>
      </c>
      <c r="J19" s="121">
        <f>'[3]Air Wisconsin'!$ET$9</f>
        <v>0</v>
      </c>
      <c r="K19" s="120">
        <f>[3]MESA!$ET$9</f>
        <v>0</v>
      </c>
      <c r="L19" s="115">
        <f t="shared" si="3"/>
        <v>1</v>
      </c>
    </row>
    <row r="20" spans="1:12" x14ac:dyDescent="0.2">
      <c r="A20" s="71" t="s">
        <v>62</v>
      </c>
      <c r="B20" s="116">
        <f>SUM(B18:B19)</f>
        <v>0</v>
      </c>
      <c r="C20" s="116">
        <f>SUM(C18:C19)</f>
        <v>0</v>
      </c>
      <c r="D20" s="116">
        <f t="shared" ref="D20:K20" si="6">SUM(D18:D19)</f>
        <v>0</v>
      </c>
      <c r="E20" s="291">
        <f>SUM(E18:E19)</f>
        <v>1</v>
      </c>
      <c r="F20" s="116">
        <f t="shared" si="6"/>
        <v>0</v>
      </c>
      <c r="G20" s="116">
        <f t="shared" si="6"/>
        <v>0</v>
      </c>
      <c r="H20" s="116">
        <f t="shared" si="6"/>
        <v>0</v>
      </c>
      <c r="I20" s="116">
        <f t="shared" ref="I20" si="7">SUM(I18:I19)</f>
        <v>0</v>
      </c>
      <c r="J20" s="116">
        <f t="shared" si="6"/>
        <v>0</v>
      </c>
      <c r="K20" s="116">
        <f t="shared" si="6"/>
        <v>0</v>
      </c>
      <c r="L20" s="117">
        <f t="shared" si="3"/>
        <v>1</v>
      </c>
    </row>
    <row r="21" spans="1:12" ht="15.75" thickBot="1" x14ac:dyDescent="0.3">
      <c r="A21" s="72" t="s">
        <v>31</v>
      </c>
      <c r="B21" s="122">
        <f>SUM(B20,B17)</f>
        <v>42</v>
      </c>
      <c r="C21" s="122">
        <f>SUM(C20,C17)</f>
        <v>160</v>
      </c>
      <c r="D21" s="122">
        <f t="shared" ref="D21:K21" si="8">SUM(D20,D17)</f>
        <v>8</v>
      </c>
      <c r="E21" s="122">
        <f t="shared" si="8"/>
        <v>1490</v>
      </c>
      <c r="F21" s="122">
        <f t="shared" si="8"/>
        <v>693</v>
      </c>
      <c r="G21" s="122">
        <f t="shared" si="8"/>
        <v>4</v>
      </c>
      <c r="H21" s="122">
        <f t="shared" si="8"/>
        <v>2</v>
      </c>
      <c r="I21" s="122">
        <f t="shared" ref="I21" si="9">SUM(I20,I17)</f>
        <v>116</v>
      </c>
      <c r="J21" s="122">
        <f t="shared" si="8"/>
        <v>2</v>
      </c>
      <c r="K21" s="122">
        <f t="shared" si="8"/>
        <v>0</v>
      </c>
      <c r="L21" s="123">
        <f t="shared" si="3"/>
        <v>2517</v>
      </c>
    </row>
    <row r="22" spans="1:12" ht="3.75" customHeight="1" thickBot="1" x14ac:dyDescent="0.25"/>
    <row r="23" spans="1:12" ht="15.75" thickTop="1" x14ac:dyDescent="0.25">
      <c r="A23" s="65" t="s">
        <v>121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2"/>
      <c r="K24" s="130"/>
      <c r="L24" s="110"/>
    </row>
    <row r="25" spans="1:12" x14ac:dyDescent="0.2">
      <c r="A25" s="75" t="s">
        <v>40</v>
      </c>
      <c r="B25" s="130">
        <f>'[3]Shuttle America'!$ET$47</f>
        <v>0</v>
      </c>
      <c r="C25" s="130">
        <f>'[3]Shuttle America_Delta'!$ET$47</f>
        <v>141</v>
      </c>
      <c r="D25" s="130">
        <f>[3]PSA!$ET$47</f>
        <v>0</v>
      </c>
      <c r="E25" s="130">
        <f>[3]Compass!$ET$47</f>
        <v>0</v>
      </c>
      <c r="F25" s="131">
        <f>'[3]Atlantic Southeast'!$ET$47</f>
        <v>0</v>
      </c>
      <c r="G25" s="131">
        <f>'[3]Continental Express'!$ET$47</f>
        <v>0</v>
      </c>
      <c r="H25" s="130">
        <f>'[3]Go Jet_UA'!$ET$47</f>
        <v>0</v>
      </c>
      <c r="I25" s="130">
        <f>'[3]Go Jet'!$ET$47</f>
        <v>0</v>
      </c>
      <c r="J25" s="132">
        <f>'[3]Air Wisconsin'!$ET$47</f>
        <v>0</v>
      </c>
      <c r="K25" s="130">
        <f>[3]MESA!$ET$47</f>
        <v>0</v>
      </c>
      <c r="L25" s="110">
        <f>SUM(B25:K25)</f>
        <v>141</v>
      </c>
    </row>
    <row r="26" spans="1:12" x14ac:dyDescent="0.2">
      <c r="A26" s="75" t="s">
        <v>41</v>
      </c>
      <c r="B26" s="130">
        <f>'[3]Shuttle America'!$ET$48</f>
        <v>0</v>
      </c>
      <c r="C26" s="130">
        <f>'[3]Shuttle America_Delta'!$ET$48</f>
        <v>0</v>
      </c>
      <c r="D26" s="130">
        <f>[3]PSA!$ET$48</f>
        <v>0</v>
      </c>
      <c r="E26" s="130">
        <f>[3]Compass!$ET$48</f>
        <v>0</v>
      </c>
      <c r="F26" s="131">
        <f>'[3]Atlantic Southeast'!$ET$48</f>
        <v>0</v>
      </c>
      <c r="G26" s="131">
        <f>'[3]Continental Express'!$ET$48</f>
        <v>0</v>
      </c>
      <c r="H26" s="130">
        <f>'[3]Go Jet_UA'!$ET$48</f>
        <v>0</v>
      </c>
      <c r="I26" s="130">
        <f>'[3]Go Jet'!$ET$48</f>
        <v>0</v>
      </c>
      <c r="J26" s="132">
        <f>'[3]Air Wisconsin'!$ET$48</f>
        <v>0</v>
      </c>
      <c r="K26" s="130">
        <f>[3]MESA!$ET$48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>SUM(B25:B26)</f>
        <v>0</v>
      </c>
      <c r="C27" s="133">
        <f>SUM(C25:C26)</f>
        <v>141</v>
      </c>
      <c r="D27" s="133">
        <f t="shared" ref="D27:K27" si="10">SUM(D25:D26)</f>
        <v>0</v>
      </c>
      <c r="E27" s="133">
        <f>SUM(E25:E26)</f>
        <v>0</v>
      </c>
      <c r="F27" s="133">
        <f t="shared" si="10"/>
        <v>0</v>
      </c>
      <c r="G27" s="133">
        <f t="shared" si="10"/>
        <v>0</v>
      </c>
      <c r="H27" s="133">
        <f t="shared" si="10"/>
        <v>0</v>
      </c>
      <c r="I27" s="133">
        <f t="shared" ref="I27" si="11">SUM(I25:I26)</f>
        <v>0</v>
      </c>
      <c r="J27" s="133">
        <f t="shared" si="10"/>
        <v>0</v>
      </c>
      <c r="K27" s="133">
        <f t="shared" si="10"/>
        <v>0</v>
      </c>
      <c r="L27" s="134">
        <f>SUM(B27:K27)</f>
        <v>141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63</v>
      </c>
      <c r="B30" s="130">
        <f>'[3]Shuttle America'!$ET$52</f>
        <v>0</v>
      </c>
      <c r="C30" s="130">
        <f>'[3]Shuttle America_Delta'!$ET$52</f>
        <v>0</v>
      </c>
      <c r="D30" s="130">
        <f>[3]PSA!$ET$52</f>
        <v>0</v>
      </c>
      <c r="E30" s="130">
        <f>[3]Compass!$ET$52</f>
        <v>0</v>
      </c>
      <c r="F30" s="131">
        <f>'[3]Atlantic Southeast'!$ET$52</f>
        <v>0</v>
      </c>
      <c r="G30" s="131">
        <f>'[3]Continental Express'!$ET$52</f>
        <v>0</v>
      </c>
      <c r="H30" s="130">
        <f>'[3]Go Jet_UA'!$ET$52</f>
        <v>0</v>
      </c>
      <c r="I30" s="130">
        <f>'[3]Go Jet'!$ET$52</f>
        <v>0</v>
      </c>
      <c r="J30" s="132">
        <f>'[3]Air Wisconsin'!BH$52</f>
        <v>0</v>
      </c>
      <c r="K30" s="130">
        <f>[3]MESA!$ET$52</f>
        <v>0</v>
      </c>
      <c r="L30" s="110">
        <f>SUM(B30:K30)</f>
        <v>0</v>
      </c>
    </row>
    <row r="31" spans="1:12" x14ac:dyDescent="0.2">
      <c r="A31" s="75" t="s">
        <v>64</v>
      </c>
      <c r="B31" s="130">
        <f>'[3]Shuttle America'!$ET$53</f>
        <v>0</v>
      </c>
      <c r="C31" s="130">
        <f>'[3]Shuttle America_Delta'!$ET$53</f>
        <v>0</v>
      </c>
      <c r="D31" s="130">
        <f>[3]PSA!$ET$53</f>
        <v>0</v>
      </c>
      <c r="E31" s="130">
        <f>[3]Compass!$ET$53</f>
        <v>0</v>
      </c>
      <c r="F31" s="131">
        <f>'[3]Atlantic Southeast'!$ET$53</f>
        <v>0</v>
      </c>
      <c r="G31" s="131">
        <f>'[3]Continental Express'!$ET$53</f>
        <v>0</v>
      </c>
      <c r="H31" s="130">
        <f>'[3]Go Jet_UA'!$ET$53</f>
        <v>0</v>
      </c>
      <c r="I31" s="130">
        <f>'[3]Go Jet'!$ET$53</f>
        <v>0</v>
      </c>
      <c r="J31" s="132">
        <f>'[3]Air Wisconsin'!$ET$53</f>
        <v>0</v>
      </c>
      <c r="K31" s="130">
        <f>[3]MESA!$ET$53</f>
        <v>0</v>
      </c>
      <c r="L31" s="110">
        <f>SUM(B31:K31)</f>
        <v>0</v>
      </c>
    </row>
    <row r="32" spans="1:12" ht="15" thickBot="1" x14ac:dyDescent="0.25">
      <c r="A32" s="73" t="s">
        <v>44</v>
      </c>
      <c r="B32" s="133">
        <f t="shared" ref="B32:K32" si="12">SUM(B30:B31)</f>
        <v>0</v>
      </c>
      <c r="C32" s="133">
        <f t="shared" si="12"/>
        <v>0</v>
      </c>
      <c r="D32" s="133">
        <f t="shared" si="12"/>
        <v>0</v>
      </c>
      <c r="E32" s="133">
        <f t="shared" si="12"/>
        <v>0</v>
      </c>
      <c r="F32" s="133">
        <f t="shared" si="12"/>
        <v>0</v>
      </c>
      <c r="G32" s="133">
        <f t="shared" si="12"/>
        <v>0</v>
      </c>
      <c r="H32" s="133">
        <f t="shared" si="12"/>
        <v>0</v>
      </c>
      <c r="I32" s="133">
        <f t="shared" ref="I32" si="13">SUM(I30:I31)</f>
        <v>0</v>
      </c>
      <c r="J32" s="133">
        <f t="shared" si="12"/>
        <v>0</v>
      </c>
      <c r="K32" s="133">
        <f t="shared" si="12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40</v>
      </c>
      <c r="B35" s="130">
        <f>'[3]Shuttle America'!$ET$57</f>
        <v>0</v>
      </c>
      <c r="C35" s="130">
        <f>'[3]Shuttle America_Delta'!$ET$57</f>
        <v>0</v>
      </c>
      <c r="D35" s="130">
        <f>[3]PSA!$ET$57</f>
        <v>0</v>
      </c>
      <c r="E35" s="130">
        <f>[3]Compass!$ET$57</f>
        <v>0</v>
      </c>
      <c r="F35" s="131">
        <f>'[3]Atlantic Southeast'!$ET$57</f>
        <v>0</v>
      </c>
      <c r="G35" s="131">
        <f>'[3]Continental Express'!$ET$57</f>
        <v>0</v>
      </c>
      <c r="H35" s="130">
        <f>'[3]Go Jet_UA'!$AJ$57</f>
        <v>0</v>
      </c>
      <c r="I35" s="130">
        <f>'[3]Go Jet'!$AJ$57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K37" si="14">SUM(D35:D36)</f>
        <v>0</v>
      </c>
      <c r="E37" s="141">
        <f>SUM(E35:E36)</f>
        <v>0</v>
      </c>
      <c r="F37" s="142">
        <f t="shared" si="14"/>
        <v>0</v>
      </c>
      <c r="G37" s="142">
        <f t="shared" si="14"/>
        <v>0</v>
      </c>
      <c r="H37" s="141">
        <f t="shared" si="14"/>
        <v>0</v>
      </c>
      <c r="I37" s="141">
        <f t="shared" ref="I37" si="15">SUM(I35:I36)</f>
        <v>0</v>
      </c>
      <c r="J37" s="141">
        <f t="shared" si="14"/>
        <v>0</v>
      </c>
      <c r="K37" s="141">
        <f t="shared" si="14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48</v>
      </c>
      <c r="B40" s="130">
        <f t="shared" ref="B40:K40" si="16">SUM(B35,B30,B25)</f>
        <v>0</v>
      </c>
      <c r="C40" s="130">
        <f>SUM(C35,C30,C25)</f>
        <v>141</v>
      </c>
      <c r="D40" s="130">
        <f t="shared" si="16"/>
        <v>0</v>
      </c>
      <c r="E40" s="130">
        <f t="shared" si="16"/>
        <v>0</v>
      </c>
      <c r="F40" s="130">
        <f t="shared" si="16"/>
        <v>0</v>
      </c>
      <c r="G40" s="130">
        <f t="shared" si="16"/>
        <v>0</v>
      </c>
      <c r="H40" s="130">
        <f>SUM(H35,H30,H25)</f>
        <v>0</v>
      </c>
      <c r="I40" s="130">
        <f>SUM(I35,I30,I25)</f>
        <v>0</v>
      </c>
      <c r="J40" s="130">
        <f t="shared" si="16"/>
        <v>0</v>
      </c>
      <c r="K40" s="130">
        <f t="shared" si="16"/>
        <v>0</v>
      </c>
      <c r="L40" s="110">
        <f>SUM(B40:K40)</f>
        <v>141</v>
      </c>
    </row>
    <row r="41" spans="1:12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K41" si="17">SUM(D36,D31,D26)</f>
        <v>0</v>
      </c>
      <c r="E41" s="130">
        <f t="shared" si="17"/>
        <v>0</v>
      </c>
      <c r="F41" s="130">
        <f t="shared" si="17"/>
        <v>0</v>
      </c>
      <c r="G41" s="130">
        <f t="shared" si="17"/>
        <v>0</v>
      </c>
      <c r="H41" s="130">
        <f>SUM(H36,H31,H26)</f>
        <v>0</v>
      </c>
      <c r="I41" s="130">
        <f>SUM(I36,I31,I26)</f>
        <v>0</v>
      </c>
      <c r="J41" s="130">
        <f t="shared" si="17"/>
        <v>0</v>
      </c>
      <c r="K41" s="130">
        <f t="shared" si="17"/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>SUM(B40:B41)</f>
        <v>0</v>
      </c>
      <c r="C42" s="136">
        <f>SUM(C40:C41)</f>
        <v>141</v>
      </c>
      <c r="D42" s="136">
        <f t="shared" ref="D42:K42" si="18">SUM(D40:D41)</f>
        <v>0</v>
      </c>
      <c r="E42" s="136">
        <f t="shared" si="18"/>
        <v>0</v>
      </c>
      <c r="F42" s="136">
        <f t="shared" si="18"/>
        <v>0</v>
      </c>
      <c r="G42" s="136">
        <f t="shared" si="18"/>
        <v>0</v>
      </c>
      <c r="H42" s="136">
        <f t="shared" si="18"/>
        <v>0</v>
      </c>
      <c r="I42" s="136">
        <f t="shared" ref="I42" si="19">SUM(I40:I41)</f>
        <v>0</v>
      </c>
      <c r="J42" s="136">
        <f t="shared" si="18"/>
        <v>0</v>
      </c>
      <c r="K42" s="136">
        <f t="shared" si="18"/>
        <v>0</v>
      </c>
      <c r="L42" s="137">
        <f>SUM(B42:K42)</f>
        <v>141</v>
      </c>
    </row>
    <row r="43" spans="1:12" ht="4.5" customHeight="1" x14ac:dyDescent="0.2"/>
    <row r="44" spans="1:12" hidden="1" x14ac:dyDescent="0.2">
      <c r="A44" s="327" t="s">
        <v>131</v>
      </c>
      <c r="E44" s="326">
        <f>[3]Compass!BG$70+[3]Compass!BG$73</f>
        <v>27782</v>
      </c>
      <c r="F44" s="312"/>
      <c r="L44" s="314">
        <f>SUM(E44:E44)</f>
        <v>27782</v>
      </c>
    </row>
    <row r="45" spans="1:12" hidden="1" x14ac:dyDescent="0.2">
      <c r="A45" s="327" t="s">
        <v>132</v>
      </c>
      <c r="E45" s="326">
        <f>[3]Compass!BG$71+[3]Compass!BG$74</f>
        <v>47176</v>
      </c>
      <c r="F45" s="330"/>
      <c r="L45" s="314">
        <f>SUM(E45:E45)</f>
        <v>47176</v>
      </c>
    </row>
    <row r="46" spans="1:12" x14ac:dyDescent="0.2">
      <c r="A46" s="385" t="s">
        <v>128</v>
      </c>
      <c r="C46" s="326">
        <f>'[3]Shuttle America_Delta'!$ET$70+'[3]Shuttle America_Delta'!$ET$73</f>
        <v>2814</v>
      </c>
      <c r="E46" s="326">
        <f>[3]Compass!$ET$70+[3]Compass!$ET$73</f>
        <v>16805</v>
      </c>
      <c r="F46" s="326">
        <f>'[3]Atlantic Southeast'!$ET$70+'[3]Atlantic Southeast'!$ET$73</f>
        <v>7746</v>
      </c>
      <c r="H46" s="326">
        <f>'[3]Go Jet'!$ET$70+'[3]Go Jet'!$ET$73</f>
        <v>1979</v>
      </c>
      <c r="I46" s="5"/>
      <c r="L46" s="399">
        <f>SUM(B46:K46)</f>
        <v>29344</v>
      </c>
    </row>
    <row r="47" spans="1:12" x14ac:dyDescent="0.2">
      <c r="A47" s="400" t="s">
        <v>129</v>
      </c>
      <c r="C47" s="326">
        <f>'[3]Shuttle America_Delta'!$ET$71+'[3]Shuttle America_Delta'!$ET$74</f>
        <v>2358</v>
      </c>
      <c r="E47" s="326">
        <f>[3]Compass!$ET$71+[3]Compass!$ET$74</f>
        <v>26505</v>
      </c>
      <c r="F47" s="326">
        <f>'[3]Atlantic Southeast'!$ET$71+'[3]Atlantic Southeast'!$ET$74</f>
        <v>11572</v>
      </c>
      <c r="H47" s="326">
        <f>'[3]Go Jet'!$ET$71+'[3]Go Jet'!$ET$74</f>
        <v>1826</v>
      </c>
      <c r="I47" s="5"/>
      <c r="L47" s="399">
        <f>SUM(B47:K47)</f>
        <v>42261</v>
      </c>
    </row>
  </sheetData>
  <phoneticPr fontId="6" type="noConversion"/>
  <printOptions horizontalCentered="1"/>
  <pageMargins left="0.75" right="0.75" top="0.92" bottom="1" header="0.28416666666666668" footer="0.5"/>
  <pageSetup scale="88" orientation="landscape" r:id="rId1"/>
  <headerFooter alignWithMargins="0">
    <oddHeader>&amp;L
Schedule 5
&amp;CMinneapolis-St. Paul International Airport
&amp;"Arial,Bold"Other Regional
September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B12" sqref="B1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9">
        <v>42614</v>
      </c>
      <c r="B2" s="180" t="s">
        <v>123</v>
      </c>
      <c r="C2" s="180" t="s">
        <v>163</v>
      </c>
      <c r="D2" s="102" t="s">
        <v>82</v>
      </c>
      <c r="E2" s="102" t="s">
        <v>164</v>
      </c>
      <c r="F2" s="180" t="s">
        <v>137</v>
      </c>
      <c r="G2" s="174" t="s">
        <v>83</v>
      </c>
    </row>
    <row r="3" spans="1:17" x14ac:dyDescent="0.2">
      <c r="A3" s="283" t="s">
        <v>3</v>
      </c>
      <c r="B3" s="186"/>
      <c r="C3" s="185"/>
      <c r="D3" s="185"/>
      <c r="E3" s="185"/>
      <c r="F3" s="185"/>
      <c r="G3" s="274"/>
    </row>
    <row r="4" spans="1:17" x14ac:dyDescent="0.2">
      <c r="A4" s="62" t="s">
        <v>32</v>
      </c>
      <c r="B4" s="429"/>
      <c r="C4" s="184"/>
      <c r="D4" s="184"/>
      <c r="E4" s="184"/>
      <c r="F4" s="184"/>
      <c r="G4" s="254"/>
    </row>
    <row r="5" spans="1:17" x14ac:dyDescent="0.2">
      <c r="A5" s="62" t="s">
        <v>33</v>
      </c>
      <c r="B5" s="429">
        <f>'[3]Charter Misc'!$ET$22</f>
        <v>495</v>
      </c>
      <c r="C5" s="184">
        <f>[3]Ryan!$ET$22</f>
        <v>0</v>
      </c>
      <c r="D5" s="184">
        <f>'[3]Charter Misc'!$ET$32</f>
        <v>0</v>
      </c>
      <c r="E5" s="184">
        <f>[3]Omni!$ET$32</f>
        <v>0</v>
      </c>
      <c r="F5" s="184">
        <f>[3]Xtra!$ET$32+[3]Xtra!$ET$22</f>
        <v>0</v>
      </c>
      <c r="G5" s="345">
        <f>SUM(B5:F5)</f>
        <v>495</v>
      </c>
    </row>
    <row r="6" spans="1:17" x14ac:dyDescent="0.2">
      <c r="A6" s="62" t="s">
        <v>34</v>
      </c>
      <c r="B6" s="430">
        <f>'[3]Charter Misc'!$ET$23</f>
        <v>499</v>
      </c>
      <c r="C6" s="187">
        <f>[3]Ryan!$ET$23</f>
        <v>0</v>
      </c>
      <c r="D6" s="187">
        <f>'[3]Charter Misc'!$ET$33</f>
        <v>0</v>
      </c>
      <c r="E6" s="187">
        <f>[3]Omni!$ET$33</f>
        <v>0</v>
      </c>
      <c r="F6" s="187">
        <f>[3]Xtra!$ET$33+[3]Xtra!$ET$23</f>
        <v>0</v>
      </c>
      <c r="G6" s="344">
        <f>SUM(B6:F6)</f>
        <v>499</v>
      </c>
    </row>
    <row r="7" spans="1:17" ht="15.75" thickBot="1" x14ac:dyDescent="0.3">
      <c r="A7" s="183" t="s">
        <v>7</v>
      </c>
      <c r="B7" s="431">
        <f>SUM(B5:B6)</f>
        <v>994</v>
      </c>
      <c r="C7" s="302">
        <f>SUM(C5:C6)</f>
        <v>0</v>
      </c>
      <c r="D7" s="302">
        <f>SUM(D5:D6)</f>
        <v>0</v>
      </c>
      <c r="E7" s="302">
        <f>SUM(E5:E6)</f>
        <v>0</v>
      </c>
      <c r="F7" s="302">
        <f>SUM(F5:F6)</f>
        <v>0</v>
      </c>
      <c r="G7" s="303">
        <f>SUM(B7:F7)</f>
        <v>994</v>
      </c>
    </row>
    <row r="8" spans="1:17" ht="13.5" thickBot="1" x14ac:dyDescent="0.25"/>
    <row r="9" spans="1:17" x14ac:dyDescent="0.2">
      <c r="A9" s="181" t="s">
        <v>9</v>
      </c>
      <c r="B9" s="432"/>
      <c r="C9" s="45"/>
      <c r="D9" s="45"/>
      <c r="E9" s="45"/>
      <c r="F9" s="45"/>
      <c r="G9" s="57"/>
    </row>
    <row r="10" spans="1:17" x14ac:dyDescent="0.2">
      <c r="A10" s="182" t="s">
        <v>84</v>
      </c>
      <c r="B10" s="429">
        <f>'[3]Charter Misc'!$ET$4+'[3]Charter Misc'!$ET$8</f>
        <v>5</v>
      </c>
      <c r="C10" s="184">
        <f>[3]Ryan!$ET$4</f>
        <v>0</v>
      </c>
      <c r="D10" s="184">
        <f>'[3]Charter Misc'!$ET$15</f>
        <v>1</v>
      </c>
      <c r="E10" s="184">
        <f>[3]Omni!$ET$15</f>
        <v>0</v>
      </c>
      <c r="F10" s="184">
        <f>[3]Xtra!$ET$15+[3]Xtra!$ET$4</f>
        <v>0</v>
      </c>
      <c r="G10" s="344">
        <f>SUM(B10:F10)</f>
        <v>6</v>
      </c>
    </row>
    <row r="11" spans="1:17" x14ac:dyDescent="0.2">
      <c r="A11" s="182" t="s">
        <v>85</v>
      </c>
      <c r="B11" s="429">
        <f>'[3]Charter Misc'!$ET$5+'[3]Charter Misc'!$ET$9</f>
        <v>6</v>
      </c>
      <c r="C11" s="184">
        <f>[3]Ryan!$ET$5</f>
        <v>0</v>
      </c>
      <c r="D11" s="184">
        <f>'[3]Charter Misc'!$ET$16</f>
        <v>0</v>
      </c>
      <c r="E11" s="184">
        <f>[3]Omni!$ET$16</f>
        <v>0</v>
      </c>
      <c r="F11" s="184">
        <f>[3]Xtra!$ET$16+[3]Xtra!$ET$5</f>
        <v>0</v>
      </c>
      <c r="G11" s="344">
        <f>SUM(B11:F11)</f>
        <v>6</v>
      </c>
    </row>
    <row r="12" spans="1:17" ht="15.75" thickBot="1" x14ac:dyDescent="0.3">
      <c r="A12" s="282" t="s">
        <v>31</v>
      </c>
      <c r="B12" s="433">
        <f>SUM(B10:B11)</f>
        <v>11</v>
      </c>
      <c r="C12" s="304">
        <f>SUM(C10:C11)</f>
        <v>0</v>
      </c>
      <c r="D12" s="304">
        <f>SUM(D10:D11)</f>
        <v>1</v>
      </c>
      <c r="E12" s="304">
        <f>SUM(E10:E11)</f>
        <v>0</v>
      </c>
      <c r="F12" s="304">
        <f>SUM(F10:F11)</f>
        <v>0</v>
      </c>
      <c r="G12" s="305">
        <f>SUM(B12:F12)</f>
        <v>12</v>
      </c>
      <c r="Q12" s="130"/>
    </row>
    <row r="17" spans="1:16" x14ac:dyDescent="0.2">
      <c r="B17" s="486" t="s">
        <v>161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8"/>
    </row>
    <row r="18" spans="1:16" ht="13.5" thickBot="1" x14ac:dyDescent="0.25">
      <c r="A18" s="321"/>
      <c r="E18" s="226"/>
      <c r="G18" s="226"/>
      <c r="H18" s="226"/>
      <c r="L18" s="233"/>
      <c r="N18" s="234"/>
    </row>
    <row r="19" spans="1:16" ht="13.5" customHeight="1" thickBot="1" x14ac:dyDescent="0.25">
      <c r="A19" s="414"/>
      <c r="B19" s="489" t="s">
        <v>125</v>
      </c>
      <c r="C19" s="490"/>
      <c r="D19" s="490"/>
      <c r="E19" s="491"/>
      <c r="G19" s="489" t="s">
        <v>126</v>
      </c>
      <c r="H19" s="492"/>
      <c r="I19" s="492"/>
      <c r="J19" s="493"/>
      <c r="L19" s="494" t="s">
        <v>127</v>
      </c>
      <c r="M19" s="495"/>
      <c r="N19" s="495"/>
      <c r="O19" s="496"/>
    </row>
    <row r="20" spans="1:16" ht="13.5" thickBot="1" x14ac:dyDescent="0.25">
      <c r="A20" s="237" t="s">
        <v>106</v>
      </c>
      <c r="B20" s="242" t="s">
        <v>107</v>
      </c>
      <c r="C20" s="8" t="s">
        <v>108</v>
      </c>
      <c r="D20" s="8" t="s">
        <v>189</v>
      </c>
      <c r="E20" s="8" t="s">
        <v>180</v>
      </c>
      <c r="F20" s="243" t="s">
        <v>103</v>
      </c>
      <c r="G20" s="8" t="s">
        <v>107</v>
      </c>
      <c r="H20" s="8" t="s">
        <v>108</v>
      </c>
      <c r="I20" s="441" t="s">
        <v>189</v>
      </c>
      <c r="J20" s="441" t="s">
        <v>180</v>
      </c>
      <c r="K20" s="243" t="s">
        <v>103</v>
      </c>
      <c r="L20" s="242" t="s">
        <v>107</v>
      </c>
      <c r="M20" s="236" t="s">
        <v>108</v>
      </c>
      <c r="N20" s="441" t="s">
        <v>189</v>
      </c>
      <c r="O20" s="441" t="s">
        <v>180</v>
      </c>
      <c r="P20" s="243" t="s">
        <v>103</v>
      </c>
    </row>
    <row r="21" spans="1:16" ht="14.1" customHeight="1" x14ac:dyDescent="0.2">
      <c r="A21" s="246" t="s">
        <v>109</v>
      </c>
      <c r="B21" s="473">
        <f>+[4]Charter!$B$21</f>
        <v>135014</v>
      </c>
      <c r="C21" s="474">
        <f>+[4]Charter!$C$21</f>
        <v>133261</v>
      </c>
      <c r="D21" s="474">
        <f t="shared" ref="D21:D32" si="0">SUM(B21:C21)</f>
        <v>268275</v>
      </c>
      <c r="E21" s="475">
        <f>[5]Charter!$D$21</f>
        <v>236565</v>
      </c>
      <c r="F21" s="343">
        <f t="shared" ref="F21:F32" si="1">(D21-E21)/E21</f>
        <v>0.13404349755881048</v>
      </c>
      <c r="G21" s="473">
        <f t="shared" ref="G21:H22" si="2">L21-B21</f>
        <v>1203116</v>
      </c>
      <c r="H21" s="474">
        <f t="shared" si="2"/>
        <v>1225993</v>
      </c>
      <c r="I21" s="340">
        <f t="shared" ref="I21:I25" si="3">SUM(G21:H21)</f>
        <v>2429109</v>
      </c>
      <c r="J21" s="475">
        <f>[5]Charter!$I$21</f>
        <v>2357435</v>
      </c>
      <c r="K21" s="247">
        <f t="shared" ref="K21:K32" si="4">(I21-J21)/J21</f>
        <v>3.0403383338246867E-2</v>
      </c>
      <c r="L21" s="473">
        <f>+[4]Charter!$L$21</f>
        <v>1338130</v>
      </c>
      <c r="M21" s="474">
        <f>+[4]Charter!$M$21</f>
        <v>1359254</v>
      </c>
      <c r="N21" s="474">
        <f t="shared" ref="N21:N32" si="5">SUM(L21:M21)</f>
        <v>2697384</v>
      </c>
      <c r="O21" s="475">
        <f>[5]Charter!$N$21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110</v>
      </c>
      <c r="B22" s="336">
        <f>+[6]Charter!$B$22</f>
        <v>140758</v>
      </c>
      <c r="C22" s="338">
        <f>+[6]Charter!$C$22</f>
        <v>141113</v>
      </c>
      <c r="D22" s="337">
        <f t="shared" ref="D22" si="6">SUM(B22:C22)</f>
        <v>281871</v>
      </c>
      <c r="E22" s="342">
        <f>[7]Charter!$D$22</f>
        <v>251730</v>
      </c>
      <c r="F22" s="339">
        <f t="shared" si="1"/>
        <v>0.11973543081873436</v>
      </c>
      <c r="G22" s="336">
        <f t="shared" si="2"/>
        <v>1175038</v>
      </c>
      <c r="H22" s="338">
        <f t="shared" si="2"/>
        <v>1184918</v>
      </c>
      <c r="I22" s="337">
        <f t="shared" si="3"/>
        <v>2359956</v>
      </c>
      <c r="J22" s="342">
        <f>[7]Charter!$I$22</f>
        <v>2278585</v>
      </c>
      <c r="K22" s="250">
        <f t="shared" si="4"/>
        <v>3.5711197958382068E-2</v>
      </c>
      <c r="L22" s="336">
        <f>+[6]Charter!$L$22</f>
        <v>1315796</v>
      </c>
      <c r="M22" s="338">
        <f>+[6]Charter!$M$22</f>
        <v>1326031</v>
      </c>
      <c r="N22" s="337">
        <f t="shared" ref="N22" si="7">SUM(L22:M22)</f>
        <v>2641827</v>
      </c>
      <c r="O22" s="342">
        <f>[7]Charter!$N$22</f>
        <v>2530315</v>
      </c>
      <c r="P22" s="249">
        <f t="shared" ref="P22:P32" si="8">(N22-O22)/O22</f>
        <v>4.407040230168971E-2</v>
      </c>
    </row>
    <row r="23" spans="1:16" ht="14.1" customHeight="1" x14ac:dyDescent="0.2">
      <c r="A23" s="248" t="s">
        <v>111</v>
      </c>
      <c r="B23" s="336">
        <f>+[8]Charter!$B$23</f>
        <v>170911</v>
      </c>
      <c r="C23" s="338">
        <f>+[8]Charter!$C$23</f>
        <v>169553</v>
      </c>
      <c r="D23" s="337">
        <f t="shared" ref="D23" si="9">SUM(B23:C23)</f>
        <v>340464</v>
      </c>
      <c r="E23" s="342">
        <f>[9]Charter!$D$23</f>
        <v>312232</v>
      </c>
      <c r="F23" s="249">
        <f t="shared" si="1"/>
        <v>9.0419944144097972E-2</v>
      </c>
      <c r="G23" s="336">
        <f t="shared" ref="G23" si="10">L23-B23</f>
        <v>1482455</v>
      </c>
      <c r="H23" s="338">
        <f t="shared" ref="H23" si="11">M23-C23</f>
        <v>1493304</v>
      </c>
      <c r="I23" s="337">
        <f t="shared" si="3"/>
        <v>2975759</v>
      </c>
      <c r="J23" s="342">
        <f>[9]Charter!$I$23</f>
        <v>2912274</v>
      </c>
      <c r="K23" s="250">
        <f t="shared" si="4"/>
        <v>2.1799116429292022E-2</v>
      </c>
      <c r="L23" s="336">
        <f>+[8]Charter!$L$23</f>
        <v>1653366</v>
      </c>
      <c r="M23" s="338">
        <f>+[8]Charter!$M$23</f>
        <v>1662857</v>
      </c>
      <c r="N23" s="337">
        <f t="shared" ref="N23" si="12">SUM(L23:M23)</f>
        <v>3316223</v>
      </c>
      <c r="O23" s="342">
        <f>[9]Charter!$N$23</f>
        <v>3224506</v>
      </c>
      <c r="P23" s="249">
        <f t="shared" si="8"/>
        <v>2.8443736808056799E-2</v>
      </c>
    </row>
    <row r="24" spans="1:16" ht="14.1" customHeight="1" x14ac:dyDescent="0.2">
      <c r="A24" s="248" t="s">
        <v>112</v>
      </c>
      <c r="B24" s="336">
        <f>+[10]Charter!$B$24</f>
        <v>120288</v>
      </c>
      <c r="C24" s="338">
        <f>+[10]Charter!$C$24</f>
        <v>106367</v>
      </c>
      <c r="D24" s="337">
        <f t="shared" ref="D24" si="13">SUM(B24:C24)</f>
        <v>226655</v>
      </c>
      <c r="E24" s="342">
        <f>[11]Charter!$D$24</f>
        <v>205270</v>
      </c>
      <c r="F24" s="249">
        <f t="shared" si="1"/>
        <v>0.10417986067131095</v>
      </c>
      <c r="G24" s="336">
        <f t="shared" ref="G24" si="14">L24-B24</f>
        <v>1421061</v>
      </c>
      <c r="H24" s="338">
        <f t="shared" ref="H24" si="15">M24-C24</f>
        <v>1355226</v>
      </c>
      <c r="I24" s="337">
        <f t="shared" si="3"/>
        <v>2776287</v>
      </c>
      <c r="J24" s="342">
        <f>[11]Charter!$I$24</f>
        <v>2699423</v>
      </c>
      <c r="K24" s="250">
        <f t="shared" si="4"/>
        <v>2.8474233197242522E-2</v>
      </c>
      <c r="L24" s="336">
        <f>+[10]Charter!$L$24</f>
        <v>1541349</v>
      </c>
      <c r="M24" s="338">
        <f>+[10]Charter!$M$24</f>
        <v>1461593</v>
      </c>
      <c r="N24" s="337">
        <f t="shared" ref="N24" si="16">SUM(L24:M24)</f>
        <v>3002942</v>
      </c>
      <c r="O24" s="342">
        <f>[11]Charter!$N$24</f>
        <v>2904693</v>
      </c>
      <c r="P24" s="249">
        <f t="shared" si="8"/>
        <v>3.382422858456987E-2</v>
      </c>
    </row>
    <row r="25" spans="1:16" ht="14.1" customHeight="1" x14ac:dyDescent="0.2">
      <c r="A25" s="235" t="s">
        <v>80</v>
      </c>
      <c r="B25" s="336">
        <f>+[12]Charter!$B$25</f>
        <v>97442</v>
      </c>
      <c r="C25" s="338">
        <f>+[12]Charter!$C$25</f>
        <v>100703</v>
      </c>
      <c r="D25" s="337">
        <f t="shared" ref="D25" si="17">SUM(B25:C25)</f>
        <v>198145</v>
      </c>
      <c r="E25" s="342">
        <f>[13]Charter!$D$25</f>
        <v>198399</v>
      </c>
      <c r="F25" s="238">
        <f t="shared" si="1"/>
        <v>-1.2802483883487315E-3</v>
      </c>
      <c r="G25" s="336">
        <f t="shared" ref="G25" si="18">L25-B25</f>
        <v>1494297</v>
      </c>
      <c r="H25" s="338">
        <f t="shared" ref="H25" si="19">M25-C25</f>
        <v>1471824</v>
      </c>
      <c r="I25" s="337">
        <f t="shared" si="3"/>
        <v>2966121</v>
      </c>
      <c r="J25" s="342">
        <f>[13]Charter!$I$25</f>
        <v>2835494</v>
      </c>
      <c r="K25" s="244">
        <f t="shared" si="4"/>
        <v>4.6068515750694587E-2</v>
      </c>
      <c r="L25" s="336">
        <f>+[12]Charter!$L$25</f>
        <v>1591739</v>
      </c>
      <c r="M25" s="338">
        <f>+[12]Charter!$M$25</f>
        <v>1572527</v>
      </c>
      <c r="N25" s="337">
        <f t="shared" ref="N25" si="20">SUM(L25:M25)</f>
        <v>3164266</v>
      </c>
      <c r="O25" s="342">
        <f>[13]Charter!$N$25</f>
        <v>3033893</v>
      </c>
      <c r="P25" s="238">
        <f t="shared" si="8"/>
        <v>4.2972181286551635E-2</v>
      </c>
    </row>
    <row r="26" spans="1:16" ht="14.1" customHeight="1" x14ac:dyDescent="0.2">
      <c r="A26" s="248" t="s">
        <v>113</v>
      </c>
      <c r="B26" s="336">
        <f>+[14]Charter!$B$26</f>
        <v>120133</v>
      </c>
      <c r="C26" s="338">
        <f>+[14]Charter!$C$26</f>
        <v>124700</v>
      </c>
      <c r="D26" s="337">
        <f t="shared" ref="D26" si="21">SUM(B26:C26)</f>
        <v>244833</v>
      </c>
      <c r="E26" s="342">
        <f>[15]Charter!$D$26</f>
        <v>221901</v>
      </c>
      <c r="F26" s="249">
        <f t="shared" si="1"/>
        <v>0.10334338285992402</v>
      </c>
      <c r="G26" s="336">
        <f t="shared" ref="G26" si="22">L26-B26</f>
        <v>1610217</v>
      </c>
      <c r="H26" s="338">
        <f t="shared" ref="H26" si="23">M26-C26</f>
        <v>1601820</v>
      </c>
      <c r="I26" s="337">
        <f t="shared" ref="I26" si="24">SUM(G26:H26)</f>
        <v>3212037</v>
      </c>
      <c r="J26" s="342">
        <f>[15]Charter!$I$26</f>
        <v>3152360</v>
      </c>
      <c r="K26" s="250">
        <f t="shared" si="4"/>
        <v>1.8930896217437095E-2</v>
      </c>
      <c r="L26" s="336">
        <f>+[14]Charter!$L$26</f>
        <v>1730350</v>
      </c>
      <c r="M26" s="338">
        <f>+[14]Charter!$M$26</f>
        <v>1726520</v>
      </c>
      <c r="N26" s="337">
        <f t="shared" ref="N26" si="25">SUM(L26:M26)</f>
        <v>3456870</v>
      </c>
      <c r="O26" s="342">
        <f>[15]Charter!$N$26</f>
        <v>3374261</v>
      </c>
      <c r="P26" s="249">
        <f t="shared" si="8"/>
        <v>2.4482101414205953E-2</v>
      </c>
    </row>
    <row r="27" spans="1:16" ht="14.1" customHeight="1" x14ac:dyDescent="0.2">
      <c r="A27" s="235" t="s">
        <v>114</v>
      </c>
      <c r="B27" s="336">
        <f>+[16]Charter!$B$27</f>
        <v>142826</v>
      </c>
      <c r="C27" s="338">
        <f>+[16]Charter!$C$27</f>
        <v>132539</v>
      </c>
      <c r="D27" s="337">
        <f t="shared" ref="D27" si="26">SUM(B27:C27)</f>
        <v>275365</v>
      </c>
      <c r="E27" s="342">
        <f>[17]Charter!$D$27</f>
        <v>235974</v>
      </c>
      <c r="F27" s="238">
        <f t="shared" si="1"/>
        <v>0.16692940747709492</v>
      </c>
      <c r="G27" s="336">
        <f t="shared" ref="G27" si="27">L27-B27</f>
        <v>1680484</v>
      </c>
      <c r="H27" s="338">
        <f t="shared" ref="H27" si="28">M27-C27</f>
        <v>1691065</v>
      </c>
      <c r="I27" s="337">
        <f t="shared" ref="I27" si="29">SUM(G27:H27)</f>
        <v>3371549</v>
      </c>
      <c r="J27" s="342">
        <f>[17]Charter!$I$27</f>
        <v>3333064</v>
      </c>
      <c r="K27" s="244">
        <f>(I27-J27)/J27</f>
        <v>1.1546432951782504E-2</v>
      </c>
      <c r="L27" s="336">
        <f>+[16]Charter!$L$27</f>
        <v>1823310</v>
      </c>
      <c r="M27" s="338">
        <f>+[16]Charter!$M$27</f>
        <v>1823604</v>
      </c>
      <c r="N27" s="337">
        <f t="shared" ref="N27" si="30">SUM(L27:M27)</f>
        <v>3646914</v>
      </c>
      <c r="O27" s="342">
        <f>[17]Charter!$N$27</f>
        <v>3569038</v>
      </c>
      <c r="P27" s="238">
        <f t="shared" si="8"/>
        <v>2.1819885358463541E-2</v>
      </c>
    </row>
    <row r="28" spans="1:16" ht="14.1" customHeight="1" x14ac:dyDescent="0.2">
      <c r="A28" s="248" t="s">
        <v>115</v>
      </c>
      <c r="B28" s="336">
        <f>+[2]Charter!$B$28</f>
        <v>131232</v>
      </c>
      <c r="C28" s="338">
        <f>+[2]Charter!$C$28</f>
        <v>123377</v>
      </c>
      <c r="D28" s="337">
        <f t="shared" ref="D28" si="31">SUM(B28:C28)</f>
        <v>254609</v>
      </c>
      <c r="E28" s="342">
        <f>[18]Charter!$D$28</f>
        <v>237011</v>
      </c>
      <c r="F28" s="249">
        <f t="shared" si="1"/>
        <v>7.4249718367501924E-2</v>
      </c>
      <c r="G28" s="336">
        <f t="shared" ref="G28" si="32">L28-B28</f>
        <v>1645548</v>
      </c>
      <c r="H28" s="338">
        <f t="shared" ref="H28" si="33">M28-C28</f>
        <v>1645399</v>
      </c>
      <c r="I28" s="337">
        <f t="shared" ref="I28" si="34">SUM(G28:H28)</f>
        <v>3290947</v>
      </c>
      <c r="J28" s="342">
        <f>[18]Charter!$I$28</f>
        <v>3290700</v>
      </c>
      <c r="K28" s="250">
        <f t="shared" si="4"/>
        <v>7.5060017625429236E-5</v>
      </c>
      <c r="L28" s="336">
        <f>+[2]Charter!$L$28</f>
        <v>1776780</v>
      </c>
      <c r="M28" s="338">
        <f>+[2]Charter!$M$28</f>
        <v>1768776</v>
      </c>
      <c r="N28" s="337">
        <f t="shared" ref="N28" si="35">SUM(L28:M28)</f>
        <v>3545556</v>
      </c>
      <c r="O28" s="342">
        <f>[18]Charter!$N$28</f>
        <v>3527711</v>
      </c>
      <c r="P28" s="249">
        <f t="shared" si="8"/>
        <v>5.0585209502705866E-3</v>
      </c>
    </row>
    <row r="29" spans="1:16" ht="14.1" customHeight="1" x14ac:dyDescent="0.2">
      <c r="A29" s="235" t="s">
        <v>116</v>
      </c>
      <c r="B29" s="336">
        <f>'Intl Detail'!$N$4+'Intl Detail'!$N$9</f>
        <v>105404</v>
      </c>
      <c r="C29" s="338">
        <f>'Intl Detail'!$N$5+'Intl Detail'!$N$10</f>
        <v>101785</v>
      </c>
      <c r="D29" s="337">
        <f t="shared" ref="D29" si="36">SUM(B29:C29)</f>
        <v>207189</v>
      </c>
      <c r="E29" s="342">
        <f>[1]Charter!$D$29</f>
        <v>200482</v>
      </c>
      <c r="F29" s="238">
        <f t="shared" si="1"/>
        <v>3.3454374956355185E-2</v>
      </c>
      <c r="G29" s="336">
        <f t="shared" ref="G29" si="37">L29-B29</f>
        <v>1437447</v>
      </c>
      <c r="H29" s="338">
        <f t="shared" ref="H29" si="38">M29-C29</f>
        <v>1434314</v>
      </c>
      <c r="I29" s="337">
        <f t="shared" ref="I29" si="39">SUM(G29:H29)</f>
        <v>2871761</v>
      </c>
      <c r="J29" s="342">
        <f>[1]Charter!$I$29</f>
        <v>2806358</v>
      </c>
      <c r="K29" s="244">
        <f t="shared" si="4"/>
        <v>2.3305294620287218E-2</v>
      </c>
      <c r="L29" s="336">
        <f>'Monthly Summary'!$B$11</f>
        <v>1542851</v>
      </c>
      <c r="M29" s="338">
        <f>'Monthly Summary'!$C$11</f>
        <v>1536099</v>
      </c>
      <c r="N29" s="337">
        <f t="shared" ref="N29" si="40">SUM(L29:M29)</f>
        <v>3078950</v>
      </c>
      <c r="O29" s="342">
        <f>[1]Charter!$N$29</f>
        <v>3006840</v>
      </c>
      <c r="P29" s="238">
        <f t="shared" si="8"/>
        <v>2.3981987734631706E-2</v>
      </c>
    </row>
    <row r="30" spans="1:16" ht="14.1" customHeight="1" x14ac:dyDescent="0.2">
      <c r="A30" s="248" t="s">
        <v>117</v>
      </c>
      <c r="B30" s="336"/>
      <c r="C30" s="338"/>
      <c r="D30" s="337">
        <f>SUM(B30:C30)</f>
        <v>0</v>
      </c>
      <c r="E30" s="341"/>
      <c r="F30" s="249" t="e">
        <f t="shared" si="1"/>
        <v>#DIV/0!</v>
      </c>
      <c r="G30" s="336"/>
      <c r="H30" s="338"/>
      <c r="I30" s="337">
        <f>SUM(G30:H30)</f>
        <v>0</v>
      </c>
      <c r="J30" s="341"/>
      <c r="K30" s="250" t="e">
        <f t="shared" si="4"/>
        <v>#DIV/0!</v>
      </c>
      <c r="L30" s="336"/>
      <c r="M30" s="338"/>
      <c r="N30" s="337">
        <f>SUM(L30:M30)</f>
        <v>0</v>
      </c>
      <c r="O30" s="341"/>
      <c r="P30" s="249" t="e">
        <f t="shared" si="8"/>
        <v>#DIV/0!</v>
      </c>
    </row>
    <row r="31" spans="1:16" ht="14.1" customHeight="1" x14ac:dyDescent="0.2">
      <c r="A31" s="235" t="s">
        <v>118</v>
      </c>
      <c r="B31" s="336"/>
      <c r="C31" s="338"/>
      <c r="D31" s="337">
        <f>SUM(B31:C31)</f>
        <v>0</v>
      </c>
      <c r="E31" s="341"/>
      <c r="F31" s="238" t="e">
        <f t="shared" si="1"/>
        <v>#DIV/0!</v>
      </c>
      <c r="G31" s="336"/>
      <c r="H31" s="338"/>
      <c r="I31" s="337">
        <f t="shared" ref="I31:I32" si="41">SUM(G31:H31)</f>
        <v>0</v>
      </c>
      <c r="J31" s="341"/>
      <c r="K31" s="244" t="e">
        <f t="shared" si="4"/>
        <v>#DIV/0!</v>
      </c>
      <c r="L31" s="336"/>
      <c r="M31" s="338"/>
      <c r="N31" s="337">
        <f>SUM(L31:M31)</f>
        <v>0</v>
      </c>
      <c r="O31" s="341"/>
      <c r="P31" s="238" t="e">
        <f t="shared" si="8"/>
        <v>#DIV/0!</v>
      </c>
    </row>
    <row r="32" spans="1:16" ht="14.1" customHeight="1" x14ac:dyDescent="0.2">
      <c r="A32" s="251" t="s">
        <v>119</v>
      </c>
      <c r="B32" s="336"/>
      <c r="C32" s="338"/>
      <c r="D32" s="161">
        <f t="shared" si="0"/>
        <v>0</v>
      </c>
      <c r="E32" s="341"/>
      <c r="F32" s="252" t="e">
        <f t="shared" si="1"/>
        <v>#DIV/0!</v>
      </c>
      <c r="G32" s="253"/>
      <c r="H32" s="161"/>
      <c r="I32" s="161">
        <f t="shared" si="41"/>
        <v>0</v>
      </c>
      <c r="J32" s="341"/>
      <c r="K32" s="252" t="e">
        <f t="shared" si="4"/>
        <v>#DIV/0!</v>
      </c>
      <c r="L32" s="336"/>
      <c r="M32" s="338"/>
      <c r="N32" s="161">
        <f t="shared" si="5"/>
        <v>0</v>
      </c>
      <c r="O32" s="341"/>
      <c r="P32" s="252" t="e">
        <f t="shared" si="8"/>
        <v>#DIV/0!</v>
      </c>
    </row>
    <row r="33" spans="1:16" ht="13.5" thickBot="1" x14ac:dyDescent="0.25">
      <c r="A33" s="245" t="s">
        <v>81</v>
      </c>
      <c r="B33" s="255">
        <f>SUM(B21:B32)</f>
        <v>1164008</v>
      </c>
      <c r="C33" s="256">
        <f>SUM(C21:C32)</f>
        <v>1133398</v>
      </c>
      <c r="D33" s="256">
        <f>SUM(D21:D32)</f>
        <v>2297406</v>
      </c>
      <c r="E33" s="257">
        <f>SUM(E21:E32)</f>
        <v>2099564</v>
      </c>
      <c r="F33" s="240">
        <f>(D33-E33)/E33</f>
        <v>9.4230040141667512E-2</v>
      </c>
      <c r="G33" s="258">
        <f>SUM(G21:G32)</f>
        <v>13149663</v>
      </c>
      <c r="H33" s="256">
        <f>SUM(H21:H32)</f>
        <v>13103863</v>
      </c>
      <c r="I33" s="256">
        <f>SUM(I21:I32)</f>
        <v>26253526</v>
      </c>
      <c r="J33" s="259">
        <f>SUM(J21:J32)</f>
        <v>25665693</v>
      </c>
      <c r="K33" s="241">
        <f>(I33-J33)/J33</f>
        <v>2.2903453259571056E-2</v>
      </c>
      <c r="L33" s="258">
        <f>SUM(L21:L32)</f>
        <v>14313671</v>
      </c>
      <c r="M33" s="256">
        <f>SUM(M21:M32)</f>
        <v>14237261</v>
      </c>
      <c r="N33" s="256">
        <f>SUM(N21:N32)</f>
        <v>28550932</v>
      </c>
      <c r="O33" s="257">
        <f>SUM(O21:O32)</f>
        <v>27765257</v>
      </c>
      <c r="P33" s="239">
        <f>(N33-O33)/O33</f>
        <v>2.8297054840875416E-2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September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D6" sqref="D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00" t="s">
        <v>216</v>
      </c>
      <c r="C1" s="501"/>
      <c r="D1" s="502"/>
      <c r="E1" s="59"/>
      <c r="F1" s="500" t="s">
        <v>98</v>
      </c>
      <c r="G1" s="501"/>
      <c r="H1" s="501"/>
      <c r="I1" s="501"/>
      <c r="J1" s="501"/>
      <c r="K1" s="501"/>
      <c r="L1" s="502"/>
    </row>
    <row r="2" spans="1:20" s="191" customFormat="1" ht="30.75" customHeight="1" thickBot="1" x14ac:dyDescent="0.25">
      <c r="A2" s="389">
        <v>42614</v>
      </c>
      <c r="B2" s="458" t="s">
        <v>211</v>
      </c>
      <c r="C2" s="8" t="s">
        <v>86</v>
      </c>
      <c r="D2" s="8" t="s">
        <v>87</v>
      </c>
      <c r="E2" s="199"/>
      <c r="F2" s="180" t="s">
        <v>88</v>
      </c>
      <c r="G2" s="477" t="s">
        <v>215</v>
      </c>
      <c r="H2" s="180" t="s">
        <v>173</v>
      </c>
      <c r="I2" s="102" t="s">
        <v>89</v>
      </c>
      <c r="J2" s="8" t="s">
        <v>90</v>
      </c>
      <c r="K2" s="180" t="s">
        <v>91</v>
      </c>
      <c r="L2" s="180" t="s">
        <v>134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57</v>
      </c>
      <c r="B4" s="161">
        <f>[3]DHL!$ET$4</f>
        <v>20</v>
      </c>
      <c r="C4" s="161">
        <f>[3]FedEx!$ET$4+[3]FedEx!$ET$15</f>
        <v>97</v>
      </c>
      <c r="D4" s="161">
        <f>[3]UPS!$ET$4+[3]UPS!$ET$15</f>
        <v>113</v>
      </c>
      <c r="E4" s="192"/>
      <c r="F4" s="118">
        <f>[3]ATI_BAX!$ET$4</f>
        <v>0</v>
      </c>
      <c r="G4" s="118">
        <f>[3]IFL!$ET$4</f>
        <v>35</v>
      </c>
      <c r="H4" s="118">
        <f>'[3]Suburban Air Freight'!$ET$15</f>
        <v>18</v>
      </c>
      <c r="I4" s="118">
        <f>[3]Bemidji!$ET$4</f>
        <v>261</v>
      </c>
      <c r="J4" s="118">
        <f>'[3]CSA Air'!$ET$4</f>
        <v>22</v>
      </c>
      <c r="K4" s="118">
        <f>'[3]Mountain Cargo'!$ET$4</f>
        <v>21</v>
      </c>
      <c r="L4" s="118">
        <f>'[3]Misc Cargo'!$ET$4</f>
        <v>22</v>
      </c>
      <c r="M4" s="204">
        <f>SUM(B4:L4)</f>
        <v>609</v>
      </c>
    </row>
    <row r="5" spans="1:20" x14ac:dyDescent="0.2">
      <c r="A5" s="53" t="s">
        <v>58</v>
      </c>
      <c r="B5" s="198">
        <f>[3]DHL!$ET$5</f>
        <v>20</v>
      </c>
      <c r="C5" s="198">
        <f>[3]FedEx!$ET$5</f>
        <v>97</v>
      </c>
      <c r="D5" s="198">
        <f>[3]UPS!$ET$5+[3]UPS!$ET$16</f>
        <v>113</v>
      </c>
      <c r="E5" s="192"/>
      <c r="F5" s="120">
        <f>[3]ATI_BAX!$ET$5</f>
        <v>0</v>
      </c>
      <c r="G5" s="120">
        <f>[3]IFL!$ET$5</f>
        <v>35</v>
      </c>
      <c r="H5" s="120">
        <f>'[3]Suburban Air Freight'!$ET$16</f>
        <v>18</v>
      </c>
      <c r="I5" s="120">
        <f>[3]Bemidji!$ET$5</f>
        <v>261</v>
      </c>
      <c r="J5" s="120">
        <f>'[3]CSA Air'!$ET$5</f>
        <v>22</v>
      </c>
      <c r="K5" s="120">
        <f>'[3]Mountain Cargo'!$ET$5</f>
        <v>21</v>
      </c>
      <c r="L5" s="120">
        <f>'[3]Misc Cargo'!$ET$5</f>
        <v>22</v>
      </c>
      <c r="M5" s="208">
        <f>SUM(B5:L5)</f>
        <v>609</v>
      </c>
    </row>
    <row r="6" spans="1:20" s="189" customFormat="1" x14ac:dyDescent="0.2">
      <c r="A6" s="205" t="s">
        <v>59</v>
      </c>
      <c r="B6" s="206">
        <f>SUM(B4:B5)</f>
        <v>40</v>
      </c>
      <c r="C6" s="206">
        <f>SUM(C4:C5)</f>
        <v>194</v>
      </c>
      <c r="D6" s="206">
        <f>SUM(D4:D5)</f>
        <v>226</v>
      </c>
      <c r="E6" s="193"/>
      <c r="F6" s="188">
        <f t="shared" ref="F6:L6" si="0">SUM(F4:F5)</f>
        <v>0</v>
      </c>
      <c r="G6" s="188">
        <f t="shared" ref="G6" si="1">SUM(G4:G5)</f>
        <v>70</v>
      </c>
      <c r="H6" s="188">
        <f t="shared" si="0"/>
        <v>36</v>
      </c>
      <c r="I6" s="188">
        <f t="shared" si="0"/>
        <v>522</v>
      </c>
      <c r="J6" s="188">
        <f t="shared" si="0"/>
        <v>44</v>
      </c>
      <c r="K6" s="188">
        <f t="shared" si="0"/>
        <v>42</v>
      </c>
      <c r="L6" s="188">
        <f t="shared" si="0"/>
        <v>44</v>
      </c>
      <c r="M6" s="207">
        <f>SUM(B6:L6)</f>
        <v>1218</v>
      </c>
    </row>
    <row r="7" spans="1:20" x14ac:dyDescent="0.2">
      <c r="A7" s="53"/>
      <c r="B7" s="161"/>
      <c r="C7" s="161"/>
      <c r="D7" s="161"/>
      <c r="E7" s="192"/>
      <c r="F7" s="118"/>
      <c r="G7" s="118"/>
      <c r="H7" s="118"/>
      <c r="I7" s="118"/>
      <c r="J7" s="118"/>
      <c r="K7" s="118"/>
      <c r="L7" s="118"/>
      <c r="M7" s="204"/>
    </row>
    <row r="8" spans="1:20" x14ac:dyDescent="0.2">
      <c r="A8" s="53" t="s">
        <v>60</v>
      </c>
      <c r="B8" s="161"/>
      <c r="C8" s="161"/>
      <c r="D8" s="161"/>
      <c r="E8" s="192"/>
      <c r="F8" s="118"/>
      <c r="G8" s="118"/>
      <c r="H8" s="118"/>
      <c r="I8" s="118"/>
      <c r="J8" s="118"/>
      <c r="K8" s="118"/>
      <c r="L8" s="118">
        <f>'[3]Misc Cargo'!$ET$8</f>
        <v>0</v>
      </c>
      <c r="M8" s="204">
        <f>SUM(B8:L8)</f>
        <v>0</v>
      </c>
    </row>
    <row r="9" spans="1:20" ht="15" x14ac:dyDescent="0.25">
      <c r="A9" s="53" t="s">
        <v>61</v>
      </c>
      <c r="B9" s="198"/>
      <c r="C9" s="198"/>
      <c r="D9" s="198"/>
      <c r="E9" s="192"/>
      <c r="F9" s="120"/>
      <c r="G9" s="120"/>
      <c r="H9" s="120"/>
      <c r="I9" s="120"/>
      <c r="J9" s="120"/>
      <c r="K9" s="120"/>
      <c r="L9" s="120">
        <f>'[3]Misc Cargo'!$ET$9</f>
        <v>0</v>
      </c>
      <c r="M9" s="208">
        <f>SUM(B9:L9)</f>
        <v>0</v>
      </c>
      <c r="P9" s="15"/>
      <c r="Q9" s="331"/>
      <c r="R9" s="331"/>
      <c r="S9" s="331"/>
      <c r="T9" s="331"/>
    </row>
    <row r="10" spans="1:20" s="189" customFormat="1" x14ac:dyDescent="0.2">
      <c r="A10" s="205" t="s">
        <v>62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2">SUM(F8:F9)</f>
        <v>0</v>
      </c>
      <c r="G10" s="188">
        <f t="shared" ref="G10" si="3">SUM(G8:G9)</f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18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40</v>
      </c>
      <c r="C12" s="210">
        <f>C6+C10</f>
        <v>194</v>
      </c>
      <c r="D12" s="210">
        <f>D6+D10</f>
        <v>226</v>
      </c>
      <c r="E12" s="211"/>
      <c r="F12" s="212">
        <f t="shared" ref="F12:L12" si="4">F6+F10</f>
        <v>0</v>
      </c>
      <c r="G12" s="212">
        <f t="shared" ref="G12" si="5">G6+G10</f>
        <v>70</v>
      </c>
      <c r="H12" s="212">
        <f t="shared" si="4"/>
        <v>36</v>
      </c>
      <c r="I12" s="212">
        <f t="shared" si="4"/>
        <v>522</v>
      </c>
      <c r="J12" s="212">
        <f t="shared" si="4"/>
        <v>44</v>
      </c>
      <c r="K12" s="212">
        <f t="shared" si="4"/>
        <v>42</v>
      </c>
      <c r="L12" s="212">
        <f t="shared" si="4"/>
        <v>44</v>
      </c>
      <c r="M12" s="213">
        <f>SUM(B12:L12)</f>
        <v>1218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6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99</v>
      </c>
      <c r="B14" s="215"/>
      <c r="C14" s="215"/>
      <c r="D14" s="215"/>
      <c r="E14" s="216"/>
      <c r="F14" s="175"/>
      <c r="G14" s="175"/>
      <c r="H14" s="175"/>
      <c r="I14" s="81"/>
      <c r="J14" s="81"/>
      <c r="K14" s="81"/>
      <c r="L14" s="81"/>
      <c r="M14" s="217"/>
    </row>
    <row r="15" spans="1:20" x14ac:dyDescent="0.2">
      <c r="A15" s="218" t="s">
        <v>100</v>
      </c>
      <c r="B15" s="161"/>
      <c r="C15" s="161"/>
      <c r="D15" s="161"/>
      <c r="E15" s="192"/>
      <c r="F15" s="118"/>
      <c r="G15" s="118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[3]DHL!$ET$47</f>
        <v>637365</v>
      </c>
      <c r="C16" s="161">
        <f>[3]FedEx!$ET$47</f>
        <v>8551708</v>
      </c>
      <c r="D16" s="161">
        <f>[3]UPS!$ET$47</f>
        <v>6160780</v>
      </c>
      <c r="E16" s="192"/>
      <c r="F16" s="118">
        <f>[3]ATI_BAX!$ET$47</f>
        <v>0</v>
      </c>
      <c r="G16" s="118">
        <f>[3]IFL!$ET$47</f>
        <v>51763</v>
      </c>
      <c r="H16" s="118">
        <f>'[3]Suburban Air Freight'!$ET$47</f>
        <v>17861</v>
      </c>
      <c r="I16" s="497" t="s">
        <v>92</v>
      </c>
      <c r="J16" s="118">
        <f>'[3]CSA Air'!$ET$47</f>
        <v>36324</v>
      </c>
      <c r="K16" s="118">
        <f>'[3]Mountain Cargo'!$ET$47</f>
        <v>60297</v>
      </c>
      <c r="L16" s="118">
        <f>'[3]Misc Cargo'!$ET$47</f>
        <v>41965</v>
      </c>
      <c r="M16" s="204">
        <f>SUM(B16:H16)+SUM(J16:L16)</f>
        <v>15558063</v>
      </c>
    </row>
    <row r="17" spans="1:14" x14ac:dyDescent="0.2">
      <c r="A17" s="53" t="s">
        <v>41</v>
      </c>
      <c r="B17" s="161">
        <f>[3]DHL!$ET$48</f>
        <v>0</v>
      </c>
      <c r="C17" s="161">
        <f>[3]FedEx!$ET$48</f>
        <v>0</v>
      </c>
      <c r="D17" s="161">
        <f>[3]UPS!$ET$48</f>
        <v>166</v>
      </c>
      <c r="E17" s="192"/>
      <c r="F17" s="118">
        <f>[3]ATI_BAX!$ET$48</f>
        <v>0</v>
      </c>
      <c r="G17" s="118">
        <f>[3]IFL!$ET$48</f>
        <v>0</v>
      </c>
      <c r="H17" s="118">
        <f>'[3]Suburban Air Freight'!$ET$48</f>
        <v>0</v>
      </c>
      <c r="I17" s="498"/>
      <c r="J17" s="118">
        <f>'[3]CSA Air'!$ET$48</f>
        <v>0</v>
      </c>
      <c r="K17" s="118">
        <f>'[3]Mountain Cargo'!$ET$48</f>
        <v>0</v>
      </c>
      <c r="L17" s="118">
        <f>'[3]Misc Cargo'!$ET$48</f>
        <v>0</v>
      </c>
      <c r="M17" s="204">
        <f>SUM(B17:H17)+SUM(J17:L17)</f>
        <v>166</v>
      </c>
    </row>
    <row r="18" spans="1:14" ht="18" customHeight="1" x14ac:dyDescent="0.2">
      <c r="A18" s="219" t="s">
        <v>42</v>
      </c>
      <c r="B18" s="306">
        <f>SUM(B16:B17)</f>
        <v>637365</v>
      </c>
      <c r="C18" s="306">
        <f>SUM(C16:C17)</f>
        <v>8551708</v>
      </c>
      <c r="D18" s="306">
        <f>SUM(D16:D17)</f>
        <v>6160946</v>
      </c>
      <c r="E18" s="197"/>
      <c r="F18" s="307">
        <f>SUM(F16:F17)</f>
        <v>0</v>
      </c>
      <c r="G18" s="307">
        <f>SUM(G16:G17)</f>
        <v>51763</v>
      </c>
      <c r="H18" s="307">
        <f>SUM(H16:H17)</f>
        <v>17861</v>
      </c>
      <c r="I18" s="498"/>
      <c r="J18" s="307">
        <f>SUM(J16:J17)</f>
        <v>36324</v>
      </c>
      <c r="K18" s="307">
        <f>SUM(K16:K17)</f>
        <v>60297</v>
      </c>
      <c r="L18" s="307">
        <f>SUM(L16:L17)</f>
        <v>41965</v>
      </c>
      <c r="M18" s="220">
        <f>SUM(B18:H18)+SUM(J18:L18)</f>
        <v>15558229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18"/>
      <c r="H19" s="118"/>
      <c r="I19" s="498"/>
      <c r="J19" s="118"/>
      <c r="K19" s="118"/>
      <c r="L19" s="118"/>
      <c r="M19" s="204"/>
    </row>
    <row r="20" spans="1:14" x14ac:dyDescent="0.2">
      <c r="A20" s="221" t="s">
        <v>93</v>
      </c>
      <c r="B20" s="161"/>
      <c r="C20" s="161"/>
      <c r="D20" s="161"/>
      <c r="E20" s="192"/>
      <c r="F20" s="118"/>
      <c r="G20" s="118"/>
      <c r="H20" s="118"/>
      <c r="I20" s="498"/>
      <c r="J20" s="118"/>
      <c r="K20" s="118"/>
      <c r="L20" s="118"/>
      <c r="M20" s="204"/>
    </row>
    <row r="21" spans="1:14" x14ac:dyDescent="0.2">
      <c r="A21" s="53" t="s">
        <v>63</v>
      </c>
      <c r="B21" s="161">
        <f>[3]DHL!$ET$52</f>
        <v>476403</v>
      </c>
      <c r="C21" s="161">
        <f>[3]FedEx!$ET$52</f>
        <v>8823639</v>
      </c>
      <c r="D21" s="161">
        <f>[3]UPS!$ET$52</f>
        <v>4630982</v>
      </c>
      <c r="E21" s="192"/>
      <c r="F21" s="118">
        <f>[3]ATI_BAX!$ET$52</f>
        <v>0</v>
      </c>
      <c r="G21" s="118">
        <f>[3]IFL!$ET$52</f>
        <v>62511</v>
      </c>
      <c r="H21" s="118">
        <f>'[3]Suburban Air Freight'!$ET$52</f>
        <v>60646</v>
      </c>
      <c r="I21" s="498"/>
      <c r="J21" s="118">
        <f>'[3]CSA Air'!$ET$52</f>
        <v>31718</v>
      </c>
      <c r="K21" s="118">
        <f>'[3]Mountain Cargo'!$ET$52</f>
        <v>155567</v>
      </c>
      <c r="L21" s="118">
        <f>'[3]Misc Cargo'!$ET$52</f>
        <v>32522</v>
      </c>
      <c r="M21" s="204">
        <f>SUM(B21:H21)+SUM(J21:L21)</f>
        <v>14273988</v>
      </c>
    </row>
    <row r="22" spans="1:14" x14ac:dyDescent="0.2">
      <c r="A22" s="53" t="s">
        <v>64</v>
      </c>
      <c r="B22" s="161">
        <f>[3]DHL!$ET$53</f>
        <v>0</v>
      </c>
      <c r="C22" s="161">
        <f>[3]FedEx!$ET$53</f>
        <v>0</v>
      </c>
      <c r="D22" s="161">
        <f>[3]UPS!$ET$53</f>
        <v>342227</v>
      </c>
      <c r="E22" s="192"/>
      <c r="F22" s="118">
        <f>[3]ATI_BAX!$ET$53</f>
        <v>0</v>
      </c>
      <c r="G22" s="118">
        <f>[3]IFL!$ET$53</f>
        <v>0</v>
      </c>
      <c r="H22" s="118">
        <f>'[3]Suburban Air Freight'!$ET$53</f>
        <v>0</v>
      </c>
      <c r="I22" s="498"/>
      <c r="J22" s="118">
        <f>'[3]CSA Air'!$ET$53</f>
        <v>0</v>
      </c>
      <c r="K22" s="118">
        <f>'[3]Mountain Cargo'!$ET$53</f>
        <v>0</v>
      </c>
      <c r="L22" s="118">
        <f>'[3]Misc Cargo'!$ET$53</f>
        <v>0</v>
      </c>
      <c r="M22" s="204">
        <f>SUM(B22:H22)+SUM(J22:L22)</f>
        <v>342227</v>
      </c>
    </row>
    <row r="23" spans="1:14" ht="18" customHeight="1" x14ac:dyDescent="0.2">
      <c r="A23" s="219" t="s">
        <v>44</v>
      </c>
      <c r="B23" s="306">
        <f>SUM(B21:B22)</f>
        <v>476403</v>
      </c>
      <c r="C23" s="306">
        <f>SUM(C21:C22)</f>
        <v>8823639</v>
      </c>
      <c r="D23" s="306">
        <f>SUM(D21:D22)</f>
        <v>4973209</v>
      </c>
      <c r="E23" s="197"/>
      <c r="F23" s="307">
        <f>SUM(F21:F22)</f>
        <v>0</v>
      </c>
      <c r="G23" s="307">
        <f>SUM(G21:G22)</f>
        <v>62511</v>
      </c>
      <c r="H23" s="307">
        <f>SUM(H21:H22)</f>
        <v>60646</v>
      </c>
      <c r="I23" s="498"/>
      <c r="J23" s="307">
        <f>SUM(J21:J22)</f>
        <v>31718</v>
      </c>
      <c r="K23" s="307">
        <f>SUM(K21:K22)</f>
        <v>155567</v>
      </c>
      <c r="L23" s="307">
        <f>SUM(L21:L22)</f>
        <v>32522</v>
      </c>
      <c r="M23" s="220">
        <f>SUM(B23:H23)+SUM(J23:L23)</f>
        <v>14616215</v>
      </c>
    </row>
    <row r="24" spans="1:14" x14ac:dyDescent="0.2">
      <c r="A24" s="53"/>
      <c r="B24" s="161"/>
      <c r="C24" s="161"/>
      <c r="D24" s="161"/>
      <c r="E24" s="192"/>
      <c r="F24" s="118"/>
      <c r="G24" s="118"/>
      <c r="H24" s="118"/>
      <c r="I24" s="498"/>
      <c r="J24" s="118"/>
      <c r="K24" s="118"/>
      <c r="L24" s="118"/>
      <c r="M24" s="204"/>
    </row>
    <row r="25" spans="1:14" x14ac:dyDescent="0.2">
      <c r="A25" s="221" t="s">
        <v>101</v>
      </c>
      <c r="B25" s="161"/>
      <c r="C25" s="161"/>
      <c r="D25" s="161"/>
      <c r="E25" s="192"/>
      <c r="F25" s="118"/>
      <c r="G25" s="118"/>
      <c r="H25" s="118"/>
      <c r="I25" s="498"/>
      <c r="J25" s="118"/>
      <c r="K25" s="118"/>
      <c r="L25" s="118"/>
      <c r="M25" s="204"/>
    </row>
    <row r="26" spans="1:14" x14ac:dyDescent="0.2">
      <c r="A26" s="53" t="s">
        <v>63</v>
      </c>
      <c r="B26" s="161">
        <f>[3]DHL!$ET$57</f>
        <v>0</v>
      </c>
      <c r="C26" s="161">
        <f>[3]FedEx!$ET$57</f>
        <v>0</v>
      </c>
      <c r="D26" s="161">
        <f>[3]UPS!$ET$57</f>
        <v>0</v>
      </c>
      <c r="E26" s="192"/>
      <c r="F26" s="118">
        <f>[3]ATI_BAX!$ET$57</f>
        <v>0</v>
      </c>
      <c r="G26" s="118">
        <f>[3]IFL!$ET$57</f>
        <v>0</v>
      </c>
      <c r="H26" s="118">
        <f>'[3]Suburban Air Freight'!$ET$57</f>
        <v>0</v>
      </c>
      <c r="I26" s="498"/>
      <c r="J26" s="118">
        <f>'[3]CSA Air'!$ET$57</f>
        <v>0</v>
      </c>
      <c r="K26" s="118">
        <f>'[3]Mountain Cargo'!$ET$57</f>
        <v>0</v>
      </c>
      <c r="L26" s="118">
        <f>'[3]Misc Cargo'!$ET$57</f>
        <v>0</v>
      </c>
      <c r="M26" s="204">
        <f>SUM(B26:H26)+SUM(J26:L26)</f>
        <v>0</v>
      </c>
    </row>
    <row r="27" spans="1:14" x14ac:dyDescent="0.2">
      <c r="A27" s="53" t="s">
        <v>64</v>
      </c>
      <c r="B27" s="161">
        <f>[3]DHL!$ET$58</f>
        <v>0</v>
      </c>
      <c r="C27" s="161">
        <f>[3]FedEx!$ET$58</f>
        <v>0</v>
      </c>
      <c r="D27" s="161">
        <f>[3]UPS!$ET$58</f>
        <v>0</v>
      </c>
      <c r="E27" s="192"/>
      <c r="F27" s="118">
        <f>[3]ATI_BAX!$ET$58</f>
        <v>0</v>
      </c>
      <c r="G27" s="118">
        <f>[3]IFL!$ET$58</f>
        <v>0</v>
      </c>
      <c r="H27" s="118">
        <f>'[3]Suburban Air Freight'!$ET$58</f>
        <v>0</v>
      </c>
      <c r="I27" s="498"/>
      <c r="J27" s="118">
        <f>'[3]CSA Air'!$ET$58</f>
        <v>0</v>
      </c>
      <c r="K27" s="118">
        <f>'[3]Mountain Cargo'!$ET$58</f>
        <v>0</v>
      </c>
      <c r="L27" s="118">
        <f>'[3]Misc Cargo'!$ET$58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6">
        <f>SUM(B26:B27)</f>
        <v>0</v>
      </c>
      <c r="C28" s="306">
        <f>SUM(C26:C27)</f>
        <v>0</v>
      </c>
      <c r="D28" s="306">
        <f>SUM(D26:D27)</f>
        <v>0</v>
      </c>
      <c r="E28" s="197"/>
      <c r="F28" s="307">
        <f>SUM(F26:F27)</f>
        <v>0</v>
      </c>
      <c r="G28" s="307">
        <f>SUM(G26:G27)</f>
        <v>0</v>
      </c>
      <c r="H28" s="307">
        <f>SUM(H26:H27)</f>
        <v>0</v>
      </c>
      <c r="I28" s="498"/>
      <c r="J28" s="307">
        <f>SUM(J26:J27)</f>
        <v>0</v>
      </c>
      <c r="K28" s="307">
        <f>SUM(K26:K27)</f>
        <v>0</v>
      </c>
      <c r="L28" s="307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18"/>
      <c r="H29" s="118"/>
      <c r="I29" s="498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18"/>
      <c r="H30" s="118"/>
      <c r="I30" s="498"/>
      <c r="J30" s="118"/>
      <c r="K30" s="118"/>
      <c r="L30" s="118"/>
      <c r="M30" s="204"/>
    </row>
    <row r="31" spans="1:14" x14ac:dyDescent="0.2">
      <c r="A31" s="53" t="s">
        <v>94</v>
      </c>
      <c r="B31" s="161">
        <f t="shared" ref="B31:D33" si="6">B26+B21+B16</f>
        <v>1113768</v>
      </c>
      <c r="C31" s="161">
        <f t="shared" si="6"/>
        <v>17375347</v>
      </c>
      <c r="D31" s="161">
        <f t="shared" si="6"/>
        <v>10791762</v>
      </c>
      <c r="E31" s="192"/>
      <c r="F31" s="118">
        <f t="shared" ref="F31:H33" si="7">F26+F21+F16</f>
        <v>0</v>
      </c>
      <c r="G31" s="118">
        <f t="shared" ref="G31" si="8">G26+G21+G16</f>
        <v>114274</v>
      </c>
      <c r="H31" s="118">
        <f t="shared" si="7"/>
        <v>78507</v>
      </c>
      <c r="I31" s="498"/>
      <c r="J31" s="118">
        <f t="shared" ref="J31:L33" si="9">J26+J21+J16</f>
        <v>68042</v>
      </c>
      <c r="K31" s="118">
        <f t="shared" si="9"/>
        <v>215864</v>
      </c>
      <c r="L31" s="118">
        <f>L26+L21+L16</f>
        <v>74487</v>
      </c>
      <c r="M31" s="204">
        <f>SUM(B31:H31)+SUM(J31:L31)</f>
        <v>29832051</v>
      </c>
    </row>
    <row r="32" spans="1:14" x14ac:dyDescent="0.2">
      <c r="A32" s="53" t="s">
        <v>64</v>
      </c>
      <c r="B32" s="161">
        <f t="shared" si="6"/>
        <v>0</v>
      </c>
      <c r="C32" s="161">
        <f t="shared" si="6"/>
        <v>0</v>
      </c>
      <c r="D32" s="161">
        <f t="shared" si="6"/>
        <v>342393</v>
      </c>
      <c r="E32" s="192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499"/>
      <c r="J32" s="118">
        <f t="shared" si="9"/>
        <v>0</v>
      </c>
      <c r="K32" s="118">
        <f t="shared" si="9"/>
        <v>0</v>
      </c>
      <c r="L32" s="118">
        <f>L27+L22+L17</f>
        <v>0</v>
      </c>
      <c r="M32" s="208">
        <f>SUM(B32:H32)+SUM(J32:L32)</f>
        <v>342393</v>
      </c>
    </row>
    <row r="33" spans="1:13" ht="18" customHeight="1" thickBot="1" x14ac:dyDescent="0.25">
      <c r="A33" s="209" t="s">
        <v>49</v>
      </c>
      <c r="B33" s="210">
        <f t="shared" si="6"/>
        <v>1113768</v>
      </c>
      <c r="C33" s="210">
        <f t="shared" si="6"/>
        <v>17375347</v>
      </c>
      <c r="D33" s="210">
        <f t="shared" si="6"/>
        <v>11134155</v>
      </c>
      <c r="E33" s="223"/>
      <c r="F33" s="212">
        <f t="shared" si="7"/>
        <v>0</v>
      </c>
      <c r="G33" s="212">
        <f t="shared" ref="G33" si="11">G28+G23+G18</f>
        <v>114274</v>
      </c>
      <c r="H33" s="212">
        <f t="shared" si="7"/>
        <v>78507</v>
      </c>
      <c r="I33" s="308">
        <f>I28+I23+I18</f>
        <v>0</v>
      </c>
      <c r="J33" s="212">
        <f t="shared" si="9"/>
        <v>68042</v>
      </c>
      <c r="K33" s="212">
        <f t="shared" si="9"/>
        <v>215864</v>
      </c>
      <c r="L33" s="212">
        <f t="shared" si="9"/>
        <v>74487</v>
      </c>
      <c r="M33" s="213">
        <f>SUM(B33:H33)+SUM(J33:L33)</f>
        <v>30174444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September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28" sqref="E28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9">
        <v>42614</v>
      </c>
      <c r="B2" s="77" t="s">
        <v>67</v>
      </c>
      <c r="C2" s="77" t="s">
        <v>68</v>
      </c>
      <c r="D2" s="77" t="s">
        <v>69</v>
      </c>
      <c r="E2" s="320" t="s">
        <v>79</v>
      </c>
      <c r="F2" s="78" t="s">
        <v>190</v>
      </c>
      <c r="G2" s="78" t="s">
        <v>179</v>
      </c>
      <c r="H2" s="79" t="s">
        <v>70</v>
      </c>
      <c r="I2" s="80" t="s">
        <v>187</v>
      </c>
      <c r="J2" s="80" t="s">
        <v>178</v>
      </c>
      <c r="K2" s="90" t="s">
        <v>2</v>
      </c>
    </row>
    <row r="3" spans="1:18" ht="20.25" customHeight="1" x14ac:dyDescent="0.2">
      <c r="A3" s="87" t="s">
        <v>71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72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73</v>
      </c>
      <c r="B5" s="169">
        <f>'Major Airline Stats'!I28</f>
        <v>4617473</v>
      </c>
      <c r="C5" s="118">
        <f>'Regional Major'!L25</f>
        <v>5537</v>
      </c>
      <c r="D5" s="118">
        <f>Cargo!M16</f>
        <v>15558063</v>
      </c>
      <c r="E5" s="118">
        <f>SUM(B5:D5)</f>
        <v>20181073</v>
      </c>
      <c r="F5" s="118">
        <f>E5*0.00045359237</f>
        <v>9153.9807312130106</v>
      </c>
      <c r="G5" s="146">
        <f>'[18]Cargo Summary'!F5</f>
        <v>6850.5633800195901</v>
      </c>
      <c r="H5" s="98">
        <f>(F5-G5)/G5</f>
        <v>0.33623765279094953</v>
      </c>
      <c r="I5" s="146">
        <f>+F5+'[16]Cargo Summary'!I5</f>
        <v>64115.982753304022</v>
      </c>
      <c r="J5" s="146">
        <f>'[18]Cargo Summary'!I5</f>
        <v>50680.542280883907</v>
      </c>
      <c r="K5" s="85">
        <f>(I5-J5)/J5</f>
        <v>0.2651005665637442</v>
      </c>
      <c r="M5" s="35"/>
    </row>
    <row r="6" spans="1:18" x14ac:dyDescent="0.2">
      <c r="A6" s="62" t="s">
        <v>18</v>
      </c>
      <c r="B6" s="169">
        <f>'Major Airline Stats'!I29</f>
        <v>1403003</v>
      </c>
      <c r="C6" s="118">
        <f>'Regional Major'!L26</f>
        <v>0</v>
      </c>
      <c r="D6" s="118">
        <f>Cargo!M17</f>
        <v>166</v>
      </c>
      <c r="E6" s="118">
        <f>SUM(B6:D6)</f>
        <v>1403169</v>
      </c>
      <c r="F6" s="118">
        <f>E6*0.00045359237</f>
        <v>636.46675222053</v>
      </c>
      <c r="G6" s="146">
        <f>'[18]Cargo Summary'!F6</f>
        <v>763.44676105543999</v>
      </c>
      <c r="H6" s="37">
        <f>(F6-G6)/G6</f>
        <v>-0.16632464149741669</v>
      </c>
      <c r="I6" s="146">
        <f>+F6+'[16]Cargo Summary'!I6</f>
        <v>3996.5536317554738</v>
      </c>
      <c r="J6" s="146">
        <f>'[18]Cargo Summary'!I6</f>
        <v>4563.6064423410999</v>
      </c>
      <c r="K6" s="85">
        <f>(I6-J6)/J6</f>
        <v>-0.12425541460466773</v>
      </c>
      <c r="M6" s="35"/>
    </row>
    <row r="7" spans="1:18" ht="18" customHeight="1" thickBot="1" x14ac:dyDescent="0.25">
      <c r="A7" s="73" t="s">
        <v>76</v>
      </c>
      <c r="B7" s="171">
        <f>SUM(B5:B6)</f>
        <v>6020476</v>
      </c>
      <c r="C7" s="133">
        <f t="shared" ref="C7:J7" si="0">SUM(C5:C6)</f>
        <v>5537</v>
      </c>
      <c r="D7" s="133">
        <f t="shared" si="0"/>
        <v>15558229</v>
      </c>
      <c r="E7" s="133">
        <f t="shared" si="0"/>
        <v>21584242</v>
      </c>
      <c r="F7" s="133">
        <f t="shared" si="0"/>
        <v>9790.4474834335415</v>
      </c>
      <c r="G7" s="133">
        <f t="shared" si="0"/>
        <v>7614.0101410750303</v>
      </c>
      <c r="H7" s="44">
        <f>(F7-G7)/G7</f>
        <v>0.28584639395439754</v>
      </c>
      <c r="I7" s="133">
        <f t="shared" si="0"/>
        <v>68112.536385059502</v>
      </c>
      <c r="J7" s="133">
        <f t="shared" si="0"/>
        <v>55244.148723225007</v>
      </c>
      <c r="K7" s="322">
        <f>(I7-J7)/J7</f>
        <v>0.23293666314428227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74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73</v>
      </c>
      <c r="B10" s="169">
        <f>'Major Airline Stats'!I33</f>
        <v>2110853</v>
      </c>
      <c r="C10" s="118">
        <f>'Regional Major'!L30</f>
        <v>156</v>
      </c>
      <c r="D10" s="118">
        <f>Cargo!M21</f>
        <v>14273988</v>
      </c>
      <c r="E10" s="118">
        <f>SUM(B10:D10)</f>
        <v>16384997</v>
      </c>
      <c r="F10" s="118">
        <f>E10*0.00045359237</f>
        <v>7432.1096216728902</v>
      </c>
      <c r="G10" s="146">
        <f>'[18]Cargo Summary'!F10</f>
        <v>7008.2012435504303</v>
      </c>
      <c r="H10" s="37">
        <f>(F10-G10)/G10</f>
        <v>6.0487472232989607E-2</v>
      </c>
      <c r="I10" s="146">
        <f>+F10+'[16]Cargo Summary'!I10</f>
        <v>57362.524881446399</v>
      </c>
      <c r="J10" s="146">
        <f>'[18]Cargo Summary'!I10</f>
        <v>53307.543356987924</v>
      </c>
      <c r="K10" s="85">
        <f>(I10-J10)/J10</f>
        <v>7.6067687030768411E-2</v>
      </c>
      <c r="M10" s="35"/>
    </row>
    <row r="11" spans="1:18" x14ac:dyDescent="0.2">
      <c r="A11" s="62" t="s">
        <v>18</v>
      </c>
      <c r="B11" s="169">
        <f>'Major Airline Stats'!I34</f>
        <v>1875005</v>
      </c>
      <c r="C11" s="118">
        <f>'Regional Major'!L31</f>
        <v>0</v>
      </c>
      <c r="D11" s="118">
        <f>Cargo!M22</f>
        <v>342227</v>
      </c>
      <c r="E11" s="118">
        <f>SUM(B11:D11)</f>
        <v>2217232</v>
      </c>
      <c r="F11" s="118">
        <f>E11*0.00045359237</f>
        <v>1005.7195177198399</v>
      </c>
      <c r="G11" s="146">
        <f>'[18]Cargo Summary'!F11</f>
        <v>1110.8735688950899</v>
      </c>
      <c r="H11" s="35">
        <f>(F11-G11)/G11</f>
        <v>-9.4658882990473439E-2</v>
      </c>
      <c r="I11" s="146">
        <f>+F11+'[16]Cargo Summary'!I11</f>
        <v>4788.6236380659602</v>
      </c>
      <c r="J11" s="146">
        <f>'[18]Cargo Summary'!I11</f>
        <v>5095.1454859790101</v>
      </c>
      <c r="K11" s="85">
        <f>(I11-J11)/J11</f>
        <v>-6.0159586955180547E-2</v>
      </c>
      <c r="M11" s="35"/>
    </row>
    <row r="12" spans="1:18" ht="18" customHeight="1" thickBot="1" x14ac:dyDescent="0.25">
      <c r="A12" s="73" t="s">
        <v>77</v>
      </c>
      <c r="B12" s="171">
        <f>SUM(B10:B11)</f>
        <v>3985858</v>
      </c>
      <c r="C12" s="133">
        <f t="shared" ref="C12:J12" si="1">SUM(C10:C11)</f>
        <v>156</v>
      </c>
      <c r="D12" s="133">
        <f t="shared" si="1"/>
        <v>14616215</v>
      </c>
      <c r="E12" s="133">
        <f t="shared" si="1"/>
        <v>18602229</v>
      </c>
      <c r="F12" s="133">
        <f t="shared" si="1"/>
        <v>8437.8291393927302</v>
      </c>
      <c r="G12" s="133">
        <f t="shared" si="1"/>
        <v>8119.0748124455204</v>
      </c>
      <c r="H12" s="44">
        <f>(F12-G12)/G12</f>
        <v>3.925993223496347E-2</v>
      </c>
      <c r="I12" s="133">
        <f t="shared" si="1"/>
        <v>62151.148519512361</v>
      </c>
      <c r="J12" s="133">
        <f t="shared" si="1"/>
        <v>58402.688842966934</v>
      </c>
      <c r="K12" s="322">
        <f>(I12-J12)/J12</f>
        <v>6.4182998262704641E-2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75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73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'[18]Cargo Summary'!F15</f>
        <v>0</v>
      </c>
      <c r="H15" s="434" t="e">
        <f>(F15-G15)/G15</f>
        <v>#DIV/0!</v>
      </c>
      <c r="I15" s="146">
        <f>+F15+'[16]Cargo Summary'!I15</f>
        <v>0</v>
      </c>
      <c r="J15" s="146">
        <f>'[18]Cargo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'[18]Cargo Summary'!F16</f>
        <v>0</v>
      </c>
      <c r="H16" s="37" t="e">
        <f>(F16-G16)/G16</f>
        <v>#DIV/0!</v>
      </c>
      <c r="I16" s="146">
        <f>+F16+'[16]Cargo Summary'!I16</f>
        <v>0</v>
      </c>
      <c r="J16" s="146">
        <f>'[18]Cargo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78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2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73</v>
      </c>
      <c r="B20" s="169">
        <f t="shared" ref="B20:D21" si="3">B15+B10+B5</f>
        <v>6728326</v>
      </c>
      <c r="C20" s="118">
        <f t="shared" si="3"/>
        <v>5693</v>
      </c>
      <c r="D20" s="118">
        <f t="shared" si="3"/>
        <v>29832051</v>
      </c>
      <c r="E20" s="118">
        <f>SUM(B20:D20)</f>
        <v>36566070</v>
      </c>
      <c r="F20" s="118">
        <f>E20*0.00045359237</f>
        <v>16586.090352885898</v>
      </c>
      <c r="G20" s="146">
        <f>'[18]Cargo Summary'!F20</f>
        <v>13858.764623570019</v>
      </c>
      <c r="H20" s="37">
        <f>(F20-G20)/G20</f>
        <v>0.19679428891356113</v>
      </c>
      <c r="I20" s="146">
        <f>+I5+I10+I15</f>
        <v>121478.50763475042</v>
      </c>
      <c r="J20" s="146">
        <f>+J5+J10+J15</f>
        <v>103988.08563787183</v>
      </c>
      <c r="K20" s="85">
        <f>(I20-J20)/J20</f>
        <v>0.16819640336285491</v>
      </c>
      <c r="M20" s="35"/>
    </row>
    <row r="21" spans="1:13" x14ac:dyDescent="0.2">
      <c r="A21" s="62" t="s">
        <v>18</v>
      </c>
      <c r="B21" s="169">
        <f t="shared" si="3"/>
        <v>3278008</v>
      </c>
      <c r="C21" s="120">
        <f t="shared" si="3"/>
        <v>0</v>
      </c>
      <c r="D21" s="120">
        <f t="shared" si="3"/>
        <v>342393</v>
      </c>
      <c r="E21" s="118">
        <f>SUM(B21:D21)</f>
        <v>3620401</v>
      </c>
      <c r="F21" s="118">
        <f>E21*0.00045359237</f>
        <v>1642.18626994037</v>
      </c>
      <c r="G21" s="146">
        <f>'[18]Cargo Summary'!F21</f>
        <v>1874.3203299505299</v>
      </c>
      <c r="H21" s="37">
        <f>(F21-G21)/G21</f>
        <v>-0.12384972637856768</v>
      </c>
      <c r="I21" s="146">
        <f>+I6+I11+I16</f>
        <v>8785.1772698214336</v>
      </c>
      <c r="J21" s="146">
        <f>+J6+J11+J16</f>
        <v>9658.7519283201109</v>
      </c>
      <c r="K21" s="85">
        <f>(I21-J21)/J21</f>
        <v>-9.0443844606599488E-2</v>
      </c>
      <c r="M21" s="35"/>
    </row>
    <row r="22" spans="1:13" ht="18" customHeight="1" thickBot="1" x14ac:dyDescent="0.25">
      <c r="A22" s="88" t="s">
        <v>66</v>
      </c>
      <c r="B22" s="172">
        <f>SUM(B20:B21)</f>
        <v>10006334</v>
      </c>
      <c r="C22" s="173">
        <f t="shared" ref="C22:J22" si="4">SUM(C20:C21)</f>
        <v>5693</v>
      </c>
      <c r="D22" s="173">
        <f t="shared" si="4"/>
        <v>30174444</v>
      </c>
      <c r="E22" s="173">
        <f t="shared" si="4"/>
        <v>40186471</v>
      </c>
      <c r="F22" s="173">
        <f t="shared" si="4"/>
        <v>18228.27662282627</v>
      </c>
      <c r="G22" s="173">
        <f t="shared" si="4"/>
        <v>15733.084953520549</v>
      </c>
      <c r="H22" s="328">
        <f>(F22-G22)/G22</f>
        <v>0.1585951945646476</v>
      </c>
      <c r="I22" s="173">
        <f t="shared" si="4"/>
        <v>130263.68490457186</v>
      </c>
      <c r="J22" s="173">
        <f t="shared" si="4"/>
        <v>113646.83756619194</v>
      </c>
      <c r="K22" s="329">
        <f>(I22-J22)/J22</f>
        <v>0.14621477987631354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September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view="pageLayout" zoomScaleNormal="100" zoomScaleSheetLayoutView="100" workbookViewId="0">
      <selection activeCell="C6" sqref="C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89">
        <v>42614</v>
      </c>
      <c r="B1" s="12" t="s">
        <v>20</v>
      </c>
      <c r="C1" s="277" t="s">
        <v>208</v>
      </c>
      <c r="D1" s="439" t="s">
        <v>169</v>
      </c>
      <c r="E1" s="277" t="s">
        <v>184</v>
      </c>
      <c r="F1" s="277" t="s">
        <v>185</v>
      </c>
      <c r="G1" s="277" t="s">
        <v>52</v>
      </c>
      <c r="H1" s="277" t="s">
        <v>120</v>
      </c>
      <c r="I1" s="277" t="s">
        <v>210</v>
      </c>
      <c r="J1" s="277" t="s">
        <v>214</v>
      </c>
      <c r="K1" s="277" t="s">
        <v>182</v>
      </c>
      <c r="L1" s="277" t="s">
        <v>168</v>
      </c>
      <c r="M1" s="277" t="s">
        <v>149</v>
      </c>
      <c r="N1" s="277" t="s">
        <v>24</v>
      </c>
    </row>
    <row r="2" spans="1:14" ht="15" x14ac:dyDescent="0.25">
      <c r="A2" s="503" t="s">
        <v>150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5"/>
    </row>
    <row r="3" spans="1:14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5"/>
    </row>
    <row r="4" spans="1:14" x14ac:dyDescent="0.2">
      <c r="A4" s="62" t="s">
        <v>33</v>
      </c>
      <c r="B4" s="21">
        <f>[3]Delta!$ET$32</f>
        <v>63426</v>
      </c>
      <c r="C4" s="21">
        <f>'[3]Atlantic Southeast'!$ET$32</f>
        <v>5962</v>
      </c>
      <c r="D4" s="21">
        <f>[3]Pinnacle!$ET$32</f>
        <v>9427</v>
      </c>
      <c r="E4" s="21">
        <f>[3]Compass!$ET$32</f>
        <v>3425</v>
      </c>
      <c r="F4" s="21">
        <f>'[3]Sky West'!$ET$32</f>
        <v>5962</v>
      </c>
      <c r="G4" s="21">
        <f>'[3]Sun Country'!$ET$32</f>
        <v>765</v>
      </c>
      <c r="H4" s="21">
        <f>[3]Icelandair!$ET$32</f>
        <v>4315</v>
      </c>
      <c r="I4" s="21">
        <f>'[3]Jazz Air'!$ET$32</f>
        <v>0</v>
      </c>
      <c r="J4" s="21">
        <f>'[3]Air Georgian'!$ET$32</f>
        <v>4816</v>
      </c>
      <c r="K4" s="21">
        <f>[3]Condor!$ET$32</f>
        <v>678</v>
      </c>
      <c r="L4" s="21">
        <f>'[3]Air France'!$ET$32</f>
        <v>4440</v>
      </c>
      <c r="M4" s="21">
        <f>'[3]Charter Misc'!$ET$32+[3]Ryan!$ET$32+[3]Omni!$ET$32</f>
        <v>0</v>
      </c>
      <c r="N4" s="286">
        <f>SUM(B4:M4)</f>
        <v>103216</v>
      </c>
    </row>
    <row r="5" spans="1:14" x14ac:dyDescent="0.2">
      <c r="A5" s="62" t="s">
        <v>34</v>
      </c>
      <c r="B5" s="14">
        <f>[3]Delta!$ET$33</f>
        <v>63024</v>
      </c>
      <c r="C5" s="14">
        <f>'[3]Atlantic Southeast'!$ET$33</f>
        <v>2991</v>
      </c>
      <c r="D5" s="14">
        <f>[3]Pinnacle!$ET$33</f>
        <v>9736</v>
      </c>
      <c r="E5" s="14">
        <f>[3]Compass!$ET$33</f>
        <v>3404</v>
      </c>
      <c r="F5" s="14">
        <f>'[3]Sky West'!$ET$33</f>
        <v>5783</v>
      </c>
      <c r="G5" s="14">
        <f>'[3]Sun Country'!$ET$33</f>
        <v>805</v>
      </c>
      <c r="H5" s="14">
        <f>[3]Icelandair!$ET$33</f>
        <v>4817</v>
      </c>
      <c r="I5" s="14">
        <f>'[3]Jazz Air'!$ET$33</f>
        <v>0</v>
      </c>
      <c r="J5" s="14">
        <f>'[3]Air Georgian'!$ET$33</f>
        <v>4558</v>
      </c>
      <c r="K5" s="14">
        <f>[3]Condor!$ET$33</f>
        <v>557</v>
      </c>
      <c r="L5" s="14">
        <f>'[3]Air France'!$ET$33</f>
        <v>3974</v>
      </c>
      <c r="M5" s="14">
        <f>'[3]Charter Misc'!$ET$33++[3]Ryan!$ET$33+[3]Omni!$ET$33</f>
        <v>0</v>
      </c>
      <c r="N5" s="287">
        <f>SUM(B5:M5)</f>
        <v>99649</v>
      </c>
    </row>
    <row r="6" spans="1:14" ht="15" x14ac:dyDescent="0.25">
      <c r="A6" s="60" t="s">
        <v>7</v>
      </c>
      <c r="B6" s="34">
        <f t="shared" ref="B6:M6" si="0">SUM(B4:B5)</f>
        <v>126450</v>
      </c>
      <c r="C6" s="34">
        <f t="shared" si="0"/>
        <v>8953</v>
      </c>
      <c r="D6" s="34">
        <f t="shared" si="0"/>
        <v>19163</v>
      </c>
      <c r="E6" s="34">
        <f t="shared" si="0"/>
        <v>6829</v>
      </c>
      <c r="F6" s="34">
        <f t="shared" si="0"/>
        <v>11745</v>
      </c>
      <c r="G6" s="34">
        <f t="shared" si="0"/>
        <v>1570</v>
      </c>
      <c r="H6" s="34">
        <f t="shared" si="0"/>
        <v>9132</v>
      </c>
      <c r="I6" s="34">
        <f t="shared" si="0"/>
        <v>0</v>
      </c>
      <c r="J6" s="34">
        <f t="shared" ref="J6" si="1">SUM(J4:J5)</f>
        <v>9374</v>
      </c>
      <c r="K6" s="34">
        <f t="shared" ref="K6" si="2">SUM(K4:K5)</f>
        <v>1235</v>
      </c>
      <c r="L6" s="34">
        <f t="shared" si="0"/>
        <v>8414</v>
      </c>
      <c r="M6" s="34">
        <f t="shared" si="0"/>
        <v>0</v>
      </c>
      <c r="N6" s="288">
        <f>SUM(B6:M6)</f>
        <v>202865</v>
      </c>
    </row>
    <row r="7" spans="1:14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6"/>
    </row>
    <row r="8" spans="1:14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6">
        <f>SUM(B8:M8)</f>
        <v>0</v>
      </c>
    </row>
    <row r="9" spans="1:14" x14ac:dyDescent="0.2">
      <c r="A9" s="62" t="s">
        <v>33</v>
      </c>
      <c r="B9" s="21">
        <f>[3]Delta!$ET$37</f>
        <v>1832</v>
      </c>
      <c r="C9" s="21">
        <f>'[3]Atlantic Southeast'!$ET$37</f>
        <v>63</v>
      </c>
      <c r="D9" s="21">
        <f>[3]Pinnacle!$ET$37</f>
        <v>149</v>
      </c>
      <c r="E9" s="21">
        <f>[3]Compass!$ET$37</f>
        <v>18</v>
      </c>
      <c r="F9" s="21">
        <f>'[3]Sky West'!$ET$37</f>
        <v>63</v>
      </c>
      <c r="G9" s="21">
        <f>'[3]Sun Country'!$ET$37</f>
        <v>6</v>
      </c>
      <c r="H9" s="21">
        <f>[3]Icelandair!$ET$37</f>
        <v>45</v>
      </c>
      <c r="I9" s="21">
        <f>'[3]Jazz Air'!$ET$37</f>
        <v>0</v>
      </c>
      <c r="J9" s="21">
        <f>'[3]Air Georgian'!$ET$37</f>
        <v>0</v>
      </c>
      <c r="K9" s="21">
        <f>[3]Condor!$ET$37</f>
        <v>0</v>
      </c>
      <c r="L9" s="21">
        <f>'[3]Air France'!$ET$37</f>
        <v>12</v>
      </c>
      <c r="M9" s="21">
        <f>'[3]Charter Misc'!$ET$37+[3]Ryan!$ET$37+[3]Omni!$ET$37</f>
        <v>0</v>
      </c>
      <c r="N9" s="286">
        <f>SUM(B9:M9)</f>
        <v>2188</v>
      </c>
    </row>
    <row r="10" spans="1:14" x14ac:dyDescent="0.2">
      <c r="A10" s="62" t="s">
        <v>36</v>
      </c>
      <c r="B10" s="14">
        <f>[3]Delta!$ET$38</f>
        <v>1773</v>
      </c>
      <c r="C10" s="14">
        <f>'[3]Atlantic Southeast'!$ET$38</f>
        <v>34</v>
      </c>
      <c r="D10" s="14">
        <f>[3]Pinnacle!$ET$38</f>
        <v>171</v>
      </c>
      <c r="E10" s="14">
        <f>[3]Compass!$ET$38</f>
        <v>25</v>
      </c>
      <c r="F10" s="14">
        <f>'[3]Sky West'!$ET$38</f>
        <v>72</v>
      </c>
      <c r="G10" s="14">
        <f>'[3]Sun Country'!$ET$38</f>
        <v>2</v>
      </c>
      <c r="H10" s="14">
        <f>[3]Icelandair!$ET$38</f>
        <v>52</v>
      </c>
      <c r="I10" s="14">
        <f>'[3]Jazz Air'!$ET$38</f>
        <v>0</v>
      </c>
      <c r="J10" s="14">
        <f>'[3]Air Georgian'!$ET$38</f>
        <v>0</v>
      </c>
      <c r="K10" s="14">
        <f>[3]Condor!$ET$38</f>
        <v>0</v>
      </c>
      <c r="L10" s="14">
        <f>'[3]Air France'!$ET$38</f>
        <v>7</v>
      </c>
      <c r="M10" s="14">
        <f>'[3]Charter Misc'!$ET$38+[3]Ryan!$ET$38+[3]Omni!$ET$38</f>
        <v>0</v>
      </c>
      <c r="N10" s="287">
        <f>SUM(B10:M10)</f>
        <v>2136</v>
      </c>
    </row>
    <row r="11" spans="1:14" ht="15.75" thickBot="1" x14ac:dyDescent="0.3">
      <c r="A11" s="63" t="s">
        <v>37</v>
      </c>
      <c r="B11" s="289">
        <f t="shared" ref="B11:G11" si="3">SUM(B9:B10)</f>
        <v>3605</v>
      </c>
      <c r="C11" s="289">
        <f t="shared" si="3"/>
        <v>97</v>
      </c>
      <c r="D11" s="289">
        <f t="shared" si="3"/>
        <v>320</v>
      </c>
      <c r="E11" s="289">
        <f t="shared" si="3"/>
        <v>43</v>
      </c>
      <c r="F11" s="289">
        <f t="shared" si="3"/>
        <v>135</v>
      </c>
      <c r="G11" s="289">
        <f t="shared" si="3"/>
        <v>8</v>
      </c>
      <c r="H11" s="289">
        <f t="shared" ref="H11:M11" si="4">SUM(H9:H10)</f>
        <v>97</v>
      </c>
      <c r="I11" s="289">
        <f t="shared" si="4"/>
        <v>0</v>
      </c>
      <c r="J11" s="289">
        <f t="shared" ref="J11" si="5">SUM(J9:J10)</f>
        <v>0</v>
      </c>
      <c r="K11" s="289">
        <f t="shared" si="4"/>
        <v>0</v>
      </c>
      <c r="L11" s="289">
        <f t="shared" si="4"/>
        <v>19</v>
      </c>
      <c r="M11" s="289">
        <f t="shared" si="4"/>
        <v>0</v>
      </c>
      <c r="N11" s="290">
        <f>SUM(B11:M11)</f>
        <v>4324</v>
      </c>
    </row>
    <row r="12" spans="1:14" ht="15" x14ac:dyDescent="0.25">
      <c r="A12" s="394"/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1"/>
    </row>
    <row r="13" spans="1:14" ht="39" thickBot="1" x14ac:dyDescent="0.25">
      <c r="B13" s="12" t="s">
        <v>20</v>
      </c>
      <c r="C13" s="277" t="s">
        <v>54</v>
      </c>
      <c r="D13" s="439" t="s">
        <v>169</v>
      </c>
      <c r="E13" s="12" t="s">
        <v>124</v>
      </c>
      <c r="F13" s="12" t="s">
        <v>104</v>
      </c>
      <c r="G13" s="12" t="s">
        <v>148</v>
      </c>
      <c r="H13" s="12" t="s">
        <v>120</v>
      </c>
      <c r="I13" s="277" t="s">
        <v>210</v>
      </c>
      <c r="J13" s="277" t="s">
        <v>214</v>
      </c>
      <c r="K13" s="277" t="s">
        <v>182</v>
      </c>
      <c r="L13" s="12" t="s">
        <v>168</v>
      </c>
      <c r="M13" s="12" t="s">
        <v>149</v>
      </c>
      <c r="N13" s="277" t="s">
        <v>151</v>
      </c>
    </row>
    <row r="14" spans="1:14" ht="15" x14ac:dyDescent="0.25">
      <c r="A14" s="506" t="s">
        <v>152</v>
      </c>
      <c r="B14" s="507"/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8"/>
    </row>
    <row r="15" spans="1:14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5"/>
    </row>
    <row r="16" spans="1:14" x14ac:dyDescent="0.2">
      <c r="A16" s="62" t="s">
        <v>33</v>
      </c>
      <c r="B16" s="21">
        <f>SUM([3]Delta!$EL$32:$ET$32)</f>
        <v>662686</v>
      </c>
      <c r="C16" s="21">
        <f>SUM('[3]Atlantic Southeast'!$EL$32:$ET$32)</f>
        <v>22452</v>
      </c>
      <c r="D16" s="21">
        <f>SUM([3]Pinnacle!$EL$32:$ET$32)</f>
        <v>124325</v>
      </c>
      <c r="E16" s="21">
        <f>SUM([3]Compass!$EL$32:$ET$32)</f>
        <v>38471</v>
      </c>
      <c r="F16" s="21">
        <f>SUM('[3]Sky West'!$EL$32:$ET$32)</f>
        <v>65106</v>
      </c>
      <c r="G16" s="21">
        <f>SUM('[3]Sun Country'!$EL$32:$ET$32)</f>
        <v>122749</v>
      </c>
      <c r="H16" s="21">
        <f>SUM([3]Icelandair!$EL$32:$ET$32)</f>
        <v>26677</v>
      </c>
      <c r="I16" s="21">
        <f>SUM('[3]Jazz Air'!$EL$32:$ET$32)</f>
        <v>3553</v>
      </c>
      <c r="J16" s="21">
        <f>SUM('[3]Air Georgian'!$EL$32:$ET$32)</f>
        <v>30811</v>
      </c>
      <c r="K16" s="21">
        <f>SUM([3]Condor!$EL$32:$ET$32)</f>
        <v>9717</v>
      </c>
      <c r="L16" s="21">
        <f>SUM('[3]Air France'!$EL$32:$ET$32)</f>
        <v>30191</v>
      </c>
      <c r="M16" s="21">
        <f>SUM('[3]Charter Misc'!$EL$32:$ET$32)+SUM([3]Ryan!$EL$32:$ET$32)+SUM([3]Omni!$EL$32:$ET$32)</f>
        <v>562</v>
      </c>
      <c r="N16" s="286">
        <f>SUM(B16:M16)</f>
        <v>1137300</v>
      </c>
    </row>
    <row r="17" spans="1:14" x14ac:dyDescent="0.2">
      <c r="A17" s="62" t="s">
        <v>34</v>
      </c>
      <c r="B17" s="14">
        <f>SUM([3]Delta!$EL$33:$ET$33)</f>
        <v>643925</v>
      </c>
      <c r="C17" s="14">
        <f>SUM('[3]Atlantic Southeast'!$EL$33:$ET$33)</f>
        <v>18656</v>
      </c>
      <c r="D17" s="14">
        <f>SUM([3]Pinnacle!$EL$33:$ET$33)</f>
        <v>130194</v>
      </c>
      <c r="E17" s="14">
        <f>SUM([3]Compass!$EL$33:$ET$33)</f>
        <v>37414</v>
      </c>
      <c r="F17" s="14">
        <f>SUM('[3]Sky West'!$EL$33:$ET$33)</f>
        <v>64601</v>
      </c>
      <c r="G17" s="14">
        <f>SUM('[3]Sun Country'!$EL$33:$ET$33)</f>
        <v>116789</v>
      </c>
      <c r="H17" s="14">
        <f>SUM([3]Icelandair!$EL$33:$ET$33)</f>
        <v>31220</v>
      </c>
      <c r="I17" s="14">
        <f>SUM('[3]Jazz Air'!$EL$33:$ET$33)</f>
        <v>3206</v>
      </c>
      <c r="J17" s="14">
        <f>SUM('[3]Air Georgian'!$EL$33:$ET$33)</f>
        <v>29169</v>
      </c>
      <c r="K17" s="14">
        <f>SUM([3]Condor!$EL$33:$ET$33)</f>
        <v>9144</v>
      </c>
      <c r="L17" s="14">
        <f>SUM('[3]Air France'!$EL$33:$ET$33)</f>
        <v>22654</v>
      </c>
      <c r="M17" s="14">
        <f>SUM('[3]Charter Misc'!$EL$33:$ET$33)++SUM([3]Ryan!$EL$33:$ET$33)+SUM([3]Omni!$EL$33:$ET$33)</f>
        <v>1006</v>
      </c>
      <c r="N17" s="287">
        <f>SUM(B17:M17)</f>
        <v>1107978</v>
      </c>
    </row>
    <row r="18" spans="1:14" ht="15" x14ac:dyDescent="0.25">
      <c r="A18" s="60" t="s">
        <v>7</v>
      </c>
      <c r="B18" s="34">
        <f t="shared" ref="B18:M18" si="6">SUM(B16:B17)</f>
        <v>1306611</v>
      </c>
      <c r="C18" s="34">
        <f t="shared" si="6"/>
        <v>41108</v>
      </c>
      <c r="D18" s="34">
        <f t="shared" si="6"/>
        <v>254519</v>
      </c>
      <c r="E18" s="34">
        <f t="shared" si="6"/>
        <v>75885</v>
      </c>
      <c r="F18" s="34">
        <f t="shared" si="6"/>
        <v>129707</v>
      </c>
      <c r="G18" s="34">
        <f t="shared" si="6"/>
        <v>239538</v>
      </c>
      <c r="H18" s="34">
        <f t="shared" si="6"/>
        <v>57897</v>
      </c>
      <c r="I18" s="34">
        <f t="shared" si="6"/>
        <v>6759</v>
      </c>
      <c r="J18" s="34">
        <f t="shared" ref="J18" si="7">SUM(J16:J17)</f>
        <v>59980</v>
      </c>
      <c r="K18" s="34">
        <f t="shared" ref="K18" si="8">SUM(K16:K17)</f>
        <v>18861</v>
      </c>
      <c r="L18" s="34">
        <f t="shared" si="6"/>
        <v>52845</v>
      </c>
      <c r="M18" s="34">
        <f t="shared" si="6"/>
        <v>1568</v>
      </c>
      <c r="N18" s="288">
        <f>SUM(B18:M18)</f>
        <v>2245278</v>
      </c>
    </row>
    <row r="19" spans="1:14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6"/>
    </row>
    <row r="20" spans="1:14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6">
        <f>SUM(B20:M20)</f>
        <v>0</v>
      </c>
    </row>
    <row r="21" spans="1:14" x14ac:dyDescent="0.2">
      <c r="A21" s="62" t="s">
        <v>33</v>
      </c>
      <c r="B21" s="21">
        <f>SUM([3]Delta!$EL$37:$ET$37)</f>
        <v>18165</v>
      </c>
      <c r="C21" s="21">
        <f>SUM('[3]Atlantic Southeast'!$EL$37:$ET$37)</f>
        <v>260</v>
      </c>
      <c r="D21" s="21">
        <f>SUM([3]Pinnacle!$EL$37:$ET$37)</f>
        <v>1409</v>
      </c>
      <c r="E21" s="21">
        <f>SUM([3]Compass!$EL$37:$ET$37)</f>
        <v>525</v>
      </c>
      <c r="F21" s="21">
        <f>SUM('[3]Sky West'!$EL$37:$ET$37)</f>
        <v>695</v>
      </c>
      <c r="G21" s="21">
        <f>SUM('[3]Sun Country'!$EL$37:$ET$37)</f>
        <v>666</v>
      </c>
      <c r="H21" s="21">
        <f>SUM([3]Icelandair!$EL$37:$ET$37)</f>
        <v>298</v>
      </c>
      <c r="I21" s="21">
        <f>SUM('[3]Jazz Air'!$EL$37:$ET$37)</f>
        <v>24</v>
      </c>
      <c r="J21" s="21">
        <f>SUM('[3]Air Georgian'!$EL$37:$ET$37)</f>
        <v>0</v>
      </c>
      <c r="K21" s="21">
        <f>SUM([3]Condor!$EL$37:$ET$37)</f>
        <v>0</v>
      </c>
      <c r="L21" s="21">
        <f>SUM('[3]Air France'!$EL$37:$ET$37)</f>
        <v>55</v>
      </c>
      <c r="M21" s="21">
        <f>SUM('[3]Charter Misc'!$EL$37:$ET$37)++SUM([3]Ryan!$EL$37:$ET$37)+SUM([3]Omni!$EL$37:$ET$37)</f>
        <v>0</v>
      </c>
      <c r="N21" s="286">
        <f>SUM(B21:M21)</f>
        <v>22097</v>
      </c>
    </row>
    <row r="22" spans="1:14" x14ac:dyDescent="0.2">
      <c r="A22" s="62" t="s">
        <v>36</v>
      </c>
      <c r="B22" s="14">
        <f>SUM([3]Delta!$EL$38:$ET$38)</f>
        <v>17837</v>
      </c>
      <c r="C22" s="14">
        <f>SUM('[3]Atlantic Southeast'!$EL$38:$ET$38)</f>
        <v>241</v>
      </c>
      <c r="D22" s="14">
        <f>SUM([3]Pinnacle!$EL$38:$ET$38)</f>
        <v>1565</v>
      </c>
      <c r="E22" s="14">
        <f>SUM([3]Compass!$EL$38:$ET$38)</f>
        <v>478</v>
      </c>
      <c r="F22" s="14">
        <f>SUM('[3]Sky West'!$EL$38:$ET$38)</f>
        <v>618</v>
      </c>
      <c r="G22" s="14">
        <f>SUM('[3]Sun Country'!$EL$38:$ET$38)</f>
        <v>776</v>
      </c>
      <c r="H22" s="14">
        <f>SUM([3]Icelandair!$EL$38:$ET$38)</f>
        <v>368</v>
      </c>
      <c r="I22" s="14">
        <f>SUM('[3]Jazz Air'!$EL$38:$ET$38)</f>
        <v>39</v>
      </c>
      <c r="J22" s="14">
        <f>SUM('[3]Air Georgian'!$EL$38:$ET$38)</f>
        <v>0</v>
      </c>
      <c r="K22" s="14">
        <f>SUM([3]Condor!$EL$38:$ET$38)</f>
        <v>0</v>
      </c>
      <c r="L22" s="14">
        <f>SUM('[3]Air France'!$EL$38:$ET$38)</f>
        <v>28</v>
      </c>
      <c r="M22" s="14">
        <f>SUM('[3]Charter Misc'!$EL$38:$ET$38)++SUM([3]Ryan!$EL$38:$ET$38)+SUM([3]Omni!$EL$38:$ET$38)</f>
        <v>0</v>
      </c>
      <c r="N22" s="287">
        <f>SUM(B22:M22)</f>
        <v>21950</v>
      </c>
    </row>
    <row r="23" spans="1:14" ht="15.75" thickBot="1" x14ac:dyDescent="0.3">
      <c r="A23" s="63" t="s">
        <v>37</v>
      </c>
      <c r="B23" s="289">
        <f t="shared" ref="B23:M23" si="9">SUM(B21:B22)</f>
        <v>36002</v>
      </c>
      <c r="C23" s="289">
        <f t="shared" si="9"/>
        <v>501</v>
      </c>
      <c r="D23" s="289">
        <f t="shared" si="9"/>
        <v>2974</v>
      </c>
      <c r="E23" s="289">
        <f t="shared" si="9"/>
        <v>1003</v>
      </c>
      <c r="F23" s="289">
        <f t="shared" si="9"/>
        <v>1313</v>
      </c>
      <c r="G23" s="289">
        <f t="shared" si="9"/>
        <v>1442</v>
      </c>
      <c r="H23" s="289">
        <f t="shared" si="9"/>
        <v>666</v>
      </c>
      <c r="I23" s="289">
        <f t="shared" si="9"/>
        <v>63</v>
      </c>
      <c r="J23" s="289">
        <f t="shared" ref="J23" si="10">SUM(J21:J22)</f>
        <v>0</v>
      </c>
      <c r="K23" s="289">
        <f t="shared" ref="K23" si="11">SUM(K21:K22)</f>
        <v>0</v>
      </c>
      <c r="L23" s="289">
        <f t="shared" si="9"/>
        <v>83</v>
      </c>
      <c r="M23" s="289">
        <f t="shared" si="9"/>
        <v>0</v>
      </c>
      <c r="N23" s="290">
        <f>SUM(B23:M23)</f>
        <v>44047</v>
      </c>
    </row>
    <row r="25" spans="1:14" ht="39" thickBot="1" x14ac:dyDescent="0.25">
      <c r="B25" s="12" t="s">
        <v>20</v>
      </c>
      <c r="C25" s="277" t="s">
        <v>54</v>
      </c>
      <c r="D25" s="439" t="s">
        <v>169</v>
      </c>
      <c r="E25" s="12" t="s">
        <v>124</v>
      </c>
      <c r="F25" s="12" t="s">
        <v>104</v>
      </c>
      <c r="G25" s="12" t="s">
        <v>148</v>
      </c>
      <c r="H25" s="12" t="s">
        <v>120</v>
      </c>
      <c r="I25" s="277" t="s">
        <v>210</v>
      </c>
      <c r="J25" s="277" t="s">
        <v>214</v>
      </c>
      <c r="K25" s="277" t="s">
        <v>182</v>
      </c>
      <c r="L25" s="12" t="s">
        <v>168</v>
      </c>
      <c r="M25" s="12" t="s">
        <v>149</v>
      </c>
      <c r="N25" s="277" t="s">
        <v>24</v>
      </c>
    </row>
    <row r="26" spans="1:14" ht="15" x14ac:dyDescent="0.25">
      <c r="A26" s="509" t="s">
        <v>153</v>
      </c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1"/>
    </row>
    <row r="27" spans="1:14" x14ac:dyDescent="0.2">
      <c r="A27" s="62" t="s">
        <v>25</v>
      </c>
      <c r="B27" s="21">
        <f>[3]Delta!$ET$15</f>
        <v>359</v>
      </c>
      <c r="C27" s="21">
        <f>'[3]Atlantic Southeast'!$ET$15</f>
        <v>56</v>
      </c>
      <c r="D27" s="21">
        <f>[3]Pinnacle!$ET$15</f>
        <v>161</v>
      </c>
      <c r="E27" s="21">
        <f>[3]Compass!$ET$15</f>
        <v>52</v>
      </c>
      <c r="F27" s="21">
        <f>'[3]Sky West'!$ET$15</f>
        <v>87</v>
      </c>
      <c r="G27" s="21">
        <f>'[3]Sun Country'!$ET$15</f>
        <v>3</v>
      </c>
      <c r="H27" s="21">
        <f>[3]Icelandair!$ET$15</f>
        <v>26</v>
      </c>
      <c r="I27" s="21">
        <f>'[3]Jazz Air'!$ET$15</f>
        <v>0</v>
      </c>
      <c r="J27" s="21">
        <f>'[3]Air Georgian'!$ET$15</f>
        <v>115</v>
      </c>
      <c r="K27" s="21">
        <f>[3]Condor!$ET$15</f>
        <v>3</v>
      </c>
      <c r="L27" s="21">
        <f>'[3]Air France'!$ET$15</f>
        <v>19</v>
      </c>
      <c r="M27" s="21">
        <f>'[3]Charter Misc'!$ET$15+[3]Ryan!$ET$15+[3]Omni!$ET$15</f>
        <v>1</v>
      </c>
      <c r="N27" s="286">
        <f>SUM(B27:M27)</f>
        <v>882</v>
      </c>
    </row>
    <row r="28" spans="1:14" x14ac:dyDescent="0.2">
      <c r="A28" s="62" t="s">
        <v>26</v>
      </c>
      <c r="B28" s="21">
        <f>[3]Delta!$ET$16</f>
        <v>356</v>
      </c>
      <c r="C28" s="21">
        <f>'[3]Atlantic Southeast'!$ET$16</f>
        <v>52</v>
      </c>
      <c r="D28" s="21">
        <f>[3]Pinnacle!$ET$16</f>
        <v>168</v>
      </c>
      <c r="E28" s="21">
        <f>[3]Compass!$ET$16</f>
        <v>52</v>
      </c>
      <c r="F28" s="21">
        <f>'[3]Sky West'!$ET$16</f>
        <v>87</v>
      </c>
      <c r="G28" s="21">
        <f>'[3]Sun Country'!$ET$16</f>
        <v>4</v>
      </c>
      <c r="H28" s="21">
        <f>[3]Icelandair!$ET$16</f>
        <v>26</v>
      </c>
      <c r="I28" s="21">
        <f>'[3]Jazz Air'!$ET$16</f>
        <v>0</v>
      </c>
      <c r="J28" s="21">
        <f>'[3]Air Georgian'!$ET$16</f>
        <v>115</v>
      </c>
      <c r="K28" s="21">
        <f>[3]Condor!$ET$16</f>
        <v>3</v>
      </c>
      <c r="L28" s="21">
        <f>'[3]Air France'!$ET$16</f>
        <v>19</v>
      </c>
      <c r="M28" s="21">
        <f>'[3]Charter Misc'!$ET$16+[3]Ryan!$ET$16+[3]Omni!$ET$16</f>
        <v>0</v>
      </c>
      <c r="N28" s="286">
        <f>SUM(B28:M28)</f>
        <v>882</v>
      </c>
    </row>
    <row r="29" spans="1:14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6"/>
    </row>
    <row r="30" spans="1:14" ht="15.75" thickBot="1" x14ac:dyDescent="0.3">
      <c r="A30" s="63" t="s">
        <v>31</v>
      </c>
      <c r="B30" s="392">
        <f t="shared" ref="B30:I30" si="12">SUM(B27:B28)</f>
        <v>715</v>
      </c>
      <c r="C30" s="392">
        <f t="shared" si="12"/>
        <v>108</v>
      </c>
      <c r="D30" s="392">
        <f t="shared" si="12"/>
        <v>329</v>
      </c>
      <c r="E30" s="392">
        <f t="shared" si="12"/>
        <v>104</v>
      </c>
      <c r="F30" s="392">
        <f>SUM(F27:F28)</f>
        <v>174</v>
      </c>
      <c r="G30" s="392">
        <f t="shared" si="12"/>
        <v>7</v>
      </c>
      <c r="H30" s="392">
        <f t="shared" si="12"/>
        <v>52</v>
      </c>
      <c r="I30" s="392">
        <f t="shared" si="12"/>
        <v>0</v>
      </c>
      <c r="J30" s="392">
        <f t="shared" ref="J30" si="13">SUM(J27:J28)</f>
        <v>230</v>
      </c>
      <c r="K30" s="392">
        <f>SUM(K27:K28)</f>
        <v>6</v>
      </c>
      <c r="L30" s="392">
        <f>SUM(L27:L28)</f>
        <v>38</v>
      </c>
      <c r="M30" s="392">
        <f>SUM(M27:M28)</f>
        <v>1</v>
      </c>
      <c r="N30" s="393">
        <f>SUM(B30:M30)</f>
        <v>1764</v>
      </c>
    </row>
    <row r="31" spans="1:14" ht="15" x14ac:dyDescent="0.25">
      <c r="A31" s="394"/>
    </row>
    <row r="32" spans="1:14" ht="39" thickBot="1" x14ac:dyDescent="0.25">
      <c r="B32" s="12" t="s">
        <v>20</v>
      </c>
      <c r="C32" s="277" t="s">
        <v>54</v>
      </c>
      <c r="D32" s="439" t="s">
        <v>169</v>
      </c>
      <c r="E32" s="12" t="s">
        <v>124</v>
      </c>
      <c r="F32" s="12" t="s">
        <v>104</v>
      </c>
      <c r="G32" s="12" t="s">
        <v>148</v>
      </c>
      <c r="H32" s="12" t="s">
        <v>120</v>
      </c>
      <c r="I32" s="277" t="s">
        <v>210</v>
      </c>
      <c r="J32" s="277" t="s">
        <v>214</v>
      </c>
      <c r="K32" s="277" t="s">
        <v>182</v>
      </c>
      <c r="L32" s="12" t="s">
        <v>168</v>
      </c>
      <c r="M32" s="12" t="s">
        <v>149</v>
      </c>
      <c r="N32" s="277" t="s">
        <v>151</v>
      </c>
    </row>
    <row r="33" spans="1:14" ht="15" x14ac:dyDescent="0.25">
      <c r="A33" s="512" t="s">
        <v>154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4"/>
    </row>
    <row r="34" spans="1:14" x14ac:dyDescent="0.2">
      <c r="A34" s="62" t="s">
        <v>25</v>
      </c>
      <c r="B34" s="21">
        <f>SUM([3]Delta!$EL$15:$ET$15)</f>
        <v>3842</v>
      </c>
      <c r="C34" s="21">
        <f>SUM('[3]Atlantic Southeast'!$EL$15:$ET$15)</f>
        <v>331</v>
      </c>
      <c r="D34" s="21">
        <f>SUM([3]Pinnacle!$EL$15:$ET$15)</f>
        <v>2068</v>
      </c>
      <c r="E34" s="21">
        <f>SUM([3]Compass!$EL$15:$ET$15)</f>
        <v>581</v>
      </c>
      <c r="F34" s="21">
        <f>SUM('[3]Sky West'!$EL$15:$ET$15)</f>
        <v>1031</v>
      </c>
      <c r="G34" s="21">
        <f>SUM('[3]Sun Country'!$EL$15:$ET$15)</f>
        <v>1024</v>
      </c>
      <c r="H34" s="21">
        <f>SUM([3]Icelandair!$EL$15:$ET$15)</f>
        <v>153</v>
      </c>
      <c r="I34" s="21">
        <f>SUM('[3]Jazz Air'!$EL$15:$ET$15)</f>
        <v>92</v>
      </c>
      <c r="J34" s="21">
        <f>SUM('[3]Air Georgian'!$EL$15:$ET$15)</f>
        <v>724</v>
      </c>
      <c r="K34" s="21">
        <f>SUM([3]Condor!$EL$15:$ET$15)</f>
        <v>42</v>
      </c>
      <c r="L34" s="21">
        <f>SUM('[3]Air France'!$EL$15:$ET$15)</f>
        <v>125</v>
      </c>
      <c r="M34" s="21">
        <f>SUM('[3]Charter Misc'!$EL$15:$ET$15)+SUM([3]Ryan!$EL$15:$ET$15)+SUM([3]Omni!$EL$15:$ET$15)</f>
        <v>6</v>
      </c>
      <c r="N34" s="286">
        <f>SUM(B34:M34)</f>
        <v>10019</v>
      </c>
    </row>
    <row r="35" spans="1:14" x14ac:dyDescent="0.2">
      <c r="A35" s="62" t="s">
        <v>26</v>
      </c>
      <c r="B35" s="21">
        <f>SUM([3]Delta!$EL$16:$ET$16)</f>
        <v>3847</v>
      </c>
      <c r="C35" s="21">
        <f>SUM('[3]Atlantic Southeast'!$EL$16:$ET$16)</f>
        <v>308</v>
      </c>
      <c r="D35" s="21">
        <f>SUM([3]Pinnacle!$EL$16:$ET$16)</f>
        <v>2111</v>
      </c>
      <c r="E35" s="21">
        <f>SUM([3]Compass!$EL$16:$ET$16)</f>
        <v>580</v>
      </c>
      <c r="F35" s="21">
        <f>SUM('[3]Sky West'!$EL$16:$ET$16)</f>
        <v>1037</v>
      </c>
      <c r="G35" s="21">
        <f>SUM('[3]Sun Country'!$EL$16:$ET$16)</f>
        <v>1010</v>
      </c>
      <c r="H35" s="21">
        <f>SUM([3]Icelandair!$EL$16:$ET$16)</f>
        <v>153</v>
      </c>
      <c r="I35" s="21">
        <f>SUM('[3]Jazz Air'!$EL$16:$ET$16)</f>
        <v>93</v>
      </c>
      <c r="J35" s="21">
        <f>SUM('[3]Air Georgian'!$EL$16:$ET$16)</f>
        <v>723</v>
      </c>
      <c r="K35" s="21">
        <f>SUM([3]Condor!$EL$16:$ET$16)</f>
        <v>42</v>
      </c>
      <c r="L35" s="21">
        <f>SUM('[3]Air France'!$EL$16:$ET$16)</f>
        <v>125</v>
      </c>
      <c r="M35" s="21">
        <f>SUM('[3]Charter Misc'!$EL$16:$ET$16)+SUM([3]Ryan!$EL$16:$ET$16)+SUM([3]Omni!$EL$16:$ET$16)</f>
        <v>3</v>
      </c>
      <c r="N35" s="286">
        <f>SUM(B35:M35)</f>
        <v>10032</v>
      </c>
    </row>
    <row r="36" spans="1:14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6"/>
    </row>
    <row r="37" spans="1:14" ht="15.75" thickBot="1" x14ac:dyDescent="0.3">
      <c r="A37" s="63" t="s">
        <v>31</v>
      </c>
      <c r="B37" s="392">
        <f t="shared" ref="B37:I37" si="14">+SUM(B34:B35)</f>
        <v>7689</v>
      </c>
      <c r="C37" s="392">
        <f t="shared" si="14"/>
        <v>639</v>
      </c>
      <c r="D37" s="392">
        <f t="shared" si="14"/>
        <v>4179</v>
      </c>
      <c r="E37" s="392">
        <f t="shared" si="14"/>
        <v>1161</v>
      </c>
      <c r="F37" s="392">
        <f>+SUM(F34:F35)</f>
        <v>2068</v>
      </c>
      <c r="G37" s="392">
        <f t="shared" si="14"/>
        <v>2034</v>
      </c>
      <c r="H37" s="392">
        <f t="shared" si="14"/>
        <v>306</v>
      </c>
      <c r="I37" s="392">
        <f t="shared" si="14"/>
        <v>185</v>
      </c>
      <c r="J37" s="392">
        <f t="shared" ref="J37" si="15">+SUM(J34:J35)</f>
        <v>1447</v>
      </c>
      <c r="K37" s="392">
        <f>+SUM(K34:K35)</f>
        <v>84</v>
      </c>
      <c r="L37" s="392">
        <f>+SUM(L34:L35)</f>
        <v>250</v>
      </c>
      <c r="M37" s="392">
        <f>+SUM(M34:M35)</f>
        <v>9</v>
      </c>
      <c r="N37" s="393">
        <f>SUM(B37:M37)</f>
        <v>20051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&amp;"Arial,Bold"September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2016-10-31T20:38:34Z</cp:lastPrinted>
  <dcterms:created xsi:type="dcterms:W3CDTF">2007-09-24T12:26:24Z</dcterms:created>
  <dcterms:modified xsi:type="dcterms:W3CDTF">2020-01-29T19:48:25Z</dcterms:modified>
</cp:coreProperties>
</file>