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6773C861-A45C-4788-84DC-239672D20288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Activity'!$A$1:$AJ$61</definedName>
    <definedName name="_xlnm.Print_Area" localSheetId="2">'Other Major Airline Stats'!$A$2:$K$50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5" i="9" l="1"/>
  <c r="AE55" i="9"/>
  <c r="Y55" i="9"/>
  <c r="V55" i="9"/>
  <c r="P55" i="9"/>
  <c r="M55" i="9"/>
  <c r="G55" i="9"/>
  <c r="D55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50" i="9"/>
  <c r="AE50" i="9"/>
  <c r="Y50" i="9"/>
  <c r="V50" i="9"/>
  <c r="P50" i="9"/>
  <c r="M50" i="9"/>
  <c r="G50" i="9"/>
  <c r="D50" i="9"/>
  <c r="AH47" i="9"/>
  <c r="AE47" i="9"/>
  <c r="Y47" i="9"/>
  <c r="V47" i="9"/>
  <c r="P47" i="9"/>
  <c r="M47" i="9"/>
  <c r="G47" i="9"/>
  <c r="D47" i="9"/>
  <c r="AH45" i="9"/>
  <c r="AE45" i="9"/>
  <c r="Y45" i="9"/>
  <c r="V45" i="9"/>
  <c r="P45" i="9"/>
  <c r="M45" i="9"/>
  <c r="G45" i="9"/>
  <c r="D45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9" i="9"/>
  <c r="AE29" i="9"/>
  <c r="Y29" i="9"/>
  <c r="V29" i="9"/>
  <c r="P29" i="9"/>
  <c r="M29" i="9"/>
  <c r="G29" i="9"/>
  <c r="D29" i="9"/>
  <c r="AH26" i="9"/>
  <c r="AE26" i="9"/>
  <c r="Y26" i="9"/>
  <c r="V26" i="9"/>
  <c r="P26" i="9"/>
  <c r="M26" i="9"/>
  <c r="G26" i="9"/>
  <c r="D26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4" i="9"/>
  <c r="AE14" i="9"/>
  <c r="Y14" i="9"/>
  <c r="V14" i="9"/>
  <c r="P14" i="9"/>
  <c r="M14" i="9"/>
  <c r="G14" i="9"/>
  <c r="D14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5" i="9"/>
  <c r="AE5" i="9"/>
  <c r="Y5" i="9"/>
  <c r="V5" i="9"/>
  <c r="P5" i="9"/>
  <c r="M5" i="9"/>
  <c r="G5" i="9"/>
  <c r="D5" i="9"/>
  <c r="AG55" i="9"/>
  <c r="AD55" i="9"/>
  <c r="X55" i="9"/>
  <c r="U55" i="9"/>
  <c r="O55" i="9"/>
  <c r="L55" i="9"/>
  <c r="F55" i="9"/>
  <c r="C55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50" i="9"/>
  <c r="AD50" i="9"/>
  <c r="X50" i="9"/>
  <c r="U50" i="9"/>
  <c r="O50" i="9"/>
  <c r="L50" i="9"/>
  <c r="F50" i="9"/>
  <c r="C50" i="9"/>
  <c r="AG47" i="9"/>
  <c r="AD47" i="9"/>
  <c r="X47" i="9"/>
  <c r="U47" i="9"/>
  <c r="O47" i="9"/>
  <c r="L47" i="9"/>
  <c r="F47" i="9"/>
  <c r="C47" i="9"/>
  <c r="AG45" i="9"/>
  <c r="AD45" i="9"/>
  <c r="X45" i="9"/>
  <c r="U45" i="9"/>
  <c r="O45" i="9"/>
  <c r="L45" i="9"/>
  <c r="F45" i="9"/>
  <c r="C45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9" i="9"/>
  <c r="AD29" i="9"/>
  <c r="X29" i="9"/>
  <c r="U29" i="9"/>
  <c r="O29" i="9"/>
  <c r="L29" i="9"/>
  <c r="F29" i="9"/>
  <c r="C29" i="9"/>
  <c r="AG26" i="9"/>
  <c r="AD26" i="9"/>
  <c r="X26" i="9"/>
  <c r="U26" i="9"/>
  <c r="O26" i="9"/>
  <c r="L26" i="9"/>
  <c r="F26" i="9"/>
  <c r="C26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4" i="9"/>
  <c r="AD14" i="9"/>
  <c r="X14" i="9"/>
  <c r="U14" i="9"/>
  <c r="O14" i="9"/>
  <c r="L14" i="9"/>
  <c r="F14" i="9"/>
  <c r="C14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3" i="7"/>
  <c r="L23" i="7"/>
  <c r="C23" i="7"/>
  <c r="B23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G9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8" i="1"/>
  <c r="H7" i="1"/>
  <c r="E7" i="1"/>
  <c r="H6" i="1"/>
  <c r="E6" i="1"/>
  <c r="H5" i="1"/>
  <c r="E5" i="1"/>
  <c r="D23" i="7" l="1"/>
  <c r="M22" i="7"/>
  <c r="L22" i="7"/>
  <c r="C22" i="7"/>
  <c r="B22" i="7"/>
  <c r="D22" i="7" s="1"/>
  <c r="M21" i="7" l="1"/>
  <c r="L21" i="7"/>
  <c r="C21" i="7"/>
  <c r="B21" i="7"/>
  <c r="AF7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1" i="9" l="1"/>
  <c r="W26" i="9"/>
  <c r="W52" i="9"/>
  <c r="N21" i="9"/>
  <c r="O59" i="9"/>
  <c r="C59" i="9"/>
  <c r="U59" i="9"/>
  <c r="AD59" i="9"/>
  <c r="D59" i="9"/>
  <c r="D64" i="9" s="1"/>
  <c r="M59" i="9"/>
  <c r="M64" i="9" s="1"/>
  <c r="F59" i="9"/>
  <c r="V59" i="9"/>
  <c r="G59" i="9"/>
  <c r="G64" i="9" s="1"/>
  <c r="AE59" i="9"/>
  <c r="AH59" i="9"/>
  <c r="L59" i="9"/>
  <c r="P59" i="9"/>
  <c r="P64" i="9" s="1"/>
  <c r="X59" i="9"/>
  <c r="Y59" i="9"/>
  <c r="AG59" i="9"/>
  <c r="AF21" i="9"/>
  <c r="W18" i="9"/>
  <c r="AF41" i="9"/>
  <c r="W37" i="9"/>
  <c r="W51" i="9"/>
  <c r="N7" i="9"/>
  <c r="W55" i="9"/>
  <c r="W7" i="9"/>
  <c r="Z47" i="9"/>
  <c r="E7" i="9"/>
  <c r="W21" i="9"/>
  <c r="W33" i="9"/>
  <c r="E41" i="9"/>
  <c r="W47" i="9"/>
  <c r="E9" i="9"/>
  <c r="AF9" i="9"/>
  <c r="W11" i="9"/>
  <c r="W31" i="9"/>
  <c r="W45" i="9"/>
  <c r="W9" i="9"/>
  <c r="E24" i="9"/>
  <c r="W30" i="9"/>
  <c r="W41" i="9"/>
  <c r="W53" i="9"/>
  <c r="AF24" i="9"/>
  <c r="N41" i="9"/>
  <c r="N9" i="9"/>
  <c r="AI24" i="9"/>
  <c r="Z37" i="9"/>
  <c r="Z55" i="9"/>
  <c r="AI21" i="9"/>
  <c r="H14" i="17"/>
  <c r="Z33" i="9"/>
  <c r="Z18" i="9"/>
  <c r="AI7" i="9"/>
  <c r="Z41" i="9"/>
  <c r="H6" i="17"/>
  <c r="H24" i="17"/>
  <c r="H24" i="9"/>
  <c r="Z24" i="9"/>
  <c r="N24" i="9"/>
  <c r="W24" i="9"/>
  <c r="N6" i="17"/>
  <c r="N24" i="17"/>
  <c r="Z21" i="9"/>
  <c r="Z45" i="9"/>
  <c r="Q21" i="9"/>
  <c r="E17" i="17"/>
  <c r="Q24" i="9"/>
  <c r="Z26" i="9"/>
  <c r="Z7" i="9"/>
  <c r="Z51" i="9"/>
  <c r="Q7" i="9"/>
  <c r="AI9" i="9"/>
  <c r="Q41" i="9"/>
  <c r="Z9" i="9"/>
  <c r="Z30" i="9"/>
  <c r="Z52" i="9"/>
  <c r="Q9" i="9"/>
  <c r="AI41" i="9"/>
  <c r="Z11" i="9"/>
  <c r="Z31" i="9"/>
  <c r="Z53" i="9"/>
  <c r="N14" i="17"/>
  <c r="E14" i="17"/>
  <c r="H17" i="17"/>
  <c r="E6" i="17"/>
  <c r="E24" i="17"/>
  <c r="H41" i="9"/>
  <c r="Q11" i="17"/>
  <c r="Q12" i="17"/>
  <c r="N12" i="17"/>
  <c r="H21" i="9"/>
  <c r="N17" i="17"/>
  <c r="E30" i="17"/>
  <c r="E11" i="17"/>
  <c r="N30" i="17"/>
  <c r="H7" i="9"/>
  <c r="H11" i="17"/>
  <c r="H30" i="17"/>
  <c r="Q17" i="17"/>
  <c r="N11" i="17"/>
  <c r="H9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29" i="9" l="1"/>
  <c r="AI18" i="9" l="1"/>
  <c r="E22" i="1" l="1"/>
  <c r="AI20" i="9"/>
  <c r="AI26" i="9"/>
  <c r="AI35" i="9"/>
  <c r="AE13" i="9"/>
  <c r="AF5" i="9"/>
  <c r="AF11" i="9"/>
  <c r="AF17" i="9"/>
  <c r="AF19" i="9"/>
  <c r="AF29" i="9"/>
  <c r="AF31" i="9"/>
  <c r="AF33" i="9"/>
  <c r="AF37" i="9"/>
  <c r="AF43" i="9"/>
  <c r="AF47" i="9"/>
  <c r="AF52" i="9"/>
  <c r="AF55" i="9"/>
  <c r="AH16" i="9"/>
  <c r="AF22" i="9"/>
  <c r="AF51" i="9"/>
  <c r="AI39" i="9"/>
  <c r="AI17" i="9"/>
  <c r="AI52" i="9"/>
  <c r="AH4" i="9"/>
  <c r="AE4" i="9"/>
  <c r="AE16" i="9"/>
  <c r="AE28" i="9"/>
  <c r="AI51" i="9"/>
  <c r="AF14" i="9"/>
  <c r="AF18" i="9"/>
  <c r="AF20" i="9"/>
  <c r="AF26" i="9"/>
  <c r="AF30" i="9"/>
  <c r="AF35" i="9"/>
  <c r="AF39" i="9"/>
  <c r="AF45" i="9"/>
  <c r="AF53" i="9"/>
  <c r="AI31" i="9"/>
  <c r="AI37" i="9"/>
  <c r="AF50" i="9"/>
  <c r="AI55" i="9"/>
  <c r="AI53" i="9"/>
  <c r="AH13" i="9"/>
  <c r="AH28" i="9"/>
  <c r="AH49" i="9"/>
  <c r="AI11" i="9"/>
  <c r="AI43" i="9"/>
  <c r="AD4" i="9"/>
  <c r="AD13" i="9"/>
  <c r="AD49" i="9"/>
  <c r="AI19" i="9"/>
  <c r="AG28" i="9"/>
  <c r="AI30" i="9"/>
  <c r="AI45" i="9"/>
  <c r="AI47" i="9"/>
  <c r="AG16" i="9"/>
  <c r="AI5" i="9"/>
  <c r="AG4" i="9"/>
  <c r="AE49" i="9"/>
  <c r="AG13" i="9"/>
  <c r="AI22" i="9"/>
  <c r="AD28" i="9"/>
  <c r="AI33" i="9"/>
  <c r="AG49" i="9"/>
  <c r="AI14" i="9"/>
  <c r="AD16" i="9"/>
  <c r="AI50" i="9"/>
  <c r="AE60" i="9" l="1"/>
  <c r="AE58" i="9" s="1"/>
  <c r="AD60" i="9"/>
  <c r="AD58" i="9" s="1"/>
  <c r="AH60" i="9"/>
  <c r="AH58" i="9" s="1"/>
  <c r="AG60" i="9"/>
  <c r="H22" i="1"/>
  <c r="AF13" i="9"/>
  <c r="AF28" i="9"/>
  <c r="AF4" i="9"/>
  <c r="AF16" i="9"/>
  <c r="AF59" i="9"/>
  <c r="AI13" i="9"/>
  <c r="AI59" i="9"/>
  <c r="AF49" i="9"/>
  <c r="AI28" i="9"/>
  <c r="AI49" i="9"/>
  <c r="AI4" i="9"/>
  <c r="AI16" i="9"/>
  <c r="AJ49" i="9" l="1"/>
  <c r="AG58" i="9"/>
  <c r="AJ41" i="9"/>
  <c r="AJ9" i="9"/>
  <c r="AJ59" i="9"/>
  <c r="AJ4" i="9"/>
  <c r="AJ13" i="9"/>
  <c r="AJ16" i="9"/>
  <c r="AJ22" i="9"/>
  <c r="AJ47" i="9"/>
  <c r="AJ11" i="9"/>
  <c r="AJ17" i="9"/>
  <c r="AJ18" i="9"/>
  <c r="AJ7" i="9"/>
  <c r="AJ21" i="9"/>
  <c r="AJ26" i="9"/>
  <c r="AJ45" i="9"/>
  <c r="AJ52" i="9"/>
  <c r="AJ31" i="9"/>
  <c r="AJ24" i="9"/>
  <c r="AJ29" i="9"/>
  <c r="AJ30" i="9"/>
  <c r="AJ20" i="9"/>
  <c r="AJ33" i="9"/>
  <c r="AJ55" i="9"/>
  <c r="AJ35" i="9"/>
  <c r="AJ19" i="9"/>
  <c r="AJ51" i="9"/>
  <c r="AJ39" i="9"/>
  <c r="AJ43" i="9"/>
  <c r="AJ37" i="9"/>
  <c r="AJ53" i="9"/>
  <c r="AJ5" i="9"/>
  <c r="AJ50" i="9"/>
  <c r="AJ14" i="9"/>
  <c r="AJ28" i="9"/>
  <c r="AF60" i="9"/>
  <c r="AF58" i="9"/>
  <c r="AI60" i="9"/>
  <c r="AJ60" i="9" s="1"/>
  <c r="AJ58" i="9" l="1"/>
  <c r="AI58" i="9"/>
  <c r="H6" i="7" l="1"/>
  <c r="H5" i="7"/>
  <c r="I5" i="15"/>
  <c r="N55" i="9"/>
  <c r="Q55" i="9"/>
  <c r="F12" i="7"/>
  <c r="F7" i="7"/>
  <c r="E55" i="9"/>
  <c r="H55" i="9"/>
  <c r="K16" i="3" l="1"/>
  <c r="K17" i="3"/>
  <c r="K20" i="3"/>
  <c r="E59" i="9" l="1"/>
  <c r="G9" i="17"/>
  <c r="N53" i="9" l="1"/>
  <c r="N51" i="9"/>
  <c r="E35" i="9"/>
  <c r="H33" i="9"/>
  <c r="W22" i="9"/>
  <c r="N22" i="9"/>
  <c r="N18" i="9"/>
  <c r="L13" i="9"/>
  <c r="W5" i="9"/>
  <c r="E5" i="9"/>
  <c r="J2" i="9"/>
  <c r="S2" i="9" s="1"/>
  <c r="AB2" i="9" s="1"/>
  <c r="M38" i="16"/>
  <c r="D38" i="16"/>
  <c r="G28" i="9" l="1"/>
  <c r="Q11" i="9"/>
  <c r="Q51" i="9"/>
  <c r="N11" i="9"/>
  <c r="E14" i="9"/>
  <c r="L4" i="9"/>
  <c r="Q19" i="9"/>
  <c r="Q38" i="16"/>
  <c r="V13" i="9"/>
  <c r="C4" i="9"/>
  <c r="H38" i="16"/>
  <c r="X13" i="9"/>
  <c r="Z17" i="9"/>
  <c r="Z19" i="9"/>
  <c r="H30" i="9"/>
  <c r="Q33" i="9"/>
  <c r="C38" i="16"/>
  <c r="L38" i="16"/>
  <c r="D13" i="9"/>
  <c r="N35" i="9"/>
  <c r="E37" i="9"/>
  <c r="W43" i="9"/>
  <c r="E51" i="9"/>
  <c r="X4" i="9"/>
  <c r="V4" i="9"/>
  <c r="N26" i="9"/>
  <c r="Q45" i="9"/>
  <c r="P38" i="16"/>
  <c r="D4" i="9"/>
  <c r="N43" i="9"/>
  <c r="H47" i="9"/>
  <c r="G38" i="16"/>
  <c r="Z14" i="9"/>
  <c r="P16" i="9"/>
  <c r="N30" i="9"/>
  <c r="H39" i="9"/>
  <c r="N47" i="9"/>
  <c r="E50" i="9"/>
  <c r="O38" i="16"/>
  <c r="M16" i="9"/>
  <c r="K38" i="16"/>
  <c r="Q47" i="9"/>
  <c r="V49" i="9"/>
  <c r="F38" i="16"/>
  <c r="F16" i="9"/>
  <c r="Q31" i="9"/>
  <c r="G49" i="9"/>
  <c r="Y49" i="9"/>
  <c r="G4" i="9"/>
  <c r="L49" i="9"/>
  <c r="Q39" i="9"/>
  <c r="H43" i="9"/>
  <c r="E47" i="9"/>
  <c r="H52" i="9"/>
  <c r="E38" i="16"/>
  <c r="N38" i="16"/>
  <c r="P13" i="9"/>
  <c r="M13" i="9"/>
  <c r="N13" i="9" s="1"/>
  <c r="N19" i="9"/>
  <c r="E22" i="9"/>
  <c r="E26" i="9"/>
  <c r="Y28" i="9"/>
  <c r="E31" i="9"/>
  <c r="H45" i="9"/>
  <c r="N50" i="9"/>
  <c r="E52" i="9"/>
  <c r="W14" i="9"/>
  <c r="E20" i="9"/>
  <c r="P28" i="9"/>
  <c r="N39" i="9"/>
  <c r="E43" i="9"/>
  <c r="Y4" i="9"/>
  <c r="C16" i="9"/>
  <c r="M28" i="9"/>
  <c r="H31" i="9"/>
  <c r="N33" i="9"/>
  <c r="N45" i="9"/>
  <c r="Q50" i="9"/>
  <c r="U49" i="9"/>
  <c r="U4" i="9"/>
  <c r="P49" i="9"/>
  <c r="I38" i="16"/>
  <c r="R36" i="16"/>
  <c r="G13" i="9"/>
  <c r="Y13" i="9"/>
  <c r="H17" i="9"/>
  <c r="E19" i="9"/>
  <c r="N31" i="9"/>
  <c r="W35" i="9"/>
  <c r="N37" i="9"/>
  <c r="E39" i="9"/>
  <c r="W50" i="9"/>
  <c r="N52" i="9"/>
  <c r="R35" i="16"/>
  <c r="P4" i="9"/>
  <c r="E11" i="9"/>
  <c r="U13" i="9"/>
  <c r="N14" i="9"/>
  <c r="W19" i="9"/>
  <c r="C28" i="9"/>
  <c r="Q30" i="9"/>
  <c r="W39" i="9"/>
  <c r="H51" i="9"/>
  <c r="D49" i="9"/>
  <c r="N17" i="9"/>
  <c r="D28" i="9"/>
  <c r="E30" i="9"/>
  <c r="E33" i="9"/>
  <c r="Q37" i="9"/>
  <c r="E45" i="9"/>
  <c r="M4" i="9"/>
  <c r="L16" i="9"/>
  <c r="N20" i="9"/>
  <c r="N29" i="9"/>
  <c r="L28" i="9"/>
  <c r="O4" i="9"/>
  <c r="N5" i="9"/>
  <c r="H19" i="9"/>
  <c r="G16" i="9"/>
  <c r="D16" i="9"/>
  <c r="E18" i="9"/>
  <c r="C13" i="9"/>
  <c r="Q14" i="9"/>
  <c r="O13" i="9"/>
  <c r="W17" i="9"/>
  <c r="U16" i="9"/>
  <c r="X16" i="9"/>
  <c r="Y16" i="9"/>
  <c r="F4" i="9"/>
  <c r="H11" i="9"/>
  <c r="V16" i="9"/>
  <c r="W20" i="9"/>
  <c r="V28" i="9"/>
  <c r="W29" i="9"/>
  <c r="C49" i="9"/>
  <c r="M49" i="9"/>
  <c r="Z50" i="9"/>
  <c r="E53" i="9"/>
  <c r="U28" i="9"/>
  <c r="Z5" i="9"/>
  <c r="H14" i="9"/>
  <c r="Q18" i="9"/>
  <c r="Z22" i="9"/>
  <c r="Q26" i="9"/>
  <c r="E29" i="9"/>
  <c r="H37" i="9"/>
  <c r="Z43" i="9"/>
  <c r="O49" i="9"/>
  <c r="H50" i="9"/>
  <c r="Q53" i="9"/>
  <c r="X49" i="9"/>
  <c r="Q5" i="9"/>
  <c r="F13" i="9"/>
  <c r="E17" i="9"/>
  <c r="H18" i="9"/>
  <c r="Z20" i="9"/>
  <c r="Q22" i="9"/>
  <c r="H26" i="9"/>
  <c r="Z29" i="9"/>
  <c r="Z35" i="9"/>
  <c r="Q43" i="9"/>
  <c r="F49" i="9"/>
  <c r="H53" i="9"/>
  <c r="H5" i="9"/>
  <c r="Q20" i="9"/>
  <c r="H22" i="9"/>
  <c r="X28" i="9"/>
  <c r="Q29" i="9"/>
  <c r="Q35" i="9"/>
  <c r="Q17" i="9"/>
  <c r="H20" i="9"/>
  <c r="O28" i="9"/>
  <c r="H29" i="9"/>
  <c r="H35" i="9"/>
  <c r="Z39" i="9"/>
  <c r="Q52" i="9"/>
  <c r="O16" i="9"/>
  <c r="F28" i="9"/>
  <c r="B38" i="16"/>
  <c r="O60" i="9" l="1"/>
  <c r="O58" i="9" s="1"/>
  <c r="M60" i="9"/>
  <c r="M58" i="9" s="1"/>
  <c r="M63" i="9" s="1"/>
  <c r="F60" i="9"/>
  <c r="F58" i="9" s="1"/>
  <c r="D60" i="9"/>
  <c r="D58" i="9" s="1"/>
  <c r="D63" i="9" s="1"/>
  <c r="P60" i="9"/>
  <c r="P58" i="9" s="1"/>
  <c r="P63" i="9" s="1"/>
  <c r="V60" i="9"/>
  <c r="V58" i="9" s="1"/>
  <c r="Y60" i="9"/>
  <c r="Y58" i="9" s="1"/>
  <c r="G60" i="9"/>
  <c r="G58" i="9" s="1"/>
  <c r="G63" i="9" s="1"/>
  <c r="L60" i="9"/>
  <c r="L58" i="9" s="1"/>
  <c r="C60" i="9"/>
  <c r="C58" i="9" s="1"/>
  <c r="X60" i="9"/>
  <c r="X58" i="9" s="1"/>
  <c r="U60" i="9"/>
  <c r="U58" i="9" s="1"/>
  <c r="W4" i="9"/>
  <c r="W13" i="9"/>
  <c r="N28" i="9"/>
  <c r="N4" i="9"/>
  <c r="Z13" i="9"/>
  <c r="E4" i="9"/>
  <c r="Z4" i="9"/>
  <c r="N16" i="9"/>
  <c r="E13" i="9"/>
  <c r="E28" i="9"/>
  <c r="E16" i="9"/>
  <c r="W49" i="9"/>
  <c r="N49" i="9"/>
  <c r="W59" i="9"/>
  <c r="R38" i="16"/>
  <c r="N59" i="9"/>
  <c r="W16" i="9"/>
  <c r="Q59" i="9"/>
  <c r="H16" i="9"/>
  <c r="Z49" i="9"/>
  <c r="Q49" i="9"/>
  <c r="Q4" i="9"/>
  <c r="H49" i="9"/>
  <c r="Z59" i="9"/>
  <c r="Q28" i="9"/>
  <c r="E49" i="9"/>
  <c r="Z16" i="9"/>
  <c r="Z28" i="9"/>
  <c r="H28" i="9"/>
  <c r="Q13" i="9"/>
  <c r="H59" i="9"/>
  <c r="Q16" i="9"/>
  <c r="H4" i="9"/>
  <c r="H13" i="9"/>
  <c r="W28" i="9"/>
  <c r="R9" i="9" l="1"/>
  <c r="I9" i="9"/>
  <c r="I41" i="9"/>
  <c r="AA41" i="9"/>
  <c r="R41" i="9"/>
  <c r="AA9" i="9"/>
  <c r="E58" i="9"/>
  <c r="E60" i="9"/>
  <c r="Z60" i="9"/>
  <c r="AA60" i="9" s="1"/>
  <c r="W60" i="9"/>
  <c r="AA59" i="9"/>
  <c r="AA55" i="9"/>
  <c r="I49" i="9"/>
  <c r="I55" i="9"/>
  <c r="R4" i="9"/>
  <c r="R55" i="9"/>
  <c r="R28" i="9"/>
  <c r="R49" i="9"/>
  <c r="R13" i="9"/>
  <c r="R16" i="9"/>
  <c r="R59" i="9"/>
  <c r="AA52" i="9"/>
  <c r="AA24" i="9"/>
  <c r="AA50" i="9"/>
  <c r="AA37" i="9"/>
  <c r="AA21" i="9"/>
  <c r="AA14" i="9"/>
  <c r="AA51" i="9"/>
  <c r="AA45" i="9"/>
  <c r="AA31" i="9"/>
  <c r="AA47" i="9"/>
  <c r="AA33" i="9"/>
  <c r="AA19" i="9"/>
  <c r="AA11" i="9"/>
  <c r="AA7" i="9"/>
  <c r="AA35" i="9"/>
  <c r="AA17" i="9"/>
  <c r="AA5" i="9"/>
  <c r="AA4" i="9"/>
  <c r="AA18" i="9"/>
  <c r="AA30" i="9"/>
  <c r="AA29" i="9"/>
  <c r="AA22" i="9"/>
  <c r="AA43" i="9"/>
  <c r="AA39" i="9"/>
  <c r="AA53" i="9"/>
  <c r="AA20" i="9"/>
  <c r="AA13" i="9"/>
  <c r="AA16" i="9"/>
  <c r="I4" i="9"/>
  <c r="AA49" i="9"/>
  <c r="I43" i="9"/>
  <c r="I47" i="9"/>
  <c r="I11" i="9"/>
  <c r="I19" i="9"/>
  <c r="I33" i="9"/>
  <c r="I39" i="9"/>
  <c r="I30" i="9"/>
  <c r="H60" i="9"/>
  <c r="I60" i="9" s="1"/>
  <c r="I52" i="9"/>
  <c r="I24" i="9"/>
  <c r="I17" i="9"/>
  <c r="I29" i="9"/>
  <c r="I53" i="9"/>
  <c r="I7" i="9"/>
  <c r="I50" i="9"/>
  <c r="I51" i="9"/>
  <c r="I45" i="9"/>
  <c r="I31" i="9"/>
  <c r="I20" i="9"/>
  <c r="I14" i="9"/>
  <c r="I18" i="9"/>
  <c r="I37" i="9"/>
  <c r="I35" i="9"/>
  <c r="I16" i="9"/>
  <c r="I21" i="9"/>
  <c r="I22" i="9"/>
  <c r="I5" i="9"/>
  <c r="I26" i="9"/>
  <c r="I13" i="9"/>
  <c r="I28" i="9"/>
  <c r="W58" i="9"/>
  <c r="AA28" i="9"/>
  <c r="I59" i="9"/>
  <c r="Q60" i="9"/>
  <c r="R60" i="9" s="1"/>
  <c r="R45" i="9"/>
  <c r="R31" i="9"/>
  <c r="R51" i="9"/>
  <c r="R46" i="9"/>
  <c r="R47" i="9"/>
  <c r="R33" i="9"/>
  <c r="R19" i="9"/>
  <c r="R39" i="9"/>
  <c r="R30" i="9"/>
  <c r="R29" i="9"/>
  <c r="R26" i="9"/>
  <c r="R14" i="9"/>
  <c r="R43" i="9"/>
  <c r="R37" i="9"/>
  <c r="R17" i="9"/>
  <c r="R21" i="9"/>
  <c r="R18" i="9"/>
  <c r="R11" i="9"/>
  <c r="R53" i="9"/>
  <c r="R20" i="9"/>
  <c r="R50" i="9"/>
  <c r="R52" i="9"/>
  <c r="R24" i="9"/>
  <c r="R5" i="9"/>
  <c r="R7" i="9"/>
  <c r="R35" i="9"/>
  <c r="R22" i="9"/>
  <c r="N60" i="9"/>
  <c r="N58" i="9" l="1"/>
  <c r="I58" i="9"/>
  <c r="H58" i="9"/>
  <c r="R58" i="9"/>
  <c r="Q58" i="9"/>
  <c r="AA58" i="9"/>
  <c r="Z58" i="9"/>
  <c r="AA26" i="9"/>
  <c r="H16" i="17" l="1"/>
  <c r="N16" i="17"/>
  <c r="E16" i="17"/>
  <c r="Q16" i="17"/>
  <c r="R10" i="16" l="1"/>
  <c r="R9" i="16"/>
  <c r="R4" i="16"/>
  <c r="B24" i="7" s="1"/>
  <c r="R5" i="16"/>
  <c r="H23" i="8"/>
  <c r="H6" i="8"/>
  <c r="H12" i="8" s="1"/>
  <c r="H10" i="8"/>
  <c r="C24" i="7" l="1"/>
  <c r="D24" i="7" s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17" i="4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C18" i="3"/>
  <c r="F27" i="15"/>
  <c r="C30" i="3"/>
  <c r="F22" i="3"/>
  <c r="H17" i="4"/>
  <c r="H37" i="4"/>
  <c r="F44" i="3"/>
  <c r="C44" i="3"/>
  <c r="F7" i="15"/>
  <c r="F12" i="15"/>
  <c r="F20" i="15"/>
  <c r="F32" i="15"/>
  <c r="C22" i="3"/>
  <c r="C7" i="3"/>
  <c r="C40" i="3"/>
  <c r="F7" i="3"/>
  <c r="F18" i="3"/>
  <c r="F30" i="3"/>
  <c r="F41" i="15"/>
  <c r="F12" i="3"/>
  <c r="F35" i="3"/>
  <c r="H20" i="4"/>
  <c r="C12" i="3"/>
  <c r="C35" i="3"/>
  <c r="H7" i="4"/>
  <c r="H27" i="4"/>
  <c r="F40" i="15"/>
  <c r="F37" i="15"/>
  <c r="H12" i="4"/>
  <c r="H32" i="4"/>
  <c r="H41" i="4"/>
  <c r="H40" i="4"/>
  <c r="F40" i="3"/>
  <c r="F43" i="3"/>
  <c r="C43" i="3"/>
  <c r="F21" i="15" l="1"/>
  <c r="F23" i="3"/>
  <c r="C23" i="3"/>
  <c r="C45" i="3"/>
  <c r="H42" i="4"/>
  <c r="F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I18" i="3" l="1"/>
  <c r="I23" i="3" s="1"/>
  <c r="C17" i="4"/>
  <c r="I37" i="4"/>
  <c r="I44" i="3"/>
  <c r="K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H18" i="3"/>
  <c r="E40" i="2"/>
  <c r="B40" i="2"/>
  <c r="G40" i="15"/>
  <c r="Q19" i="16"/>
  <c r="B27" i="15"/>
  <c r="B31" i="16"/>
  <c r="E31" i="16"/>
  <c r="O31" i="16"/>
  <c r="K19" i="16"/>
  <c r="E6" i="2"/>
  <c r="J22" i="3"/>
  <c r="J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H44" i="3"/>
  <c r="B24" i="16"/>
  <c r="G11" i="16"/>
  <c r="E6" i="16"/>
  <c r="B6" i="16"/>
  <c r="K11" i="16"/>
  <c r="H6" i="16"/>
  <c r="G12" i="4"/>
  <c r="H12" i="3"/>
  <c r="C21" i="2"/>
  <c r="C23" i="2" s="1"/>
  <c r="G20" i="4"/>
  <c r="D32" i="4"/>
  <c r="J35" i="3"/>
  <c r="K28" i="3"/>
  <c r="K28" i="2" s="1"/>
  <c r="L28" i="2" s="1"/>
  <c r="C31" i="16"/>
  <c r="G31" i="16"/>
  <c r="H7" i="3"/>
  <c r="E7" i="7"/>
  <c r="C12" i="7"/>
  <c r="I32" i="4"/>
  <c r="D27" i="4"/>
  <c r="H24" i="16"/>
  <c r="G6" i="16"/>
  <c r="C6" i="16"/>
  <c r="G7" i="3"/>
  <c r="J7" i="3"/>
  <c r="B40" i="4"/>
  <c r="K24" i="16"/>
  <c r="I7" i="4"/>
  <c r="C7" i="4"/>
  <c r="K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K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H43" i="3"/>
  <c r="B27" i="4"/>
  <c r="J19" i="4"/>
  <c r="K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J30" i="3"/>
  <c r="J43" i="3"/>
  <c r="K34" i="3"/>
  <c r="K34" i="2" s="1"/>
  <c r="L34" i="2" s="1"/>
  <c r="K29" i="3"/>
  <c r="K29" i="2" s="1"/>
  <c r="G12" i="3"/>
  <c r="H35" i="3"/>
  <c r="I31" i="15"/>
  <c r="J31" i="4" s="1"/>
  <c r="C30" i="2"/>
  <c r="J40" i="3"/>
  <c r="J44" i="3"/>
  <c r="K31" i="16"/>
  <c r="R29" i="16"/>
  <c r="R18" i="16"/>
  <c r="G19" i="16"/>
  <c r="D24" i="16"/>
  <c r="G40" i="4"/>
  <c r="G37" i="4"/>
  <c r="K38" i="3"/>
  <c r="K38" i="2" s="1"/>
  <c r="G40" i="3"/>
  <c r="G37" i="15"/>
  <c r="J18" i="4"/>
  <c r="K18" i="4" s="1"/>
  <c r="B11" i="16"/>
  <c r="L51" i="2"/>
  <c r="K20" i="2"/>
  <c r="L20" i="2" s="1"/>
  <c r="H22" i="3"/>
  <c r="G41" i="4"/>
  <c r="C37" i="15"/>
  <c r="H30" i="3"/>
  <c r="I46" i="15"/>
  <c r="J44" i="4" s="1"/>
  <c r="K44" i="4" s="1"/>
  <c r="E11" i="16"/>
  <c r="I47" i="15"/>
  <c r="J45" i="4" s="1"/>
  <c r="K45" i="4" s="1"/>
  <c r="G22" i="3"/>
  <c r="G23" i="3" s="1"/>
  <c r="B21" i="2"/>
  <c r="E37" i="4"/>
  <c r="I30" i="15"/>
  <c r="J30" i="4" s="1"/>
  <c r="K30" i="4" s="1"/>
  <c r="C10" i="5" s="1"/>
  <c r="G27" i="15"/>
  <c r="C41" i="15"/>
  <c r="E41" i="4"/>
  <c r="G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J12" i="3"/>
  <c r="D17" i="2"/>
  <c r="D23" i="2" s="1"/>
  <c r="C17" i="15"/>
  <c r="E17" i="4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K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G42" i="15"/>
  <c r="B42" i="4"/>
  <c r="D7" i="1"/>
  <c r="G7" i="1" s="1"/>
  <c r="K17" i="2"/>
  <c r="L17" i="2" s="1"/>
  <c r="K44" i="3"/>
  <c r="E45" i="2"/>
  <c r="E21" i="4"/>
  <c r="D17" i="5"/>
  <c r="G45" i="3"/>
  <c r="D18" i="1"/>
  <c r="G18" i="1" s="1"/>
  <c r="C10" i="1"/>
  <c r="J27" i="4"/>
  <c r="K27" i="4" s="1"/>
  <c r="C21" i="15"/>
  <c r="D42" i="4"/>
  <c r="K11" i="2"/>
  <c r="L11" i="2" s="1"/>
  <c r="L9" i="2"/>
  <c r="K35" i="3"/>
  <c r="K40" i="3"/>
  <c r="K44" i="2"/>
  <c r="L44" i="2" s="1"/>
  <c r="I32" i="15"/>
  <c r="K25" i="4"/>
  <c r="C5" i="5" s="1"/>
  <c r="K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F19" i="1" l="1"/>
  <c r="F18" i="1"/>
  <c r="I7" i="1"/>
  <c r="F7" i="1"/>
  <c r="I18" i="1"/>
  <c r="C20" i="5"/>
  <c r="D16" i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B8" i="1"/>
  <c r="D6" i="1"/>
  <c r="C8" i="1"/>
  <c r="C11" i="1" s="1"/>
  <c r="M24" i="7" s="1"/>
  <c r="H24" i="7" s="1"/>
  <c r="B10" i="1"/>
  <c r="K45" i="2"/>
  <c r="L45" i="2" s="1"/>
  <c r="K45" i="3"/>
  <c r="K23" i="2"/>
  <c r="L23" i="2" s="1"/>
  <c r="J42" i="4"/>
  <c r="K42" i="4" s="1"/>
  <c r="I42" i="15"/>
  <c r="B17" i="1"/>
  <c r="D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G6" i="1" l="1"/>
  <c r="O64" i="9" s="1"/>
  <c r="L64" i="9"/>
  <c r="G5" i="1"/>
  <c r="O63" i="9" s="1"/>
  <c r="L63" i="9"/>
  <c r="G16" i="1"/>
  <c r="F63" i="9" s="1"/>
  <c r="C63" i="9"/>
  <c r="G17" i="1"/>
  <c r="F64" i="9" s="1"/>
  <c r="C64" i="9"/>
  <c r="H22" i="7"/>
  <c r="H23" i="7"/>
  <c r="F17" i="1"/>
  <c r="B12" i="5"/>
  <c r="E10" i="5"/>
  <c r="F10" i="5" s="1"/>
  <c r="I10" i="5" s="1"/>
  <c r="B11" i="1"/>
  <c r="L24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G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4" i="7" l="1"/>
  <c r="G24" i="7"/>
  <c r="I24" i="7" s="1"/>
  <c r="N23" i="7"/>
  <c r="G23" i="7"/>
  <c r="I23" i="7" s="1"/>
  <c r="N22" i="7"/>
  <c r="G22" i="7"/>
  <c r="I22" i="7" s="1"/>
  <c r="F8" i="1"/>
  <c r="N32" i="7"/>
  <c r="P31" i="7"/>
  <c r="I31" i="7"/>
  <c r="P29" i="7"/>
  <c r="I27" i="7"/>
  <c r="N27" i="7"/>
  <c r="P27" i="7" s="1"/>
  <c r="D11" i="1"/>
  <c r="F11" i="1" s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<sst xmlns="http://schemas.openxmlformats.org/spreadsheetml/2006/main" count="710" uniqueCount="245">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</sst>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2525111</v>
          </cell>
          <cell r="G5">
            <v>9583408</v>
          </cell>
        </row>
        <row r="6">
          <cell r="D6">
            <v>394922</v>
          </cell>
          <cell r="G6">
            <v>1468141</v>
          </cell>
        </row>
        <row r="7">
          <cell r="D7">
            <v>0</v>
          </cell>
          <cell r="G7">
            <v>501</v>
          </cell>
        </row>
        <row r="8">
          <cell r="G8">
            <v>11052050</v>
          </cell>
        </row>
        <row r="10">
          <cell r="D10">
            <v>83756</v>
          </cell>
          <cell r="G10">
            <v>327340</v>
          </cell>
        </row>
        <row r="16">
          <cell r="D16">
            <v>18544</v>
          </cell>
          <cell r="G16">
            <v>70099</v>
          </cell>
        </row>
        <row r="17">
          <cell r="D17">
            <v>6797</v>
          </cell>
          <cell r="G17">
            <v>26143</v>
          </cell>
        </row>
        <row r="18">
          <cell r="D18">
            <v>0</v>
          </cell>
          <cell r="G18">
            <v>5</v>
          </cell>
        </row>
        <row r="19">
          <cell r="D19">
            <v>1094</v>
          </cell>
          <cell r="G19">
            <v>4460</v>
          </cell>
        </row>
        <row r="20">
          <cell r="D20">
            <v>1321</v>
          </cell>
          <cell r="G20">
            <v>5011</v>
          </cell>
        </row>
        <row r="21">
          <cell r="D21">
            <v>77</v>
          </cell>
          <cell r="G21">
            <v>318</v>
          </cell>
        </row>
        <row r="27">
          <cell r="D27">
            <v>14716.67848204885</v>
          </cell>
          <cell r="G27">
            <v>61494.824763391865</v>
          </cell>
        </row>
        <row r="28">
          <cell r="D28">
            <v>328.19993446008999</v>
          </cell>
          <cell r="G28">
            <v>1261.7061860988199</v>
          </cell>
        </row>
        <row r="32">
          <cell r="B32">
            <v>958039</v>
          </cell>
          <cell r="D32">
            <v>3915404</v>
          </cell>
        </row>
        <row r="33">
          <cell r="B33">
            <v>450067</v>
          </cell>
          <cell r="D33">
            <v>1597102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 refreshError="1"/>
      <sheetData sheetId="7">
        <row r="5">
          <cell r="F5">
            <v>8104.4401989383132</v>
          </cell>
          <cell r="I5">
            <v>33872.128163766196</v>
          </cell>
        </row>
        <row r="6">
          <cell r="F6">
            <v>184.55584913612</v>
          </cell>
          <cell r="I6">
            <v>619.60763101236989</v>
          </cell>
        </row>
        <row r="10">
          <cell r="F10">
            <v>6612.2382831105369</v>
          </cell>
          <cell r="I10">
            <v>27622.696599625662</v>
          </cell>
        </row>
        <row r="11">
          <cell r="F11">
            <v>143.64408532396999</v>
          </cell>
          <cell r="I11">
            <v>642.09855508645001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14716.67848204885</v>
          </cell>
          <cell r="I20">
            <v>61494.824763391865</v>
          </cell>
        </row>
        <row r="21">
          <cell r="F21">
            <v>328.19993446008999</v>
          </cell>
          <cell r="I21">
            <v>1261.7061860988199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  <cell r="G5">
            <v>6794845</v>
          </cell>
        </row>
        <row r="6">
          <cell r="G6">
            <v>1227249</v>
          </cell>
        </row>
        <row r="7">
          <cell r="G7">
            <v>865</v>
          </cell>
        </row>
        <row r="8">
          <cell r="G8">
            <v>8022959</v>
          </cell>
        </row>
        <row r="9">
          <cell r="G9">
            <v>0</v>
          </cell>
        </row>
        <row r="10">
          <cell r="G10">
            <v>249079</v>
          </cell>
        </row>
        <row r="16">
          <cell r="G16">
            <v>50432</v>
          </cell>
        </row>
        <row r="17">
          <cell r="G17">
            <v>22852</v>
          </cell>
        </row>
        <row r="18">
          <cell r="G18">
            <v>6</v>
          </cell>
        </row>
        <row r="19">
          <cell r="G19">
            <v>3046</v>
          </cell>
        </row>
        <row r="20">
          <cell r="G20">
            <v>3651</v>
          </cell>
        </row>
        <row r="21">
          <cell r="G21">
            <v>234</v>
          </cell>
        </row>
        <row r="27">
          <cell r="G27">
            <v>40636.397727277428</v>
          </cell>
        </row>
        <row r="28">
          <cell r="G28">
            <v>6042.4577285834293</v>
          </cell>
        </row>
        <row r="32">
          <cell r="D32">
            <v>2895700</v>
          </cell>
        </row>
        <row r="33">
          <cell r="D33">
            <v>1150596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1587909</v>
          </cell>
          <cell r="M23">
            <v>1640241</v>
          </cell>
        </row>
      </sheetData>
      <sheetData sheetId="6"/>
      <sheetData sheetId="7">
        <row r="5">
          <cell r="I5">
            <v>22531.696312879136</v>
          </cell>
        </row>
        <row r="6">
          <cell r="I6">
            <v>2910.9299416597396</v>
          </cell>
        </row>
        <row r="10">
          <cell r="I10">
            <v>18104.701414398289</v>
          </cell>
        </row>
        <row r="11">
          <cell r="I11">
            <v>3131.5277869236897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40636.397727277428</v>
          </cell>
        </row>
        <row r="21">
          <cell r="I21">
            <v>6042.4577285834293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5">
          <cell r="JK15">
            <v>1</v>
          </cell>
        </row>
        <row r="16">
          <cell r="JK16">
            <v>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</row>
        <row r="32">
          <cell r="JK32">
            <v>220</v>
          </cell>
        </row>
        <row r="33">
          <cell r="JK33">
            <v>152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</row>
        <row r="47">
          <cell r="JK47">
            <v>13567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</row>
      </sheetData>
      <sheetData sheetId="5">
        <row r="4">
          <cell r="JK4">
            <v>20</v>
          </cell>
        </row>
        <row r="5">
          <cell r="JK5">
            <v>20</v>
          </cell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</row>
        <row r="22">
          <cell r="JK22">
            <v>3130</v>
          </cell>
        </row>
        <row r="23">
          <cell r="JK23">
            <v>2007</v>
          </cell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6">
        <row r="15">
          <cell r="JK15">
            <v>26</v>
          </cell>
        </row>
        <row r="16">
          <cell r="JK16">
            <v>26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</row>
        <row r="32">
          <cell r="JK32">
            <v>2313</v>
          </cell>
        </row>
        <row r="33">
          <cell r="JK33">
            <v>2209</v>
          </cell>
        </row>
        <row r="37">
          <cell r="JK37">
            <v>16</v>
          </cell>
        </row>
        <row r="38">
          <cell r="JK38">
            <v>17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7">
        <row r="4">
          <cell r="JK4">
            <v>90</v>
          </cell>
        </row>
        <row r="5">
          <cell r="JK5">
            <v>89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</row>
        <row r="22">
          <cell r="JK22">
            <v>8185</v>
          </cell>
        </row>
        <row r="23">
          <cell r="JK23">
            <v>9324</v>
          </cell>
        </row>
        <row r="27">
          <cell r="JK27">
            <v>353</v>
          </cell>
        </row>
        <row r="28">
          <cell r="JK28">
            <v>397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</row>
        <row r="47">
          <cell r="JK47">
            <v>8379</v>
          </cell>
        </row>
        <row r="48">
          <cell r="JK48">
            <v>662</v>
          </cell>
        </row>
        <row r="52">
          <cell r="JK52">
            <v>9235</v>
          </cell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</row>
      </sheetData>
      <sheetData sheetId="8"/>
      <sheetData sheetId="9">
        <row r="4">
          <cell r="JK4">
            <v>391</v>
          </cell>
        </row>
        <row r="5">
          <cell r="JK5">
            <v>389</v>
          </cell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</row>
        <row r="22">
          <cell r="JK22">
            <v>53318</v>
          </cell>
        </row>
        <row r="23">
          <cell r="JK23">
            <v>43688</v>
          </cell>
        </row>
        <row r="27">
          <cell r="JK27">
            <v>1854</v>
          </cell>
        </row>
        <row r="28">
          <cell r="JK28">
            <v>2042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</row>
        <row r="47">
          <cell r="JK47">
            <v>14433</v>
          </cell>
        </row>
        <row r="48">
          <cell r="JK48">
            <v>8465</v>
          </cell>
        </row>
        <row r="52">
          <cell r="JK52">
            <v>3051</v>
          </cell>
        </row>
        <row r="53">
          <cell r="JK53">
            <v>4207</v>
          </cell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</row>
      </sheetData>
      <sheetData sheetId="10"/>
      <sheetData sheetId="11"/>
      <sheetData sheetId="1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13">
        <row r="4">
          <cell r="JK4">
            <v>5486</v>
          </cell>
        </row>
        <row r="5">
          <cell r="JK5">
            <v>5477</v>
          </cell>
        </row>
        <row r="8">
          <cell r="JK8">
            <v>3</v>
          </cell>
        </row>
        <row r="9">
          <cell r="JK9">
            <v>14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</row>
        <row r="22">
          <cell r="JK22">
            <v>758971</v>
          </cell>
        </row>
        <row r="23">
          <cell r="JK23">
            <v>701758</v>
          </cell>
        </row>
        <row r="27">
          <cell r="JK27">
            <v>26102</v>
          </cell>
        </row>
        <row r="28">
          <cell r="JK28">
            <v>25657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</row>
        <row r="47">
          <cell r="JK47">
            <v>4335379</v>
          </cell>
        </row>
        <row r="48">
          <cell r="JK48">
            <v>93476</v>
          </cell>
        </row>
        <row r="52">
          <cell r="JK52">
            <v>2711375</v>
          </cell>
        </row>
        <row r="53">
          <cell r="JK53">
            <v>93310</v>
          </cell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</row>
        <row r="70">
          <cell r="JK70">
            <v>415900</v>
          </cell>
        </row>
        <row r="71">
          <cell r="JK71">
            <v>285858</v>
          </cell>
        </row>
        <row r="73">
          <cell r="JK73">
            <v>54889</v>
          </cell>
        </row>
        <row r="74">
          <cell r="JK74">
            <v>37726</v>
          </cell>
        </row>
      </sheetData>
      <sheetData sheetId="14">
        <row r="4">
          <cell r="JK4">
            <v>74</v>
          </cell>
        </row>
        <row r="5">
          <cell r="JK5">
            <v>74</v>
          </cell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</row>
        <row r="22">
          <cell r="JK22">
            <v>546</v>
          </cell>
        </row>
        <row r="23">
          <cell r="JK23">
            <v>563</v>
          </cell>
        </row>
        <row r="27">
          <cell r="JK27">
            <v>28</v>
          </cell>
        </row>
        <row r="28">
          <cell r="JK28">
            <v>28</v>
          </cell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15">
        <row r="4">
          <cell r="JK4">
            <v>84</v>
          </cell>
        </row>
        <row r="5">
          <cell r="JK5">
            <v>84</v>
          </cell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</row>
        <row r="22">
          <cell r="JK22">
            <v>13553</v>
          </cell>
        </row>
        <row r="23">
          <cell r="JK23">
            <v>11248</v>
          </cell>
        </row>
        <row r="27">
          <cell r="JK27">
            <v>103</v>
          </cell>
        </row>
        <row r="28">
          <cell r="JK28">
            <v>71</v>
          </cell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16"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</row>
        <row r="37">
          <cell r="JH37">
            <v>1</v>
          </cell>
          <cell r="JJ37">
            <v>34</v>
          </cell>
          <cell r="JK37">
            <v>46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</row>
        <row r="47">
          <cell r="JK47">
            <v>2663</v>
          </cell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</row>
      </sheetData>
      <sheetData sheetId="17"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18">
        <row r="15">
          <cell r="JJ15">
            <v>1</v>
          </cell>
          <cell r="JK15">
            <v>13</v>
          </cell>
        </row>
        <row r="16">
          <cell r="JJ16">
            <v>1</v>
          </cell>
          <cell r="JK16">
            <v>13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</row>
        <row r="32">
          <cell r="JJ32">
            <v>315</v>
          </cell>
          <cell r="JK32">
            <v>3151</v>
          </cell>
        </row>
        <row r="33">
          <cell r="JJ33">
            <v>273</v>
          </cell>
          <cell r="JK33">
            <v>2889</v>
          </cell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</row>
        <row r="47">
          <cell r="JK47">
            <v>314198</v>
          </cell>
        </row>
        <row r="52">
          <cell r="JK52">
            <v>17709</v>
          </cell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</row>
      </sheetData>
      <sheetData sheetId="19"/>
      <sheetData sheetId="20"/>
      <sheetData sheetId="21"/>
      <sheetData sheetId="22"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</row>
        <row r="47">
          <cell r="JK47">
            <v>354097</v>
          </cell>
        </row>
        <row r="52">
          <cell r="JK52">
            <v>74749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</row>
      </sheetData>
      <sheetData sheetId="23">
        <row r="4">
          <cell r="JK4">
            <v>477</v>
          </cell>
        </row>
        <row r="5">
          <cell r="JK5">
            <v>477</v>
          </cell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</row>
        <row r="22">
          <cell r="JK22">
            <v>62634</v>
          </cell>
        </row>
        <row r="23">
          <cell r="JK23">
            <v>51658</v>
          </cell>
        </row>
        <row r="27">
          <cell r="JK27">
            <v>1469</v>
          </cell>
        </row>
        <row r="28">
          <cell r="JK28">
            <v>1723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</row>
        <row r="47">
          <cell r="JK47">
            <v>171280</v>
          </cell>
        </row>
        <row r="52">
          <cell r="JK52">
            <v>31849</v>
          </cell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</row>
      </sheetData>
      <sheetData sheetId="24">
        <row r="4">
          <cell r="JK4">
            <v>89</v>
          </cell>
        </row>
        <row r="5">
          <cell r="JK5">
            <v>89</v>
          </cell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</row>
        <row r="22">
          <cell r="JK22">
            <v>13110</v>
          </cell>
        </row>
        <row r="23">
          <cell r="JK23">
            <v>7949</v>
          </cell>
        </row>
        <row r="27">
          <cell r="JK27">
            <v>101</v>
          </cell>
        </row>
        <row r="28">
          <cell r="JK28">
            <v>106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25">
        <row r="4">
          <cell r="JK4">
            <v>968</v>
          </cell>
        </row>
        <row r="5">
          <cell r="JK5">
            <v>964</v>
          </cell>
        </row>
        <row r="8">
          <cell r="JK8">
            <v>56</v>
          </cell>
        </row>
        <row r="9">
          <cell r="JK9">
            <v>54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</row>
        <row r="22">
          <cell r="JK22">
            <v>156489</v>
          </cell>
        </row>
        <row r="23">
          <cell r="JK23">
            <v>138570</v>
          </cell>
        </row>
        <row r="27">
          <cell r="JK27">
            <v>2730</v>
          </cell>
        </row>
        <row r="28">
          <cell r="JK28">
            <v>2754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</row>
        <row r="38">
          <cell r="JI38">
            <v>722</v>
          </cell>
          <cell r="JJ38">
            <v>745</v>
          </cell>
          <cell r="JK38">
            <v>319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26"/>
      <sheetData sheetId="27"/>
      <sheetData sheetId="28">
        <row r="4">
          <cell r="JK4">
            <v>375</v>
          </cell>
        </row>
        <row r="5">
          <cell r="JK5">
            <v>372</v>
          </cell>
        </row>
        <row r="8">
          <cell r="JK8">
            <v>2</v>
          </cell>
        </row>
        <row r="9">
          <cell r="JK9">
            <v>4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</row>
        <row r="22">
          <cell r="JK22">
            <v>46639</v>
          </cell>
        </row>
        <row r="23">
          <cell r="JK23">
            <v>39886</v>
          </cell>
        </row>
        <row r="27">
          <cell r="JK27">
            <v>2080</v>
          </cell>
        </row>
        <row r="28">
          <cell r="JK28">
            <v>2307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</row>
        <row r="47">
          <cell r="JK47">
            <v>36834</v>
          </cell>
        </row>
        <row r="52">
          <cell r="JK52">
            <v>29512</v>
          </cell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</row>
      </sheetData>
      <sheetData sheetId="29"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30"/>
      <sheetData sheetId="31">
        <row r="4">
          <cell r="JK4">
            <v>57</v>
          </cell>
        </row>
        <row r="5">
          <cell r="JK5">
            <v>56</v>
          </cell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</row>
        <row r="22">
          <cell r="JK22">
            <v>2917</v>
          </cell>
        </row>
        <row r="23">
          <cell r="JK23">
            <v>2803</v>
          </cell>
        </row>
        <row r="27">
          <cell r="JK27">
            <v>140</v>
          </cell>
        </row>
        <row r="28">
          <cell r="JK28">
            <v>137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</row>
        <row r="47">
          <cell r="JK47">
            <v>207</v>
          </cell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</row>
      </sheetData>
      <sheetData sheetId="32"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JK4">
            <v>51</v>
          </cell>
        </row>
        <row r="5">
          <cell r="JK5">
            <v>51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</row>
        <row r="22">
          <cell r="JK22">
            <v>3264</v>
          </cell>
        </row>
        <row r="23">
          <cell r="JK23">
            <v>2623</v>
          </cell>
        </row>
        <row r="27">
          <cell r="JK27">
            <v>110</v>
          </cell>
        </row>
        <row r="28">
          <cell r="JK28">
            <v>135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45"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</row>
        <row r="47">
          <cell r="JK47">
            <v>6622.1</v>
          </cell>
        </row>
        <row r="52">
          <cell r="JK52">
            <v>5625.5</v>
          </cell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</row>
      </sheetData>
      <sheetData sheetId="46">
        <row r="4">
          <cell r="JK4">
            <v>81</v>
          </cell>
        </row>
        <row r="5">
          <cell r="JK5">
            <v>81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</row>
        <row r="22">
          <cell r="JK22">
            <v>5302</v>
          </cell>
        </row>
        <row r="23">
          <cell r="JK23">
            <v>4814</v>
          </cell>
        </row>
        <row r="27">
          <cell r="JK27">
            <v>185</v>
          </cell>
        </row>
        <row r="28">
          <cell r="JK28">
            <v>205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47"/>
      <sheetData sheetId="48"/>
      <sheetData sheetId="49">
        <row r="4">
          <cell r="JK4">
            <v>1228</v>
          </cell>
        </row>
        <row r="5">
          <cell r="JK5">
            <v>1228</v>
          </cell>
        </row>
        <row r="9">
          <cell r="JK9">
            <v>2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</row>
        <row r="22">
          <cell r="JK22">
            <v>76384</v>
          </cell>
        </row>
        <row r="23">
          <cell r="JK23">
            <v>74779</v>
          </cell>
        </row>
        <row r="27">
          <cell r="JK27">
            <v>2325</v>
          </cell>
        </row>
        <row r="28">
          <cell r="JK28">
            <v>2151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  <row r="70">
          <cell r="JK70">
            <v>24743</v>
          </cell>
        </row>
        <row r="71">
          <cell r="JK71">
            <v>50036</v>
          </cell>
        </row>
        <row r="73">
          <cell r="JK73">
            <v>567</v>
          </cell>
        </row>
        <row r="74">
          <cell r="JK74">
            <v>1147</v>
          </cell>
        </row>
      </sheetData>
      <sheetData sheetId="50">
        <row r="4">
          <cell r="JK4">
            <v>89</v>
          </cell>
        </row>
        <row r="5">
          <cell r="JK5">
            <v>89</v>
          </cell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</row>
        <row r="22">
          <cell r="JK22">
            <v>5471</v>
          </cell>
        </row>
        <row r="23">
          <cell r="JK23">
            <v>4890</v>
          </cell>
        </row>
        <row r="27">
          <cell r="JK27">
            <v>132</v>
          </cell>
        </row>
        <row r="28">
          <cell r="JK28">
            <v>190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</row>
        <row r="47">
          <cell r="JK47">
            <v>4</v>
          </cell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</row>
      </sheetData>
      <sheetData sheetId="51">
        <row r="4">
          <cell r="JK4">
            <v>99</v>
          </cell>
        </row>
        <row r="5">
          <cell r="JK5">
            <v>98</v>
          </cell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</row>
        <row r="22">
          <cell r="JK22">
            <v>6008</v>
          </cell>
        </row>
        <row r="23">
          <cell r="JK23">
            <v>5674</v>
          </cell>
        </row>
        <row r="27">
          <cell r="JK27">
            <v>254</v>
          </cell>
        </row>
        <row r="28">
          <cell r="JK28">
            <v>235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</row>
        <row r="47">
          <cell r="JK47">
            <v>1890</v>
          </cell>
        </row>
        <row r="52">
          <cell r="JK52">
            <v>200</v>
          </cell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</row>
      </sheetData>
      <sheetData sheetId="52">
        <row r="4">
          <cell r="JK4">
            <v>60</v>
          </cell>
        </row>
        <row r="5">
          <cell r="JK5">
            <v>60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</row>
        <row r="22">
          <cell r="JK22">
            <v>4176</v>
          </cell>
        </row>
        <row r="23">
          <cell r="JK23">
            <v>3497</v>
          </cell>
        </row>
        <row r="27">
          <cell r="JK27">
            <v>103</v>
          </cell>
        </row>
        <row r="28">
          <cell r="JK28">
            <v>171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53"/>
      <sheetData sheetId="54">
        <row r="4">
          <cell r="JK4">
            <v>1900</v>
          </cell>
        </row>
        <row r="5">
          <cell r="JK5">
            <v>1899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</row>
        <row r="22">
          <cell r="JK22">
            <v>98425</v>
          </cell>
        </row>
        <row r="23">
          <cell r="JK23">
            <v>99215</v>
          </cell>
        </row>
        <row r="27">
          <cell r="JK27">
            <v>3409</v>
          </cell>
        </row>
        <row r="28">
          <cell r="JK28">
            <v>3300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  <row r="70">
          <cell r="JK70">
            <v>34463</v>
          </cell>
        </row>
        <row r="71">
          <cell r="JK71">
            <v>64752</v>
          </cell>
        </row>
        <row r="73">
          <cell r="JK73">
            <v>4033</v>
          </cell>
        </row>
        <row r="74">
          <cell r="JK74">
            <v>7577</v>
          </cell>
        </row>
      </sheetData>
      <sheetData sheetId="55"/>
      <sheetData sheetId="56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5">
          <cell r="JI15">
            <v>1</v>
          </cell>
        </row>
        <row r="16">
          <cell r="JI16">
            <v>1</v>
          </cell>
        </row>
        <row r="37">
          <cell r="JI37">
            <v>103</v>
          </cell>
        </row>
        <row r="38">
          <cell r="JI38">
            <v>112</v>
          </cell>
        </row>
      </sheetData>
      <sheetData sheetId="67">
        <row r="15">
          <cell r="JI15">
            <v>3</v>
          </cell>
          <cell r="JJ15">
            <v>1</v>
          </cell>
        </row>
        <row r="32">
          <cell r="JI32">
            <v>60</v>
          </cell>
          <cell r="JJ32">
            <v>60</v>
          </cell>
        </row>
      </sheetData>
      <sheetData sheetId="68"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</row>
      </sheetData>
      <sheetData sheetId="69">
        <row r="4">
          <cell r="JK4">
            <v>97</v>
          </cell>
        </row>
        <row r="5">
          <cell r="JK5">
            <v>97</v>
          </cell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</row>
        <row r="47">
          <cell r="JK47">
            <v>2495693</v>
          </cell>
        </row>
        <row r="52">
          <cell r="JK52">
            <v>2318826</v>
          </cell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</row>
      </sheetData>
      <sheetData sheetId="70">
        <row r="4">
          <cell r="JK4">
            <v>7</v>
          </cell>
        </row>
        <row r="5">
          <cell r="JK5">
            <v>7</v>
          </cell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</row>
        <row r="47">
          <cell r="JK47">
            <v>186628</v>
          </cell>
        </row>
        <row r="52">
          <cell r="JK52">
            <v>162968</v>
          </cell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</row>
      </sheetData>
      <sheetData sheetId="71"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7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74">
        <row r="4">
          <cell r="JK4">
            <v>41</v>
          </cell>
        </row>
        <row r="5">
          <cell r="JK5">
            <v>41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</row>
        <row r="47">
          <cell r="JK47">
            <v>43663</v>
          </cell>
        </row>
        <row r="52">
          <cell r="JK52">
            <v>33746</v>
          </cell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</row>
      </sheetData>
      <sheetData sheetId="75">
        <row r="12">
          <cell r="JK12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76">
        <row r="4">
          <cell r="JK4">
            <v>16</v>
          </cell>
        </row>
        <row r="5">
          <cell r="JK5">
            <v>16</v>
          </cell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</row>
        <row r="47">
          <cell r="JK47">
            <v>439871</v>
          </cell>
        </row>
        <row r="52">
          <cell r="JK52">
            <v>343805</v>
          </cell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</row>
      </sheetData>
      <sheetData sheetId="77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78"/>
      <sheetData sheetId="79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</row>
      </sheetData>
      <sheetData sheetId="80"/>
      <sheetData sheetId="81"/>
      <sheetData sheetId="82">
        <row r="4">
          <cell r="JK4">
            <v>73</v>
          </cell>
        </row>
        <row r="5">
          <cell r="JK5">
            <v>73</v>
          </cell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</row>
        <row r="47">
          <cell r="JK47">
            <v>5575665</v>
          </cell>
        </row>
        <row r="52">
          <cell r="JK52">
            <v>4894809</v>
          </cell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</row>
      </sheetData>
      <sheetData sheetId="83">
        <row r="4">
          <cell r="JK4">
            <v>23</v>
          </cell>
        </row>
        <row r="5">
          <cell r="JK5">
            <v>23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</row>
        <row r="48">
          <cell r="JK48">
            <v>53786</v>
          </cell>
        </row>
        <row r="53">
          <cell r="JK53">
            <v>78489</v>
          </cell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</row>
      </sheetData>
      <sheetData sheetId="84">
        <row r="4">
          <cell r="JK4">
            <v>18</v>
          </cell>
        </row>
        <row r="5">
          <cell r="JK5">
            <v>18</v>
          </cell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</row>
        <row r="47">
          <cell r="JK47">
            <v>70672</v>
          </cell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</row>
      </sheetData>
      <sheetData sheetId="85">
        <row r="4">
          <cell r="JK4">
            <v>117</v>
          </cell>
        </row>
        <row r="5">
          <cell r="JK5">
            <v>117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</row>
        <row r="47">
          <cell r="JK47">
            <v>4861469</v>
          </cell>
        </row>
        <row r="48">
          <cell r="JK48">
            <v>2748199</v>
          </cell>
        </row>
        <row r="52">
          <cell r="JK52">
            <v>3779757</v>
          </cell>
        </row>
        <row r="53">
          <cell r="JK53">
            <v>25981</v>
          </cell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</row>
      </sheetData>
      <sheetData sheetId="86"/>
      <sheetData sheetId="87"/>
      <sheetData sheetId="88"/>
      <sheetData sheetId="89">
        <row r="4">
          <cell r="JK4">
            <v>153</v>
          </cell>
        </row>
        <row r="5">
          <cell r="JK5">
            <v>153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</row>
      </sheetData>
      <sheetData sheetId="90"/>
      <sheetData sheetId="91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</row>
      </sheetData>
      <sheetData sheetId="92">
        <row r="4">
          <cell r="JK4">
            <v>56</v>
          </cell>
        </row>
        <row r="5">
          <cell r="JK5">
            <v>56</v>
          </cell>
        </row>
      </sheetData>
      <sheetData sheetId="93">
        <row r="4">
          <cell r="JK4">
            <v>640</v>
          </cell>
        </row>
        <row r="5">
          <cell r="JK5">
            <v>641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</sheetData>
      <sheetData sheetId="1"/>
      <sheetData sheetId="2"/>
      <sheetData sheetId="3"/>
      <sheetData sheetId="4"/>
      <sheetData sheetId="5">
        <row r="22">
          <cell r="B22">
            <v>163197</v>
          </cell>
          <cell r="C22">
            <v>167591</v>
          </cell>
          <cell r="L22">
            <v>1233029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7058297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>
        <row r="5">
          <cell r="I5">
            <v>25767.687964827885</v>
          </cell>
        </row>
      </sheetData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6" zoomScaleNormal="136" zoomScaleSheetLayoutView="100" workbookViewId="0">
      <selection activeCell="K21" sqref="K21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45748</v>
      </c>
      <c r="B2" s="10"/>
      <c r="C2" s="10"/>
      <c r="D2" s="458" t="s">
        <v>232</v>
      </c>
      <c r="E2" s="458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59"/>
      <c r="E3" s="460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1258680</v>
      </c>
      <c r="C5" s="10">
        <f>'Major Airline Stats'!L5</f>
        <v>1122946</v>
      </c>
      <c r="D5" s="2">
        <f>'Major Airline Stats'!L6</f>
        <v>2381626</v>
      </c>
      <c r="E5" s="2">
        <f>'[1]Monthly Summary'!D5</f>
        <v>2525111</v>
      </c>
      <c r="F5" s="3">
        <f>(D5-E5)/E5</f>
        <v>-5.6823244601920467E-2</v>
      </c>
      <c r="G5" s="2">
        <f>+D5+'[2]Monthly Summary'!G5</f>
        <v>9176471</v>
      </c>
      <c r="H5" s="2">
        <f>+'[1]Monthly Summary'!G5</f>
        <v>9583408</v>
      </c>
      <c r="I5" s="63">
        <f>(G5-H5)/H5</f>
        <v>-4.2462660464836724E-2</v>
      </c>
      <c r="J5" s="2"/>
    </row>
    <row r="6" spans="1:18" x14ac:dyDescent="0.2">
      <c r="A6" s="48" t="s">
        <v>5</v>
      </c>
      <c r="B6" s="207">
        <f>'Regional Major'!K5</f>
        <v>218575</v>
      </c>
      <c r="C6" s="207">
        <f>'Regional Major'!K6</f>
        <v>214701</v>
      </c>
      <c r="D6" s="2">
        <f>B6+C6</f>
        <v>433276</v>
      </c>
      <c r="E6" s="2">
        <f>'[1]Monthly Summary'!D6</f>
        <v>394922</v>
      </c>
      <c r="F6" s="3">
        <f>(D6-E6)/E6</f>
        <v>9.7117911891462114E-2</v>
      </c>
      <c r="G6" s="2">
        <f>+D6+'[2]Monthly Summary'!G6</f>
        <v>1660525</v>
      </c>
      <c r="H6" s="2">
        <f>+'[1]Monthly Summary'!G6</f>
        <v>1468141</v>
      </c>
      <c r="I6" s="63">
        <f>(G6-H6)/H6</f>
        <v>0.13103918492842309</v>
      </c>
      <c r="K6" s="2"/>
    </row>
    <row r="7" spans="1:18" x14ac:dyDescent="0.2">
      <c r="A7" s="48" t="s">
        <v>6</v>
      </c>
      <c r="B7" s="451">
        <f>Charter!H5</f>
        <v>0</v>
      </c>
      <c r="C7" s="452">
        <f>Charter!H6</f>
        <v>0</v>
      </c>
      <c r="D7" s="390">
        <f>B7+C7</f>
        <v>0</v>
      </c>
      <c r="E7" s="390">
        <f>'[1]Monthly Summary'!D7</f>
        <v>0</v>
      </c>
      <c r="F7" s="433">
        <f>IFERROR((D7-E7)/E7,0)</f>
        <v>0</v>
      </c>
      <c r="G7" s="390">
        <f>+D7+'[2]Monthly Summary'!G7</f>
        <v>865</v>
      </c>
      <c r="H7" s="390">
        <f>+'[1]Monthly Summary'!G7</f>
        <v>501</v>
      </c>
      <c r="I7" s="434">
        <f>IFERROR((G7-H7)/H7,0)</f>
        <v>0.72654690618762474</v>
      </c>
      <c r="K7" s="2"/>
    </row>
    <row r="8" spans="1:18" x14ac:dyDescent="0.2">
      <c r="A8" s="50" t="s">
        <v>7</v>
      </c>
      <c r="B8" s="85">
        <f>SUM(B5:B7)</f>
        <v>1477255</v>
      </c>
      <c r="C8" s="85">
        <f>SUM(C5:C7)</f>
        <v>1337647</v>
      </c>
      <c r="D8" s="85">
        <f>SUM(D5:D7)</f>
        <v>2814902</v>
      </c>
      <c r="E8" s="85">
        <f>SUM(E5:E7)</f>
        <v>2920033</v>
      </c>
      <c r="F8" s="449">
        <f>(D8-E8)/E8</f>
        <v>-3.6003360235997331E-2</v>
      </c>
      <c r="G8" s="2">
        <f>+D8+'[2]Monthly Summary'!G8</f>
        <v>10837861</v>
      </c>
      <c r="H8" s="2">
        <f>+'[1]Monthly Summary'!G8</f>
        <v>11052050</v>
      </c>
      <c r="I8" s="450">
        <f>(G8-H8)/H8</f>
        <v>-1.9380024520337855E-2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3"/>
    </row>
    <row r="10" spans="1:18" x14ac:dyDescent="0.2">
      <c r="A10" s="48" t="s">
        <v>8</v>
      </c>
      <c r="B10" s="430">
        <f>'Major Airline Stats'!L9+'Regional Major'!K10</f>
        <v>45499</v>
      </c>
      <c r="C10" s="431">
        <f>'Major Airline Stats'!L10+'Regional Major'!K11</f>
        <v>45651</v>
      </c>
      <c r="D10" s="432">
        <f>SUM(B10:C10)</f>
        <v>91150</v>
      </c>
      <c r="E10" s="390">
        <f>'[1]Monthly Summary'!D10</f>
        <v>83756</v>
      </c>
      <c r="F10" s="433">
        <f>(D10-E10)/E10</f>
        <v>8.8280242609484694E-2</v>
      </c>
      <c r="G10" s="390">
        <f>+D10+'[2]Monthly Summary'!G10</f>
        <v>340229</v>
      </c>
      <c r="H10" s="390">
        <f>+'[1]Monthly Summary'!G10</f>
        <v>327340</v>
      </c>
      <c r="I10" s="434">
        <f>(G10-H10)/H10</f>
        <v>3.9374961813405024E-2</v>
      </c>
      <c r="J10" s="161"/>
    </row>
    <row r="11" spans="1:18" ht="15.75" thickBot="1" x14ac:dyDescent="0.3">
      <c r="A11" s="49" t="s">
        <v>13</v>
      </c>
      <c r="B11" s="187">
        <f>B10+B8</f>
        <v>1522754</v>
      </c>
      <c r="C11" s="187">
        <f>C10+C8</f>
        <v>1383298</v>
      </c>
      <c r="D11" s="187">
        <f>D10+D8</f>
        <v>2906052</v>
      </c>
      <c r="E11" s="187">
        <f>E10+E8</f>
        <v>3003789</v>
      </c>
      <c r="F11" s="68">
        <f>(D11-E11)/E11</f>
        <v>-3.2537904626456782E-2</v>
      </c>
      <c r="G11" s="187">
        <f>G8+G10</f>
        <v>11178090</v>
      </c>
      <c r="H11" s="187">
        <f>H8+H10</f>
        <v>11379390</v>
      </c>
      <c r="I11" s="70">
        <f>(G11-H11)/H11</f>
        <v>-1.7689876170866804E-2</v>
      </c>
      <c r="N11" s="423"/>
      <c r="Q11" s="423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3"/>
    </row>
    <row r="13" spans="1:18" ht="16.5" customHeight="1" x14ac:dyDescent="0.2">
      <c r="B13" s="10"/>
      <c r="C13" s="10"/>
      <c r="D13" s="458" t="s">
        <v>232</v>
      </c>
      <c r="E13" s="458" t="s">
        <v>218</v>
      </c>
      <c r="F13" s="5"/>
      <c r="G13" s="5"/>
      <c r="H13" s="5"/>
      <c r="I13" s="5"/>
      <c r="Q13" s="423"/>
    </row>
    <row r="14" spans="1:18" ht="13.5" thickBot="1" x14ac:dyDescent="0.25">
      <c r="A14" s="9"/>
      <c r="B14" s="5" t="s">
        <v>228</v>
      </c>
      <c r="C14" s="5" t="s">
        <v>229</v>
      </c>
      <c r="D14" s="459"/>
      <c r="E14" s="460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3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3"/>
      <c r="R15" s="219"/>
    </row>
    <row r="16" spans="1:18" x14ac:dyDescent="0.2">
      <c r="A16" s="48" t="s">
        <v>4</v>
      </c>
      <c r="B16" s="216">
        <f>'Major Airline Stats'!L15+'Major Airline Stats'!L19</f>
        <v>8958</v>
      </c>
      <c r="C16" s="216">
        <f>'Major Airline Stats'!L16+'Major Airline Stats'!L20</f>
        <v>8952</v>
      </c>
      <c r="D16" s="30">
        <f>SUM(B16:C16)</f>
        <v>17910</v>
      </c>
      <c r="E16" s="2">
        <f>'[1]Monthly Summary'!D16</f>
        <v>18544</v>
      </c>
      <c r="F16" s="69">
        <f t="shared" ref="F16:F22" si="0">(D16-E16)/E16</f>
        <v>-3.4188955996548746E-2</v>
      </c>
      <c r="G16" s="2">
        <f>+D16+'[2]Monthly Summary'!G16</f>
        <v>68342</v>
      </c>
      <c r="H16" s="2">
        <f>+'[1]Monthly Summary'!G16</f>
        <v>70099</v>
      </c>
      <c r="I16" s="183">
        <f t="shared" ref="I16:I22" si="1">(G16-H16)/H16</f>
        <v>-2.5064551562789767E-2</v>
      </c>
      <c r="N16" s="328"/>
      <c r="Q16" s="423"/>
    </row>
    <row r="17" spans="1:17" x14ac:dyDescent="0.2">
      <c r="A17" s="48" t="s">
        <v>5</v>
      </c>
      <c r="B17" s="30">
        <f>'Regional Major'!K15+'Regional Major'!K18</f>
        <v>3873</v>
      </c>
      <c r="C17" s="30">
        <f>'Regional Major'!K16+'Regional Major'!K19</f>
        <v>3872</v>
      </c>
      <c r="D17" s="30">
        <f>SUM(B17:C17)</f>
        <v>7745</v>
      </c>
      <c r="E17" s="2">
        <f>'[1]Monthly Summary'!D17</f>
        <v>6797</v>
      </c>
      <c r="F17" s="69">
        <f>(D17-E17)/E17</f>
        <v>0.139473297042813</v>
      </c>
      <c r="G17" s="2">
        <f>+D17+'[2]Monthly Summary'!G17</f>
        <v>30597</v>
      </c>
      <c r="H17" s="2">
        <f>+'[1]Monthly Summary'!G17</f>
        <v>26143</v>
      </c>
      <c r="I17" s="183">
        <f t="shared" si="1"/>
        <v>0.17037065371227481</v>
      </c>
      <c r="L17" s="2"/>
      <c r="M17" s="2"/>
      <c r="N17" s="328"/>
      <c r="Q17" s="423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69">
        <f>IFERROR((D18-E18)/E18,0)</f>
        <v>0</v>
      </c>
      <c r="G18" s="2">
        <f>+D18+'[2]Monthly Summary'!G18</f>
        <v>6</v>
      </c>
      <c r="H18" s="2">
        <f>+'[1]Monthly Summary'!G18</f>
        <v>5</v>
      </c>
      <c r="I18" s="183">
        <f>IFERROR((G18-H18)/H18,0)</f>
        <v>0.2</v>
      </c>
      <c r="N18" s="328"/>
      <c r="Q18" s="423"/>
    </row>
    <row r="19" spans="1:17" x14ac:dyDescent="0.2">
      <c r="A19" s="48" t="s">
        <v>11</v>
      </c>
      <c r="B19" s="30">
        <f>Cargo!S4+Cargo!S8</f>
        <v>545</v>
      </c>
      <c r="C19" s="30">
        <f>Cargo!S5+Cargo!S9</f>
        <v>545</v>
      </c>
      <c r="D19" s="30">
        <f t="shared" si="2"/>
        <v>1090</v>
      </c>
      <c r="E19" s="2">
        <f>'[1]Monthly Summary'!D19</f>
        <v>1094</v>
      </c>
      <c r="F19" s="69">
        <f>(D19-E19)/E19</f>
        <v>-3.6563071297989031E-3</v>
      </c>
      <c r="G19" s="2">
        <f>+D19+'[2]Monthly Summary'!G19</f>
        <v>4136</v>
      </c>
      <c r="H19" s="2">
        <f>+'[1]Monthly Summary'!G19</f>
        <v>4460</v>
      </c>
      <c r="I19" s="183">
        <f t="shared" si="1"/>
        <v>-7.2645739910313895E-2</v>
      </c>
      <c r="M19" s="423"/>
      <c r="N19" s="328"/>
      <c r="Q19" s="423"/>
    </row>
    <row r="20" spans="1:17" x14ac:dyDescent="0.2">
      <c r="A20" s="48" t="s">
        <v>146</v>
      </c>
      <c r="B20" s="30">
        <f>'[3]General Avation'!$JK$4</f>
        <v>640</v>
      </c>
      <c r="C20" s="30">
        <f>'[3]General Avation'!$JK$5</f>
        <v>641</v>
      </c>
      <c r="D20" s="30">
        <f t="shared" si="2"/>
        <v>1281</v>
      </c>
      <c r="E20" s="2">
        <f>'[1]Monthly Summary'!D20</f>
        <v>1321</v>
      </c>
      <c r="F20" s="69">
        <f t="shared" si="0"/>
        <v>-3.0280090840272521E-2</v>
      </c>
      <c r="G20" s="2">
        <f>+D20+'[2]Monthly Summary'!G20</f>
        <v>4932</v>
      </c>
      <c r="H20" s="2">
        <f>+'[1]Monthly Summary'!G20</f>
        <v>5011</v>
      </c>
      <c r="I20" s="183">
        <f t="shared" si="1"/>
        <v>-1.5765316304130913E-2</v>
      </c>
      <c r="M20" s="2"/>
      <c r="N20" s="328"/>
      <c r="Q20" s="423"/>
    </row>
    <row r="21" spans="1:17" ht="12.75" customHeight="1" x14ac:dyDescent="0.2">
      <c r="A21" s="48" t="s">
        <v>12</v>
      </c>
      <c r="B21" s="435">
        <f>'[3]Military '!$JK$4</f>
        <v>56</v>
      </c>
      <c r="C21" s="436">
        <f>'[3]Military '!$JK$5</f>
        <v>56</v>
      </c>
      <c r="D21" s="436">
        <f t="shared" si="2"/>
        <v>112</v>
      </c>
      <c r="E21" s="390">
        <f>'[1]Monthly Summary'!D21</f>
        <v>77</v>
      </c>
      <c r="F21" s="437">
        <f t="shared" si="0"/>
        <v>0.45454545454545453</v>
      </c>
      <c r="G21" s="390">
        <f>+D21+'[2]Monthly Summary'!G21</f>
        <v>346</v>
      </c>
      <c r="H21" s="390">
        <f>+'[1]Monthly Summary'!G21</f>
        <v>318</v>
      </c>
      <c r="I21" s="438">
        <f t="shared" si="1"/>
        <v>8.8050314465408799E-2</v>
      </c>
      <c r="K21" s="87"/>
      <c r="N21" s="328"/>
      <c r="Q21" s="423"/>
    </row>
    <row r="22" spans="1:17" ht="15.75" thickBot="1" x14ac:dyDescent="0.3">
      <c r="A22" s="49" t="s">
        <v>28</v>
      </c>
      <c r="B22" s="188">
        <f>SUM(B16:B21)</f>
        <v>14072</v>
      </c>
      <c r="C22" s="188">
        <f>SUM(C16:C21)</f>
        <v>14066</v>
      </c>
      <c r="D22" s="188">
        <f>SUM(D16:D21)</f>
        <v>28138</v>
      </c>
      <c r="E22" s="188">
        <f>SUM(E16:E21)</f>
        <v>27833</v>
      </c>
      <c r="F22" s="185">
        <f t="shared" si="0"/>
        <v>1.0958215068443933E-2</v>
      </c>
      <c r="G22" s="188">
        <f>SUM(G16:G21)</f>
        <v>108359</v>
      </c>
      <c r="H22" s="188">
        <f>SUM(H16:H21)</f>
        <v>106036</v>
      </c>
      <c r="I22" s="186">
        <f t="shared" si="1"/>
        <v>2.1907654004300427E-2</v>
      </c>
      <c r="N22" s="321"/>
      <c r="Q22" s="423"/>
    </row>
    <row r="23" spans="1:17" x14ac:dyDescent="0.2">
      <c r="B23" s="87"/>
      <c r="C23" s="87"/>
      <c r="L23" s="2"/>
      <c r="N23" s="328"/>
      <c r="Q23" s="423"/>
    </row>
    <row r="24" spans="1:17" ht="12.75" customHeight="1" x14ac:dyDescent="0.2">
      <c r="B24" s="10"/>
      <c r="C24" s="10"/>
      <c r="D24" s="458" t="s">
        <v>232</v>
      </c>
      <c r="E24" s="458" t="s">
        <v>218</v>
      </c>
      <c r="F24" s="5"/>
      <c r="G24" s="5"/>
      <c r="H24" s="5"/>
      <c r="I24" s="5"/>
      <c r="N24" s="328"/>
      <c r="Q24" s="423"/>
    </row>
    <row r="25" spans="1:17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3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8587.9614553364172</v>
      </c>
      <c r="C27" s="12">
        <f>(Cargo!S21+'Major Airline Stats'!L33+'Regional Major'!K30)*0.00045359237</f>
        <v>6539.5394010381051</v>
      </c>
      <c r="D27" s="12">
        <f>SUM(B27:C27)</f>
        <v>15127.500856374521</v>
      </c>
      <c r="E27" s="2">
        <f>'[1]Monthly Summary'!D27</f>
        <v>14716.67848204885</v>
      </c>
      <c r="F27" s="71">
        <f>(D27-E27)/E27</f>
        <v>2.7915427711951803E-2</v>
      </c>
      <c r="G27" s="2">
        <f>+D27+'[2]Monthly Summary'!G27</f>
        <v>55763.89858365195</v>
      </c>
      <c r="H27" s="2">
        <f>+'[1]Monthly Summary'!G27</f>
        <v>61494.824763391865</v>
      </c>
      <c r="I27" s="72">
        <f>(G27-H27)/H27</f>
        <v>-9.3193633802361217E-2</v>
      </c>
      <c r="N27" s="87"/>
    </row>
    <row r="28" spans="1:17" x14ac:dyDescent="0.2">
      <c r="A28" s="43" t="s">
        <v>16</v>
      </c>
      <c r="B28" s="441">
        <f>(Cargo!S17+'Major Airline Stats'!L29+'Regional Major'!K26)*0.00045359237</f>
        <v>1317.49895479356</v>
      </c>
      <c r="C28" s="442">
        <f>(Cargo!S22+'Major Airline Stats'!L34+'Regional Major'!K31)*0.00045359237</f>
        <v>91.619762039189993</v>
      </c>
      <c r="D28" s="442">
        <f>SUM(B28:C28)</f>
        <v>1409.1187168327499</v>
      </c>
      <c r="E28" s="390">
        <f>'[1]Monthly Summary'!D28</f>
        <v>328.19993446008999</v>
      </c>
      <c r="F28" s="443">
        <f>(D28-E28)/E28</f>
        <v>3.2934765332931613</v>
      </c>
      <c r="G28" s="390">
        <f>+D28+'[2]Monthly Summary'!G28</f>
        <v>7451.576445416179</v>
      </c>
      <c r="H28" s="390">
        <f>+'[1]Monthly Summary'!G28</f>
        <v>1261.7061860988199</v>
      </c>
      <c r="I28" s="444">
        <f>(G28-H28)/H28</f>
        <v>4.9059522157502951</v>
      </c>
    </row>
    <row r="29" spans="1:17" ht="15.75" thickBot="1" x14ac:dyDescent="0.3">
      <c r="A29" s="44" t="s">
        <v>62</v>
      </c>
      <c r="B29" s="439">
        <f>SUM(B27:B28)</f>
        <v>9905.4604101299774</v>
      </c>
      <c r="C29" s="439">
        <f>SUM(C27:C28)</f>
        <v>6631.1591630772955</v>
      </c>
      <c r="D29" s="439">
        <f>SUM(D27:D28)</f>
        <v>16536.61957320727</v>
      </c>
      <c r="E29" s="439">
        <f>SUM(E27:E28)</f>
        <v>15044.87841650894</v>
      </c>
      <c r="F29" s="68">
        <f>(D29-E29)/E29</f>
        <v>9.9152755868164619E-2</v>
      </c>
      <c r="G29" s="439">
        <f>SUM(G27:G28)</f>
        <v>63215.475029068126</v>
      </c>
      <c r="H29" s="439">
        <f>SUM(H27:H28)</f>
        <v>62756.530949490683</v>
      </c>
      <c r="I29" s="440">
        <f>(G29-H29)/H29</f>
        <v>7.31308873568588E-3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7" t="s">
        <v>142</v>
      </c>
      <c r="C31" s="456"/>
      <c r="D31" s="457" t="s">
        <v>149</v>
      </c>
      <c r="E31" s="456"/>
      <c r="F31" s="296"/>
      <c r="G31" s="297"/>
    </row>
    <row r="32" spans="1:17" x14ac:dyDescent="0.2">
      <c r="A32" s="278" t="s">
        <v>143</v>
      </c>
      <c r="B32" s="279">
        <f>C8-B33</f>
        <v>890551</v>
      </c>
      <c r="C32" s="280">
        <f>B32/C8</f>
        <v>0.66575935205626002</v>
      </c>
      <c r="D32" s="281">
        <f>+B32+'[2]Monthly Summary'!$D$32</f>
        <v>3786251</v>
      </c>
      <c r="E32" s="282">
        <f>+D32/D34</f>
        <v>0.70324871567176694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447096</v>
      </c>
      <c r="C33" s="285">
        <f>+B33/C8</f>
        <v>0.33424064794374003</v>
      </c>
      <c r="D33" s="286">
        <f>+B33+'[2]Monthly Summary'!$D$33</f>
        <v>1597692</v>
      </c>
      <c r="E33" s="287">
        <f>+D33/D34</f>
        <v>0.29675128432823306</v>
      </c>
      <c r="G33" s="219"/>
      <c r="H33" s="388"/>
      <c r="I33" s="295"/>
    </row>
    <row r="34" spans="1:14" ht="13.5" thickBot="1" x14ac:dyDescent="0.25">
      <c r="B34" s="219"/>
      <c r="D34" s="288">
        <f>SUM(D32:D33)</f>
        <v>5383943</v>
      </c>
      <c r="H34" s="388"/>
    </row>
    <row r="35" spans="1:14" ht="13.5" thickBot="1" x14ac:dyDescent="0.25">
      <c r="B35" s="455" t="s">
        <v>244</v>
      </c>
      <c r="C35" s="456"/>
      <c r="D35" s="457" t="s">
        <v>234</v>
      </c>
      <c r="E35" s="456"/>
    </row>
    <row r="36" spans="1:14" x14ac:dyDescent="0.2">
      <c r="A36" s="278" t="s">
        <v>143</v>
      </c>
      <c r="B36" s="279">
        <f>'[1]Monthly Summary'!$B$32</f>
        <v>958039</v>
      </c>
      <c r="C36" s="280">
        <f>+B36/B38</f>
        <v>0.68037420478287858</v>
      </c>
      <c r="D36" s="281">
        <f>+'[1]Monthly Summary'!D32</f>
        <v>3915404</v>
      </c>
      <c r="E36" s="282">
        <f>+D36/D38</f>
        <v>0.71027659652433939</v>
      </c>
    </row>
    <row r="37" spans="1:14" ht="13.5" thickBot="1" x14ac:dyDescent="0.25">
      <c r="A37" s="283" t="s">
        <v>144</v>
      </c>
      <c r="B37" s="284">
        <f>'[1]Monthly Summary'!$B$33</f>
        <v>450067</v>
      </c>
      <c r="C37" s="287">
        <f>+B37/B38</f>
        <v>0.31962579521712142</v>
      </c>
      <c r="D37" s="286">
        <f>+'[1]Monthly Summary'!D33</f>
        <v>1597102</v>
      </c>
      <c r="E37" s="287">
        <f>+D37/D38</f>
        <v>0.28972340347566061</v>
      </c>
      <c r="G37" s="219"/>
      <c r="M37" s="1"/>
    </row>
    <row r="38" spans="1:14" x14ac:dyDescent="0.2">
      <c r="B38" s="300">
        <f>+SUM(B36:B37)</f>
        <v>1408106</v>
      </c>
      <c r="D38" s="288">
        <f>SUM(D36:D37)</f>
        <v>5512506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L7" sqref="L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45748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[3]Delta!$JK$32</f>
        <v>107951</v>
      </c>
      <c r="C4" s="11">
        <f>'[3]Atlantic Southeast'!$JK$32</f>
        <v>0</v>
      </c>
      <c r="D4" s="11">
        <f>[3]Pinnacle!$JK$32</f>
        <v>1791</v>
      </c>
      <c r="E4" s="11">
        <f>'[3]Sky West'!$JK$32</f>
        <v>10731</v>
      </c>
      <c r="F4" s="11">
        <f>[3]WestJet!$JK$32</f>
        <v>5881</v>
      </c>
      <c r="G4" s="11">
        <f>'[3]Sun Country'!$JK$32</f>
        <v>16959</v>
      </c>
      <c r="H4" s="11">
        <f>[3]Icelandair!$JK$32</f>
        <v>2762</v>
      </c>
      <c r="I4" s="11">
        <f>[3]KLM!$JK$32</f>
        <v>3151</v>
      </c>
      <c r="J4" s="11">
        <f>[3]Lufthansa!$JK$32</f>
        <v>2868</v>
      </c>
      <c r="K4" s="11">
        <f>[3]Jazz_AC!$JK$32</f>
        <v>4106</v>
      </c>
      <c r="L4" s="11">
        <f>'[3]Sky Regional'!$JK$32</f>
        <v>0</v>
      </c>
      <c r="M4" s="11">
        <f>[3]Condor!$JK$32</f>
        <v>0</v>
      </c>
      <c r="N4" s="11">
        <f>'[3]Aer Lingus'!$JK$32</f>
        <v>2313</v>
      </c>
      <c r="O4" s="11">
        <f>'[3]Air France'!$JK$32</f>
        <v>220</v>
      </c>
      <c r="P4" s="11">
        <f>[3]Frontier!$JK$32</f>
        <v>0</v>
      </c>
      <c r="Q4" s="11">
        <f>'[3]Charter Misc'!$JK$32+[3]Ryan!$JK$32+[3]Omni!$JK$32</f>
        <v>0</v>
      </c>
      <c r="R4" s="195">
        <f>SUM(B4:Q4)</f>
        <v>158733</v>
      </c>
    </row>
    <row r="5" spans="1:20" x14ac:dyDescent="0.2">
      <c r="A5" s="43" t="s">
        <v>31</v>
      </c>
      <c r="B5" s="7">
        <f>[3]Delta!$JK$33</f>
        <v>92615</v>
      </c>
      <c r="C5" s="7">
        <f>'[3]Atlantic Southeast'!$JK$33</f>
        <v>0</v>
      </c>
      <c r="D5" s="7">
        <f>[3]Pinnacle!$JK$33</f>
        <v>1714</v>
      </c>
      <c r="E5" s="7">
        <f>'[3]Sky West'!$JK$33</f>
        <v>11610</v>
      </c>
      <c r="F5" s="7">
        <f>[3]WestJet!$JK$33</f>
        <v>5778</v>
      </c>
      <c r="G5" s="7">
        <f>'[3]Sun Country'!$JK$33</f>
        <v>8199</v>
      </c>
      <c r="H5" s="7">
        <f>[3]Icelandair!$JK$33</f>
        <v>2540</v>
      </c>
      <c r="I5" s="7">
        <f>[3]KLM!$JK$33</f>
        <v>2889</v>
      </c>
      <c r="J5" s="7">
        <f>[3]Lufthansa!$JK$33</f>
        <v>1913</v>
      </c>
      <c r="K5" s="7">
        <f>[3]Jazz_AC!$JK$33</f>
        <v>3082</v>
      </c>
      <c r="L5" s="7">
        <f>'[3]Sky Regional'!$JK$33</f>
        <v>0</v>
      </c>
      <c r="M5" s="7">
        <f>[3]Condor!$JK$33</f>
        <v>0</v>
      </c>
      <c r="N5" s="7">
        <f>'[3]Aer Lingus'!$JK$33</f>
        <v>2209</v>
      </c>
      <c r="O5" s="7">
        <f>'[3]Air France'!$JK$33</f>
        <v>152</v>
      </c>
      <c r="P5" s="7">
        <f>[3]Frontier!$JK$33</f>
        <v>0</v>
      </c>
      <c r="Q5" s="7">
        <f>'[3]Charter Misc'!$JK$33++[3]Ryan!$JK$33+[3]Omni!$JK$33</f>
        <v>0</v>
      </c>
      <c r="R5" s="196">
        <f>SUM(B5:Q5)</f>
        <v>132701</v>
      </c>
    </row>
    <row r="6" spans="1:20" ht="15" x14ac:dyDescent="0.25">
      <c r="A6" s="41" t="s">
        <v>7</v>
      </c>
      <c r="B6" s="23">
        <f t="shared" ref="B6:Q6" si="0">SUM(B4:B5)</f>
        <v>200566</v>
      </c>
      <c r="C6" s="23">
        <f t="shared" si="0"/>
        <v>0</v>
      </c>
      <c r="D6" s="23">
        <f t="shared" si="0"/>
        <v>3505</v>
      </c>
      <c r="E6" s="23">
        <f t="shared" si="0"/>
        <v>22341</v>
      </c>
      <c r="F6" s="23">
        <f t="shared" ref="F6" si="1">SUM(F4:F5)</f>
        <v>11659</v>
      </c>
      <c r="G6" s="23">
        <f t="shared" si="0"/>
        <v>25158</v>
      </c>
      <c r="H6" s="23">
        <f t="shared" si="0"/>
        <v>5302</v>
      </c>
      <c r="I6" s="23">
        <f t="shared" ref="I6:J6" si="2">SUM(I4:I5)</f>
        <v>6040</v>
      </c>
      <c r="J6" s="23">
        <f t="shared" si="2"/>
        <v>4781</v>
      </c>
      <c r="K6" s="23">
        <f t="shared" si="0"/>
        <v>7188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4522</v>
      </c>
      <c r="O6" s="23">
        <f t="shared" si="0"/>
        <v>372</v>
      </c>
      <c r="P6" s="23">
        <f t="shared" si="0"/>
        <v>0</v>
      </c>
      <c r="Q6" s="23">
        <f t="shared" si="0"/>
        <v>0</v>
      </c>
      <c r="R6" s="197">
        <f>SUM(B6:Q6)</f>
        <v>291434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[3]Delta!$JK$37</f>
        <v>3134</v>
      </c>
      <c r="C9" s="11">
        <f>'[3]Atlantic Southeast'!$JK$37</f>
        <v>0</v>
      </c>
      <c r="D9" s="11">
        <f>[3]Pinnacle!$JK$37</f>
        <v>45</v>
      </c>
      <c r="E9" s="11">
        <f>'[3]Sky West'!$JK$37</f>
        <v>205</v>
      </c>
      <c r="F9" s="11">
        <f>[3]WestJet!$JK$37</f>
        <v>5</v>
      </c>
      <c r="G9" s="11">
        <f>'[3]Sun Country'!$JK$37</f>
        <v>442</v>
      </c>
      <c r="H9" s="11">
        <f>[3]Icelandair!$JK$37</f>
        <v>46</v>
      </c>
      <c r="I9" s="11">
        <f>[3]KLM!$JK$37</f>
        <v>0</v>
      </c>
      <c r="J9" s="11">
        <f>[3]Lufthansa!$JK$37</f>
        <v>47</v>
      </c>
      <c r="K9" s="11">
        <f>[3]Jazz_AC!$JK$37</f>
        <v>81</v>
      </c>
      <c r="L9" s="11">
        <f>'[3]Sky Regional'!$JK$37</f>
        <v>0</v>
      </c>
      <c r="M9" s="11">
        <f>[3]Condor!$JK$37</f>
        <v>0</v>
      </c>
      <c r="N9" s="11">
        <f>'[3]Aer Lingus'!$JK$37</f>
        <v>16</v>
      </c>
      <c r="O9" s="11">
        <f>'[3]Air France'!$JK$37</f>
        <v>0</v>
      </c>
      <c r="P9" s="11">
        <f>[3]Frontier!$JK$37</f>
        <v>0</v>
      </c>
      <c r="Q9" s="11">
        <f>'[3]Charter Misc'!$JK$37+[3]Ryan!$JK$37+[3]Omni!$JK$37</f>
        <v>0</v>
      </c>
      <c r="R9" s="195">
        <f>SUM(B9:Q9)</f>
        <v>4021</v>
      </c>
    </row>
    <row r="10" spans="1:20" x14ac:dyDescent="0.2">
      <c r="A10" s="43" t="s">
        <v>33</v>
      </c>
      <c r="B10" s="7">
        <f>[3]Delta!$JK$38</f>
        <v>3327</v>
      </c>
      <c r="C10" s="7">
        <f>'[3]Atlantic Southeast'!$JK$38</f>
        <v>0</v>
      </c>
      <c r="D10" s="7">
        <f>[3]Pinnacle!$JK$38</f>
        <v>36</v>
      </c>
      <c r="E10" s="7">
        <f>'[3]Sky West'!$JK$38</f>
        <v>176</v>
      </c>
      <c r="F10" s="7">
        <f>[3]WestJet!$JK$38</f>
        <v>4</v>
      </c>
      <c r="G10" s="7">
        <f>'[3]Sun Country'!$JK$38</f>
        <v>319</v>
      </c>
      <c r="H10" s="7">
        <f>[3]Icelandair!$JK$38</f>
        <v>49</v>
      </c>
      <c r="I10" s="7">
        <f>[3]KLM!$JK$38</f>
        <v>0</v>
      </c>
      <c r="J10" s="7">
        <f>[3]Lufthansa!$JK$38</f>
        <v>43</v>
      </c>
      <c r="K10" s="7">
        <f>[3]Jazz_AC!$JK$38</f>
        <v>71</v>
      </c>
      <c r="L10" s="7">
        <f>'[3]Sky Regional'!$JK$38</f>
        <v>0</v>
      </c>
      <c r="M10" s="7">
        <f>[3]Condor!$JK$38</f>
        <v>0</v>
      </c>
      <c r="N10" s="7">
        <f>'[3]Aer Lingus'!$JK$38</f>
        <v>17</v>
      </c>
      <c r="O10" s="7">
        <f>'[3]Air France'!$JK$38</f>
        <v>0</v>
      </c>
      <c r="P10" s="7">
        <f>[3]Frontier!$JK$38</f>
        <v>0</v>
      </c>
      <c r="Q10" s="7">
        <f>'[3]Charter Misc'!$JK$38+[3]Ryan!$JK$38+[3]Omni!$JK$38</f>
        <v>0</v>
      </c>
      <c r="R10" s="196">
        <f>SUM(B10:Q10)</f>
        <v>4042</v>
      </c>
    </row>
    <row r="11" spans="1:20" ht="15.75" thickBot="1" x14ac:dyDescent="0.3">
      <c r="A11" s="44" t="s">
        <v>34</v>
      </c>
      <c r="B11" s="198">
        <f t="shared" ref="B11:G11" si="5">SUM(B9:B10)</f>
        <v>6461</v>
      </c>
      <c r="C11" s="198">
        <f t="shared" si="5"/>
        <v>0</v>
      </c>
      <c r="D11" s="198">
        <f t="shared" si="5"/>
        <v>81</v>
      </c>
      <c r="E11" s="198">
        <f t="shared" si="5"/>
        <v>381</v>
      </c>
      <c r="F11" s="198">
        <f t="shared" ref="F11" si="6">SUM(F9:F10)</f>
        <v>9</v>
      </c>
      <c r="G11" s="198">
        <f t="shared" si="5"/>
        <v>761</v>
      </c>
      <c r="H11" s="198">
        <f t="shared" ref="H11:Q11" si="7">SUM(H9:H10)</f>
        <v>95</v>
      </c>
      <c r="I11" s="198">
        <f t="shared" ref="I11:J11" si="8">SUM(I9:I10)</f>
        <v>0</v>
      </c>
      <c r="J11" s="198">
        <f t="shared" si="8"/>
        <v>90</v>
      </c>
      <c r="K11" s="198">
        <f t="shared" si="7"/>
        <v>152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33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8063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SUM([3]Delta!$JH$32:$JK$32)</f>
        <v>460263</v>
      </c>
      <c r="C17" s="11">
        <f>SUM('[3]Atlantic Southeast'!$JH$32:$JK$32)</f>
        <v>0</v>
      </c>
      <c r="D17" s="11">
        <f>SUM([3]Pinnacle!$JH$32:$JK$32)</f>
        <v>13457</v>
      </c>
      <c r="E17" s="11">
        <f>SUM('[3]Sky West'!$JH$32:$JK$32)</f>
        <v>28669</v>
      </c>
      <c r="F17" s="11">
        <f>SUM([3]WestJet!$JH$32:$JK$32)</f>
        <v>20791</v>
      </c>
      <c r="G17" s="11">
        <f>SUM('[3]Sun Country'!$JH$32:$JK$32)</f>
        <v>139276</v>
      </c>
      <c r="H17" s="11">
        <f>SUM([3]Icelandair!$JH$32:$JK$32)</f>
        <v>5997</v>
      </c>
      <c r="I17" s="11">
        <f>SUM([3]KLM!$JH$32:$JK$32)</f>
        <v>3466</v>
      </c>
      <c r="J17" s="11">
        <f>SUM([3]Lufthansa!$JH$32:$JK$32)</f>
        <v>11229</v>
      </c>
      <c r="K17" s="11">
        <f>SUM([3]Jazz_AC!$JH$32:$JK$32)</f>
        <v>15329</v>
      </c>
      <c r="L17" s="11">
        <f>SUM('[3]Sky Regional'!$JH$32:$JK$32)</f>
        <v>0</v>
      </c>
      <c r="M17" s="11">
        <f>SUM([3]Condor!$JH$32:$JK$32)</f>
        <v>0</v>
      </c>
      <c r="N17" s="11">
        <f>SUM('[3]Aer Lingus'!$JH$32:$JK$32)</f>
        <v>2313</v>
      </c>
      <c r="O17" s="11">
        <f>SUM('[3]Air France'!$JH$32:$JK$32)</f>
        <v>220</v>
      </c>
      <c r="P17" s="11">
        <f>SUM([3]Frontier!$JH$32:$JK$32)</f>
        <v>0</v>
      </c>
      <c r="Q17" s="11">
        <f>SUM('[3]Charter Misc'!$JH$32:$JK$32)+SUM([3]Ryan!$JH$32:$JK$32)+SUM([3]Omni!$JH$32:$JK$32)</f>
        <v>120</v>
      </c>
      <c r="R17" s="195">
        <f>SUM(B17:Q17)</f>
        <v>701130</v>
      </c>
    </row>
    <row r="18" spans="1:21" x14ac:dyDescent="0.2">
      <c r="A18" s="43" t="s">
        <v>31</v>
      </c>
      <c r="B18" s="7">
        <f>SUM([3]Delta!$JH$33:$JK$33)</f>
        <v>449746</v>
      </c>
      <c r="C18" s="7">
        <f>SUM('[3]Atlantic Southeast'!$JH$33:$JK$33)</f>
        <v>0</v>
      </c>
      <c r="D18" s="7">
        <f>SUM([3]Pinnacle!$JH$33:$JK$33)</f>
        <v>14241</v>
      </c>
      <c r="E18" s="7">
        <f>SUM('[3]Sky West'!$JH$33:$JK$33)</f>
        <v>30569</v>
      </c>
      <c r="F18" s="7">
        <f>SUM([3]WestJet!$JH$33:$JK$33)</f>
        <v>20892</v>
      </c>
      <c r="G18" s="7">
        <f>SUM('[3]Sun Country'!$JH$33:$JK$33)</f>
        <v>104337</v>
      </c>
      <c r="H18" s="7">
        <f>SUM([3]Icelandair!$JH$33:$JK$33)</f>
        <v>6050</v>
      </c>
      <c r="I18" s="7">
        <f>SUM([3]KLM!$JH$33:$JK$33)</f>
        <v>3162</v>
      </c>
      <c r="J18" s="7">
        <f>SUM([3]Lufthansa!$JH$33:$JK$33)</f>
        <v>9167</v>
      </c>
      <c r="K18" s="7">
        <f>SUM([3]Jazz_AC!$JH$33:$JK$33)</f>
        <v>13873</v>
      </c>
      <c r="L18" s="7">
        <f>SUM('[3]Sky Regional'!$JH$33:$JK$33)</f>
        <v>0</v>
      </c>
      <c r="M18" s="7">
        <f>SUM([3]Condor!$JH$33:$JK$33)</f>
        <v>0</v>
      </c>
      <c r="N18" s="7">
        <f>SUM('[3]Aer Lingus'!$JH$33:$JK$33)</f>
        <v>2209</v>
      </c>
      <c r="O18" s="7">
        <f>SUM('[3]Air France'!$JH$33:$JK$33)</f>
        <v>152</v>
      </c>
      <c r="P18" s="7">
        <f>SUM([3]Frontier!$JH$33:$JK$33)</f>
        <v>0</v>
      </c>
      <c r="Q18" s="7">
        <f>SUM('[3]Charter Misc'!$JH$33:$JK$33)++SUM([3]Ryan!$JH$33:$JK$33)+SUM([3]Omni!$JH$33:$JK$33)</f>
        <v>0</v>
      </c>
      <c r="R18" s="196">
        <f>SUM(B18:Q18)</f>
        <v>654398</v>
      </c>
    </row>
    <row r="19" spans="1:21" ht="15" x14ac:dyDescent="0.25">
      <c r="A19" s="41" t="s">
        <v>7</v>
      </c>
      <c r="B19" s="23">
        <f t="shared" ref="B19:Q19" si="11">SUM(B17:B18)</f>
        <v>910009</v>
      </c>
      <c r="C19" s="23">
        <f t="shared" si="11"/>
        <v>0</v>
      </c>
      <c r="D19" s="23">
        <f t="shared" si="11"/>
        <v>27698</v>
      </c>
      <c r="E19" s="23">
        <f t="shared" si="11"/>
        <v>59238</v>
      </c>
      <c r="F19" s="23">
        <f t="shared" ref="F19" si="12">SUM(F17:F18)</f>
        <v>41683</v>
      </c>
      <c r="G19" s="23">
        <f t="shared" si="11"/>
        <v>243613</v>
      </c>
      <c r="H19" s="23">
        <f t="shared" si="11"/>
        <v>12047</v>
      </c>
      <c r="I19" s="23">
        <f t="shared" ref="I19:J19" si="13">SUM(I17:I18)</f>
        <v>6628</v>
      </c>
      <c r="J19" s="23">
        <f t="shared" si="13"/>
        <v>20396</v>
      </c>
      <c r="K19" s="23">
        <f t="shared" si="11"/>
        <v>29202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4522</v>
      </c>
      <c r="O19" s="23">
        <f t="shared" si="11"/>
        <v>372</v>
      </c>
      <c r="P19" s="23">
        <f t="shared" si="11"/>
        <v>0</v>
      </c>
      <c r="Q19" s="23">
        <f t="shared" si="11"/>
        <v>120</v>
      </c>
      <c r="R19" s="197">
        <f>SUM(B19:Q19)</f>
        <v>1355528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SUM([3]Delta!$JH$37:$JK$37)</f>
        <v>12174</v>
      </c>
      <c r="C22" s="11">
        <f>SUM('[3]Atlantic Southeast'!$JH$37:$JK$37)</f>
        <v>0</v>
      </c>
      <c r="D22" s="11">
        <f>SUM([3]Pinnacle!$JH$37:$JK$37)</f>
        <v>378</v>
      </c>
      <c r="E22" s="11">
        <f>SUM('[3]Sky West'!$JH$37:$JK$37)</f>
        <v>394</v>
      </c>
      <c r="F22" s="11">
        <f>SUM([3]WestJet!$JH$37:$JK$37)</f>
        <v>13</v>
      </c>
      <c r="G22" s="11">
        <f>SUM('[3]Sun Country'!$JH$37:$JK$37)</f>
        <v>2645</v>
      </c>
      <c r="H22" s="11">
        <f>SUM([3]Icelandair!$JH$37:$JK$37)</f>
        <v>81</v>
      </c>
      <c r="I22" s="11">
        <f>SUM([3]KLM!$JH$37:$JK$37)</f>
        <v>0</v>
      </c>
      <c r="J22" s="11">
        <f>SUM([3]Lufthansa!$JH$37:$JK$37)</f>
        <v>164</v>
      </c>
      <c r="K22" s="11">
        <f>SUM([3]Jazz_AC!$JH$37:$JK$37)</f>
        <v>306</v>
      </c>
      <c r="L22" s="11">
        <f>SUM('[3]Sky Regional'!$JH$37:$JK$37)</f>
        <v>0</v>
      </c>
      <c r="M22" s="11">
        <f>SUM([3]Condor!$JH$37:$JK$37)</f>
        <v>0</v>
      </c>
      <c r="N22" s="11">
        <f>SUM('[3]Aer Lingus'!$JH$37:$JK$37)</f>
        <v>16</v>
      </c>
      <c r="O22" s="11">
        <f>SUM('[3]Air France'!$JH$37:$JK$37)</f>
        <v>0</v>
      </c>
      <c r="P22" s="11">
        <f>SUM([3]Frontier!$JH$37:$JK$37)</f>
        <v>0</v>
      </c>
      <c r="Q22" s="11">
        <f>SUM('[3]Charter Misc'!$JH$37:$JK$37)++SUM([3]Ryan!$JH$37:$JK$37)+SUM([3]Omni!$JH$37:$JK$37)</f>
        <v>103</v>
      </c>
      <c r="R22" s="195">
        <f>SUM(B22:Q22)</f>
        <v>16274</v>
      </c>
    </row>
    <row r="23" spans="1:21" x14ac:dyDescent="0.2">
      <c r="A23" s="43" t="s">
        <v>33</v>
      </c>
      <c r="B23" s="7">
        <f>SUM([3]Delta!$JH$38:$JK$38)</f>
        <v>12514</v>
      </c>
      <c r="C23" s="7">
        <f>SUM('[3]Atlantic Southeast'!$JH$38:$JK$38)</f>
        <v>0</v>
      </c>
      <c r="D23" s="7">
        <f>SUM([3]Pinnacle!$JH$38:$JK$38)</f>
        <v>305</v>
      </c>
      <c r="E23" s="7">
        <f>SUM('[3]Sky West'!$JH$38:$JK$38)</f>
        <v>349</v>
      </c>
      <c r="F23" s="7">
        <f>SUM([3]WestJet!$JH$38:$JK$38)</f>
        <v>10</v>
      </c>
      <c r="G23" s="7">
        <f>SUM('[3]Sun Country'!$JH$38:$JK$38)</f>
        <v>1786</v>
      </c>
      <c r="H23" s="7">
        <f>SUM([3]Icelandair!$JH$38:$JK$38)</f>
        <v>78</v>
      </c>
      <c r="I23" s="7">
        <f>SUM([3]KLM!$JH$38:$JK$38)</f>
        <v>0</v>
      </c>
      <c r="J23" s="7">
        <f>SUM([3]Lufthansa!$JH$38:$JK$38)</f>
        <v>186</v>
      </c>
      <c r="K23" s="7">
        <f>SUM([3]Jazz_AC!$JH$38:$JK$38)</f>
        <v>318</v>
      </c>
      <c r="L23" s="7">
        <f>SUM('[3]Sky Regional'!$JH$38:$JK$38)</f>
        <v>0</v>
      </c>
      <c r="M23" s="7">
        <f>SUM([3]Condor!$JH$38:$JK$38)</f>
        <v>0</v>
      </c>
      <c r="N23" s="7">
        <f>SUM('[3]Aer Lingus'!$JH$38:$JK$38)</f>
        <v>17</v>
      </c>
      <c r="O23" s="7">
        <f>SUM('[3]Air France'!$JH$38:$JK$38)</f>
        <v>0</v>
      </c>
      <c r="P23" s="7">
        <f>SUM([3]Frontier!$JH$38:$JK$38)</f>
        <v>0</v>
      </c>
      <c r="Q23" s="7">
        <f>SUM('[3]Charter Misc'!$JH$38:$JK$38)++SUM([3]Ryan!$JH$38:$JK$38)+SUM([3]Omni!$JH$38:$JK$38)</f>
        <v>112</v>
      </c>
      <c r="R23" s="196">
        <f>SUM(B23:Q23)</f>
        <v>15675</v>
      </c>
    </row>
    <row r="24" spans="1:21" ht="15.75" thickBot="1" x14ac:dyDescent="0.3">
      <c r="A24" s="44" t="s">
        <v>34</v>
      </c>
      <c r="B24" s="198">
        <f t="shared" ref="B24:Q24" si="16">SUM(B22:B23)</f>
        <v>24688</v>
      </c>
      <c r="C24" s="198">
        <f t="shared" si="16"/>
        <v>0</v>
      </c>
      <c r="D24" s="198">
        <f t="shared" si="16"/>
        <v>683</v>
      </c>
      <c r="E24" s="198">
        <f t="shared" si="16"/>
        <v>743</v>
      </c>
      <c r="F24" s="198">
        <f t="shared" ref="F24" si="17">SUM(F22:F23)</f>
        <v>23</v>
      </c>
      <c r="G24" s="198">
        <f t="shared" si="16"/>
        <v>4431</v>
      </c>
      <c r="H24" s="198">
        <f t="shared" si="16"/>
        <v>159</v>
      </c>
      <c r="I24" s="198">
        <f t="shared" ref="I24:J24" si="18">SUM(I22:I23)</f>
        <v>0</v>
      </c>
      <c r="J24" s="198">
        <f t="shared" si="18"/>
        <v>350</v>
      </c>
      <c r="K24" s="198">
        <f t="shared" si="16"/>
        <v>624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33</v>
      </c>
      <c r="O24" s="198">
        <f t="shared" si="16"/>
        <v>0</v>
      </c>
      <c r="P24" s="198">
        <f t="shared" si="16"/>
        <v>0</v>
      </c>
      <c r="Q24" s="198">
        <f t="shared" si="16"/>
        <v>215</v>
      </c>
      <c r="R24" s="199">
        <f>SUM(B24:Q24)</f>
        <v>31949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 x14ac:dyDescent="0.2">
      <c r="A28" s="43" t="s">
        <v>22</v>
      </c>
      <c r="B28" s="11">
        <f>[3]Delta!$JK$15</f>
        <v>581</v>
      </c>
      <c r="C28" s="11">
        <f>'[3]Atlantic Southeast'!$JK$15</f>
        <v>0</v>
      </c>
      <c r="D28" s="11">
        <f>[3]Pinnacle!$JK$15</f>
        <v>32</v>
      </c>
      <c r="E28" s="11">
        <f>'[3]Sky West'!$JK$15</f>
        <v>193</v>
      </c>
      <c r="F28" s="11">
        <f>[3]WestJet!$JK$15</f>
        <v>68</v>
      </c>
      <c r="G28" s="11">
        <f>'[3]Sun Country'!$JK$15</f>
        <v>119</v>
      </c>
      <c r="H28" s="11">
        <f>[3]Icelandair!$JK$15</f>
        <v>21</v>
      </c>
      <c r="I28" s="11">
        <f>[3]KLM!$JK$15</f>
        <v>13</v>
      </c>
      <c r="J28" s="11">
        <f>[3]Lufthansa!$JK$15</f>
        <v>14</v>
      </c>
      <c r="K28" s="11">
        <f>[3]Jazz_AC!$JK$15</f>
        <v>83</v>
      </c>
      <c r="L28" s="11">
        <f>'[3]Sky Regional'!$JK$15</f>
        <v>0</v>
      </c>
      <c r="M28" s="11">
        <f>[3]Condor!$JK$15</f>
        <v>0</v>
      </c>
      <c r="N28" s="11">
        <f>'[3]Aer Lingus'!$JK$15</f>
        <v>26</v>
      </c>
      <c r="O28" s="11">
        <f>'[3]Air France'!$JK$15</f>
        <v>1</v>
      </c>
      <c r="P28" s="11">
        <f>[3]Frontier!$JK$15</f>
        <v>0</v>
      </c>
      <c r="Q28" s="11">
        <f>'[3]Charter Misc'!$JK$15+[3]Ryan!$JK$15+[3]Omni!$JK$15</f>
        <v>0</v>
      </c>
      <c r="R28" s="195">
        <f>SUM(B28:Q28)</f>
        <v>1151</v>
      </c>
    </row>
    <row r="29" spans="1:21" x14ac:dyDescent="0.2">
      <c r="A29" s="43" t="s">
        <v>23</v>
      </c>
      <c r="B29" s="11">
        <f>[3]Delta!$JK$16</f>
        <v>583</v>
      </c>
      <c r="C29" s="11">
        <f>'[3]Atlantic Southeast'!$JK$16</f>
        <v>0</v>
      </c>
      <c r="D29" s="11">
        <f>[3]Pinnacle!$JK$16</f>
        <v>31</v>
      </c>
      <c r="E29" s="11">
        <f>'[3]Sky West'!$JK$16</f>
        <v>194</v>
      </c>
      <c r="F29" s="11">
        <f>[3]WestJet!$JK$16</f>
        <v>68</v>
      </c>
      <c r="G29" s="11">
        <f>'[3]Sun Country'!$JK$16</f>
        <v>119</v>
      </c>
      <c r="H29" s="11">
        <f>[3]Icelandair!$JK$16</f>
        <v>21</v>
      </c>
      <c r="I29" s="11">
        <f>[3]KLM!$JK$16</f>
        <v>13</v>
      </c>
      <c r="J29" s="11">
        <f>[3]Lufthansa!$JK$16</f>
        <v>14</v>
      </c>
      <c r="K29" s="11">
        <f>[3]Jazz_AC!$JK$16</f>
        <v>83</v>
      </c>
      <c r="L29" s="11">
        <f>'[3]Sky Regional'!$JK$16</f>
        <v>0</v>
      </c>
      <c r="M29" s="11">
        <f>[3]Condor!$JK$16</f>
        <v>0</v>
      </c>
      <c r="N29" s="11">
        <f>'[3]Aer Lingus'!$JK$16</f>
        <v>26</v>
      </c>
      <c r="O29" s="11">
        <f>'[3]Air France'!$JK$16</f>
        <v>1</v>
      </c>
      <c r="P29" s="11">
        <f>[3]Frontier!$JK$16</f>
        <v>0</v>
      </c>
      <c r="Q29" s="11">
        <f>'[3]Charter Misc'!$JK$16+[3]Ryan!$JK$16+[3]Omni!$JK$16</f>
        <v>0</v>
      </c>
      <c r="R29" s="195">
        <f>SUM(B29:Q29)</f>
        <v>1153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1164</v>
      </c>
      <c r="C31" s="270">
        <f t="shared" si="21"/>
        <v>0</v>
      </c>
      <c r="D31" s="270">
        <f t="shared" si="21"/>
        <v>63</v>
      </c>
      <c r="E31" s="270">
        <f>SUM(E28:E29)</f>
        <v>387</v>
      </c>
      <c r="F31" s="270">
        <f>SUM(F28:F29)</f>
        <v>136</v>
      </c>
      <c r="G31" s="270">
        <f t="shared" si="21"/>
        <v>238</v>
      </c>
      <c r="H31" s="270">
        <f t="shared" si="21"/>
        <v>42</v>
      </c>
      <c r="I31" s="270">
        <f t="shared" ref="I31:J31" si="22">SUM(I28:I29)</f>
        <v>26</v>
      </c>
      <c r="J31" s="270">
        <f t="shared" si="22"/>
        <v>28</v>
      </c>
      <c r="K31" s="270">
        <f t="shared" si="21"/>
        <v>166</v>
      </c>
      <c r="L31" s="270">
        <f t="shared" ref="L31" si="23">SUM(L28:L29)</f>
        <v>0</v>
      </c>
      <c r="M31" s="270">
        <f>SUM(M28:M29)</f>
        <v>0</v>
      </c>
      <c r="N31" s="270">
        <f>SUM(N28:N29)</f>
        <v>52</v>
      </c>
      <c r="O31" s="270">
        <f>SUM(O28:O29)</f>
        <v>2</v>
      </c>
      <c r="P31" s="270">
        <f t="shared" ref="P31" si="24">SUM(P28:P29)</f>
        <v>0</v>
      </c>
      <c r="Q31" s="270">
        <f>SUM(Q28:Q29)</f>
        <v>0</v>
      </c>
      <c r="R31" s="271">
        <f>SUM(B31:Q31)</f>
        <v>2304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 x14ac:dyDescent="0.2">
      <c r="A35" s="43" t="s">
        <v>22</v>
      </c>
      <c r="B35" s="11">
        <f>SUM([3]Delta!$JH$15:$JK$15)</f>
        <v>2700</v>
      </c>
      <c r="C35" s="11">
        <f>SUM('[3]Atlantic Southeast'!$JH$15:$JK$15)</f>
        <v>0</v>
      </c>
      <c r="D35" s="11">
        <f>SUM([3]Pinnacle!$JH$15:$JK$15)</f>
        <v>259</v>
      </c>
      <c r="E35" s="11">
        <f>SUM('[3]Sky West'!$JH$15:$JK$15)</f>
        <v>494</v>
      </c>
      <c r="F35" s="11">
        <f>SUM([3]WestJet!$JH$15:$JK$15)</f>
        <v>253</v>
      </c>
      <c r="G35" s="11">
        <f>SUM('[3]Sun Country'!$JH$15:$JK$15)</f>
        <v>1019</v>
      </c>
      <c r="H35" s="11">
        <f>SUM([3]Icelandair!$JH$15:$JK$15)</f>
        <v>45</v>
      </c>
      <c r="I35" s="11">
        <f>SUM([3]KLM!$JH$15:$JK$15)</f>
        <v>14</v>
      </c>
      <c r="J35" s="11">
        <f>SUM([3]Lufthansa!$JH$15:$JK$15)</f>
        <v>59</v>
      </c>
      <c r="K35" s="11">
        <f>SUM([3]Jazz_AC!$JH$15:$JK$15)</f>
        <v>329</v>
      </c>
      <c r="L35" s="11">
        <f>SUM('[3]Sky Regional'!$JH$15:$JK$15)</f>
        <v>0</v>
      </c>
      <c r="M35" s="11">
        <f>SUM([3]Condor!$JH$15:$JK$15)</f>
        <v>0</v>
      </c>
      <c r="N35" s="11">
        <f>SUM('[3]Aer Lingus'!$JH$15:$JK$15)</f>
        <v>26</v>
      </c>
      <c r="O35" s="11">
        <f>SUM('[3]Air France'!$JH$15:$JK$15)</f>
        <v>1</v>
      </c>
      <c r="P35" s="11">
        <f>SUM([3]Frontier!$JH$15:$JK$15)</f>
        <v>0</v>
      </c>
      <c r="Q35" s="11">
        <f>SUM('[3]Charter Misc'!$JH$15:$JK$15)+SUM([3]Ryan!$JH$15:$JK$15)+SUM([3]Omni!$JH$15:$JK$15)</f>
        <v>5</v>
      </c>
      <c r="R35" s="195">
        <f>SUM(B35:Q35)</f>
        <v>5204</v>
      </c>
    </row>
    <row r="36" spans="1:18" x14ac:dyDescent="0.2">
      <c r="A36" s="43" t="s">
        <v>23</v>
      </c>
      <c r="B36" s="11">
        <f>SUM([3]Delta!$JH$16:$JK$16)</f>
        <v>2711</v>
      </c>
      <c r="C36" s="11">
        <f>SUM('[3]Atlantic Southeast'!$JH$16:$JK$16)</f>
        <v>0</v>
      </c>
      <c r="D36" s="11">
        <f>SUM([3]Pinnacle!$JH$16:$JK$16)</f>
        <v>258</v>
      </c>
      <c r="E36" s="11">
        <f>SUM('[3]Sky West'!$JH$16:$JK$16)</f>
        <v>496</v>
      </c>
      <c r="F36" s="11">
        <f>SUM([3]WestJet!$JH$16:$JK$16)</f>
        <v>253</v>
      </c>
      <c r="G36" s="11">
        <f>SUM('[3]Sun Country'!$JH$16:$JK$16)</f>
        <v>1019</v>
      </c>
      <c r="H36" s="11">
        <f>SUM([3]Icelandair!$JH$16:$JK$16)</f>
        <v>45</v>
      </c>
      <c r="I36" s="11">
        <f>SUM([3]KLM!$JH$16:$JK$16)</f>
        <v>14</v>
      </c>
      <c r="J36" s="11">
        <f>SUM([3]Lufthansa!$JH$16:$JK$16)</f>
        <v>59</v>
      </c>
      <c r="K36" s="11">
        <f>SUM([3]Jazz_AC!$JH$16:$JK$16)</f>
        <v>329</v>
      </c>
      <c r="L36" s="11">
        <f>SUM('[3]Sky Regional'!$JH$16:$JK$16)</f>
        <v>0</v>
      </c>
      <c r="M36" s="11">
        <f>SUM([3]Condor!$JH$16:$JK$16)</f>
        <v>0</v>
      </c>
      <c r="N36" s="11">
        <f>SUM('[3]Aer Lingus'!$JH$16:$JK$16)</f>
        <v>26</v>
      </c>
      <c r="O36" s="11">
        <f>SUM('[3]Air France'!$JH$16:$JK$16)</f>
        <v>1</v>
      </c>
      <c r="P36" s="11">
        <f>SUM([3]Frontier!$JH$16:$JK$16)</f>
        <v>0</v>
      </c>
      <c r="Q36" s="11">
        <f>SUM('[3]Charter Misc'!$JH$16:$JK$16)+SUM([3]Ryan!$JH$16:$JK$16)+SUM([3]Omni!$JH$16:$JK$16)</f>
        <v>1</v>
      </c>
      <c r="R36" s="195">
        <f>SUM(B36:Q36)</f>
        <v>5212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5411</v>
      </c>
      <c r="C38" s="270">
        <f t="shared" si="25"/>
        <v>0</v>
      </c>
      <c r="D38" s="270">
        <f t="shared" si="25"/>
        <v>517</v>
      </c>
      <c r="E38" s="270">
        <f>+SUM(E35:E36)</f>
        <v>990</v>
      </c>
      <c r="F38" s="270">
        <f>+SUM(F35:F36)</f>
        <v>506</v>
      </c>
      <c r="G38" s="270">
        <f t="shared" si="25"/>
        <v>2038</v>
      </c>
      <c r="H38" s="270">
        <f t="shared" si="25"/>
        <v>90</v>
      </c>
      <c r="I38" s="270">
        <f t="shared" ref="I38:J38" si="26">+SUM(I35:I36)</f>
        <v>28</v>
      </c>
      <c r="J38" s="270">
        <f t="shared" si="26"/>
        <v>118</v>
      </c>
      <c r="K38" s="270">
        <f t="shared" si="25"/>
        <v>658</v>
      </c>
      <c r="L38" s="270">
        <f t="shared" ref="L38" si="27">+SUM(L35:L36)</f>
        <v>0</v>
      </c>
      <c r="M38" s="270">
        <f>+SUM(M35:M36)</f>
        <v>0</v>
      </c>
      <c r="N38" s="270">
        <f>+SUM(N35:N36)</f>
        <v>52</v>
      </c>
      <c r="O38" s="270">
        <f>+SUM(O35:O36)</f>
        <v>2</v>
      </c>
      <c r="P38" s="270">
        <f t="shared" ref="P38" si="28">+SUM(P35:P36)</f>
        <v>0</v>
      </c>
      <c r="Q38" s="270">
        <f>+SUM(Q35:Q36)</f>
        <v>6</v>
      </c>
      <c r="R38" s="271">
        <f>SUM(B38:Q38)</f>
        <v>10416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&amp;"Arial,Bold"April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9"/>
  <sheetViews>
    <sheetView zoomScaleNormal="100" zoomScaleSheetLayoutView="85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O63" sqref="O63:P6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6" t="s">
        <v>130</v>
      </c>
      <c r="B1" s="517"/>
      <c r="C1" s="395" t="s">
        <v>237</v>
      </c>
      <c r="D1" s="395" t="s">
        <v>222</v>
      </c>
      <c r="E1" s="394" t="s">
        <v>95</v>
      </c>
      <c r="F1" s="396" t="s">
        <v>238</v>
      </c>
      <c r="G1" s="395" t="s">
        <v>223</v>
      </c>
      <c r="H1" s="397" t="s">
        <v>96</v>
      </c>
      <c r="I1" s="394" t="s">
        <v>239</v>
      </c>
      <c r="J1" s="520" t="s">
        <v>134</v>
      </c>
      <c r="K1" s="521"/>
      <c r="L1" s="398" t="s">
        <v>240</v>
      </c>
      <c r="M1" s="398" t="s">
        <v>226</v>
      </c>
      <c r="N1" s="399" t="s">
        <v>96</v>
      </c>
      <c r="O1" s="400" t="s">
        <v>241</v>
      </c>
      <c r="P1" s="400" t="s">
        <v>227</v>
      </c>
      <c r="Q1" s="401" t="s">
        <v>96</v>
      </c>
      <c r="R1" s="402" t="s">
        <v>239</v>
      </c>
      <c r="S1" s="508" t="s">
        <v>199</v>
      </c>
      <c r="T1" s="509"/>
      <c r="U1" s="403" t="s">
        <v>240</v>
      </c>
      <c r="V1" s="403" t="s">
        <v>226</v>
      </c>
      <c r="W1" s="404" t="s">
        <v>96</v>
      </c>
      <c r="X1" s="405" t="s">
        <v>241</v>
      </c>
      <c r="Y1" s="405" t="s">
        <v>227</v>
      </c>
      <c r="Z1" s="406" t="s">
        <v>96</v>
      </c>
      <c r="AA1" s="407" t="s">
        <v>239</v>
      </c>
      <c r="AB1" s="503" t="s">
        <v>13</v>
      </c>
      <c r="AC1" s="504"/>
      <c r="AD1" s="425" t="s">
        <v>240</v>
      </c>
      <c r="AE1" s="425" t="s">
        <v>226</v>
      </c>
      <c r="AF1" s="426" t="s">
        <v>96</v>
      </c>
      <c r="AG1" s="427" t="s">
        <v>241</v>
      </c>
      <c r="AH1" s="427" t="s">
        <v>227</v>
      </c>
      <c r="AI1" s="428" t="s">
        <v>96</v>
      </c>
      <c r="AJ1" s="429" t="s">
        <v>239</v>
      </c>
    </row>
    <row r="2" spans="1:36" s="9" customFormat="1" ht="13.5" customHeight="1" thickBot="1" x14ac:dyDescent="0.25">
      <c r="A2" s="486">
        <v>45748</v>
      </c>
      <c r="B2" s="487"/>
      <c r="C2" s="518" t="s">
        <v>9</v>
      </c>
      <c r="D2" s="519"/>
      <c r="E2" s="519"/>
      <c r="F2" s="519"/>
      <c r="G2" s="519"/>
      <c r="H2" s="519"/>
      <c r="I2" s="320"/>
      <c r="J2" s="486">
        <f>+A2</f>
        <v>45748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45748</v>
      </c>
      <c r="T2" s="487"/>
      <c r="U2" s="510" t="s">
        <v>200</v>
      </c>
      <c r="V2" s="511"/>
      <c r="W2" s="511"/>
      <c r="X2" s="511"/>
      <c r="Y2" s="511"/>
      <c r="Z2" s="511"/>
      <c r="AA2" s="512"/>
      <c r="AB2" s="486">
        <f>+S2</f>
        <v>45748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SUM(C5:C5)</f>
        <v>166</v>
      </c>
      <c r="D4" s="249">
        <f>SUM(D5:D5)</f>
        <v>180</v>
      </c>
      <c r="E4" s="250">
        <f>(C4-D4)/D4</f>
        <v>-7.7777777777777779E-2</v>
      </c>
      <c r="F4" s="247">
        <f>SUM(F5:F5)</f>
        <v>658</v>
      </c>
      <c r="G4" s="249">
        <f>SUM(G5:G5)</f>
        <v>728</v>
      </c>
      <c r="H4" s="248">
        <f>(F4-G4)/G4</f>
        <v>-9.6153846153846159E-2</v>
      </c>
      <c r="I4" s="250">
        <f>F4/$F$60</f>
        <v>6.6505624677831799E-3</v>
      </c>
      <c r="J4" s="246" t="s">
        <v>98</v>
      </c>
      <c r="K4" s="37"/>
      <c r="L4" s="247">
        <f>SUM(L5:L5)</f>
        <v>7188</v>
      </c>
      <c r="M4" s="249">
        <f>SUM(M5:M5)</f>
        <v>9455</v>
      </c>
      <c r="N4" s="250">
        <f>(L4-M4)/M4</f>
        <v>-0.23976731887890004</v>
      </c>
      <c r="O4" s="247">
        <f>SUM(O5:O5)</f>
        <v>29202</v>
      </c>
      <c r="P4" s="249">
        <f>SUM(P5:P5)</f>
        <v>32847</v>
      </c>
      <c r="Q4" s="248">
        <f>(O4-P4)/P4</f>
        <v>-0.11096903826833501</v>
      </c>
      <c r="R4" s="250">
        <f>O4/$O$60</f>
        <v>2.6946581875641551E-3</v>
      </c>
      <c r="S4" s="246" t="s">
        <v>98</v>
      </c>
      <c r="T4" s="37"/>
      <c r="U4" s="247">
        <f>SUM(U5:U5)</f>
        <v>12247.6</v>
      </c>
      <c r="V4" s="249">
        <f>SUM(V5:V5)</f>
        <v>30624.300000000003</v>
      </c>
      <c r="W4" s="250">
        <f>(U4-V4)/V4</f>
        <v>-0.60006922607210622</v>
      </c>
      <c r="X4" s="247">
        <f>SUM(X5:X5)</f>
        <v>66154.3</v>
      </c>
      <c r="Y4" s="249">
        <f>SUM(Y5:Y5)</f>
        <v>77459.8</v>
      </c>
      <c r="Z4" s="248">
        <f>(X4-Y4)/Y4</f>
        <v>-0.1459531266540838</v>
      </c>
      <c r="AA4" s="250">
        <f>X4/$X$60</f>
        <v>2.3794151661143035E-3</v>
      </c>
      <c r="AB4" s="246" t="s">
        <v>98</v>
      </c>
      <c r="AC4" s="37"/>
      <c r="AD4" s="247">
        <f>SUM(AD5:AD5)</f>
        <v>7340</v>
      </c>
      <c r="AE4" s="249">
        <f>SUM(AE5:AE5)</f>
        <v>9595</v>
      </c>
      <c r="AF4" s="250">
        <f>(AD4-AE4)/AE4</f>
        <v>-0.23501823866597185</v>
      </c>
      <c r="AG4" s="247">
        <f>SUM(AG5:AG5)</f>
        <v>29826</v>
      </c>
      <c r="AH4" s="249">
        <f>SUM(AH5:AH5)</f>
        <v>33372</v>
      </c>
      <c r="AI4" s="248">
        <f>(AG4-AH4)/AH4</f>
        <v>-0.10625674217907227</v>
      </c>
      <c r="AJ4" s="250">
        <f>AG4/$AG$60</f>
        <v>2.6684619840792326E-3</v>
      </c>
    </row>
    <row r="5" spans="1:36" ht="14.1" customHeight="1" x14ac:dyDescent="0.2">
      <c r="A5" s="246"/>
      <c r="B5" s="306" t="s">
        <v>207</v>
      </c>
      <c r="C5" s="251">
        <f>[3]Jazz_AC!$JK$19</f>
        <v>166</v>
      </c>
      <c r="D5" s="2">
        <f>[3]Jazz_AC!$IW$19</f>
        <v>180</v>
      </c>
      <c r="E5" s="63">
        <f t="shared" ref="E5" si="0">(C5-D5)/D5</f>
        <v>-7.7777777777777779E-2</v>
      </c>
      <c r="F5" s="2">
        <f>SUM([3]Jazz_AC!$JH$19:$JK$19)</f>
        <v>658</v>
      </c>
      <c r="G5" s="2">
        <f>SUM([3]Jazz_AC!$IT$19:$IW$19)</f>
        <v>728</v>
      </c>
      <c r="H5" s="3">
        <f t="shared" ref="H5" si="1">(F5-G5)/G5</f>
        <v>-9.6153846153846159E-2</v>
      </c>
      <c r="I5" s="63">
        <f>F5/$F$60</f>
        <v>6.6505624677831799E-3</v>
      </c>
      <c r="J5" s="246"/>
      <c r="K5" s="306" t="s">
        <v>207</v>
      </c>
      <c r="L5" s="251">
        <f>[3]Jazz_AC!$JK$41</f>
        <v>7188</v>
      </c>
      <c r="M5" s="2">
        <f>[3]Jazz_AC!$IW$41</f>
        <v>9455</v>
      </c>
      <c r="N5" s="63">
        <f t="shared" ref="N5" si="2">(L5-M5)/M5</f>
        <v>-0.23976731887890004</v>
      </c>
      <c r="O5" s="251">
        <f>SUM([3]Jazz_AC!$JH$41:$JK$41)</f>
        <v>29202</v>
      </c>
      <c r="P5" s="2">
        <f>SUM([3]Jazz_AC!$IT$41:$IW$41)</f>
        <v>32847</v>
      </c>
      <c r="Q5" s="3">
        <f t="shared" ref="Q5" si="3">(O5-P5)/P5</f>
        <v>-0.11096903826833501</v>
      </c>
      <c r="R5" s="63">
        <f>O5/$O$60</f>
        <v>2.6946581875641551E-3</v>
      </c>
      <c r="S5" s="246"/>
      <c r="T5" s="306" t="s">
        <v>207</v>
      </c>
      <c r="U5" s="251">
        <f>[3]Jazz_AC!$JK$64</f>
        <v>12247.6</v>
      </c>
      <c r="V5" s="2">
        <f>[3]Jazz_AC!$IW$64</f>
        <v>30624.300000000003</v>
      </c>
      <c r="W5" s="63">
        <f t="shared" ref="W5" si="4">(U5-V5)/V5</f>
        <v>-0.60006922607210622</v>
      </c>
      <c r="X5" s="251">
        <f>SUM([3]Jazz_AC!$JH$64:$JK$64)</f>
        <v>66154.3</v>
      </c>
      <c r="Y5" s="2">
        <f>SUM([3]Jazz_AC!$IT$64:$IW$64)</f>
        <v>77459.8</v>
      </c>
      <c r="Z5" s="3">
        <f t="shared" ref="Z5" si="5">(X5-Y5)/Y5</f>
        <v>-0.1459531266540838</v>
      </c>
      <c r="AA5" s="63">
        <f>X5/$X$60</f>
        <v>2.3794151661143035E-3</v>
      </c>
      <c r="AB5" s="246"/>
      <c r="AC5" s="306" t="s">
        <v>207</v>
      </c>
      <c r="AD5" s="251">
        <f>[3]Jazz_AC!$JK$43</f>
        <v>7340</v>
      </c>
      <c r="AE5" s="2">
        <f>[3]Jazz_AC!$IW$43</f>
        <v>9595</v>
      </c>
      <c r="AF5" s="63">
        <f t="shared" ref="AF5" si="6">(AD5-AE5)/AE5</f>
        <v>-0.23501823866597185</v>
      </c>
      <c r="AG5" s="251">
        <f>SUM([3]Jazz_AC!$JH$43:$JK$43)</f>
        <v>29826</v>
      </c>
      <c r="AH5" s="2">
        <f>SUM([3]Jazz_AC!$IT$43:$IW$43)</f>
        <v>33372</v>
      </c>
      <c r="AI5" s="3">
        <f t="shared" ref="AI5" si="7">(AG5-AH5)/AH5</f>
        <v>-0.10625674217907227</v>
      </c>
      <c r="AJ5" s="63">
        <f>AG5/$AG$60</f>
        <v>2.6684619840792326E-3</v>
      </c>
    </row>
    <row r="6" spans="1:36" ht="14.1" customHeight="1" x14ac:dyDescent="0.2">
      <c r="A6" s="246"/>
      <c r="B6" s="37"/>
      <c r="C6" s="247"/>
      <c r="D6" s="249"/>
      <c r="E6" s="250"/>
      <c r="F6" s="249"/>
      <c r="G6" s="249"/>
      <c r="H6" s="248"/>
      <c r="I6" s="250"/>
      <c r="J6" s="246"/>
      <c r="K6" s="37"/>
      <c r="L6" s="251"/>
      <c r="N6" s="63"/>
      <c r="O6" s="251"/>
      <c r="P6" s="2"/>
      <c r="Q6" s="3"/>
      <c r="R6" s="63"/>
      <c r="S6" s="246"/>
      <c r="T6" s="37"/>
      <c r="U6" s="251"/>
      <c r="V6" s="2"/>
      <c r="W6" s="63"/>
      <c r="X6" s="251"/>
      <c r="Y6" s="2"/>
      <c r="Z6" s="3"/>
      <c r="AA6" s="63"/>
      <c r="AB6" s="246"/>
      <c r="AC6" s="37"/>
      <c r="AD6" s="251"/>
      <c r="AE6" s="2"/>
      <c r="AF6" s="63"/>
      <c r="AG6" s="251"/>
      <c r="AH6" s="2"/>
      <c r="AI6" s="3"/>
      <c r="AJ6" s="63"/>
    </row>
    <row r="7" spans="1:36" ht="14.1" customHeight="1" x14ac:dyDescent="0.2">
      <c r="A7" s="246" t="s">
        <v>153</v>
      </c>
      <c r="B7" s="37"/>
      <c r="C7" s="247">
        <f>'[3]Air France'!$JK$19</f>
        <v>2</v>
      </c>
      <c r="D7" s="249">
        <f>'[3]Air France'!$IW$19</f>
        <v>0</v>
      </c>
      <c r="E7" s="250">
        <f>IFERROR((C7-D7)/D7,0)</f>
        <v>0</v>
      </c>
      <c r="F7" s="249">
        <f>SUM('[3]Air France'!$JH$19:$JK$19)</f>
        <v>2</v>
      </c>
      <c r="G7" s="249">
        <f>SUM('[3]Air France'!$IT$19:$IW$19)</f>
        <v>0</v>
      </c>
      <c r="H7" s="248">
        <f>IFERROR((F7-G7)/G7,0)</f>
        <v>0</v>
      </c>
      <c r="I7" s="250">
        <f>F7/$F$60</f>
        <v>2.0214475585967113E-5</v>
      </c>
      <c r="J7" s="246" t="s">
        <v>153</v>
      </c>
      <c r="K7" s="37"/>
      <c r="L7" s="247">
        <f>'[3]Air France'!$JK$41</f>
        <v>372</v>
      </c>
      <c r="M7" s="249">
        <f>'[3]Air France'!$IW$41</f>
        <v>0</v>
      </c>
      <c r="N7" s="250">
        <f>IFERROR((L7-M7)/M7,0)</f>
        <v>0</v>
      </c>
      <c r="O7" s="247">
        <f>SUM('[3]Air France'!$JH$41:$JK$41)</f>
        <v>372</v>
      </c>
      <c r="P7" s="249">
        <f>SUM('[3]Air France'!$IT$41:$IW$41)</f>
        <v>0</v>
      </c>
      <c r="Q7" s="248">
        <f>IFERROR((O7-P7)/P7,0)</f>
        <v>0</v>
      </c>
      <c r="R7" s="250">
        <f>O7/$O$60</f>
        <v>3.4326855892537009E-5</v>
      </c>
      <c r="S7" s="246" t="s">
        <v>153</v>
      </c>
      <c r="T7" s="37"/>
      <c r="U7" s="247">
        <f>'[3]Air France'!$JK$64</f>
        <v>13567</v>
      </c>
      <c r="V7" s="249">
        <f>'[3]Air France'!$IW$64</f>
        <v>0</v>
      </c>
      <c r="W7" s="250">
        <f>IFERROR((U7-V7)/V7,0)</f>
        <v>0</v>
      </c>
      <c r="X7" s="247">
        <f>SUM('[3]Air France'!$JH$64:$JK$64)</f>
        <v>13567</v>
      </c>
      <c r="Y7" s="249">
        <f>SUM('[3]Air France'!$IT$64:$IW$64)</f>
        <v>0</v>
      </c>
      <c r="Z7" s="248">
        <f>IFERROR((X7-Y7)/Y7,0)</f>
        <v>0</v>
      </c>
      <c r="AA7" s="250">
        <f>X7/$X$60</f>
        <v>4.879732014196017E-4</v>
      </c>
      <c r="AB7" s="246" t="s">
        <v>153</v>
      </c>
      <c r="AC7" s="37"/>
      <c r="AD7" s="247">
        <f>'[3]Air France'!$JK$43</f>
        <v>372</v>
      </c>
      <c r="AE7" s="249">
        <f>'[3]Air France'!$IW$43</f>
        <v>0</v>
      </c>
      <c r="AF7" s="250">
        <f>IFERROR((AD7-AE7)/AE7,0)</f>
        <v>0</v>
      </c>
      <c r="AG7" s="247">
        <f>SUM('[3]Air France'!$JH$43:$JK$43)</f>
        <v>372</v>
      </c>
      <c r="AH7" s="249">
        <f>SUM('[3]Air France'!$IT$43:$IW$43)</f>
        <v>0</v>
      </c>
      <c r="AI7" s="248">
        <f>IFERROR((AG7-AH7)/AH7,0)</f>
        <v>0</v>
      </c>
      <c r="AJ7" s="250">
        <f>AG7/$AG$60</f>
        <v>3.3281963993746212E-5</v>
      </c>
    </row>
    <row r="8" spans="1:36" ht="14.1" customHeight="1" x14ac:dyDescent="0.2">
      <c r="A8" s="246"/>
      <c r="B8" s="37"/>
      <c r="C8" s="247"/>
      <c r="D8" s="249"/>
      <c r="E8" s="250"/>
      <c r="F8" s="249"/>
      <c r="G8" s="249"/>
      <c r="H8" s="248"/>
      <c r="I8" s="250"/>
      <c r="J8" s="246"/>
      <c r="K8" s="37"/>
      <c r="L8" s="251"/>
      <c r="N8" s="63"/>
      <c r="O8" s="251"/>
      <c r="P8" s="2"/>
      <c r="Q8" s="3"/>
      <c r="R8" s="63"/>
      <c r="S8" s="246"/>
      <c r="T8" s="37"/>
      <c r="U8" s="251"/>
      <c r="V8" s="2"/>
      <c r="W8" s="63"/>
      <c r="X8" s="251"/>
      <c r="Y8" s="2"/>
      <c r="Z8" s="3"/>
      <c r="AA8" s="63"/>
      <c r="AB8" s="246"/>
      <c r="AC8" s="37"/>
      <c r="AD8" s="251"/>
      <c r="AE8" s="2"/>
      <c r="AF8" s="63"/>
      <c r="AG8" s="251"/>
      <c r="AH8" s="2"/>
      <c r="AI8" s="3"/>
      <c r="AJ8" s="63"/>
    </row>
    <row r="9" spans="1:36" ht="14.1" customHeight="1" x14ac:dyDescent="0.2">
      <c r="A9" s="246" t="s">
        <v>186</v>
      </c>
      <c r="B9" s="37"/>
      <c r="C9" s="247">
        <f>'[3]Aer Lingus'!$JK$19</f>
        <v>52</v>
      </c>
      <c r="D9" s="249">
        <f>'[3]Aer Lingus'!$IW$19</f>
        <v>2</v>
      </c>
      <c r="E9" s="250">
        <f>IFERROR((C9-D9)/D9,0)</f>
        <v>25</v>
      </c>
      <c r="F9" s="249">
        <f>SUM('[3]Aer Lingus'!$JH$19:$JK$19)</f>
        <v>52</v>
      </c>
      <c r="G9" s="249">
        <f>SUM('[3]Aer Lingus'!$IT$19:$IW$19)</f>
        <v>2</v>
      </c>
      <c r="H9" s="248">
        <f>IFERROR((F9-G9)/G9,0)</f>
        <v>25</v>
      </c>
      <c r="I9" s="250">
        <f>F9/$F$60</f>
        <v>5.255763652351449E-4</v>
      </c>
      <c r="J9" s="246" t="s">
        <v>186</v>
      </c>
      <c r="K9" s="37"/>
      <c r="L9" s="247">
        <f>'[3]Aer Lingus'!$JK$41</f>
        <v>4522</v>
      </c>
      <c r="M9" s="249">
        <f>'[3]Aer Lingus'!$IW$41</f>
        <v>260</v>
      </c>
      <c r="N9" s="250">
        <f>IFERROR((L9-M9)/M9,0)</f>
        <v>16.392307692307693</v>
      </c>
      <c r="O9" s="247">
        <f>SUM('[3]Aer Lingus'!$JH$41:$JK$41)</f>
        <v>4522</v>
      </c>
      <c r="P9" s="249">
        <f>SUM('[3]Aer Lingus'!$IT$41:$IW$41)</f>
        <v>260</v>
      </c>
      <c r="Q9" s="248">
        <f>IFERROR((O9-P9)/P9,0)</f>
        <v>16.392307692307693</v>
      </c>
      <c r="R9" s="250">
        <f>O9/$O$60</f>
        <v>4.1727430738186115E-4</v>
      </c>
      <c r="S9" s="246" t="s">
        <v>186</v>
      </c>
      <c r="T9" s="37"/>
      <c r="U9" s="247">
        <f>'[3]Aer Lingus'!$JK$64</f>
        <v>0</v>
      </c>
      <c r="V9" s="249">
        <f>'[3]Aer Lingus'!$IW$64</f>
        <v>0</v>
      </c>
      <c r="W9" s="250">
        <f>IFERROR((U9-V9)/V9,0)</f>
        <v>0</v>
      </c>
      <c r="X9" s="247">
        <f>SUM('[3]Aer Lingus'!$JH$64:$JK$64)</f>
        <v>0</v>
      </c>
      <c r="Y9" s="249">
        <f>SUM('[3]Aer Lingus'!$IT$64:$IW$64)</f>
        <v>0</v>
      </c>
      <c r="Z9" s="248">
        <f>IFERROR((X9-Y9)/Y9,0)</f>
        <v>0</v>
      </c>
      <c r="AA9" s="250">
        <f>X9/$X$60</f>
        <v>0</v>
      </c>
      <c r="AB9" s="246" t="s">
        <v>186</v>
      </c>
      <c r="AC9" s="37"/>
      <c r="AD9" s="247">
        <f>'[3]Aer Lingus'!$JK$43</f>
        <v>4555</v>
      </c>
      <c r="AE9" s="249">
        <f>'[3]Aer Lingus'!$IW$43</f>
        <v>263</v>
      </c>
      <c r="AF9" s="250">
        <f>IFERROR((AD9-AE9)/AE9,0)</f>
        <v>16.319391634980988</v>
      </c>
      <c r="AG9" s="247">
        <f>SUM('[3]Aer Lingus'!$JH$43:$JK$43)</f>
        <v>4555</v>
      </c>
      <c r="AH9" s="249">
        <f>SUM('[3]Aer Lingus'!$IT$43:$IW$43)</f>
        <v>263</v>
      </c>
      <c r="AI9" s="248">
        <f>IFERROR((AG9-AH9)/AH9,0)</f>
        <v>16.319391634980988</v>
      </c>
      <c r="AJ9" s="250">
        <f>AG9/$AG$60</f>
        <v>4.0752512363310213E-4</v>
      </c>
    </row>
    <row r="10" spans="1:36" ht="14.1" customHeight="1" x14ac:dyDescent="0.2">
      <c r="A10" s="246"/>
      <c r="B10" s="37"/>
      <c r="C10" s="247"/>
      <c r="D10" s="249"/>
      <c r="E10" s="250"/>
      <c r="F10" s="249"/>
      <c r="G10" s="249"/>
      <c r="H10" s="248"/>
      <c r="I10" s="250"/>
      <c r="J10" s="246"/>
      <c r="K10" s="37"/>
      <c r="L10" s="251"/>
      <c r="N10" s="63"/>
      <c r="O10" s="251"/>
      <c r="P10" s="2"/>
      <c r="Q10" s="3"/>
      <c r="R10" s="63"/>
      <c r="S10" s="246"/>
      <c r="T10" s="37"/>
      <c r="U10" s="251"/>
      <c r="V10" s="2"/>
      <c r="W10" s="63"/>
      <c r="X10" s="251"/>
      <c r="Y10" s="2"/>
      <c r="Z10" s="3"/>
      <c r="AA10" s="63"/>
      <c r="AB10" s="246"/>
      <c r="AC10" s="37"/>
      <c r="AD10" s="251"/>
      <c r="AE10" s="2"/>
      <c r="AF10" s="63"/>
      <c r="AG10" s="251"/>
      <c r="AH10" s="2"/>
      <c r="AI10" s="3"/>
      <c r="AJ10" s="63"/>
    </row>
    <row r="11" spans="1:36" ht="14.1" customHeight="1" x14ac:dyDescent="0.2">
      <c r="A11" s="246" t="s">
        <v>208</v>
      </c>
      <c r="B11" s="37"/>
      <c r="C11" s="251">
        <f>'[3]Allegiant '!$JK$19</f>
        <v>40</v>
      </c>
      <c r="D11" s="2">
        <f>'[3]Allegiant '!$IW$19</f>
        <v>56</v>
      </c>
      <c r="E11" s="250">
        <f t="shared" ref="E11" si="8">(C11-D11)/D11</f>
        <v>-0.2857142857142857</v>
      </c>
      <c r="F11" s="2">
        <f>SUM('[3]Allegiant '!$JH$19:$JK$19)</f>
        <v>254</v>
      </c>
      <c r="G11" s="2">
        <f>SUM('[3]Allegiant '!$IT$19:$IW$19)</f>
        <v>352</v>
      </c>
      <c r="H11" s="248">
        <f t="shared" ref="H11" si="9">(F11-G11)/G11</f>
        <v>-0.27840909090909088</v>
      </c>
      <c r="I11" s="250">
        <f>F11/$F$60</f>
        <v>2.5672383994178229E-3</v>
      </c>
      <c r="J11" s="246" t="s">
        <v>208</v>
      </c>
      <c r="K11" s="37"/>
      <c r="L11" s="251">
        <f>'[3]Allegiant '!$JK$41</f>
        <v>5137</v>
      </c>
      <c r="M11" s="2">
        <f>'[3]Allegiant '!$IW$41</f>
        <v>6494</v>
      </c>
      <c r="N11" s="250">
        <f t="shared" ref="N11" si="10">(L11-M11)/M11</f>
        <v>-0.20896211887896521</v>
      </c>
      <c r="O11" s="251">
        <f>SUM('[3]Allegiant '!$JH$41:$JK$41)</f>
        <v>36272</v>
      </c>
      <c r="P11" s="2">
        <f>SUM('[3]Allegiant '!$IT$41:$IW$41)</f>
        <v>49050</v>
      </c>
      <c r="Q11" s="248">
        <f t="shared" ref="Q11" si="11">(O11-P11)/P11</f>
        <v>-0.2605096839959225</v>
      </c>
      <c r="R11" s="250">
        <f>O11/$O$60</f>
        <v>3.3470530025110279E-3</v>
      </c>
      <c r="S11" s="246" t="s">
        <v>208</v>
      </c>
      <c r="T11" s="37"/>
      <c r="U11" s="251">
        <f>'[3]Allegiant '!$JK$64</f>
        <v>0</v>
      </c>
      <c r="V11" s="2">
        <f>'[3]Allegiant '!$IW$64</f>
        <v>0</v>
      </c>
      <c r="W11" s="250">
        <f>IFERROR((U11-V11)/V11,0)</f>
        <v>0</v>
      </c>
      <c r="X11" s="251">
        <f>SUM('[3]Allegiant '!$JH$64:$JK$64)</f>
        <v>0</v>
      </c>
      <c r="Y11" s="2">
        <f>SUM('[3]Allegiant '!$IT$64:$IW$64)</f>
        <v>0</v>
      </c>
      <c r="Z11" s="248">
        <f>IFERROR((X11-Y11)/Y11,0)</f>
        <v>0</v>
      </c>
      <c r="AA11" s="250">
        <f>X11/$X$60</f>
        <v>0</v>
      </c>
      <c r="AB11" s="246" t="s">
        <v>208</v>
      </c>
      <c r="AC11" s="37"/>
      <c r="AD11" s="251">
        <f>'[3]Allegiant '!$JK$43</f>
        <v>5137</v>
      </c>
      <c r="AE11" s="2">
        <f>'[3]Allegiant '!$IW$43</f>
        <v>6494</v>
      </c>
      <c r="AF11" s="250">
        <f t="shared" ref="AF11" si="12">(AD11-AE11)/AE11</f>
        <v>-0.20896211887896521</v>
      </c>
      <c r="AG11" s="251">
        <f>SUM('[3]Allegiant '!$JH$43:$JK$43)</f>
        <v>36272</v>
      </c>
      <c r="AH11" s="2">
        <f>SUM('[3]Allegiant '!$IT$43:$IW$43)</f>
        <v>49050</v>
      </c>
      <c r="AI11" s="248">
        <f t="shared" ref="AI11" si="13">(AG11-AH11)/AH11</f>
        <v>-0.2605096839959225</v>
      </c>
      <c r="AJ11" s="250">
        <f>AG11/$AG$60</f>
        <v>3.2451704246805445E-3</v>
      </c>
    </row>
    <row r="12" spans="1:36" ht="14.1" customHeight="1" x14ac:dyDescent="0.2">
      <c r="A12" s="246"/>
      <c r="B12" s="37"/>
      <c r="C12" s="247"/>
      <c r="D12" s="249"/>
      <c r="E12" s="250"/>
      <c r="F12" s="249"/>
      <c r="G12" s="249"/>
      <c r="H12" s="248"/>
      <c r="I12" s="250"/>
      <c r="J12" s="246"/>
      <c r="K12" s="37"/>
      <c r="L12" s="251"/>
      <c r="N12" s="63"/>
      <c r="O12" s="251"/>
      <c r="P12" s="2"/>
      <c r="Q12" s="3"/>
      <c r="R12" s="63"/>
      <c r="S12" s="246"/>
      <c r="T12" s="37"/>
      <c r="U12" s="251"/>
      <c r="V12" s="2"/>
      <c r="W12" s="63"/>
      <c r="X12" s="251"/>
      <c r="Y12" s="2"/>
      <c r="Z12" s="3"/>
      <c r="AA12" s="63"/>
      <c r="AB12" s="246"/>
      <c r="AC12" s="37"/>
      <c r="AD12" s="251"/>
      <c r="AE12" s="2"/>
      <c r="AF12" s="63"/>
      <c r="AG12" s="251"/>
      <c r="AH12" s="2"/>
      <c r="AI12" s="3"/>
      <c r="AJ12" s="63"/>
    </row>
    <row r="13" spans="1:36" ht="14.1" customHeight="1" x14ac:dyDescent="0.2">
      <c r="A13" s="246" t="s">
        <v>127</v>
      </c>
      <c r="B13" s="37"/>
      <c r="C13" s="247">
        <f>SUM(C14:C14)</f>
        <v>179</v>
      </c>
      <c r="D13" s="249">
        <f>SUM(D14:D14)</f>
        <v>157</v>
      </c>
      <c r="E13" s="250">
        <f>(C13-D13)/D13</f>
        <v>0.14012738853503184</v>
      </c>
      <c r="F13" s="249">
        <f>SUM(F14:F14)</f>
        <v>568</v>
      </c>
      <c r="G13" s="249">
        <f>SUM(G14:G14)</f>
        <v>509</v>
      </c>
      <c r="H13" s="248">
        <f>(F13-G13)/G13</f>
        <v>0.11591355599214145</v>
      </c>
      <c r="I13" s="250">
        <f>F13/$F$60</f>
        <v>5.7409110664146598E-3</v>
      </c>
      <c r="J13" s="246" t="s">
        <v>127</v>
      </c>
      <c r="K13" s="37"/>
      <c r="L13" s="247">
        <f>SUM(L14:L14)</f>
        <v>17509</v>
      </c>
      <c r="M13" s="249">
        <f>SUM(M14:M14)</f>
        <v>19727</v>
      </c>
      <c r="N13" s="250">
        <f>(L13-M13)/M13</f>
        <v>-0.11243473412074821</v>
      </c>
      <c r="O13" s="247">
        <f>SUM(O14:O14)</f>
        <v>69187</v>
      </c>
      <c r="P13" s="249">
        <f>SUM(P14:P14)</f>
        <v>65013</v>
      </c>
      <c r="Q13" s="248">
        <f>(O13-P13)/P13</f>
        <v>6.42025441065633E-2</v>
      </c>
      <c r="R13" s="250">
        <f>O13/$O$60</f>
        <v>6.3843338135402099E-3</v>
      </c>
      <c r="S13" s="246" t="s">
        <v>127</v>
      </c>
      <c r="T13" s="37"/>
      <c r="U13" s="247">
        <f>SUM(U14:U14)</f>
        <v>18276</v>
      </c>
      <c r="V13" s="249">
        <f>SUM(V14:V14)</f>
        <v>23205</v>
      </c>
      <c r="W13" s="250">
        <f>(U13-V13)/V13</f>
        <v>-0.21241111829347123</v>
      </c>
      <c r="X13" s="247">
        <f>SUM(X14:X14)</f>
        <v>74887</v>
      </c>
      <c r="Y13" s="249">
        <f>SUM(Y14:Y14)</f>
        <v>71869</v>
      </c>
      <c r="Z13" s="248">
        <f>(X13-Y13)/Y13</f>
        <v>4.1993070725904073E-2</v>
      </c>
      <c r="AA13" s="250">
        <f>X13/$X$60</f>
        <v>2.6935099236905513E-3</v>
      </c>
      <c r="AB13" s="246" t="s">
        <v>127</v>
      </c>
      <c r="AC13" s="37"/>
      <c r="AD13" s="247">
        <f>SUM(AD14:AD14)</f>
        <v>18259</v>
      </c>
      <c r="AE13" s="249">
        <f>SUM(AE14:AE14)</f>
        <v>20621</v>
      </c>
      <c r="AF13" s="250">
        <f>(AD13-AE13)/AE13</f>
        <v>-0.11454342660394744</v>
      </c>
      <c r="AG13" s="247">
        <f>SUM(AG14:AG14)</f>
        <v>72229</v>
      </c>
      <c r="AH13" s="249">
        <f>SUM(AH14:AH14)</f>
        <v>67977</v>
      </c>
      <c r="AI13" s="248">
        <f>(AG13-AH13)/AH13</f>
        <v>6.2550568574664955E-2</v>
      </c>
      <c r="AJ13" s="250">
        <f>AG13/$AG$60</f>
        <v>6.4621585411405785E-3</v>
      </c>
    </row>
    <row r="14" spans="1:36" ht="14.1" customHeight="1" x14ac:dyDescent="0.2">
      <c r="A14" s="246"/>
      <c r="B14" s="306" t="s">
        <v>127</v>
      </c>
      <c r="C14" s="310">
        <f>[3]Alaska!$JK$19</f>
        <v>179</v>
      </c>
      <c r="D14" s="207">
        <f>[3]Alaska!$IW$19</f>
        <v>157</v>
      </c>
      <c r="E14" s="312">
        <f>(C14-D14)/D14</f>
        <v>0.14012738853503184</v>
      </c>
      <c r="F14" s="207">
        <f>SUM([3]Alaska!$JH$19:$JK$19)</f>
        <v>568</v>
      </c>
      <c r="G14" s="207">
        <f>SUM([3]Alaska!$IT$19:$IW$19)</f>
        <v>509</v>
      </c>
      <c r="H14" s="311">
        <f>(F14-G14)/G14</f>
        <v>0.11591355599214145</v>
      </c>
      <c r="I14" s="312">
        <f>F14/$F$60</f>
        <v>5.7409110664146598E-3</v>
      </c>
      <c r="J14" s="246"/>
      <c r="K14" s="306" t="s">
        <v>127</v>
      </c>
      <c r="L14" s="310">
        <f>[3]Alaska!$JK$41</f>
        <v>17509</v>
      </c>
      <c r="M14" s="207">
        <f>[3]Alaska!$IW$41</f>
        <v>19727</v>
      </c>
      <c r="N14" s="312">
        <f>(L14-M14)/M14</f>
        <v>-0.11243473412074821</v>
      </c>
      <c r="O14" s="310">
        <f>SUM([3]Alaska!$JH$41:$JK$41)</f>
        <v>69187</v>
      </c>
      <c r="P14" s="207">
        <f>SUM([3]Alaska!$IT$41:$IW$41)</f>
        <v>65013</v>
      </c>
      <c r="Q14" s="311">
        <f>(O14-P14)/P14</f>
        <v>6.42025441065633E-2</v>
      </c>
      <c r="R14" s="312">
        <f>O14/$O$60</f>
        <v>6.3843338135402099E-3</v>
      </c>
      <c r="S14" s="246"/>
      <c r="T14" s="306" t="s">
        <v>127</v>
      </c>
      <c r="U14" s="310">
        <f>[3]Alaska!$JK$64</f>
        <v>18276</v>
      </c>
      <c r="V14" s="207">
        <f>[3]Alaska!$IW$64</f>
        <v>23205</v>
      </c>
      <c r="W14" s="312">
        <f>(U14-V14)/V14</f>
        <v>-0.21241111829347123</v>
      </c>
      <c r="X14" s="310">
        <f>SUM([3]Alaska!$JH$64:$JK$64)</f>
        <v>74887</v>
      </c>
      <c r="Y14" s="207">
        <f>SUM([3]Alaska!$IT$64:$IW$64)</f>
        <v>71869</v>
      </c>
      <c r="Z14" s="311">
        <f>(X14-Y14)/Y14</f>
        <v>4.1993070725904073E-2</v>
      </c>
      <c r="AA14" s="312">
        <f>X14/$X$60</f>
        <v>2.6935099236905513E-3</v>
      </c>
      <c r="AB14" s="246"/>
      <c r="AC14" s="306" t="s">
        <v>127</v>
      </c>
      <c r="AD14" s="310">
        <f>[3]Alaska!$JK$43</f>
        <v>18259</v>
      </c>
      <c r="AE14" s="207">
        <f>[3]Alaska!$IW$43</f>
        <v>20621</v>
      </c>
      <c r="AF14" s="312">
        <f>(AD14-AE14)/AE14</f>
        <v>-0.11454342660394744</v>
      </c>
      <c r="AG14" s="310">
        <f>SUM([3]Alaska!$JH$43:$JK$43)</f>
        <v>72229</v>
      </c>
      <c r="AH14" s="207">
        <f>SUM([3]Alaska!$IT$43:$IW$43)</f>
        <v>67977</v>
      </c>
      <c r="AI14" s="311">
        <f>(AG14-AH14)/AH14</f>
        <v>6.2550568574664955E-2</v>
      </c>
      <c r="AJ14" s="63">
        <f>AG14/$AG$60</f>
        <v>6.4621585411405785E-3</v>
      </c>
    </row>
    <row r="15" spans="1:36" ht="14.1" customHeight="1" x14ac:dyDescent="0.2">
      <c r="A15" s="246"/>
      <c r="B15" s="37"/>
      <c r="C15" s="247"/>
      <c r="D15" s="252"/>
      <c r="E15" s="250"/>
      <c r="F15" s="252"/>
      <c r="G15" s="252"/>
      <c r="H15" s="248"/>
      <c r="I15" s="250"/>
      <c r="J15" s="246"/>
      <c r="K15" s="37"/>
      <c r="L15" s="131"/>
      <c r="M15" s="87"/>
      <c r="N15" s="63"/>
      <c r="O15" s="131"/>
      <c r="P15" s="87"/>
      <c r="Q15" s="3"/>
      <c r="R15" s="63"/>
      <c r="S15" s="246"/>
      <c r="T15" s="37"/>
      <c r="U15" s="131"/>
      <c r="V15" s="87"/>
      <c r="W15" s="63"/>
      <c r="X15" s="131"/>
      <c r="Y15" s="87"/>
      <c r="Z15" s="3"/>
      <c r="AA15" s="63"/>
      <c r="AB15" s="246"/>
      <c r="AC15" s="37"/>
      <c r="AD15" s="131"/>
      <c r="AE15" s="87"/>
      <c r="AF15" s="63"/>
      <c r="AG15" s="131"/>
      <c r="AH15" s="87"/>
      <c r="AI15" s="3"/>
      <c r="AJ15" s="63"/>
    </row>
    <row r="16" spans="1:36" ht="14.1" customHeight="1" x14ac:dyDescent="0.2">
      <c r="A16" s="246" t="s">
        <v>17</v>
      </c>
      <c r="B16" s="253"/>
      <c r="C16" s="247">
        <f>SUM(C17:C22)</f>
        <v>1268</v>
      </c>
      <c r="D16" s="249">
        <f>SUM(D17:D22)</f>
        <v>1222</v>
      </c>
      <c r="E16" s="250">
        <f t="shared" ref="E16:E22" si="14">(C16-D16)/D16</f>
        <v>3.7643207855973811E-2</v>
      </c>
      <c r="F16" s="247">
        <f>SUM(F17:F22)</f>
        <v>4942</v>
      </c>
      <c r="G16" s="249">
        <f>SUM(G17:G22)</f>
        <v>4203</v>
      </c>
      <c r="H16" s="248">
        <f t="shared" ref="H16:H22" si="15">(F16-G16)/G16</f>
        <v>0.17582679038781823</v>
      </c>
      <c r="I16" s="250">
        <f t="shared" ref="I16:I22" si="16">F16/$F$60</f>
        <v>4.9949969172924734E-2</v>
      </c>
      <c r="J16" s="246" t="s">
        <v>17</v>
      </c>
      <c r="K16" s="253"/>
      <c r="L16" s="247">
        <f>SUM(L17:L22)</f>
        <v>124769</v>
      </c>
      <c r="M16" s="249">
        <f>SUM(M17:M22)</f>
        <v>130815</v>
      </c>
      <c r="N16" s="250">
        <f t="shared" ref="N16:N22" si="17">(L16-M16)/M16</f>
        <v>-4.6217941367580173E-2</v>
      </c>
      <c r="O16" s="247">
        <f>SUM(O17:O22)</f>
        <v>499991</v>
      </c>
      <c r="P16" s="249">
        <f>SUM(P17:P22)</f>
        <v>470645</v>
      </c>
      <c r="Q16" s="248">
        <f t="shared" ref="Q16:Q22" si="18">(O16-P16)/P16</f>
        <v>6.2352728702100312E-2</v>
      </c>
      <c r="R16" s="250">
        <f t="shared" ref="R16:R22" si="19">O16/$O$60</f>
        <v>4.613741667893944E-2</v>
      </c>
      <c r="S16" s="246" t="s">
        <v>17</v>
      </c>
      <c r="T16" s="253"/>
      <c r="U16" s="247">
        <f>SUM(U17:U22)</f>
        <v>32457</v>
      </c>
      <c r="V16" s="249">
        <f>SUM(V17:V22)</f>
        <v>29633</v>
      </c>
      <c r="W16" s="250">
        <f t="shared" ref="W16:W20" si="20">(U16-V16)/V16</f>
        <v>9.5299159720581783E-2</v>
      </c>
      <c r="X16" s="247">
        <f>SUM(X17:X22)</f>
        <v>104478</v>
      </c>
      <c r="Y16" s="249">
        <f>SUM(Y17:Y22)</f>
        <v>174895</v>
      </c>
      <c r="Z16" s="248">
        <f t="shared" ref="Z16:Z20" si="21">(X16-Y16)/Y16</f>
        <v>-0.4026244318019383</v>
      </c>
      <c r="AA16" s="250">
        <f t="shared" ref="AA16:AA22" si="22">X16/$X$60</f>
        <v>3.7578288595796526E-3</v>
      </c>
      <c r="AB16" s="246" t="s">
        <v>17</v>
      </c>
      <c r="AC16" s="253"/>
      <c r="AD16" s="247">
        <f>SUM(AD17:AD22)</f>
        <v>129753</v>
      </c>
      <c r="AE16" s="249">
        <f>SUM(AE17:AE22)</f>
        <v>135384</v>
      </c>
      <c r="AF16" s="250">
        <f t="shared" ref="AF16:AF20" si="23">(AD16-AE16)/AE16</f>
        <v>-4.1592802694557701E-2</v>
      </c>
      <c r="AG16" s="247">
        <f>SUM(AG17:AG22)</f>
        <v>518438</v>
      </c>
      <c r="AH16" s="249">
        <f>SUM(AH17:AH22)</f>
        <v>486480</v>
      </c>
      <c r="AI16" s="248">
        <f t="shared" ref="AI16:AI20" si="24">(AG16-AH16)/AH16</f>
        <v>6.5692320342048999E-2</v>
      </c>
      <c r="AJ16" s="250">
        <f t="shared" ref="AJ16:AJ22" si="25">AG16/$AG$60</f>
        <v>4.6383427013413435E-2</v>
      </c>
    </row>
    <row r="17" spans="1:36" ht="14.1" customHeight="1" x14ac:dyDescent="0.2">
      <c r="A17" s="36"/>
      <c r="B17" s="37" t="s">
        <v>17</v>
      </c>
      <c r="C17" s="251">
        <f>[3]American!$JK$19</f>
        <v>780</v>
      </c>
      <c r="D17" s="2">
        <f>[3]American!$IW$19</f>
        <v>723</v>
      </c>
      <c r="E17" s="63">
        <f t="shared" si="14"/>
        <v>7.8838174273858919E-2</v>
      </c>
      <c r="F17" s="2">
        <f>SUM([3]American!$JH$19:$JK$19)</f>
        <v>3050</v>
      </c>
      <c r="G17" s="2">
        <f>SUM([3]American!$IT$19:$IW$19)</f>
        <v>2590</v>
      </c>
      <c r="H17" s="3">
        <f t="shared" si="15"/>
        <v>0.17760617760617761</v>
      </c>
      <c r="I17" s="63">
        <f t="shared" si="16"/>
        <v>3.0827075268599843E-2</v>
      </c>
      <c r="J17" s="36"/>
      <c r="K17" s="37" t="s">
        <v>17</v>
      </c>
      <c r="L17" s="251">
        <f>[3]American!$JK$41</f>
        <v>97006</v>
      </c>
      <c r="M17" s="2">
        <f>[3]American!$IW$41</f>
        <v>98784</v>
      </c>
      <c r="N17" s="63">
        <f t="shared" si="17"/>
        <v>-1.7998866213151929E-2</v>
      </c>
      <c r="O17" s="251">
        <f>SUM([3]American!$JH$41:$JK$41)</f>
        <v>391767</v>
      </c>
      <c r="P17" s="2">
        <f>SUM([3]American!$IT$41:$IW$41)</f>
        <v>378387</v>
      </c>
      <c r="Q17" s="3">
        <f t="shared" si="18"/>
        <v>3.5360622854379249E-2</v>
      </c>
      <c r="R17" s="63">
        <f t="shared" si="19"/>
        <v>3.6150885356052542E-2</v>
      </c>
      <c r="S17" s="36"/>
      <c r="T17" s="37" t="s">
        <v>17</v>
      </c>
      <c r="U17" s="251">
        <f>[3]American!$JK$64</f>
        <v>30156</v>
      </c>
      <c r="V17" s="2">
        <f>[3]American!$IW$64</f>
        <v>25348</v>
      </c>
      <c r="W17" s="63">
        <f t="shared" si="20"/>
        <v>0.18967965914470569</v>
      </c>
      <c r="X17" s="251">
        <f>SUM([3]American!$JH$64:$JK$64)</f>
        <v>93439</v>
      </c>
      <c r="Y17" s="2">
        <f>SUM([3]American!$IT$64:$IW$64)</f>
        <v>158424</v>
      </c>
      <c r="Z17" s="3">
        <f t="shared" si="21"/>
        <v>-0.41019668737060039</v>
      </c>
      <c r="AA17" s="63">
        <f t="shared" si="22"/>
        <v>3.3607818948511951E-3</v>
      </c>
      <c r="AB17" s="36"/>
      <c r="AC17" s="37" t="s">
        <v>17</v>
      </c>
      <c r="AD17" s="251">
        <f>[3]American!$JK$43</f>
        <v>100902</v>
      </c>
      <c r="AE17" s="2">
        <f>[3]American!$IW$43</f>
        <v>102223</v>
      </c>
      <c r="AF17" s="63">
        <f t="shared" si="23"/>
        <v>-1.2922727761853986E-2</v>
      </c>
      <c r="AG17" s="251">
        <f>SUM([3]American!$JH$43:$JK$43)</f>
        <v>406085</v>
      </c>
      <c r="AH17" s="2">
        <f>SUM([3]American!$IT$43:$IW$43)</f>
        <v>390703</v>
      </c>
      <c r="AI17" s="3">
        <f t="shared" si="24"/>
        <v>3.9370058586701409E-2</v>
      </c>
      <c r="AJ17" s="63">
        <f t="shared" si="25"/>
        <v>3.6331468678495779E-2</v>
      </c>
    </row>
    <row r="18" spans="1:36" ht="14.1" customHeight="1" x14ac:dyDescent="0.2">
      <c r="A18" s="36"/>
      <c r="B18" s="306" t="s">
        <v>160</v>
      </c>
      <c r="C18" s="251">
        <f>'[3]American Eagle'!$JK$19</f>
        <v>113</v>
      </c>
      <c r="D18" s="2">
        <f>'[3]American Eagle'!$IW$19</f>
        <v>214</v>
      </c>
      <c r="E18" s="63">
        <f t="shared" si="14"/>
        <v>-0.4719626168224299</v>
      </c>
      <c r="F18" s="2">
        <f>SUM('[3]American Eagle'!$JH$19:$JK$19)</f>
        <v>445</v>
      </c>
      <c r="G18" s="2">
        <f>SUM('[3]American Eagle'!$IT$19:$IW$19)</f>
        <v>396</v>
      </c>
      <c r="H18" s="3">
        <f t="shared" si="15"/>
        <v>0.12373737373737374</v>
      </c>
      <c r="I18" s="63">
        <f t="shared" si="16"/>
        <v>4.4977208178776824E-3</v>
      </c>
      <c r="J18" s="36"/>
      <c r="K18" s="306" t="s">
        <v>160</v>
      </c>
      <c r="L18" s="251">
        <f>'[3]American Eagle'!$JK$41</f>
        <v>5720</v>
      </c>
      <c r="M18" s="2">
        <f>'[3]American Eagle'!$IW$41</f>
        <v>14549</v>
      </c>
      <c r="N18" s="63">
        <f t="shared" si="17"/>
        <v>-0.60684583132861369</v>
      </c>
      <c r="O18" s="251">
        <f>SUM('[3]American Eagle'!$JH$41:$JK$41)</f>
        <v>24765</v>
      </c>
      <c r="P18" s="2">
        <f>SUM('[3]American Eagle'!$IT$41:$IW$41)</f>
        <v>25317</v>
      </c>
      <c r="Q18" s="3">
        <f t="shared" si="18"/>
        <v>-2.1803531224078684E-2</v>
      </c>
      <c r="R18" s="63">
        <f t="shared" si="19"/>
        <v>2.2852273822007501E-3</v>
      </c>
      <c r="S18" s="36"/>
      <c r="T18" s="306" t="s">
        <v>160</v>
      </c>
      <c r="U18" s="251">
        <f>'[3]American Eagle'!$JK$64</f>
        <v>207</v>
      </c>
      <c r="V18" s="2">
        <f>'[3]American Eagle'!$IW$64</f>
        <v>1082</v>
      </c>
      <c r="W18" s="63">
        <f>IFERROR((U18-V18)/V18,0)</f>
        <v>-0.80868761552680224</v>
      </c>
      <c r="X18" s="251">
        <f>SUM('[3]American Eagle'!$JH$64:$JK$64)</f>
        <v>1845</v>
      </c>
      <c r="Y18" s="2">
        <f>SUM('[3]American Eagle'!$IT$64:$IW$64)</f>
        <v>1999</v>
      </c>
      <c r="Z18" s="311">
        <f>IFERROR((X18-Y18)/Y18,0)</f>
        <v>-7.7038519259629817E-2</v>
      </c>
      <c r="AA18" s="63">
        <f t="shared" si="22"/>
        <v>6.6360327015490907E-5</v>
      </c>
      <c r="AB18" s="36"/>
      <c r="AC18" s="306" t="s">
        <v>160</v>
      </c>
      <c r="AD18" s="251">
        <f>'[3]American Eagle'!$JK$43</f>
        <v>5997</v>
      </c>
      <c r="AE18" s="2">
        <f>'[3]American Eagle'!$IW$43</f>
        <v>15109</v>
      </c>
      <c r="AF18" s="63">
        <f t="shared" si="23"/>
        <v>-0.60308425441789659</v>
      </c>
      <c r="AG18" s="251">
        <f>SUM('[3]American Eagle'!$JH$43:$JK$43)</f>
        <v>25907</v>
      </c>
      <c r="AH18" s="2">
        <f>SUM('[3]American Eagle'!$IT$43:$IW$43)</f>
        <v>26339</v>
      </c>
      <c r="AI18" s="3">
        <f t="shared" si="24"/>
        <v>-1.6401533847146817E-2</v>
      </c>
      <c r="AJ18" s="63">
        <f t="shared" si="25"/>
        <v>2.3178382827580193E-3</v>
      </c>
    </row>
    <row r="19" spans="1:36" ht="14.1" customHeight="1" x14ac:dyDescent="0.2">
      <c r="A19" s="36"/>
      <c r="B19" s="306" t="s">
        <v>52</v>
      </c>
      <c r="C19" s="251">
        <f>[3]Republic!$JK$19</f>
        <v>197</v>
      </c>
      <c r="D19" s="2">
        <f>[3]Republic!$IW$19</f>
        <v>108</v>
      </c>
      <c r="E19" s="63">
        <f t="shared" si="14"/>
        <v>0.82407407407407407</v>
      </c>
      <c r="F19" s="2">
        <f>SUM([3]Republic!$JH$19:$JK$19)</f>
        <v>689</v>
      </c>
      <c r="G19" s="2">
        <f>SUM([3]Republic!$IT$19:$IW$19)</f>
        <v>476</v>
      </c>
      <c r="H19" s="3">
        <f t="shared" si="15"/>
        <v>0.44747899159663868</v>
      </c>
      <c r="I19" s="63">
        <f t="shared" si="16"/>
        <v>6.9638868393656697E-3</v>
      </c>
      <c r="J19" s="36"/>
      <c r="K19" s="254" t="s">
        <v>52</v>
      </c>
      <c r="L19" s="251">
        <f>[3]Republic!$JK$41</f>
        <v>11682</v>
      </c>
      <c r="M19" s="2">
        <f>[3]Republic!$IW$41</f>
        <v>6257</v>
      </c>
      <c r="N19" s="63">
        <f t="shared" si="17"/>
        <v>0.86702892760108674</v>
      </c>
      <c r="O19" s="251">
        <f>SUM([3]Republic!$JH$41:$JK$41)</f>
        <v>40986</v>
      </c>
      <c r="P19" s="2">
        <f>SUM([3]Republic!$IT$41:$IW$41)</f>
        <v>24263</v>
      </c>
      <c r="Q19" s="3">
        <f t="shared" si="18"/>
        <v>0.68923875860363515</v>
      </c>
      <c r="R19" s="63">
        <f t="shared" si="19"/>
        <v>3.7820443968051664E-3</v>
      </c>
      <c r="S19" s="36"/>
      <c r="T19" s="254" t="s">
        <v>52</v>
      </c>
      <c r="U19" s="251">
        <f>[3]Republic!$JK$64</f>
        <v>2090</v>
      </c>
      <c r="V19" s="2">
        <f>[3]Republic!$IW$64</f>
        <v>3061</v>
      </c>
      <c r="W19" s="63">
        <f t="shared" si="20"/>
        <v>-0.31721659588369816</v>
      </c>
      <c r="X19" s="251">
        <f>SUM([3]Republic!$JH$64:$JK$64)</f>
        <v>8906</v>
      </c>
      <c r="Y19" s="2">
        <f>SUM([3]Republic!$IT$64:$IW$64)</f>
        <v>11011</v>
      </c>
      <c r="Z19" s="3">
        <f t="shared" si="21"/>
        <v>-0.19117246389973663</v>
      </c>
      <c r="AA19" s="63">
        <f t="shared" si="22"/>
        <v>3.2032795252030463E-4</v>
      </c>
      <c r="AB19" s="36"/>
      <c r="AC19" s="254" t="s">
        <v>52</v>
      </c>
      <c r="AD19" s="251">
        <f>[3]Republic!$JK$43</f>
        <v>12171</v>
      </c>
      <c r="AE19" s="2">
        <f>[3]Republic!$IW$43</f>
        <v>6549</v>
      </c>
      <c r="AF19" s="63">
        <f t="shared" si="23"/>
        <v>0.85845167201099404</v>
      </c>
      <c r="AG19" s="251">
        <f>SUM([3]Republic!$JH$43:$JK$43)</f>
        <v>42678</v>
      </c>
      <c r="AH19" s="2">
        <f>SUM([3]Republic!$IT$43:$IW$43)</f>
        <v>25600</v>
      </c>
      <c r="AI19" s="3">
        <f t="shared" si="24"/>
        <v>0.667109375</v>
      </c>
      <c r="AJ19" s="63">
        <f t="shared" si="25"/>
        <v>3.8183001594760775E-3</v>
      </c>
    </row>
    <row r="20" spans="1:36" ht="14.1" customHeight="1" x14ac:dyDescent="0.2">
      <c r="A20" s="36"/>
      <c r="B20" s="306" t="s">
        <v>171</v>
      </c>
      <c r="C20" s="251">
        <f>[3]PSA!$JK$19</f>
        <v>178</v>
      </c>
      <c r="D20" s="2">
        <f>[3]PSA!$IW$19</f>
        <v>167</v>
      </c>
      <c r="E20" s="63">
        <f t="shared" si="14"/>
        <v>6.5868263473053898E-2</v>
      </c>
      <c r="F20" s="2">
        <f>SUM([3]PSA!$JH$19:$JK$19)</f>
        <v>756</v>
      </c>
      <c r="G20" s="2">
        <f>SUM([3]PSA!$IT$19:$IW$19)</f>
        <v>473</v>
      </c>
      <c r="H20" s="3">
        <f t="shared" si="15"/>
        <v>0.59830866807610994</v>
      </c>
      <c r="I20" s="63">
        <f t="shared" si="16"/>
        <v>7.6410717714955681E-3</v>
      </c>
      <c r="J20" s="36"/>
      <c r="K20" s="306" t="s">
        <v>171</v>
      </c>
      <c r="L20" s="251">
        <f>[3]PSA!$JK$41</f>
        <v>10361</v>
      </c>
      <c r="M20" s="2">
        <f>[3]PSA!$IW$41</f>
        <v>10765</v>
      </c>
      <c r="N20" s="63">
        <f t="shared" si="17"/>
        <v>-3.7529029261495588E-2</v>
      </c>
      <c r="O20" s="251">
        <f>SUM([3]PSA!$JH$41:$JK$41)</f>
        <v>42365</v>
      </c>
      <c r="P20" s="2">
        <f>SUM([3]PSA!$IT$41:$IW$41)</f>
        <v>30583</v>
      </c>
      <c r="Q20" s="3">
        <f t="shared" si="18"/>
        <v>0.38524670568616554</v>
      </c>
      <c r="R20" s="63">
        <f t="shared" si="19"/>
        <v>3.9092936824928239E-3</v>
      </c>
      <c r="S20" s="36"/>
      <c r="T20" s="306" t="s">
        <v>171</v>
      </c>
      <c r="U20" s="251">
        <f>[3]PSA!$JK$64</f>
        <v>4</v>
      </c>
      <c r="V20" s="2">
        <f>[3]PSA!$IW$64</f>
        <v>142</v>
      </c>
      <c r="W20" s="63">
        <f t="shared" si="20"/>
        <v>-0.971830985915493</v>
      </c>
      <c r="X20" s="251">
        <f>SUM([3]PSA!$JH$64:$JK$64)</f>
        <v>288</v>
      </c>
      <c r="Y20" s="2">
        <f>SUM([3]PSA!$IT$64:$IW$64)</f>
        <v>783</v>
      </c>
      <c r="Z20" s="3">
        <f t="shared" si="21"/>
        <v>-0.63218390804597702</v>
      </c>
      <c r="AA20" s="63">
        <f t="shared" si="22"/>
        <v>1.0358685192661994E-5</v>
      </c>
      <c r="AB20" s="36"/>
      <c r="AC20" s="306" t="s">
        <v>171</v>
      </c>
      <c r="AD20" s="251">
        <f>[3]PSA!$JK$43</f>
        <v>10683</v>
      </c>
      <c r="AE20" s="2">
        <f>[3]PSA!$IW$43</f>
        <v>11027</v>
      </c>
      <c r="AF20" s="63">
        <f t="shared" si="23"/>
        <v>-3.11961548925365E-2</v>
      </c>
      <c r="AG20" s="251">
        <f>SUM([3]PSA!$JH$43:$JK$43)</f>
        <v>43654</v>
      </c>
      <c r="AH20" s="2">
        <f>SUM([3]PSA!$IT$43:$IW$43)</f>
        <v>31360</v>
      </c>
      <c r="AI20" s="3">
        <f t="shared" si="24"/>
        <v>0.3920280612244898</v>
      </c>
      <c r="AJ20" s="63">
        <f t="shared" si="25"/>
        <v>3.9056205811370892E-3</v>
      </c>
    </row>
    <row r="21" spans="1:36" ht="14.1" customHeight="1" x14ac:dyDescent="0.2">
      <c r="A21" s="36"/>
      <c r="B21" s="306" t="s">
        <v>97</v>
      </c>
      <c r="C21" s="251">
        <f>'[3]Sky West_AA'!$JK$19</f>
        <v>0</v>
      </c>
      <c r="D21" s="2">
        <f>'[3]Sky West_AA'!$IW$19</f>
        <v>0</v>
      </c>
      <c r="E21" s="63">
        <f>IFERROR((C21-D21)/D21,0)</f>
        <v>0</v>
      </c>
      <c r="F21" s="2">
        <f>SUM('[3]Sky West_AA'!$JH$19:$JK$19)</f>
        <v>2</v>
      </c>
      <c r="G21" s="2">
        <f>SUM('[3]Sky West_AA'!$IT$19:$IW$19)</f>
        <v>0</v>
      </c>
      <c r="H21" s="3">
        <f>IFERROR((F21-G21)/G21,0)</f>
        <v>0</v>
      </c>
      <c r="I21" s="63">
        <f t="shared" si="16"/>
        <v>2.0214475585967113E-5</v>
      </c>
      <c r="J21" s="36"/>
      <c r="K21" s="306" t="s">
        <v>97</v>
      </c>
      <c r="L21" s="251">
        <f>'[3]Sky West_AA'!$JK$41</f>
        <v>0</v>
      </c>
      <c r="M21" s="2">
        <f>'[3]Sky West_AA'!$IW$41</f>
        <v>0</v>
      </c>
      <c r="N21" s="63">
        <f>IFERROR((L21-M21)/M21,0)</f>
        <v>0</v>
      </c>
      <c r="O21" s="251">
        <f>SUM('[3]Sky West_AA'!$JH$41:$JK$41)</f>
        <v>108</v>
      </c>
      <c r="P21" s="2">
        <f>SUM('[3]Sky West_AA'!$IT$41:$IW$41)</f>
        <v>0</v>
      </c>
      <c r="Q21" s="3">
        <f>IFERROR((O21-P21)/P21,0)</f>
        <v>0</v>
      </c>
      <c r="R21" s="312">
        <f t="shared" si="19"/>
        <v>9.9658613881559064E-6</v>
      </c>
      <c r="S21" s="36"/>
      <c r="T21" s="306" t="s">
        <v>97</v>
      </c>
      <c r="U21" s="251">
        <f>'[3]Sky West_AA'!$JK$64</f>
        <v>0</v>
      </c>
      <c r="V21" s="2">
        <f>'[3]Sky West_AA'!$IW$64</f>
        <v>0</v>
      </c>
      <c r="W21" s="63">
        <f>IFERROR((U21-V21)/V21,0)</f>
        <v>0</v>
      </c>
      <c r="X21" s="251">
        <f>SUM('[3]Sky West_AA'!$JH$64:$JK$64)</f>
        <v>0</v>
      </c>
      <c r="Y21" s="2">
        <f>SUM('[3]Sky West_AA'!$IT$64:$IW$64)</f>
        <v>0</v>
      </c>
      <c r="Z21" s="311">
        <f>IFERROR((X21-Y21)/Y21,0)</f>
        <v>0</v>
      </c>
      <c r="AA21" s="312">
        <f t="shared" si="22"/>
        <v>0</v>
      </c>
      <c r="AB21" s="36"/>
      <c r="AC21" s="306" t="s">
        <v>97</v>
      </c>
      <c r="AD21" s="251">
        <f>'[3]Sky West_AA'!$JK$43</f>
        <v>0</v>
      </c>
      <c r="AE21" s="2">
        <f>'[3]Sky West_AA'!$IW$43</f>
        <v>0</v>
      </c>
      <c r="AF21" s="312">
        <f>IFERROR((AD21-AE21)/AE21,0)</f>
        <v>0</v>
      </c>
      <c r="AG21" s="251">
        <f>SUM('[3]Sky West_AA'!$JH$43:$JK$43)</f>
        <v>114</v>
      </c>
      <c r="AH21" s="2">
        <f>SUM('[3]Sky West_AA'!$IT$43:$IW$43)</f>
        <v>0</v>
      </c>
      <c r="AI21" s="311">
        <f>IFERROR((AG21-AH21)/AH21,0)</f>
        <v>0</v>
      </c>
      <c r="AJ21" s="63">
        <f t="shared" si="25"/>
        <v>1.0199311546470613E-5</v>
      </c>
    </row>
    <row r="22" spans="1:36" ht="14.1" customHeight="1" x14ac:dyDescent="0.2">
      <c r="A22" s="36"/>
      <c r="B22" s="306" t="s">
        <v>50</v>
      </c>
      <c r="C22" s="251">
        <f>'[3]Air Wisconsin'!$JK$19</f>
        <v>0</v>
      </c>
      <c r="D22" s="2">
        <f>'[3]Air Wisconsin'!$IW$19</f>
        <v>10</v>
      </c>
      <c r="E22" s="63">
        <f t="shared" si="14"/>
        <v>-1</v>
      </c>
      <c r="F22" s="2">
        <f>SUM('[3]Air Wisconsin'!$JH$19:$JK$19)</f>
        <v>0</v>
      </c>
      <c r="G22" s="2">
        <f>SUM('[3]Air Wisconsin'!$IT$19:$IW$19)</f>
        <v>268</v>
      </c>
      <c r="H22" s="337">
        <f t="shared" si="15"/>
        <v>-1</v>
      </c>
      <c r="I22" s="63">
        <f t="shared" si="16"/>
        <v>0</v>
      </c>
      <c r="J22" s="36"/>
      <c r="K22" s="254" t="s">
        <v>50</v>
      </c>
      <c r="L22" s="251">
        <f>'[3]Air Wisconsin'!$JK$41</f>
        <v>0</v>
      </c>
      <c r="M22" s="2">
        <f>'[3]Air Wisconsin'!$IW$41</f>
        <v>460</v>
      </c>
      <c r="N22" s="63">
        <f t="shared" si="17"/>
        <v>-1</v>
      </c>
      <c r="O22" s="251">
        <f>SUM('[3]Air Wisconsin'!$JH$41:$JK$41)</f>
        <v>0</v>
      </c>
      <c r="P22" s="2">
        <f>SUM('[3]Air Wisconsin'!$IT$41:$IW$41)</f>
        <v>12095</v>
      </c>
      <c r="Q22" s="3">
        <f t="shared" si="18"/>
        <v>-1</v>
      </c>
      <c r="R22" s="63">
        <f t="shared" si="19"/>
        <v>0</v>
      </c>
      <c r="S22" s="36"/>
      <c r="T22" s="254" t="s">
        <v>50</v>
      </c>
      <c r="U22" s="251">
        <f>'[3]Air Wisconsin'!$JK$64</f>
        <v>0</v>
      </c>
      <c r="V22" s="2">
        <f>'[3]Air Wisconsin'!$IW$64</f>
        <v>0</v>
      </c>
      <c r="W22" s="63" t="e">
        <f t="shared" ref="W22" si="26">(U22-V22)/V22</f>
        <v>#DIV/0!</v>
      </c>
      <c r="X22" s="251">
        <f>SUM('[3]Air Wisconsin'!$JH$64:$JK$64)</f>
        <v>0</v>
      </c>
      <c r="Y22" s="2">
        <f>SUM('[3]Air Wisconsin'!$IT$64:$IW$64)</f>
        <v>2678</v>
      </c>
      <c r="Z22" s="3">
        <f t="shared" ref="Z22" si="27">(X22-Y22)/Y22</f>
        <v>-1</v>
      </c>
      <c r="AA22" s="63">
        <f t="shared" si="22"/>
        <v>0</v>
      </c>
      <c r="AB22" s="36"/>
      <c r="AC22" s="254" t="s">
        <v>50</v>
      </c>
      <c r="AD22" s="251">
        <f>'[3]Air Wisconsin'!$JK$43</f>
        <v>0</v>
      </c>
      <c r="AE22" s="2">
        <f>'[3]Air Wisconsin'!$IW$43</f>
        <v>476</v>
      </c>
      <c r="AF22" s="63">
        <f t="shared" ref="AF22" si="28">(AD22-AE22)/AE22</f>
        <v>-1</v>
      </c>
      <c r="AG22" s="251">
        <f>SUM('[3]Air Wisconsin'!$JH$43:$JK$43)</f>
        <v>0</v>
      </c>
      <c r="AH22" s="2">
        <f>SUM('[3]Air Wisconsin'!$IT$43:$IW$43)</f>
        <v>12478</v>
      </c>
      <c r="AI22" s="3">
        <f t="shared" ref="AI22" si="29">(AG22-AH22)/AH22</f>
        <v>-1</v>
      </c>
      <c r="AJ22" s="63">
        <f t="shared" si="25"/>
        <v>0</v>
      </c>
    </row>
    <row r="23" spans="1:36" ht="14.1" customHeight="1" x14ac:dyDescent="0.2">
      <c r="A23" s="36"/>
      <c r="B23" s="37"/>
      <c r="C23" s="251"/>
      <c r="E23" s="63"/>
      <c r="F23" s="2"/>
      <c r="I23" s="63"/>
      <c r="J23" s="36"/>
      <c r="K23" s="37"/>
      <c r="L23" s="251"/>
      <c r="N23" s="63"/>
      <c r="O23" s="251"/>
      <c r="P23" s="2"/>
      <c r="Q23" s="3"/>
      <c r="R23" s="63"/>
      <c r="S23" s="36"/>
      <c r="T23" s="37"/>
      <c r="U23" s="251"/>
      <c r="V23" s="2"/>
      <c r="W23" s="63"/>
      <c r="X23" s="251"/>
      <c r="Y23" s="2"/>
      <c r="Z23" s="3"/>
      <c r="AA23" s="63"/>
      <c r="AB23" s="36"/>
      <c r="AC23" s="37"/>
      <c r="AD23" s="251"/>
      <c r="AE23" s="2"/>
      <c r="AF23" s="63"/>
      <c r="AG23" s="251"/>
      <c r="AH23" s="2"/>
      <c r="AI23" s="3"/>
      <c r="AJ23" s="63"/>
    </row>
    <row r="24" spans="1:36" ht="14.1" customHeight="1" x14ac:dyDescent="0.2">
      <c r="A24" s="246" t="s">
        <v>157</v>
      </c>
      <c r="B24" s="37"/>
      <c r="C24" s="247">
        <f>[3]Condor!$JK$19</f>
        <v>0</v>
      </c>
      <c r="D24" s="249">
        <f>[3]Condor!$IW$19</f>
        <v>0</v>
      </c>
      <c r="E24" s="250">
        <f>IFERROR((C24-D24)/D24,0)</f>
        <v>0</v>
      </c>
      <c r="F24" s="249">
        <f>SUM([3]Condor!$JH$19:$JK$19)</f>
        <v>0</v>
      </c>
      <c r="G24" s="249">
        <f>SUM([3]Condor!$IT$19:$IW$19)</f>
        <v>0</v>
      </c>
      <c r="H24" s="248">
        <f>IFERROR((F24-G24)/G24,0)</f>
        <v>0</v>
      </c>
      <c r="I24" s="250">
        <f>F24/$F$60</f>
        <v>0</v>
      </c>
      <c r="J24" s="246" t="s">
        <v>157</v>
      </c>
      <c r="K24" s="37"/>
      <c r="L24" s="247">
        <f>[3]Condor!$JK$41</f>
        <v>0</v>
      </c>
      <c r="M24" s="249">
        <f>[3]Condor!$IW$41</f>
        <v>0</v>
      </c>
      <c r="N24" s="250">
        <f>IFERROR((L24-M24)/M24,0)</f>
        <v>0</v>
      </c>
      <c r="O24" s="247">
        <f>SUM([3]Condor!$JH$41:$JK$41)</f>
        <v>0</v>
      </c>
      <c r="P24" s="249">
        <f>SUM([3]Condor!$IT$41:$IW$41)</f>
        <v>0</v>
      </c>
      <c r="Q24" s="248">
        <f>IFERROR((O24-P24)/P24,0)</f>
        <v>0</v>
      </c>
      <c r="R24" s="250">
        <f>O24/$O$60</f>
        <v>0</v>
      </c>
      <c r="S24" s="246" t="s">
        <v>157</v>
      </c>
      <c r="T24" s="37"/>
      <c r="U24" s="247">
        <f>[3]Condor!$JK$64</f>
        <v>0</v>
      </c>
      <c r="V24" s="249">
        <f>[3]Condor!$IW$64</f>
        <v>0</v>
      </c>
      <c r="W24" s="250">
        <f>IFERROR((U24-V24)/V24,0)</f>
        <v>0</v>
      </c>
      <c r="X24" s="247">
        <f>SUM([3]Condor!$JH$64:$JK$64)</f>
        <v>0</v>
      </c>
      <c r="Y24" s="249">
        <f>SUM([3]Condor!$IT$64:$IW$64)</f>
        <v>0</v>
      </c>
      <c r="Z24" s="248">
        <f>IFERROR((X24-Y24)/Y24,0)</f>
        <v>0</v>
      </c>
      <c r="AA24" s="250">
        <f>X24/$X$60</f>
        <v>0</v>
      </c>
      <c r="AB24" s="246" t="s">
        <v>157</v>
      </c>
      <c r="AC24" s="37"/>
      <c r="AD24" s="247">
        <f>[3]Condor!$JK$43</f>
        <v>0</v>
      </c>
      <c r="AE24" s="249">
        <f>[3]Condor!$IW$43</f>
        <v>0</v>
      </c>
      <c r="AF24" s="250">
        <f>IFERROR((AD24-AE24)/AE24,0)</f>
        <v>0</v>
      </c>
      <c r="AG24" s="247">
        <f>SUM([3]Condor!$JH$43:$JK$43)</f>
        <v>0</v>
      </c>
      <c r="AH24" s="249">
        <f>SUM([3]Condor!$IT$43:$IW$43)</f>
        <v>0</v>
      </c>
      <c r="AI24" s="248">
        <f>IFERROR((AG24-AH24)/AH24,0)</f>
        <v>0</v>
      </c>
      <c r="AJ24" s="250">
        <f>AG24/$AG$60</f>
        <v>0</v>
      </c>
    </row>
    <row r="25" spans="1:36" ht="14.1" customHeight="1" x14ac:dyDescent="0.2">
      <c r="A25" s="36"/>
      <c r="B25" s="37"/>
      <c r="C25" s="251"/>
      <c r="E25" s="63"/>
      <c r="F25" s="2"/>
      <c r="I25" s="63"/>
      <c r="J25" s="36"/>
      <c r="K25" s="37"/>
      <c r="L25" s="251"/>
      <c r="N25" s="63"/>
      <c r="O25" s="251"/>
      <c r="P25" s="2"/>
      <c r="Q25" s="3"/>
      <c r="R25" s="63"/>
      <c r="S25" s="36"/>
      <c r="T25" s="37"/>
      <c r="U25" s="251"/>
      <c r="V25" s="2"/>
      <c r="W25" s="63"/>
      <c r="X25" s="251"/>
      <c r="Y25" s="2"/>
      <c r="Z25" s="3"/>
      <c r="AA25" s="63"/>
      <c r="AB25" s="36"/>
      <c r="AC25" s="37"/>
      <c r="AD25" s="251"/>
      <c r="AE25" s="2"/>
      <c r="AF25" s="63"/>
      <c r="AG25" s="251"/>
      <c r="AH25" s="2"/>
      <c r="AI25" s="3"/>
      <c r="AJ25" s="63"/>
    </row>
    <row r="26" spans="1:36" ht="14.1" customHeight="1" x14ac:dyDescent="0.2">
      <c r="A26" s="246" t="s">
        <v>201</v>
      </c>
      <c r="B26" s="37"/>
      <c r="C26" s="247">
        <f>'[3]Denver Air'!$JK$19</f>
        <v>148</v>
      </c>
      <c r="D26" s="249">
        <f>'[3]Denver Air'!$IW$19</f>
        <v>172</v>
      </c>
      <c r="E26" s="250">
        <f>(C26-D26)/D26</f>
        <v>-0.13953488372093023</v>
      </c>
      <c r="F26" s="249">
        <f>SUM('[3]Denver Air'!$JH$19:$JK$19)</f>
        <v>606</v>
      </c>
      <c r="G26" s="249">
        <f>SUM('[3]Denver Air'!$IT$19:$IW$19)</f>
        <v>694</v>
      </c>
      <c r="H26" s="248">
        <f>(F26-G26)/G26</f>
        <v>-0.12680115273775217</v>
      </c>
      <c r="I26" s="250">
        <f>F26/$F$60</f>
        <v>6.124986102548035E-3</v>
      </c>
      <c r="J26" s="246" t="s">
        <v>201</v>
      </c>
      <c r="K26" s="37"/>
      <c r="L26" s="247">
        <f>'[3]Denver Air'!$JK$41</f>
        <v>1109</v>
      </c>
      <c r="M26" s="249">
        <f>'[3]Denver Air'!$IW$41</f>
        <v>1637</v>
      </c>
      <c r="N26" s="250">
        <f>(L26-M26)/M26</f>
        <v>-0.32254123396456935</v>
      </c>
      <c r="O26" s="247">
        <f>SUM('[3]Denver Air'!$JH$41:$JK$41)</f>
        <v>6184</v>
      </c>
      <c r="P26" s="249">
        <f>SUM('[3]Denver Air'!$IT$41:$IW$41)</f>
        <v>6528</v>
      </c>
      <c r="Q26" s="248">
        <f>(O26-P26)/P26</f>
        <v>-5.2696078431372549E-2</v>
      </c>
      <c r="R26" s="250">
        <f>O26/$O$60</f>
        <v>5.7063784096626042E-4</v>
      </c>
      <c r="S26" s="246" t="s">
        <v>201</v>
      </c>
      <c r="T26" s="37"/>
      <c r="U26" s="247">
        <f>'[3]Denver Air'!$JK$64</f>
        <v>0</v>
      </c>
      <c r="V26" s="249">
        <f>'[3]Denver Air'!$IW$64</f>
        <v>0</v>
      </c>
      <c r="W26" s="250">
        <f>IFERROR((U26-V26)/V26,0)</f>
        <v>0</v>
      </c>
      <c r="X26" s="247">
        <f>SUM('[3]Denver Air'!$JH$64:$JK$64)</f>
        <v>0</v>
      </c>
      <c r="Y26" s="249">
        <f>SUM('[3]Denver Air'!$IT$64:$IW$64)</f>
        <v>0</v>
      </c>
      <c r="Z26" s="248">
        <f>IFERROR((X26-Y26)/Y26,0)</f>
        <v>0</v>
      </c>
      <c r="AA26" s="250">
        <f>X26/$X$58</f>
        <v>0</v>
      </c>
      <c r="AB26" s="246" t="s">
        <v>201</v>
      </c>
      <c r="AC26" s="37"/>
      <c r="AD26" s="247">
        <f>'[3]Denver Air'!$JK$43</f>
        <v>1165</v>
      </c>
      <c r="AE26" s="249">
        <f>'[3]Denver Air'!$IW$43</f>
        <v>1681</v>
      </c>
      <c r="AF26" s="250">
        <f>(AD26-AE26)/AE26</f>
        <v>-0.30696014277215944</v>
      </c>
      <c r="AG26" s="247">
        <f>SUM('[3]Denver Air'!$JH$43:$JK$43)</f>
        <v>6456</v>
      </c>
      <c r="AH26" s="249">
        <f>SUM('[3]Denver Air'!$IT$43:$IW$43)</f>
        <v>6820</v>
      </c>
      <c r="AI26" s="248">
        <f>(AG26-AH26)/AH26</f>
        <v>-5.337243401759531E-2</v>
      </c>
      <c r="AJ26" s="250">
        <f>AG26/$AG$60</f>
        <v>5.776031170527568E-4</v>
      </c>
    </row>
    <row r="27" spans="1:36" ht="14.1" customHeight="1" x14ac:dyDescent="0.2">
      <c r="A27" s="36"/>
      <c r="B27" s="37"/>
      <c r="C27" s="251"/>
      <c r="E27" s="63"/>
      <c r="F27" s="2"/>
      <c r="I27" s="63"/>
      <c r="J27" s="36"/>
      <c r="K27" s="37"/>
      <c r="L27" s="251"/>
      <c r="N27" s="63"/>
      <c r="O27" s="251"/>
      <c r="P27" s="2"/>
      <c r="Q27" s="3"/>
      <c r="R27" s="63"/>
      <c r="S27" s="36"/>
      <c r="T27" s="37"/>
      <c r="U27" s="251"/>
      <c r="V27" s="2"/>
      <c r="W27" s="63"/>
      <c r="X27" s="251"/>
      <c r="Y27" s="2"/>
      <c r="Z27" s="3"/>
      <c r="AA27" s="63"/>
      <c r="AB27" s="36"/>
      <c r="AC27" s="37"/>
      <c r="AD27" s="251"/>
      <c r="AE27" s="2"/>
      <c r="AF27" s="63"/>
      <c r="AG27" s="251"/>
      <c r="AH27" s="2"/>
      <c r="AI27" s="3"/>
      <c r="AJ27" s="63"/>
    </row>
    <row r="28" spans="1:36" ht="14.1" customHeight="1" x14ac:dyDescent="0.2">
      <c r="A28" s="246" t="s">
        <v>18</v>
      </c>
      <c r="B28" s="253"/>
      <c r="C28" s="247">
        <f>SUM(C29:C31)</f>
        <v>18851</v>
      </c>
      <c r="D28" s="249">
        <f>SUM(D29:D31)</f>
        <v>17939</v>
      </c>
      <c r="E28" s="250">
        <f t="shared" ref="E28:E31" si="30">(C28-D28)/D28</f>
        <v>5.0838954233792297E-2</v>
      </c>
      <c r="F28" s="252">
        <f>SUM(F29:F31)</f>
        <v>72038</v>
      </c>
      <c r="G28" s="252">
        <f>SUM(G29:G31)</f>
        <v>68346</v>
      </c>
      <c r="H28" s="248">
        <f>(F28-G28)/G28</f>
        <v>5.4019254967371901E-2</v>
      </c>
      <c r="I28" s="250">
        <f>F28/$F$60</f>
        <v>0.72810519613094937</v>
      </c>
      <c r="J28" s="246" t="s">
        <v>18</v>
      </c>
      <c r="K28" s="253"/>
      <c r="L28" s="247">
        <f>SUM(L29:L31)</f>
        <v>2035944</v>
      </c>
      <c r="M28" s="249">
        <f>SUM(M29:M31)</f>
        <v>2035305</v>
      </c>
      <c r="N28" s="250">
        <f t="shared" ref="N28:N31" si="31">(L28-M28)/M28</f>
        <v>3.1395785889584118E-4</v>
      </c>
      <c r="O28" s="247">
        <f>SUM(O29:O31)</f>
        <v>7690129</v>
      </c>
      <c r="P28" s="249">
        <f>SUM(P29:P31)</f>
        <v>7578843</v>
      </c>
      <c r="Q28" s="248">
        <f t="shared" ref="Q28:Q31" si="32">(O28-P28)/P28</f>
        <v>1.4683771652216572E-2</v>
      </c>
      <c r="R28" s="250">
        <f>O28/$O$60</f>
        <v>0.70961814510220356</v>
      </c>
      <c r="S28" s="246" t="s">
        <v>18</v>
      </c>
      <c r="T28" s="253"/>
      <c r="U28" s="247">
        <f>SUM(U29:U31)</f>
        <v>7233540</v>
      </c>
      <c r="V28" s="249">
        <f>SUM(V29:V31)</f>
        <v>5657494</v>
      </c>
      <c r="W28" s="250">
        <f t="shared" ref="W28:W29" si="33">(U28-V28)/V28</f>
        <v>0.27857669844634392</v>
      </c>
      <c r="X28" s="247">
        <f>SUM(X29:X31)</f>
        <v>24168286</v>
      </c>
      <c r="Y28" s="249">
        <f>SUM(Y29:Y31)</f>
        <v>24187623</v>
      </c>
      <c r="Z28" s="248">
        <f t="shared" ref="Z28:Z29" si="34">(X28-Y28)/Y28</f>
        <v>-7.9945846683653044E-4</v>
      </c>
      <c r="AA28" s="250">
        <f>X28/$X$60</f>
        <v>0.86927661916743126</v>
      </c>
      <c r="AB28" s="246" t="s">
        <v>18</v>
      </c>
      <c r="AC28" s="253"/>
      <c r="AD28" s="247">
        <f>SUM(AD29:AD31)</f>
        <v>2105811</v>
      </c>
      <c r="AE28" s="249">
        <f>SUM(AE29:AE31)</f>
        <v>2099944</v>
      </c>
      <c r="AF28" s="250">
        <f t="shared" ref="AF28:AF31" si="35">(AD28-AE28)/AE28</f>
        <v>2.7938840273835875E-3</v>
      </c>
      <c r="AG28" s="247">
        <f>SUM(AG29:AG31)</f>
        <v>7948928</v>
      </c>
      <c r="AH28" s="249">
        <f>SUM(AH29:AH31)</f>
        <v>7833217</v>
      </c>
      <c r="AI28" s="248">
        <f t="shared" ref="AI28:AI31" si="36">(AG28-AH28)/AH28</f>
        <v>1.4771836398761838E-2</v>
      </c>
      <c r="AJ28" s="250">
        <f>AG28/$AG$60</f>
        <v>0.7111718695830137</v>
      </c>
    </row>
    <row r="29" spans="1:36" ht="14.1" customHeight="1" x14ac:dyDescent="0.2">
      <c r="A29" s="36"/>
      <c r="B29" s="37" t="s">
        <v>18</v>
      </c>
      <c r="C29" s="251">
        <f>[3]Delta!$JK$19</f>
        <v>12144</v>
      </c>
      <c r="D29" s="2">
        <f>[3]Delta!$IW$19</f>
        <v>12161</v>
      </c>
      <c r="E29" s="63">
        <f t="shared" si="30"/>
        <v>-1.3979113559740154E-3</v>
      </c>
      <c r="F29" s="2">
        <f>SUM([3]Delta!$JH$19:$JK$19)</f>
        <v>45614</v>
      </c>
      <c r="G29" s="2">
        <f>SUM([3]Delta!$IT$19:$IW$19)</f>
        <v>45776</v>
      </c>
      <c r="H29" s="3">
        <f t="shared" ref="H29:H31" si="37">(F29-G29)/G29</f>
        <v>-3.5389723872771756E-3</v>
      </c>
      <c r="I29" s="63">
        <f>F29/$F$60</f>
        <v>0.46103154468915192</v>
      </c>
      <c r="J29" s="36"/>
      <c r="K29" s="37" t="s">
        <v>18</v>
      </c>
      <c r="L29" s="251">
        <f>[3]Delta!$JK$41</f>
        <v>1661295</v>
      </c>
      <c r="M29" s="2">
        <f>[3]Delta!$IW$41</f>
        <v>1702862</v>
      </c>
      <c r="N29" s="63">
        <f t="shared" si="31"/>
        <v>-2.4410081380640356E-2</v>
      </c>
      <c r="O29" s="251">
        <f>SUM([3]Delta!$JH$41:$JK$41)</f>
        <v>6265541</v>
      </c>
      <c r="P29" s="2">
        <f>SUM([3]Delta!$IT$41:$IW$41)</f>
        <v>6313328</v>
      </c>
      <c r="Q29" s="3">
        <f t="shared" si="32"/>
        <v>-7.5692249792819258E-3</v>
      </c>
      <c r="R29" s="63">
        <f>O29/$O$60</f>
        <v>0.57816215859081244</v>
      </c>
      <c r="S29" s="36"/>
      <c r="T29" s="37" t="s">
        <v>18</v>
      </c>
      <c r="U29" s="251">
        <f>[3]Delta!$JK$64</f>
        <v>7233540</v>
      </c>
      <c r="V29" s="2">
        <f>[3]Delta!$IW$64</f>
        <v>5657494</v>
      </c>
      <c r="W29" s="63">
        <f t="shared" si="33"/>
        <v>0.27857669844634392</v>
      </c>
      <c r="X29" s="251">
        <f>SUM([3]Delta!$JH$64:$JK$64)</f>
        <v>24168286</v>
      </c>
      <c r="Y29" s="2">
        <f>SUM([3]Delta!$IT$64:$IW$64)</f>
        <v>24187623</v>
      </c>
      <c r="Z29" s="3">
        <f t="shared" si="34"/>
        <v>-7.9945846683653044E-4</v>
      </c>
      <c r="AA29" s="63">
        <f>X29/$X$60</f>
        <v>0.86927661916743126</v>
      </c>
      <c r="AB29" s="36"/>
      <c r="AC29" s="37" t="s">
        <v>18</v>
      </c>
      <c r="AD29" s="251">
        <f>[3]Delta!$JK$43</f>
        <v>1719515</v>
      </c>
      <c r="AE29" s="2">
        <f>[3]Delta!$IW$43</f>
        <v>1756698</v>
      </c>
      <c r="AF29" s="63">
        <f t="shared" si="35"/>
        <v>-2.1166415627501142E-2</v>
      </c>
      <c r="AG29" s="251">
        <f>SUM([3]Delta!$JH$43:$JK$43)</f>
        <v>6478742</v>
      </c>
      <c r="AH29" s="2">
        <f>SUM([3]Delta!$IT$43:$IW$43)</f>
        <v>6525273</v>
      </c>
      <c r="AI29" s="3">
        <f>(AG29-AH29)/AH29</f>
        <v>-7.13088938960868E-3</v>
      </c>
      <c r="AJ29" s="63">
        <f>AG29/$AG$60</f>
        <v>0.5796377902386326</v>
      </c>
    </row>
    <row r="30" spans="1:36" ht="14.1" customHeight="1" x14ac:dyDescent="0.2">
      <c r="A30" s="36"/>
      <c r="B30" s="37" t="s">
        <v>155</v>
      </c>
      <c r="C30" s="251">
        <f>[3]Pinnacle!$JK$19</f>
        <v>2521</v>
      </c>
      <c r="D30" s="2">
        <f>[3]Pinnacle!$IW$19</f>
        <v>1360</v>
      </c>
      <c r="E30" s="63">
        <f t="shared" si="30"/>
        <v>0.85367647058823526</v>
      </c>
      <c r="F30" s="2">
        <f>SUM([3]Pinnacle!$JH$19:$JK$19)</f>
        <v>10260</v>
      </c>
      <c r="G30" s="2">
        <f>SUM([3]Pinnacle!$IT$19:$IW$19)</f>
        <v>5112</v>
      </c>
      <c r="H30" s="3">
        <f t="shared" si="37"/>
        <v>1.0070422535211268</v>
      </c>
      <c r="I30" s="63">
        <f>F30/$F$60</f>
        <v>0.10370025975601128</v>
      </c>
      <c r="J30" s="36"/>
      <c r="K30" s="37" t="s">
        <v>155</v>
      </c>
      <c r="L30" s="251">
        <f>[3]Pinnacle!$JK$41</f>
        <v>154668</v>
      </c>
      <c r="M30" s="2">
        <f>[3]Pinnacle!$IW$41</f>
        <v>88956</v>
      </c>
      <c r="N30" s="63">
        <f t="shared" si="31"/>
        <v>0.73870227977876701</v>
      </c>
      <c r="O30" s="251">
        <f>SUM([3]Pinnacle!$JH$41:$JK$41)</f>
        <v>605203</v>
      </c>
      <c r="P30" s="2">
        <f>SUM([3]Pinnacle!$IT$41:$IW$41)</f>
        <v>313712</v>
      </c>
      <c r="Q30" s="3">
        <f t="shared" si="32"/>
        <v>0.92916751670321829</v>
      </c>
      <c r="R30" s="63">
        <f>O30/$O$60</f>
        <v>5.5846011200889986E-2</v>
      </c>
      <c r="S30" s="36"/>
      <c r="T30" s="37" t="s">
        <v>155</v>
      </c>
      <c r="U30" s="251">
        <f>[3]Pinnacle!$JK$64</f>
        <v>0</v>
      </c>
      <c r="V30" s="2">
        <f>[3]Pinnacle!$IW$64</f>
        <v>0</v>
      </c>
      <c r="W30" s="63">
        <f>IFERROR((U30-V30)/V30,0)</f>
        <v>0</v>
      </c>
      <c r="X30" s="251">
        <f>SUM([3]Pinnacle!$JH$64:$JK$64)</f>
        <v>0</v>
      </c>
      <c r="Y30" s="2">
        <f>SUM([3]Pinnacle!$IT$64:$IW$64)</f>
        <v>0</v>
      </c>
      <c r="Z30" s="311">
        <f>IFERROR((X30-Y30)/Y30,0)</f>
        <v>0</v>
      </c>
      <c r="AA30" s="63">
        <f>X30/$X$60</f>
        <v>0</v>
      </c>
      <c r="AB30" s="36"/>
      <c r="AC30" s="37" t="s">
        <v>155</v>
      </c>
      <c r="AD30" s="251">
        <f>[3]Pinnacle!$JK$43</f>
        <v>159225</v>
      </c>
      <c r="AE30" s="2">
        <f>[3]Pinnacle!$IW$43</f>
        <v>91584</v>
      </c>
      <c r="AF30" s="63">
        <f t="shared" si="35"/>
        <v>0.73856787211740038</v>
      </c>
      <c r="AG30" s="251">
        <f>SUM([3]Pinnacle!$JH$43:$JK$43)</f>
        <v>624041</v>
      </c>
      <c r="AH30" s="2">
        <f>SUM([3]Pinnacle!$IT$43:$IW$43)</f>
        <v>324873</v>
      </c>
      <c r="AI30" s="3">
        <f t="shared" si="36"/>
        <v>0.92087677338529206</v>
      </c>
      <c r="AJ30" s="63">
        <f>AG30/$AG$60</f>
        <v>5.5831478743605861E-2</v>
      </c>
    </row>
    <row r="31" spans="1:36" ht="14.1" customHeight="1" x14ac:dyDescent="0.2">
      <c r="A31" s="36"/>
      <c r="B31" s="37" t="s">
        <v>97</v>
      </c>
      <c r="C31" s="251">
        <f>'[3]Sky West'!$JK$19</f>
        <v>4186</v>
      </c>
      <c r="D31" s="2">
        <f>'[3]Sky West'!$IW$19</f>
        <v>4418</v>
      </c>
      <c r="E31" s="63">
        <f t="shared" si="30"/>
        <v>-5.2512449071978273E-2</v>
      </c>
      <c r="F31" s="2">
        <f>SUM('[3]Sky West'!$JH$19:$JK$19)</f>
        <v>16164</v>
      </c>
      <c r="G31" s="2">
        <f>SUM('[3]Sky West'!$IT$19:$IW$19)</f>
        <v>17458</v>
      </c>
      <c r="H31" s="3">
        <f t="shared" si="37"/>
        <v>-7.4120746935502343E-2</v>
      </c>
      <c r="I31" s="63">
        <f>F31/$F$60</f>
        <v>0.16337339168578618</v>
      </c>
      <c r="J31" s="36"/>
      <c r="K31" s="37" t="s">
        <v>97</v>
      </c>
      <c r="L31" s="251">
        <f>'[3]Sky West'!$JK$41</f>
        <v>219981</v>
      </c>
      <c r="M31" s="2">
        <f>'[3]Sky West'!$IW$41</f>
        <v>243487</v>
      </c>
      <c r="N31" s="63">
        <f t="shared" si="31"/>
        <v>-9.6539034938210255E-2</v>
      </c>
      <c r="O31" s="251">
        <f>SUM('[3]Sky West'!$JH$41:$JK$41)</f>
        <v>819385</v>
      </c>
      <c r="P31" s="2">
        <f>SUM('[3]Sky West'!$IT$41:$IW$41)</f>
        <v>951803</v>
      </c>
      <c r="Q31" s="3">
        <f t="shared" si="32"/>
        <v>-0.13912332699098448</v>
      </c>
      <c r="R31" s="63">
        <f>O31/$O$60</f>
        <v>7.5609975310501176E-2</v>
      </c>
      <c r="S31" s="36"/>
      <c r="T31" s="37" t="s">
        <v>97</v>
      </c>
      <c r="U31" s="251">
        <f>'[3]Sky West'!$JK$64</f>
        <v>0</v>
      </c>
      <c r="V31" s="2">
        <f>'[3]Sky West'!$IW$64</f>
        <v>0</v>
      </c>
      <c r="W31" s="63">
        <f>IFERROR((U31-V31)/V31,0)</f>
        <v>0</v>
      </c>
      <c r="X31" s="251">
        <f>SUM('[3]Sky West'!$JH$64:$JK$64)</f>
        <v>0</v>
      </c>
      <c r="Y31" s="2">
        <f>SUM('[3]Sky West'!$IT$64:$IW$64)</f>
        <v>0</v>
      </c>
      <c r="Z31" s="311">
        <f>IFERROR((X31-Y31)/Y31,0)</f>
        <v>0</v>
      </c>
      <c r="AA31" s="63">
        <f>X31/$X$60</f>
        <v>0</v>
      </c>
      <c r="AB31" s="36"/>
      <c r="AC31" s="37" t="s">
        <v>97</v>
      </c>
      <c r="AD31" s="251">
        <f>'[3]Sky West'!$JK$43</f>
        <v>227071</v>
      </c>
      <c r="AE31" s="2">
        <f>'[3]Sky West'!$IW$43</f>
        <v>251662</v>
      </c>
      <c r="AF31" s="63">
        <f t="shared" si="35"/>
        <v>-9.7714394704007751E-2</v>
      </c>
      <c r="AG31" s="251">
        <f>SUM('[3]Sky West'!$JH$43:$JK$43)</f>
        <v>846145</v>
      </c>
      <c r="AH31" s="2">
        <f>SUM('[3]Sky West'!$IT$43:$IW$43)</f>
        <v>983071</v>
      </c>
      <c r="AI31" s="3">
        <f t="shared" si="36"/>
        <v>-0.13928393778272374</v>
      </c>
      <c r="AJ31" s="63">
        <f>AG31/$AG$60</f>
        <v>7.5702600600775244E-2</v>
      </c>
    </row>
    <row r="32" spans="1:36" ht="14.1" customHeight="1" x14ac:dyDescent="0.2">
      <c r="A32" s="36"/>
      <c r="B32" s="306"/>
      <c r="C32" s="251"/>
      <c r="E32" s="63"/>
      <c r="F32" s="2"/>
      <c r="I32" s="63"/>
      <c r="J32" s="36"/>
      <c r="K32" s="306"/>
      <c r="L32" s="251"/>
      <c r="N32" s="63"/>
      <c r="O32" s="251"/>
      <c r="P32" s="2"/>
      <c r="Q32" s="3"/>
      <c r="R32" s="63"/>
      <c r="S32" s="36"/>
      <c r="T32" s="306"/>
      <c r="U32" s="251"/>
      <c r="V32" s="2"/>
      <c r="W32" s="63"/>
      <c r="X32" s="251"/>
      <c r="Y32" s="2"/>
      <c r="Z32" s="3"/>
      <c r="AA32" s="63"/>
      <c r="AB32" s="36"/>
      <c r="AC32" s="306"/>
      <c r="AD32" s="251"/>
      <c r="AE32" s="2"/>
      <c r="AF32" s="63"/>
      <c r="AG32" s="251"/>
      <c r="AH32" s="2"/>
      <c r="AI32" s="3"/>
      <c r="AJ32" s="63"/>
    </row>
    <row r="33" spans="1:36" ht="14.1" customHeight="1" x14ac:dyDescent="0.2">
      <c r="A33" s="246" t="s">
        <v>47</v>
      </c>
      <c r="B33" s="37"/>
      <c r="C33" s="247">
        <f>[3]Frontier!$JK$19</f>
        <v>168</v>
      </c>
      <c r="D33" s="249">
        <f>[3]Frontier!$IW$19</f>
        <v>312</v>
      </c>
      <c r="E33" s="250">
        <f>(C33-D33)/D33</f>
        <v>-0.46153846153846156</v>
      </c>
      <c r="F33" s="249">
        <f>SUM([3]Frontier!$JH$19:$JK$19)</f>
        <v>718</v>
      </c>
      <c r="G33" s="249">
        <f>SUM([3]Frontier!$IT$19:$IW$19)</f>
        <v>1286</v>
      </c>
      <c r="H33" s="248">
        <f>(F33-G33)/G33</f>
        <v>-0.4416796267496112</v>
      </c>
      <c r="I33" s="250">
        <f>F33/$F$60</f>
        <v>7.2569967353621929E-3</v>
      </c>
      <c r="J33" s="246" t="s">
        <v>47</v>
      </c>
      <c r="K33" s="37"/>
      <c r="L33" s="247">
        <f>[3]Frontier!$JK$41</f>
        <v>24801</v>
      </c>
      <c r="M33" s="249">
        <f>[3]Frontier!$IW$41</f>
        <v>44434</v>
      </c>
      <c r="N33" s="250">
        <f>(L33-M33)/M33</f>
        <v>-0.44184633388846378</v>
      </c>
      <c r="O33" s="247">
        <f>SUM([3]Frontier!$JH$41:$JK$41)</f>
        <v>119719</v>
      </c>
      <c r="P33" s="249">
        <f>SUM([3]Frontier!$IT$41:$IW$41)</f>
        <v>207076</v>
      </c>
      <c r="Q33" s="248">
        <f>(O33-P33)/P33</f>
        <v>-0.42185960710077458</v>
      </c>
      <c r="R33" s="250">
        <f>O33/$O$60</f>
        <v>1.1047249625265156E-2</v>
      </c>
      <c r="S33" s="246" t="s">
        <v>47</v>
      </c>
      <c r="T33" s="37"/>
      <c r="U33" s="247">
        <f>[3]Frontier!$JK$64</f>
        <v>0</v>
      </c>
      <c r="V33" s="249">
        <f>[3]Frontier!$IW$64</f>
        <v>0</v>
      </c>
      <c r="W33" s="250">
        <f>IFERROR((U33-V33)/V33,0)</f>
        <v>0</v>
      </c>
      <c r="X33" s="247">
        <f>SUM([3]Frontier!$JH$64:$JK$64)</f>
        <v>0</v>
      </c>
      <c r="Y33" s="249">
        <f>SUM([3]Frontier!$IT$64:$IW$64)</f>
        <v>0</v>
      </c>
      <c r="Z33" s="248">
        <f>IFERROR((X33-Y33)/Y33,0)</f>
        <v>0</v>
      </c>
      <c r="AA33" s="250">
        <f>X33/$X$60</f>
        <v>0</v>
      </c>
      <c r="AB33" s="246" t="s">
        <v>47</v>
      </c>
      <c r="AC33" s="37"/>
      <c r="AD33" s="247">
        <f>[3]Frontier!$JK$43</f>
        <v>24975</v>
      </c>
      <c r="AE33" s="249">
        <f>[3]Frontier!$IW$43</f>
        <v>44686</v>
      </c>
      <c r="AF33" s="250">
        <f>(AD33-AE33)/AE33</f>
        <v>-0.44110012084321709</v>
      </c>
      <c r="AG33" s="247">
        <f>SUM([3]Frontier!$JH$43:$JK$43)</f>
        <v>120546</v>
      </c>
      <c r="AH33" s="249">
        <f>SUM([3]Frontier!$IT$43:$IW$43)</f>
        <v>208185</v>
      </c>
      <c r="AI33" s="248">
        <f>(AG33-AH33)/AH33</f>
        <v>-0.42096692845305855</v>
      </c>
      <c r="AJ33" s="250">
        <f>AG33/$AG$60</f>
        <v>1.0784966751586373E-2</v>
      </c>
    </row>
    <row r="34" spans="1:36" ht="14.1" customHeight="1" x14ac:dyDescent="0.2">
      <c r="A34" s="246"/>
      <c r="B34" s="37"/>
      <c r="C34" s="247"/>
      <c r="D34" s="249"/>
      <c r="E34" s="250"/>
      <c r="F34" s="249"/>
      <c r="G34" s="249"/>
      <c r="H34" s="248"/>
      <c r="I34" s="250"/>
      <c r="J34" s="246"/>
      <c r="K34" s="37"/>
      <c r="L34" s="251"/>
      <c r="N34" s="63"/>
      <c r="O34" s="251"/>
      <c r="P34" s="2"/>
      <c r="Q34" s="3"/>
      <c r="R34" s="63"/>
      <c r="S34" s="246"/>
      <c r="T34" s="37"/>
      <c r="U34" s="251"/>
      <c r="V34" s="2"/>
      <c r="W34" s="63"/>
      <c r="X34" s="251"/>
      <c r="Y34" s="2"/>
      <c r="Z34" s="3"/>
      <c r="AA34" s="63"/>
      <c r="AB34" s="246"/>
      <c r="AC34" s="37"/>
      <c r="AD34" s="251"/>
      <c r="AE34" s="2"/>
      <c r="AF34" s="63"/>
      <c r="AG34" s="251"/>
      <c r="AH34" s="2"/>
      <c r="AI34" s="3"/>
      <c r="AJ34" s="63"/>
    </row>
    <row r="35" spans="1:36" ht="14.1" customHeight="1" x14ac:dyDescent="0.2">
      <c r="A35" s="246" t="s">
        <v>48</v>
      </c>
      <c r="B35" s="37"/>
      <c r="C35" s="247">
        <f>[3]Icelandair!$JK$19</f>
        <v>42</v>
      </c>
      <c r="D35" s="249">
        <f>[3]Icelandair!$IW$19</f>
        <v>32</v>
      </c>
      <c r="E35" s="250">
        <f>(C35-D35)/D35</f>
        <v>0.3125</v>
      </c>
      <c r="F35" s="249">
        <f>SUM([3]Icelandair!$JH$19:$JK$19)</f>
        <v>90</v>
      </c>
      <c r="G35" s="249">
        <f>SUM([3]Icelandair!$IT$19:$IW$19)</f>
        <v>50</v>
      </c>
      <c r="H35" s="248">
        <f>(F35-G35)/G35</f>
        <v>0.8</v>
      </c>
      <c r="I35" s="250">
        <f>F35/$F$60</f>
        <v>9.0965140136851994E-4</v>
      </c>
      <c r="J35" s="246" t="s">
        <v>48</v>
      </c>
      <c r="K35" s="37"/>
      <c r="L35" s="247">
        <f>[3]Icelandair!$JK$41</f>
        <v>5302</v>
      </c>
      <c r="M35" s="249">
        <f>[3]Icelandair!$IW$41</f>
        <v>4541</v>
      </c>
      <c r="N35" s="250">
        <f>(L35-M35)/M35</f>
        <v>0.16758423254789695</v>
      </c>
      <c r="O35" s="247">
        <f>SUM([3]Icelandair!$JH$41:$JK$41)</f>
        <v>12047</v>
      </c>
      <c r="P35" s="249">
        <f>SUM([3]Icelandair!$IT$41:$IW$41)</f>
        <v>6658</v>
      </c>
      <c r="Q35" s="248">
        <f>(O35-P35)/P35</f>
        <v>0.80940222288975672</v>
      </c>
      <c r="R35" s="250">
        <f>O35/$O$60</f>
        <v>1.1116549272510573E-3</v>
      </c>
      <c r="S35" s="246" t="s">
        <v>48</v>
      </c>
      <c r="T35" s="37"/>
      <c r="U35" s="247">
        <f>[3]Icelandair!$JK$64</f>
        <v>2663</v>
      </c>
      <c r="V35" s="249">
        <f>[3]Icelandair!$IW$64</f>
        <v>1556</v>
      </c>
      <c r="W35" s="250">
        <f>(U35-V35)/V35</f>
        <v>0.71143958868894597</v>
      </c>
      <c r="X35" s="247">
        <f>SUM([3]Icelandair!$JH$64:$JK$64)</f>
        <v>2663</v>
      </c>
      <c r="Y35" s="249">
        <f>SUM([3]Icelandair!$IT$64:$IW$64)</f>
        <v>2699</v>
      </c>
      <c r="Z35" s="248">
        <f>(X35-Y35)/Y35</f>
        <v>-1.333827343460541E-2</v>
      </c>
      <c r="AA35" s="250">
        <f>X35/$X$60</f>
        <v>9.5781870375204482E-5</v>
      </c>
      <c r="AB35" s="246" t="s">
        <v>48</v>
      </c>
      <c r="AC35" s="37"/>
      <c r="AD35" s="247">
        <f>[3]Icelandair!$JK$43</f>
        <v>5397</v>
      </c>
      <c r="AE35" s="249">
        <f>[3]Icelandair!$IW$43</f>
        <v>4586</v>
      </c>
      <c r="AF35" s="250">
        <f>(AD35-AE35)/AE35</f>
        <v>0.17684256432621021</v>
      </c>
      <c r="AG35" s="247">
        <f>SUM([3]Icelandair!$JH$43:$JK$43)</f>
        <v>12206</v>
      </c>
      <c r="AH35" s="249">
        <f>SUM([3]Icelandair!$IT$43:$IW$43)</f>
        <v>6765</v>
      </c>
      <c r="AI35" s="248">
        <f>(AG35-AH35)/AH35</f>
        <v>0.80428677014042871</v>
      </c>
      <c r="AJ35" s="250">
        <f>AG35/$AG$60</f>
        <v>1.0920420766335115E-3</v>
      </c>
    </row>
    <row r="36" spans="1:36" ht="14.1" customHeight="1" x14ac:dyDescent="0.2">
      <c r="A36" s="246"/>
      <c r="B36" s="37"/>
      <c r="C36" s="247"/>
      <c r="D36" s="249"/>
      <c r="E36" s="250"/>
      <c r="F36" s="249"/>
      <c r="G36" s="249"/>
      <c r="H36" s="248"/>
      <c r="I36" s="250"/>
      <c r="J36" s="246"/>
      <c r="K36" s="37"/>
      <c r="L36" s="251"/>
      <c r="N36" s="63"/>
      <c r="O36" s="251"/>
      <c r="P36" s="2"/>
      <c r="Q36" s="3"/>
      <c r="R36" s="63"/>
      <c r="S36" s="246"/>
      <c r="T36" s="37"/>
      <c r="U36" s="251"/>
      <c r="V36" s="2"/>
      <c r="W36" s="63"/>
      <c r="X36" s="251"/>
      <c r="Y36" s="2"/>
      <c r="Z36" s="3"/>
      <c r="AA36" s="63"/>
      <c r="AB36" s="246"/>
      <c r="AC36" s="37"/>
      <c r="AD36" s="251"/>
      <c r="AE36" s="2"/>
      <c r="AF36" s="63"/>
      <c r="AG36" s="251"/>
      <c r="AH36" s="2"/>
      <c r="AI36" s="3"/>
      <c r="AJ36" s="63"/>
    </row>
    <row r="37" spans="1:36" ht="14.1" customHeight="1" x14ac:dyDescent="0.2">
      <c r="A37" s="246" t="s">
        <v>182</v>
      </c>
      <c r="B37" s="37"/>
      <c r="C37" s="247">
        <f>'[3]Jet Blue'!$JK$19</f>
        <v>0</v>
      </c>
      <c r="D37" s="249">
        <f>'[3]Jet Blue'!$IW$19</f>
        <v>58</v>
      </c>
      <c r="E37" s="250">
        <f>(C37-D37)/D37</f>
        <v>-1</v>
      </c>
      <c r="F37" s="249">
        <f>SUM('[3]Jet Blue'!$JH$19:$JK$19)</f>
        <v>0</v>
      </c>
      <c r="G37" s="249">
        <f>SUM('[3]Jet Blue'!$IT$19:$IW$19)</f>
        <v>238</v>
      </c>
      <c r="H37" s="248">
        <f>(F37-G37)/G37</f>
        <v>-1</v>
      </c>
      <c r="I37" s="250">
        <f>F37/$F$60</f>
        <v>0</v>
      </c>
      <c r="J37" s="246" t="s">
        <v>182</v>
      </c>
      <c r="K37" s="37"/>
      <c r="L37" s="247">
        <f>'[3]Jet Blue'!$JK$41</f>
        <v>0</v>
      </c>
      <c r="M37" s="249">
        <f>'[3]Jet Blue'!$IW$41</f>
        <v>4585</v>
      </c>
      <c r="N37" s="250">
        <f>(L37-M37)/M37</f>
        <v>-1</v>
      </c>
      <c r="O37" s="247">
        <f>SUM('[3]Jet Blue'!$JH$41:$JK$41)</f>
        <v>0</v>
      </c>
      <c r="P37" s="249">
        <f>SUM('[3]Jet Blue'!$IT$41:$IW$41)</f>
        <v>19499</v>
      </c>
      <c r="Q37" s="248">
        <f>(O37-P37)/P37</f>
        <v>-1</v>
      </c>
      <c r="R37" s="250">
        <f>O37/$O$60</f>
        <v>0</v>
      </c>
      <c r="S37" s="246" t="s">
        <v>182</v>
      </c>
      <c r="T37" s="37"/>
      <c r="U37" s="247">
        <f>'[3]Jet Blue'!$JK$64</f>
        <v>0</v>
      </c>
      <c r="V37" s="249">
        <f>'[3]Jet Blue'!$IW$64</f>
        <v>0</v>
      </c>
      <c r="W37" s="250">
        <f>IFERROR((U37-V37)/V37,0)</f>
        <v>0</v>
      </c>
      <c r="X37" s="247">
        <f>SUM('[3]Jet Blue'!$JH$64:$JK$64)</f>
        <v>0</v>
      </c>
      <c r="Y37" s="249">
        <f>SUM('[3]Jet Blue'!$IT$64:$IW$64)</f>
        <v>0</v>
      </c>
      <c r="Z37" s="248">
        <f>IFERROR((X37-Y37)/Y37,0)</f>
        <v>0</v>
      </c>
      <c r="AA37" s="250">
        <f>X37/$X$60</f>
        <v>0</v>
      </c>
      <c r="AB37" s="246" t="s">
        <v>182</v>
      </c>
      <c r="AC37" s="37"/>
      <c r="AD37" s="247">
        <f>'[3]Jet Blue'!$JK$43</f>
        <v>0</v>
      </c>
      <c r="AE37" s="249">
        <f>'[3]Jet Blue'!$IW$43</f>
        <v>4701</v>
      </c>
      <c r="AF37" s="250">
        <f>(AD37-AE37)/AE37</f>
        <v>-1</v>
      </c>
      <c r="AG37" s="247">
        <f>SUM('[3]Jet Blue'!$JH$43:$JK$43)</f>
        <v>0</v>
      </c>
      <c r="AH37" s="249">
        <f>SUM('[3]Jet Blue'!$IT$43:$IW$43)</f>
        <v>19933</v>
      </c>
      <c r="AI37" s="248">
        <f>(AG37-AH37)/AH37</f>
        <v>-1</v>
      </c>
      <c r="AJ37" s="250">
        <f>AG37/$AG$60</f>
        <v>0</v>
      </c>
    </row>
    <row r="38" spans="1:36" ht="14.1" customHeight="1" x14ac:dyDescent="0.2">
      <c r="A38" s="246"/>
      <c r="B38" s="37"/>
      <c r="C38" s="247"/>
      <c r="D38" s="249"/>
      <c r="E38" s="250"/>
      <c r="F38" s="249"/>
      <c r="G38" s="249"/>
      <c r="H38" s="248"/>
      <c r="I38" s="250"/>
      <c r="J38" s="246"/>
      <c r="K38" s="37"/>
      <c r="L38" s="251"/>
      <c r="N38" s="63"/>
      <c r="O38" s="251"/>
      <c r="P38" s="2"/>
      <c r="Q38" s="3"/>
      <c r="R38" s="63"/>
      <c r="S38" s="246"/>
      <c r="T38" s="37"/>
      <c r="U38" s="251"/>
      <c r="V38" s="2"/>
      <c r="W38" s="63"/>
      <c r="X38" s="251"/>
      <c r="Y38" s="2"/>
      <c r="Z38" s="3"/>
      <c r="AA38" s="63"/>
      <c r="AB38" s="246"/>
      <c r="AC38" s="37"/>
      <c r="AD38" s="251"/>
      <c r="AE38" s="2"/>
      <c r="AF38" s="63"/>
      <c r="AG38" s="251"/>
      <c r="AH38" s="2"/>
      <c r="AI38" s="3"/>
      <c r="AJ38" s="63"/>
    </row>
    <row r="39" spans="1:36" ht="14.1" customHeight="1" x14ac:dyDescent="0.2">
      <c r="A39" s="246" t="s">
        <v>178</v>
      </c>
      <c r="B39" s="37"/>
      <c r="C39" s="247">
        <f>[3]KLM!$JK$19</f>
        <v>26</v>
      </c>
      <c r="D39" s="249">
        <f>[3]KLM!$IW$19</f>
        <v>24</v>
      </c>
      <c r="E39" s="250">
        <f>(C39-D39)/D39</f>
        <v>8.3333333333333329E-2</v>
      </c>
      <c r="F39" s="249">
        <f>SUM([3]KLM!$JH$19:$JK$19)</f>
        <v>28</v>
      </c>
      <c r="G39" s="249">
        <f>SUM([3]KLM!$IT$19:$IW$19)</f>
        <v>112</v>
      </c>
      <c r="H39" s="248">
        <f>(F39-G39)/G39</f>
        <v>-0.75</v>
      </c>
      <c r="I39" s="250">
        <f>F39/$F$60</f>
        <v>2.8300265820353955E-4</v>
      </c>
      <c r="J39" s="246" t="s">
        <v>178</v>
      </c>
      <c r="K39" s="37"/>
      <c r="L39" s="247">
        <f>[3]KLM!$JK$41</f>
        <v>6040</v>
      </c>
      <c r="M39" s="249">
        <f>[3]KLM!$IW$41</f>
        <v>6370</v>
      </c>
      <c r="N39" s="250">
        <f>(L39-M39)/M39</f>
        <v>-5.1805337519623233E-2</v>
      </c>
      <c r="O39" s="247">
        <f>SUM([3]KLM!$JH$41:$JK$41)</f>
        <v>6628</v>
      </c>
      <c r="P39" s="249">
        <f>SUM([3]KLM!$IT$41:$IW$41)</f>
        <v>23370</v>
      </c>
      <c r="Q39" s="248">
        <f>(O39-P39)/P39</f>
        <v>-0.71638853230637567</v>
      </c>
      <c r="R39" s="250">
        <f>O39/$O$60</f>
        <v>6.1160860445090136E-4</v>
      </c>
      <c r="S39" s="246" t="s">
        <v>178</v>
      </c>
      <c r="T39" s="37"/>
      <c r="U39" s="247">
        <f>[3]KLM!$JK$64</f>
        <v>331907</v>
      </c>
      <c r="V39" s="249">
        <f>[3]KLM!$IW$64</f>
        <v>200838</v>
      </c>
      <c r="W39" s="250">
        <f>(U39-V39)/V39</f>
        <v>0.65261056174628307</v>
      </c>
      <c r="X39" s="247">
        <f>SUM([3]KLM!$JH$64:$JK$64)</f>
        <v>363250</v>
      </c>
      <c r="Y39" s="249">
        <f>SUM([3]KLM!$IT$64:$IW$64)</f>
        <v>1118874</v>
      </c>
      <c r="Z39" s="248">
        <f>(X39-Y39)/Y39</f>
        <v>-0.67534324687140823</v>
      </c>
      <c r="AA39" s="250">
        <f>X39/$X$60</f>
        <v>1.3065251375814131E-2</v>
      </c>
      <c r="AB39" s="246" t="s">
        <v>178</v>
      </c>
      <c r="AC39" s="37"/>
      <c r="AD39" s="247">
        <f>[3]KLM!$JK$43</f>
        <v>6040</v>
      </c>
      <c r="AE39" s="249">
        <f>[3]KLM!$IW$43</f>
        <v>6382</v>
      </c>
      <c r="AF39" s="250">
        <f>(AD39-AE39)/AE39</f>
        <v>-5.3588216859918519E-2</v>
      </c>
      <c r="AG39" s="247">
        <f>SUM([3]KLM!$JH$43:$JK$43)</f>
        <v>6628</v>
      </c>
      <c r="AH39" s="249">
        <f>SUM([3]KLM!$IT$43:$IW$43)</f>
        <v>23410</v>
      </c>
      <c r="AI39" s="248">
        <f>(AG39-AH39)/AH39</f>
        <v>-0.71687313114053819</v>
      </c>
      <c r="AJ39" s="250">
        <f>AG39/$AG$60</f>
        <v>5.9299155201760726E-4</v>
      </c>
    </row>
    <row r="40" spans="1:36" ht="14.1" customHeight="1" x14ac:dyDescent="0.2">
      <c r="A40" s="246"/>
      <c r="B40" s="37"/>
      <c r="C40" s="247"/>
      <c r="D40" s="249"/>
      <c r="E40" s="250"/>
      <c r="F40" s="249"/>
      <c r="G40" s="249"/>
      <c r="H40" s="248"/>
      <c r="I40" s="250"/>
      <c r="J40" s="246"/>
      <c r="K40" s="37"/>
      <c r="L40" s="251"/>
      <c r="N40" s="63"/>
      <c r="O40" s="251"/>
      <c r="P40" s="2"/>
      <c r="Q40" s="3"/>
      <c r="R40" s="63"/>
      <c r="S40" s="246"/>
      <c r="T40" s="37"/>
      <c r="U40" s="251"/>
      <c r="V40" s="2"/>
      <c r="W40" s="63"/>
      <c r="X40" s="251"/>
      <c r="Y40" s="2"/>
      <c r="Z40" s="3"/>
      <c r="AA40" s="63"/>
      <c r="AB40" s="246"/>
      <c r="AC40" s="37"/>
      <c r="AD40" s="251"/>
      <c r="AE40" s="2"/>
      <c r="AF40" s="63"/>
      <c r="AG40" s="251"/>
      <c r="AH40" s="2"/>
      <c r="AI40" s="3"/>
      <c r="AJ40" s="63"/>
    </row>
    <row r="41" spans="1:36" ht="14.1" customHeight="1" x14ac:dyDescent="0.2">
      <c r="A41" s="246" t="s">
        <v>230</v>
      </c>
      <c r="B41" s="37"/>
      <c r="C41" s="247">
        <f>[3]Lufthansa!$JK$19</f>
        <v>28</v>
      </c>
      <c r="D41" s="249">
        <f>[3]Lufthansa!$IW$19</f>
        <v>0</v>
      </c>
      <c r="E41" s="250">
        <f>IFERROR((C41-D41)/D41,0)</f>
        <v>0</v>
      </c>
      <c r="F41" s="249">
        <f>SUM([3]Lufthansa!$JH$19:$JK$19)</f>
        <v>118</v>
      </c>
      <c r="G41" s="249">
        <f>SUM([3]Lufthansa!$IT$19:$IW$19)</f>
        <v>0</v>
      </c>
      <c r="H41" s="248">
        <f>IFERROR((F41-G41)/G41,0)</f>
        <v>0</v>
      </c>
      <c r="I41" s="250">
        <f>F41/$F$60</f>
        <v>1.1926540595720595E-3</v>
      </c>
      <c r="J41" s="246" t="s">
        <v>230</v>
      </c>
      <c r="K41" s="37"/>
      <c r="L41" s="247">
        <f>[3]Lufthansa!$JK$41</f>
        <v>4781</v>
      </c>
      <c r="M41" s="249">
        <f>[3]Lufthansa!$IW$41</f>
        <v>0</v>
      </c>
      <c r="N41" s="250">
        <f>IFERROR((L41-M41)/M41,0)</f>
        <v>0</v>
      </c>
      <c r="O41" s="247">
        <f>SUM([3]Lufthansa!$JH$41:$JK$41)</f>
        <v>20396</v>
      </c>
      <c r="P41" s="249">
        <f>SUM([3]Lufthansa!$IT$41:$IW$41)</f>
        <v>0</v>
      </c>
      <c r="Q41" s="248">
        <f>IFERROR((O41-P41)/P41,0)</f>
        <v>0</v>
      </c>
      <c r="R41" s="250">
        <f>O41/$O$60</f>
        <v>1.8820713784521098E-3</v>
      </c>
      <c r="S41" s="246" t="s">
        <v>230</v>
      </c>
      <c r="T41" s="37"/>
      <c r="U41" s="247">
        <f>[3]Lufthansa!$JK$64</f>
        <v>428846</v>
      </c>
      <c r="V41" s="249">
        <f>[3]Lufthansa!$IW$64</f>
        <v>0</v>
      </c>
      <c r="W41" s="250">
        <f>IFERROR((U41-V41)/V41,0)</f>
        <v>0</v>
      </c>
      <c r="X41" s="247">
        <f>SUM([3]Lufthansa!$JH$64:$JK$64)</f>
        <v>2075071</v>
      </c>
      <c r="Y41" s="249">
        <f>SUM([3]Lufthansa!$IT$64:$IW$64)</f>
        <v>0</v>
      </c>
      <c r="Z41" s="248">
        <f>IFERROR((X41-Y41)/Y41,0)</f>
        <v>0</v>
      </c>
      <c r="AA41" s="250">
        <f>X41/$X$60</f>
        <v>7.4635441810494155E-2</v>
      </c>
      <c r="AB41" s="246" t="s">
        <v>230</v>
      </c>
      <c r="AC41" s="37"/>
      <c r="AD41" s="247">
        <f>[3]Lufthansa!$JK$43</f>
        <v>4871</v>
      </c>
      <c r="AE41" s="249">
        <f>[3]Lufthansa!$IW$43</f>
        <v>0</v>
      </c>
      <c r="AF41" s="250">
        <f>IFERROR((AD41-AE41)/AE41,0)</f>
        <v>0</v>
      </c>
      <c r="AG41" s="247">
        <f>SUM([3]Lufthansa!$JH$43:$JK$43)</f>
        <v>20746</v>
      </c>
      <c r="AH41" s="249">
        <f>SUM([3]Lufthansa!$IT$43:$IW$43)</f>
        <v>0</v>
      </c>
      <c r="AI41" s="248">
        <f>IFERROR((AG41-AH41)/AH41,0)</f>
        <v>0</v>
      </c>
      <c r="AJ41" s="250">
        <f>AG41/$AG$60</f>
        <v>1.8560957661673627E-3</v>
      </c>
    </row>
    <row r="42" spans="1:36" ht="14.1" customHeight="1" x14ac:dyDescent="0.2">
      <c r="A42" s="246"/>
      <c r="B42" s="37"/>
      <c r="C42" s="247"/>
      <c r="D42" s="249"/>
      <c r="E42" s="250"/>
      <c r="F42" s="249"/>
      <c r="G42" s="249"/>
      <c r="H42" s="248"/>
      <c r="I42" s="250"/>
      <c r="J42" s="246"/>
      <c r="K42" s="37"/>
      <c r="L42" s="251"/>
      <c r="N42" s="63"/>
      <c r="O42" s="251"/>
      <c r="P42" s="2"/>
      <c r="Q42" s="3"/>
      <c r="R42" s="63"/>
      <c r="S42" s="246"/>
      <c r="T42" s="37"/>
      <c r="U42" s="251"/>
      <c r="V42" s="2"/>
      <c r="W42" s="63"/>
      <c r="X42" s="251"/>
      <c r="Y42" s="2"/>
      <c r="Z42" s="3"/>
      <c r="AA42" s="63"/>
      <c r="AB42" s="246"/>
      <c r="AC42" s="37"/>
      <c r="AD42" s="251"/>
      <c r="AE42" s="2"/>
      <c r="AF42" s="63"/>
      <c r="AG42" s="251"/>
      <c r="AH42" s="2"/>
      <c r="AI42" s="3"/>
      <c r="AJ42" s="63"/>
    </row>
    <row r="43" spans="1:36" ht="14.1" customHeight="1" x14ac:dyDescent="0.2">
      <c r="A43" s="246" t="s">
        <v>128</v>
      </c>
      <c r="B43" s="37"/>
      <c r="C43" s="247">
        <f>[3]Southwest!$JK$19</f>
        <v>954</v>
      </c>
      <c r="D43" s="249">
        <f>[3]Southwest!$IW$19</f>
        <v>1236</v>
      </c>
      <c r="E43" s="250">
        <f>(C43-D43)/D43</f>
        <v>-0.22815533980582525</v>
      </c>
      <c r="F43" s="249">
        <f>SUM([3]Southwest!$JH$19:$JK$19)</f>
        <v>3662</v>
      </c>
      <c r="G43" s="249">
        <f>SUM([3]Southwest!$IT$19:$IW$19)</f>
        <v>4766</v>
      </c>
      <c r="H43" s="248">
        <f>(F43-G43)/G43</f>
        <v>-0.23164078892152748</v>
      </c>
      <c r="I43" s="250">
        <f>F43/$F$60</f>
        <v>3.7012704797905784E-2</v>
      </c>
      <c r="J43" s="246" t="s">
        <v>128</v>
      </c>
      <c r="K43" s="37"/>
      <c r="L43" s="247">
        <f>[3]Southwest!$JK$41</f>
        <v>114292</v>
      </c>
      <c r="M43" s="249">
        <f>[3]Southwest!$IW$41</f>
        <v>142568</v>
      </c>
      <c r="N43" s="250">
        <f>(L43-M43)/M43</f>
        <v>-0.19833342685595645</v>
      </c>
      <c r="O43" s="247">
        <f>SUM([3]Southwest!$JH$41:$JK$41)</f>
        <v>425875</v>
      </c>
      <c r="P43" s="249">
        <f>SUM([3]Southwest!$IT$41:$IW$41)</f>
        <v>551062</v>
      </c>
      <c r="Q43" s="248">
        <f>(O43-P43)/P43</f>
        <v>-0.22717407478650314</v>
      </c>
      <c r="R43" s="250">
        <f>O43/$O$60</f>
        <v>3.9298252024823115E-2</v>
      </c>
      <c r="S43" s="246" t="s">
        <v>128</v>
      </c>
      <c r="T43" s="37"/>
      <c r="U43" s="247">
        <f>[3]Southwest!$JK$64</f>
        <v>203129</v>
      </c>
      <c r="V43" s="249">
        <f>[3]Southwest!$IW$64</f>
        <v>242944</v>
      </c>
      <c r="W43" s="250">
        <f>(U43-V43)/V43</f>
        <v>-0.16388550447839831</v>
      </c>
      <c r="X43" s="247">
        <f>SUM([3]Southwest!$JH$64:$JK$64)</f>
        <v>789510</v>
      </c>
      <c r="Y43" s="249">
        <f>SUM([3]Southwest!$IT$64:$IW$64)</f>
        <v>909271</v>
      </c>
      <c r="Z43" s="248">
        <f>(X43-Y43)/Y43</f>
        <v>-0.13171100804930544</v>
      </c>
      <c r="AA43" s="250">
        <f>X43/$X$60</f>
        <v>2.8396824814092263E-2</v>
      </c>
      <c r="AB43" s="246" t="s">
        <v>128</v>
      </c>
      <c r="AC43" s="37"/>
      <c r="AD43" s="247">
        <f>[3]Southwest!$JK$43</f>
        <v>117484</v>
      </c>
      <c r="AE43" s="249">
        <f>[3]Southwest!$IW$43</f>
        <v>145972</v>
      </c>
      <c r="AF43" s="250">
        <f>(AD43-AE43)/AE43</f>
        <v>-0.19516071575370619</v>
      </c>
      <c r="AG43" s="247">
        <f>SUM([3]Southwest!$JH$43:$JK$43)</f>
        <v>438519</v>
      </c>
      <c r="AH43" s="249">
        <f>SUM([3]Southwest!$IT$43:$IW$43)</f>
        <v>563957</v>
      </c>
      <c r="AI43" s="248">
        <f>(AG43-AH43)/AH43</f>
        <v>-0.22242475933448827</v>
      </c>
      <c r="AJ43" s="250">
        <f>AG43/$AG$60</f>
        <v>3.9233262281111812E-2</v>
      </c>
    </row>
    <row r="44" spans="1:36" ht="14.1" customHeight="1" x14ac:dyDescent="0.2">
      <c r="A44" s="246"/>
      <c r="B44" s="37"/>
      <c r="C44" s="247"/>
      <c r="D44" s="249"/>
      <c r="E44" s="250"/>
      <c r="F44" s="249"/>
      <c r="G44" s="249"/>
      <c r="H44" s="248"/>
      <c r="I44" s="250"/>
      <c r="J44" s="246"/>
      <c r="K44" s="37"/>
      <c r="L44" s="251"/>
      <c r="N44" s="63"/>
      <c r="O44" s="251"/>
      <c r="P44" s="2"/>
      <c r="Q44" s="3"/>
      <c r="R44" s="63"/>
      <c r="S44" s="246"/>
      <c r="T44" s="37"/>
      <c r="U44" s="251"/>
      <c r="V44" s="2"/>
      <c r="W44" s="63"/>
      <c r="X44" s="251"/>
      <c r="Y44" s="2"/>
      <c r="Z44" s="3"/>
      <c r="AA44" s="63"/>
      <c r="AB44" s="246"/>
      <c r="AC44" s="37"/>
      <c r="AD44" s="251"/>
      <c r="AE44" s="2"/>
      <c r="AF44" s="63"/>
      <c r="AG44" s="251"/>
      <c r="AH44" s="2"/>
      <c r="AI44" s="3"/>
      <c r="AJ44" s="63"/>
    </row>
    <row r="45" spans="1:36" ht="14.1" customHeight="1" x14ac:dyDescent="0.2">
      <c r="A45" s="246" t="s">
        <v>152</v>
      </c>
      <c r="B45" s="37"/>
      <c r="C45" s="247">
        <f>[3]Spirit!$JK$19</f>
        <v>178</v>
      </c>
      <c r="D45" s="249">
        <f>[3]Spirit!$IW$19</f>
        <v>168</v>
      </c>
      <c r="E45" s="250">
        <f>(C45-D45)/D45</f>
        <v>5.9523809523809521E-2</v>
      </c>
      <c r="F45" s="249">
        <f>SUM([3]Spirit!$JH$19:$JK$19)</f>
        <v>732</v>
      </c>
      <c r="G45" s="249">
        <f>SUM([3]Spirit!$IT$19:$IW$19)</f>
        <v>830</v>
      </c>
      <c r="H45" s="248">
        <f>(F45-G45)/G45</f>
        <v>-0.1180722891566265</v>
      </c>
      <c r="I45" s="250">
        <f>F45/$F$60</f>
        <v>7.3984980644639627E-3</v>
      </c>
      <c r="J45" s="246" t="s">
        <v>152</v>
      </c>
      <c r="K45" s="37"/>
      <c r="L45" s="247">
        <f>[3]Spirit!$JK$41</f>
        <v>21059</v>
      </c>
      <c r="M45" s="249">
        <f>[3]Spirit!$IW$41</f>
        <v>21921</v>
      </c>
      <c r="N45" s="250">
        <f>(L45-M45)/M45</f>
        <v>-3.9323023584690482E-2</v>
      </c>
      <c r="O45" s="247">
        <f>SUM([3]Spirit!$JH$41:$JK$41)</f>
        <v>100365</v>
      </c>
      <c r="P45" s="249">
        <f>SUM([3]Spirit!$IT$41:$IW$41)</f>
        <v>114047</v>
      </c>
      <c r="Q45" s="248">
        <f>(O45-P45)/P45</f>
        <v>-0.11996808333406403</v>
      </c>
      <c r="R45" s="250">
        <f>O45/$O$60</f>
        <v>9.2613303539098839E-3</v>
      </c>
      <c r="S45" s="246" t="s">
        <v>152</v>
      </c>
      <c r="T45" s="37"/>
      <c r="U45" s="247">
        <f>[3]Spirit!$JK$64</f>
        <v>0</v>
      </c>
      <c r="V45" s="249">
        <f>[3]Spirit!$IW$64</f>
        <v>0</v>
      </c>
      <c r="W45" s="250">
        <f>IFERROR((U45-V45)/V45,0)</f>
        <v>0</v>
      </c>
      <c r="X45" s="247">
        <f>SUM([3]Spirit!$JH$64:$JK$64)</f>
        <v>0</v>
      </c>
      <c r="Y45" s="249">
        <f>SUM([3]Spirit!$IT$64:$IW$64)</f>
        <v>0</v>
      </c>
      <c r="Z45" s="248">
        <f>IFERROR((X45-Y45)/Y45,0)</f>
        <v>0</v>
      </c>
      <c r="AA45" s="250">
        <f>X45/$X$60</f>
        <v>0</v>
      </c>
      <c r="AB45" s="246" t="s">
        <v>152</v>
      </c>
      <c r="AC45" s="37"/>
      <c r="AD45" s="247">
        <f>[3]Spirit!$JK$43</f>
        <v>21266</v>
      </c>
      <c r="AE45" s="249">
        <f>[3]Spirit!$IW$43</f>
        <v>22088</v>
      </c>
      <c r="AF45" s="250">
        <f>(AD45-AE45)/AE45</f>
        <v>-3.7214777254617894E-2</v>
      </c>
      <c r="AG45" s="247">
        <f>SUM([3]Spirit!$JH$43:$JK$43)</f>
        <v>101249</v>
      </c>
      <c r="AH45" s="249">
        <f>SUM([3]Spirit!$IT$43:$IW$43)</f>
        <v>114909</v>
      </c>
      <c r="AI45" s="248">
        <f>(AG45-AH45)/AH45</f>
        <v>-0.11887667632648444</v>
      </c>
      <c r="AJ45" s="250">
        <f>AG45/$AG$60</f>
        <v>9.0585096032333601E-3</v>
      </c>
    </row>
    <row r="46" spans="1:36" ht="14.1" customHeight="1" x14ac:dyDescent="0.2">
      <c r="A46" s="246"/>
      <c r="B46" s="37"/>
      <c r="C46" s="247"/>
      <c r="D46" s="249"/>
      <c r="E46" s="250"/>
      <c r="F46" s="249"/>
      <c r="G46" s="249"/>
      <c r="H46" s="248"/>
      <c r="I46" s="250"/>
      <c r="J46" s="246"/>
      <c r="K46" s="37"/>
      <c r="L46" s="251"/>
      <c r="N46" s="63"/>
      <c r="O46" s="251"/>
      <c r="P46" s="2"/>
      <c r="Q46" s="3"/>
      <c r="R46" s="63">
        <f>O46/$O$60</f>
        <v>0</v>
      </c>
      <c r="S46" s="246"/>
      <c r="T46" s="37"/>
      <c r="U46" s="251"/>
      <c r="V46" s="2"/>
      <c r="W46" s="63"/>
      <c r="X46" s="251"/>
      <c r="Y46" s="2"/>
      <c r="Z46" s="3"/>
      <c r="AA46" s="63"/>
      <c r="AB46" s="246"/>
      <c r="AC46" s="37"/>
      <c r="AD46" s="251"/>
      <c r="AE46" s="2"/>
      <c r="AF46" s="63"/>
      <c r="AG46" s="251"/>
      <c r="AH46" s="2"/>
      <c r="AI46" s="3"/>
      <c r="AJ46" s="63"/>
    </row>
    <row r="47" spans="1:36" ht="14.1" customHeight="1" x14ac:dyDescent="0.2">
      <c r="A47" s="246" t="s">
        <v>49</v>
      </c>
      <c r="B47" s="37"/>
      <c r="C47" s="247">
        <f>'[3]Sun Country'!$JK$19</f>
        <v>2280</v>
      </c>
      <c r="D47" s="249">
        <f>'[3]Sun Country'!$IW$19</f>
        <v>2521</v>
      </c>
      <c r="E47" s="250">
        <f>(C47-D47)/D47</f>
        <v>-9.5596985323284409E-2</v>
      </c>
      <c r="F47" s="249">
        <f>SUM('[3]Sun Country'!$JH$19:$JK$19)</f>
        <v>9508</v>
      </c>
      <c r="G47" s="249">
        <f>SUM('[3]Sun Country'!$IT$19:$IW$19)</f>
        <v>9497</v>
      </c>
      <c r="H47" s="248">
        <f>(F47-G47)/G47</f>
        <v>1.1582605033168369E-3</v>
      </c>
      <c r="I47" s="250">
        <f>F47/$F$60</f>
        <v>9.6099616935687651E-2</v>
      </c>
      <c r="J47" s="246" t="s">
        <v>49</v>
      </c>
      <c r="K47" s="37"/>
      <c r="L47" s="247">
        <f>'[3]Sun Country'!$JK$41</f>
        <v>320217</v>
      </c>
      <c r="M47" s="249">
        <f>'[3]Sun Country'!$IW$41</f>
        <v>360106</v>
      </c>
      <c r="N47" s="250">
        <f>(L47-M47)/M47</f>
        <v>-0.11077016211893165</v>
      </c>
      <c r="O47" s="247">
        <f>SUM('[3]Sun Country'!$JH$41:$JK$41)</f>
        <v>1337385</v>
      </c>
      <c r="P47" s="249">
        <f>SUM('[3]Sun Country'!$IT$41:$IW$41)</f>
        <v>1416759</v>
      </c>
      <c r="Q47" s="248">
        <f>(O47-P47)/P47</f>
        <v>-5.6025054367044781E-2</v>
      </c>
      <c r="R47" s="250">
        <f>O47/$O$60</f>
        <v>0.12340919937591562</v>
      </c>
      <c r="S47" s="246" t="s">
        <v>49</v>
      </c>
      <c r="T47" s="37"/>
      <c r="U47" s="247">
        <f>'[3]Sun Country'!$JK$64</f>
        <v>0</v>
      </c>
      <c r="V47" s="249">
        <f>'[3]Sun Country'!$IW$64</f>
        <v>0</v>
      </c>
      <c r="W47" s="250">
        <f>IFERROR((U47-V47)/V47,0)</f>
        <v>0</v>
      </c>
      <c r="X47" s="247">
        <f>SUM('[3]Sun Country'!$JH$64:$JK$64)</f>
        <v>0</v>
      </c>
      <c r="Y47" s="249">
        <f>SUM('[3]Sun Country'!$IT$64:$IW$64)</f>
        <v>0</v>
      </c>
      <c r="Z47" s="248">
        <f>IFERROR((X47-Y47)/Y47,0)</f>
        <v>0</v>
      </c>
      <c r="AA47" s="250">
        <f>X47/$X$60</f>
        <v>0</v>
      </c>
      <c r="AB47" s="246" t="s">
        <v>49</v>
      </c>
      <c r="AC47" s="37"/>
      <c r="AD47" s="247">
        <f>'[3]Sun Country'!$JK$43</f>
        <v>326462</v>
      </c>
      <c r="AE47" s="249">
        <f>'[3]Sun Country'!$IW$43</f>
        <v>364446</v>
      </c>
      <c r="AF47" s="250">
        <f>(AD47-AE47)/AE47</f>
        <v>-0.10422394538559897</v>
      </c>
      <c r="AG47" s="247">
        <f>SUM('[3]Sun Country'!$JH$43:$JK$43)</f>
        <v>1361879</v>
      </c>
      <c r="AH47" s="249">
        <f>SUM('[3]Sun Country'!$IT$43:$IW$43)</f>
        <v>1436813</v>
      </c>
      <c r="AI47" s="248">
        <f>(AG47-AH47)/AH47</f>
        <v>-5.215292456290415E-2</v>
      </c>
      <c r="AJ47" s="250">
        <f>AG47/$AG$60</f>
        <v>0.121844107101718</v>
      </c>
    </row>
    <row r="48" spans="1:36" ht="14.1" customHeight="1" x14ac:dyDescent="0.2">
      <c r="A48" s="246"/>
      <c r="B48" s="37"/>
      <c r="C48" s="247"/>
      <c r="D48" s="249"/>
      <c r="E48" s="250"/>
      <c r="F48" s="249"/>
      <c r="G48" s="249"/>
      <c r="H48" s="248"/>
      <c r="I48" s="250"/>
      <c r="J48" s="246"/>
      <c r="K48" s="37"/>
      <c r="L48" s="251"/>
      <c r="N48" s="63"/>
      <c r="O48" s="251"/>
      <c r="P48" s="2"/>
      <c r="Q48" s="3"/>
      <c r="R48" s="63"/>
      <c r="S48" s="246"/>
      <c r="T48" s="37"/>
      <c r="U48" s="251"/>
      <c r="V48" s="2"/>
      <c r="W48" s="63"/>
      <c r="X48" s="251"/>
      <c r="Y48" s="2"/>
      <c r="Z48" s="3"/>
      <c r="AA48" s="63"/>
      <c r="AB48" s="246"/>
      <c r="AC48" s="37"/>
      <c r="AD48" s="251"/>
      <c r="AE48" s="2"/>
      <c r="AF48" s="63"/>
      <c r="AG48" s="251"/>
      <c r="AH48" s="2"/>
      <c r="AI48" s="3"/>
      <c r="AJ48" s="63"/>
    </row>
    <row r="49" spans="1:36" ht="14.1" customHeight="1" x14ac:dyDescent="0.2">
      <c r="A49" s="246" t="s">
        <v>19</v>
      </c>
      <c r="B49" s="253"/>
      <c r="C49" s="247">
        <f>SUM(C50:C53)</f>
        <v>1137</v>
      </c>
      <c r="D49" s="249">
        <f>SUM(D50:D53)</f>
        <v>1178</v>
      </c>
      <c r="E49" s="250">
        <f t="shared" ref="E49:E53" si="38">(C49-D49)/D49</f>
        <v>-3.4804753820033958E-2</v>
      </c>
      <c r="F49" s="249">
        <f>SUM(F50:F53)</f>
        <v>4457</v>
      </c>
      <c r="G49" s="249">
        <f>SUM(G50:G53)</f>
        <v>4339</v>
      </c>
      <c r="H49" s="248">
        <f t="shared" ref="H49:H53" si="39">(F49-G49)/G49</f>
        <v>2.7195206268725514E-2</v>
      </c>
      <c r="I49" s="250">
        <f>F49/$F$60</f>
        <v>4.5047958843327705E-2</v>
      </c>
      <c r="J49" s="246" t="s">
        <v>19</v>
      </c>
      <c r="K49" s="253"/>
      <c r="L49" s="247">
        <f>SUM(L50:L53)</f>
        <v>110201</v>
      </c>
      <c r="M49" s="249">
        <f>SUM(M50:M53)</f>
        <v>122586</v>
      </c>
      <c r="N49" s="250">
        <f t="shared" ref="N49:N53" si="40">(L49-M49)/M49</f>
        <v>-0.10103111285138597</v>
      </c>
      <c r="O49" s="247">
        <f>SUM(O50:O53)</f>
        <v>437039</v>
      </c>
      <c r="P49" s="249">
        <f>SUM(P50:P53)</f>
        <v>478236</v>
      </c>
      <c r="Q49" s="248">
        <f t="shared" ref="Q49:Q53" si="41">(O49-P49)/P49</f>
        <v>-8.6143661288568818E-2</v>
      </c>
      <c r="R49" s="250">
        <f>O49/$O$60</f>
        <v>4.0328426807576562E-2</v>
      </c>
      <c r="S49" s="246" t="s">
        <v>19</v>
      </c>
      <c r="T49" s="253"/>
      <c r="U49" s="247">
        <f>SUM(U50:U53)</f>
        <v>66346</v>
      </c>
      <c r="V49" s="249">
        <f>SUM(V50:V53)</f>
        <v>115778</v>
      </c>
      <c r="W49" s="250">
        <f t="shared" ref="W49:W50" si="42">(U49-V49)/V49</f>
        <v>-0.4269550346352502</v>
      </c>
      <c r="X49" s="247">
        <f>SUM(X50:X53)</f>
        <v>144890</v>
      </c>
      <c r="Y49" s="249">
        <f>SUM(Y50:Y53)</f>
        <v>220617</v>
      </c>
      <c r="Z49" s="248">
        <f t="shared" ref="Z49:Z50" si="43">(X49-Y49)/Y49</f>
        <v>-0.34325097340640115</v>
      </c>
      <c r="AA49" s="250">
        <f>X49/$X$60</f>
        <v>5.2113538109888769E-3</v>
      </c>
      <c r="AB49" s="246" t="s">
        <v>19</v>
      </c>
      <c r="AC49" s="253"/>
      <c r="AD49" s="247">
        <f>SUM(AD50:AD53)</f>
        <v>115497</v>
      </c>
      <c r="AE49" s="249">
        <f>SUM(AE50:AE53)</f>
        <v>127714</v>
      </c>
      <c r="AF49" s="250">
        <f t="shared" ref="AF49:AF53" si="44">(AD49-AE49)/AE49</f>
        <v>-9.5659050691388567E-2</v>
      </c>
      <c r="AG49" s="247">
        <f>SUM(AG50:AG53)</f>
        <v>456670</v>
      </c>
      <c r="AH49" s="249">
        <f>SUM(AH50:AH53)</f>
        <v>496074</v>
      </c>
      <c r="AI49" s="248">
        <f t="shared" ref="AI49:AI53" si="45">(AG49-AH49)/AH49</f>
        <v>-7.9431697690263953E-2</v>
      </c>
      <c r="AJ49" s="250">
        <f>AG49/$AG$60</f>
        <v>4.0857189508129256E-2</v>
      </c>
    </row>
    <row r="50" spans="1:36" ht="14.1" customHeight="1" x14ac:dyDescent="0.2">
      <c r="A50" s="36"/>
      <c r="B50" s="306" t="s">
        <v>19</v>
      </c>
      <c r="C50" s="251">
        <f>[3]United!$JK$19</f>
        <v>753</v>
      </c>
      <c r="D50" s="2">
        <f>[3]United!$IW$19+[3]Continental!$IW$19</f>
        <v>838</v>
      </c>
      <c r="E50" s="63">
        <f t="shared" si="38"/>
        <v>-0.10143198090692124</v>
      </c>
      <c r="F50" s="2">
        <f>SUM([3]United!$JH$19:$JK$19)</f>
        <v>2834</v>
      </c>
      <c r="G50" s="2">
        <f>SUM([3]United!$IT$19:$IW$19)+SUM([3]Continental!$IT$19:$IW$19)</f>
        <v>3107</v>
      </c>
      <c r="H50" s="3">
        <f t="shared" si="39"/>
        <v>-8.7866108786610872E-2</v>
      </c>
      <c r="I50" s="63">
        <f>F50/$F$60</f>
        <v>2.8643911905315397E-2</v>
      </c>
      <c r="J50" s="36"/>
      <c r="K50" s="306" t="s">
        <v>19</v>
      </c>
      <c r="L50" s="251">
        <f>[3]United!$JK$41</f>
        <v>86525</v>
      </c>
      <c r="M50" s="2">
        <f>[3]United!$IW$41+[3]Continental!$IW$41</f>
        <v>101593</v>
      </c>
      <c r="N50" s="63">
        <f t="shared" si="40"/>
        <v>-0.14831730532615436</v>
      </c>
      <c r="O50" s="251">
        <f>SUM([3]United!$JH$41:$JK$41)</f>
        <v>338528</v>
      </c>
      <c r="P50" s="2">
        <f>SUM([3]United!$IT$41:$IW$41)+SUM([3]Continental!$IT$41:$IW$41)</f>
        <v>400715</v>
      </c>
      <c r="Q50" s="3">
        <f t="shared" si="41"/>
        <v>-0.1551900977003606</v>
      </c>
      <c r="R50" s="63">
        <f>O50/$O$60</f>
        <v>3.1238177074163358E-2</v>
      </c>
      <c r="S50" s="36"/>
      <c r="T50" s="306" t="s">
        <v>19</v>
      </c>
      <c r="U50" s="251">
        <f>[3]United!$JK$64</f>
        <v>66346</v>
      </c>
      <c r="V50" s="2">
        <f>[3]United!$IW$64+[3]Continental!$IW$64</f>
        <v>115778</v>
      </c>
      <c r="W50" s="63">
        <f t="shared" si="42"/>
        <v>-0.4269550346352502</v>
      </c>
      <c r="X50" s="251">
        <f>SUM([3]United!$JH$64:$JK$64)</f>
        <v>144890</v>
      </c>
      <c r="Y50" s="2">
        <f>SUM([3]United!$IT$64:$IW$64)+SUM([3]Continental!$IT$64:$IW$64)</f>
        <v>220617</v>
      </c>
      <c r="Z50" s="3">
        <f t="shared" si="43"/>
        <v>-0.34325097340640115</v>
      </c>
      <c r="AA50" s="63">
        <f>X50/$X$60</f>
        <v>5.2113538109888769E-3</v>
      </c>
      <c r="AB50" s="36"/>
      <c r="AC50" s="306" t="s">
        <v>19</v>
      </c>
      <c r="AD50" s="251">
        <f>[3]United!$JK$43</f>
        <v>90912</v>
      </c>
      <c r="AE50" s="2">
        <f>[3]United!$IW$43+[3]Continental!$IW$43</f>
        <v>105894</v>
      </c>
      <c r="AF50" s="63">
        <f t="shared" si="44"/>
        <v>-0.14148110374525469</v>
      </c>
      <c r="AG50" s="251">
        <f>SUM([3]United!$JH$43:$JK$43)</f>
        <v>354501</v>
      </c>
      <c r="AH50" s="2">
        <f>SUM([3]United!$IT$43:$IW$43)+SUM([3]Continental!$IT$43:$IW$43)</f>
        <v>415577</v>
      </c>
      <c r="AI50" s="3">
        <f t="shared" si="45"/>
        <v>-0.14696674743789959</v>
      </c>
      <c r="AJ50" s="63">
        <f>AG50/$AG$60</f>
        <v>3.1716369671362973E-2</v>
      </c>
    </row>
    <row r="51" spans="1:36" ht="14.1" customHeight="1" x14ac:dyDescent="0.2">
      <c r="A51" s="36"/>
      <c r="B51" s="37" t="s">
        <v>51</v>
      </c>
      <c r="C51" s="251">
        <f>[3]MESA_UA!$JK$19</f>
        <v>162</v>
      </c>
      <c r="D51" s="2">
        <f>[3]MESA_UA!$IW$19</f>
        <v>128</v>
      </c>
      <c r="E51" s="63">
        <f t="shared" si="38"/>
        <v>0.265625</v>
      </c>
      <c r="F51" s="2">
        <f>SUM([3]MESA_UA!$JH$19:$JK$19)</f>
        <v>556</v>
      </c>
      <c r="G51" s="2">
        <f>SUM([3]MESA_UA!$IT$19:$IW$19)</f>
        <v>546</v>
      </c>
      <c r="H51" s="3">
        <f>(F51-G51)/G51</f>
        <v>1.8315018315018316E-2</v>
      </c>
      <c r="I51" s="63">
        <f>F51/$F$60</f>
        <v>5.6196242128988567E-3</v>
      </c>
      <c r="J51" s="36"/>
      <c r="K51" s="37" t="s">
        <v>51</v>
      </c>
      <c r="L51" s="251">
        <f>[3]MESA_UA!$JK$41</f>
        <v>10116</v>
      </c>
      <c r="M51" s="2">
        <f>[3]MESA_UA!$IW$41</f>
        <v>7446</v>
      </c>
      <c r="N51" s="63">
        <f t="shared" si="40"/>
        <v>0.35858178887993553</v>
      </c>
      <c r="O51" s="251">
        <f>SUM([3]MESA_UA!$JH$41:$JK$41)</f>
        <v>34251</v>
      </c>
      <c r="P51" s="2">
        <f>SUM([3]MESA_UA!$IT$41:$IW$41)</f>
        <v>34151</v>
      </c>
      <c r="Q51" s="3">
        <f t="shared" si="41"/>
        <v>2.9281719422564493E-3</v>
      </c>
      <c r="R51" s="63">
        <f>O51/$O$60</f>
        <v>3.1605622074604438E-3</v>
      </c>
      <c r="S51" s="36"/>
      <c r="T51" s="37" t="s">
        <v>51</v>
      </c>
      <c r="U51" s="251">
        <f>[3]MESA_UA!$JK$64</f>
        <v>0</v>
      </c>
      <c r="V51" s="2">
        <f>[3]MESA_UA!$IW$64</f>
        <v>0</v>
      </c>
      <c r="W51" s="63">
        <f>IFERROR((U51-V51)/V51,0)</f>
        <v>0</v>
      </c>
      <c r="X51" s="251">
        <f>SUM([3]MESA_UA!$JH$64:$JK$64)</f>
        <v>0</v>
      </c>
      <c r="Y51" s="2">
        <f>SUM([3]MESA_UA!$IT$64:$IW$64)</f>
        <v>0</v>
      </c>
      <c r="Z51" s="3">
        <f t="shared" ref="Z51:Z53" si="46">IFERROR((X51-Y51)/Y51,0)</f>
        <v>0</v>
      </c>
      <c r="AA51" s="63">
        <f>X51/$X$60</f>
        <v>0</v>
      </c>
      <c r="AB51" s="36"/>
      <c r="AC51" s="37" t="s">
        <v>51</v>
      </c>
      <c r="AD51" s="251">
        <f>[3]MESA_UA!$JK$43</f>
        <v>10506</v>
      </c>
      <c r="AE51" s="2">
        <f>[3]MESA_UA!$IW$43</f>
        <v>7753</v>
      </c>
      <c r="AF51" s="63">
        <f t="shared" si="44"/>
        <v>0.35508835289565327</v>
      </c>
      <c r="AG51" s="251">
        <f>SUM([3]MESA_UA!$JH$43:$JK$43)</f>
        <v>35470</v>
      </c>
      <c r="AH51" s="2">
        <f>SUM([3]MESA_UA!$IT$43:$IW$43)</f>
        <v>35390</v>
      </c>
      <c r="AI51" s="3">
        <f t="shared" si="45"/>
        <v>2.2605255721955355E-3</v>
      </c>
      <c r="AJ51" s="63">
        <f>AG51/$AG$60</f>
        <v>3.1734173732746724E-3</v>
      </c>
    </row>
    <row r="52" spans="1:36" ht="14.1" customHeight="1" x14ac:dyDescent="0.2">
      <c r="A52" s="36"/>
      <c r="B52" s="306" t="s">
        <v>52</v>
      </c>
      <c r="C52" s="251">
        <f>[3]Republic_UA!$JK$19</f>
        <v>120</v>
      </c>
      <c r="D52" s="2">
        <f>[3]Republic_UA!$IW$19</f>
        <v>82</v>
      </c>
      <c r="E52" s="63">
        <f t="shared" si="38"/>
        <v>0.46341463414634149</v>
      </c>
      <c r="F52" s="2">
        <f>SUM([3]Republic_UA!$JH$19:$JK$19)</f>
        <v>736</v>
      </c>
      <c r="G52" s="2">
        <f>SUM([3]Republic_UA!$IT$19:$IW$19)</f>
        <v>314</v>
      </c>
      <c r="H52" s="3">
        <f t="shared" ref="H52" si="47">(F52-G52)/G52</f>
        <v>1.3439490445859872</v>
      </c>
      <c r="I52" s="63">
        <f>F52/$F$60</f>
        <v>7.4389270156358968E-3</v>
      </c>
      <c r="J52" s="36"/>
      <c r="K52" s="306" t="s">
        <v>52</v>
      </c>
      <c r="L52" s="251">
        <f>[3]Republic_UA!$JK$41</f>
        <v>7673</v>
      </c>
      <c r="M52" s="2">
        <f>[3]Republic_UA!$IW$41</f>
        <v>5531</v>
      </c>
      <c r="N52" s="63">
        <f t="shared" si="40"/>
        <v>0.38727174109564272</v>
      </c>
      <c r="O52" s="251">
        <f>SUM([3]Republic_UA!$JH$41:$JK$41)</f>
        <v>45504</v>
      </c>
      <c r="P52" s="2">
        <f>SUM([3]Republic_UA!$IT$41:$IW$41)</f>
        <v>20253</v>
      </c>
      <c r="Q52" s="3">
        <f t="shared" si="41"/>
        <v>1.2467782550733224</v>
      </c>
      <c r="R52" s="63">
        <f>O52/$O$60</f>
        <v>4.1989495982096879E-3</v>
      </c>
      <c r="S52" s="36"/>
      <c r="T52" s="306" t="s">
        <v>52</v>
      </c>
      <c r="U52" s="251">
        <f>[3]Republic_UA!$JK$64</f>
        <v>0</v>
      </c>
      <c r="V52" s="2">
        <f>[3]Republic_UA!$IW$64</f>
        <v>0</v>
      </c>
      <c r="W52" s="63">
        <f>IFERROR((U52-V52)/V52,0)</f>
        <v>0</v>
      </c>
      <c r="X52" s="251">
        <f>SUM([3]Republic_UA!$JH$64:$JK$64)</f>
        <v>0</v>
      </c>
      <c r="Y52" s="2">
        <f>SUM([3]Republic_UA!$IT$64:$IW$64)</f>
        <v>0</v>
      </c>
      <c r="Z52" s="3">
        <f t="shared" si="46"/>
        <v>0</v>
      </c>
      <c r="AA52" s="63">
        <f>X52/$X$60</f>
        <v>0</v>
      </c>
      <c r="AB52" s="36"/>
      <c r="AC52" s="306" t="s">
        <v>52</v>
      </c>
      <c r="AD52" s="251">
        <f>[3]Republic_UA!$JK$43</f>
        <v>7947</v>
      </c>
      <c r="AE52" s="2">
        <f>[3]Republic_UA!$IW$43</f>
        <v>5711</v>
      </c>
      <c r="AF52" s="63">
        <f t="shared" si="44"/>
        <v>0.39152512694799507</v>
      </c>
      <c r="AG52" s="251">
        <f>SUM([3]Republic_UA!$JH$43:$JK$43)</f>
        <v>47061</v>
      </c>
      <c r="AH52" s="2">
        <f>SUM([3]Republic_UA!$IT$43:$IW$43)</f>
        <v>20954</v>
      </c>
      <c r="AI52" s="3">
        <f t="shared" si="45"/>
        <v>1.2459196334828673</v>
      </c>
      <c r="AJ52" s="63">
        <f>AG52/$AG$60</f>
        <v>4.2104368481443296E-3</v>
      </c>
    </row>
    <row r="53" spans="1:36" ht="14.1" customHeight="1" x14ac:dyDescent="0.2">
      <c r="A53" s="36"/>
      <c r="B53" s="37" t="s">
        <v>97</v>
      </c>
      <c r="C53" s="251">
        <f>'[3]Sky West_UA'!$JK$19</f>
        <v>102</v>
      </c>
      <c r="D53" s="2">
        <f>'[3]Sky West_UA'!$IW$19+'[3]Sky West_CO'!$IW$19</f>
        <v>130</v>
      </c>
      <c r="E53" s="63">
        <f t="shared" si="38"/>
        <v>-0.2153846153846154</v>
      </c>
      <c r="F53" s="2">
        <f>SUM('[3]Sky West_UA'!$JH$19:$JK$19)</f>
        <v>331</v>
      </c>
      <c r="G53" s="2">
        <f>SUM('[3]Sky West_UA'!$IT$19:$IW$19)+SUM('[3]Sky West_CO'!$IT$19:$IW$19)</f>
        <v>372</v>
      </c>
      <c r="H53" s="3">
        <f t="shared" si="39"/>
        <v>-0.11021505376344086</v>
      </c>
      <c r="I53" s="63">
        <f>F53/$F$60</f>
        <v>3.345495709477557E-3</v>
      </c>
      <c r="J53" s="36"/>
      <c r="K53" s="37" t="s">
        <v>97</v>
      </c>
      <c r="L53" s="251">
        <f>'[3]Sky West_UA'!$JK$41</f>
        <v>5887</v>
      </c>
      <c r="M53" s="2">
        <f>'[3]Sky West_UA'!$IW$41+'[3]Sky West_CO'!$IW$41</f>
        <v>8016</v>
      </c>
      <c r="N53" s="63">
        <f t="shared" si="40"/>
        <v>-0.26559381237524948</v>
      </c>
      <c r="O53" s="251">
        <f>SUM('[3]Sky West_UA'!$JH$41:$JK$41)</f>
        <v>18756</v>
      </c>
      <c r="P53" s="2">
        <f>SUM('[3]Sky West_UA'!$IT$41:$IW$41)+SUM('[3]Sky West_CO'!$IT$41:$IW$41)</f>
        <v>23117</v>
      </c>
      <c r="Q53" s="3">
        <f t="shared" si="41"/>
        <v>-0.18864904615650821</v>
      </c>
      <c r="R53" s="63">
        <f>O53/$O$60</f>
        <v>1.7307379277430757E-3</v>
      </c>
      <c r="S53" s="36"/>
      <c r="T53" s="37" t="s">
        <v>97</v>
      </c>
      <c r="U53" s="251">
        <f>'[3]Sky West_UA'!$JK$64</f>
        <v>0</v>
      </c>
      <c r="V53" s="2">
        <f>'[3]Sky West_UA'!$IW$64+'[3]Sky West_CO'!$IW$64</f>
        <v>0</v>
      </c>
      <c r="W53" s="63">
        <f>IFERROR((U53-V53)/V53,0)</f>
        <v>0</v>
      </c>
      <c r="X53" s="251">
        <f>SUM('[3]Sky West_UA'!$JH$64:$JK$64)</f>
        <v>0</v>
      </c>
      <c r="Y53" s="2">
        <f>SUM('[3]Sky West_UA'!$IT$64:$IW$64)+SUM('[3]Sky West_CO'!$IT$64:$IW$64)</f>
        <v>0</v>
      </c>
      <c r="Z53" s="3">
        <f t="shared" si="46"/>
        <v>0</v>
      </c>
      <c r="AA53" s="63">
        <f>X53/$X$60</f>
        <v>0</v>
      </c>
      <c r="AB53" s="36"/>
      <c r="AC53" s="37" t="s">
        <v>97</v>
      </c>
      <c r="AD53" s="251">
        <f>'[3]Sky West_UA'!$JK$43</f>
        <v>6132</v>
      </c>
      <c r="AE53" s="2">
        <f>'[3]Sky West_UA'!$IW$43+'[3]Sky West_CO'!$IW$43</f>
        <v>8356</v>
      </c>
      <c r="AF53" s="63">
        <f t="shared" si="44"/>
        <v>-0.26615605552896121</v>
      </c>
      <c r="AG53" s="251">
        <f>SUM('[3]Sky West_UA'!$JH$43:$JK$43)</f>
        <v>19638</v>
      </c>
      <c r="AH53" s="2">
        <f>SUM('[3]Sky West_UA'!$IT$43:$IW$43)+SUM('[3]Sky West_CO'!$IT$43:$IW$43)</f>
        <v>24153</v>
      </c>
      <c r="AI53" s="3">
        <f t="shared" si="45"/>
        <v>-0.1869333002111539</v>
      </c>
      <c r="AJ53" s="63">
        <f>AG53/$AG$60</f>
        <v>1.7569656153472799E-3</v>
      </c>
    </row>
    <row r="54" spans="1:36" ht="14.1" customHeight="1" x14ac:dyDescent="0.2">
      <c r="A54" s="36"/>
      <c r="B54" s="254"/>
      <c r="C54" s="251"/>
      <c r="E54" s="63"/>
      <c r="F54" s="2"/>
      <c r="I54" s="63"/>
      <c r="J54" s="36"/>
      <c r="K54" s="254"/>
      <c r="L54" s="251"/>
      <c r="N54" s="63"/>
      <c r="O54" s="251"/>
      <c r="P54" s="2"/>
      <c r="Q54" s="3"/>
      <c r="R54" s="63"/>
      <c r="S54" s="36"/>
      <c r="T54" s="254"/>
      <c r="U54" s="251"/>
      <c r="V54" s="2"/>
      <c r="W54" s="63"/>
      <c r="X54" s="251"/>
      <c r="Y54" s="2"/>
      <c r="Z54" s="3"/>
      <c r="AA54" s="63"/>
      <c r="AB54" s="36"/>
      <c r="AC54" s="254"/>
      <c r="AD54" s="251"/>
      <c r="AE54" s="2"/>
      <c r="AF54" s="63"/>
      <c r="AG54" s="251"/>
      <c r="AH54" s="2"/>
      <c r="AI54" s="3"/>
      <c r="AJ54" s="63"/>
    </row>
    <row r="55" spans="1:36" ht="14.1" customHeight="1" x14ac:dyDescent="0.2">
      <c r="A55" s="246" t="s">
        <v>213</v>
      </c>
      <c r="B55" s="254"/>
      <c r="C55" s="247">
        <f>[3]WestJet!$JK$19</f>
        <v>136</v>
      </c>
      <c r="D55" s="249">
        <f>[3]WestJet!$IW$19</f>
        <v>84</v>
      </c>
      <c r="E55" s="250">
        <f>(C55-D55)/D55</f>
        <v>0.61904761904761907</v>
      </c>
      <c r="F55" s="249">
        <f>SUM([3]WestJet!$JH$19:$JK$19)</f>
        <v>506</v>
      </c>
      <c r="G55" s="249">
        <f>SUM([3]WestJet!$IT$19:$IW$19)</f>
        <v>290</v>
      </c>
      <c r="H55" s="248">
        <f>(F55-G55)/G55</f>
        <v>0.7448275862068966</v>
      </c>
      <c r="I55" s="250">
        <f>F55/$F$60</f>
        <v>5.1142623232496793E-3</v>
      </c>
      <c r="J55" s="246" t="s">
        <v>213</v>
      </c>
      <c r="K55" s="37"/>
      <c r="L55" s="247">
        <f>[3]WestJet!$JK$41</f>
        <v>11659</v>
      </c>
      <c r="M55" s="249">
        <f>[3]WestJet!$IW$41</f>
        <v>9229</v>
      </c>
      <c r="N55" s="250">
        <f>(L55-M55)/M55</f>
        <v>0.26330046592263517</v>
      </c>
      <c r="O55" s="247">
        <f>SUM([3]WestJet!$JH$41:$JK$41)</f>
        <v>41683</v>
      </c>
      <c r="P55" s="249">
        <f>SUM([3]WestJet!$IT$41:$IW$41)</f>
        <v>31656</v>
      </c>
      <c r="Q55" s="248">
        <f>(O55-P55)/P55</f>
        <v>0.31674879959565327</v>
      </c>
      <c r="R55" s="250">
        <f>O55/$O$60</f>
        <v>3.846361113356506E-3</v>
      </c>
      <c r="S55" s="246" t="s">
        <v>213</v>
      </c>
      <c r="T55" s="37"/>
      <c r="U55" s="247">
        <f>[3]WestJet!$JK$64</f>
        <v>0</v>
      </c>
      <c r="V55" s="249">
        <f>[3]WestJet!$IW$64</f>
        <v>0</v>
      </c>
      <c r="W55" s="250">
        <f>IFERROR((U55-V55)/V55,0)</f>
        <v>0</v>
      </c>
      <c r="X55" s="247">
        <f>SUM([3]WestJet!$JH$64:$JK$64)</f>
        <v>0</v>
      </c>
      <c r="Y55" s="249">
        <f>SUM([3]WestJet!$IT$64:$IW$64)</f>
        <v>0</v>
      </c>
      <c r="Z55" s="248">
        <f>IFERROR((X55-Y55)/Y55,0)</f>
        <v>0</v>
      </c>
      <c r="AA55" s="250">
        <f>X55/$X$60</f>
        <v>0</v>
      </c>
      <c r="AB55" s="246" t="s">
        <v>213</v>
      </c>
      <c r="AC55" s="37"/>
      <c r="AD55" s="247">
        <f>[3]WestJet!$JK$43</f>
        <v>11668</v>
      </c>
      <c r="AE55" s="249">
        <f>[3]WestJet!$IW$43</f>
        <v>9232</v>
      </c>
      <c r="AF55" s="250">
        <f>(AD55-AE55)/AE55</f>
        <v>0.26386481802426343</v>
      </c>
      <c r="AG55" s="247">
        <f>SUM([3]WestJet!$JH$43:$JK$43)</f>
        <v>41706</v>
      </c>
      <c r="AH55" s="249">
        <f>SUM([3]WestJet!$IT$43:$IW$43)</f>
        <v>31664</v>
      </c>
      <c r="AI55" s="248">
        <f>(AG55-AH55)/AH55</f>
        <v>0.31714249621020718</v>
      </c>
      <c r="AJ55" s="250">
        <f>AG55/$AG$60</f>
        <v>3.7313376083956437E-3</v>
      </c>
    </row>
    <row r="56" spans="1:36" ht="14.1" customHeight="1" thickBot="1" x14ac:dyDescent="0.25">
      <c r="A56" s="308"/>
      <c r="B56" s="309"/>
      <c r="C56" s="255"/>
      <c r="D56" s="257"/>
      <c r="E56" s="258"/>
      <c r="F56" s="257"/>
      <c r="G56" s="257"/>
      <c r="H56" s="256"/>
      <c r="I56" s="258"/>
      <c r="J56" s="308"/>
      <c r="K56" s="309"/>
      <c r="L56" s="255"/>
      <c r="M56" s="257"/>
      <c r="N56" s="258"/>
      <c r="O56" s="255"/>
      <c r="P56" s="257"/>
      <c r="Q56" s="256"/>
      <c r="R56" s="330"/>
      <c r="S56" s="308"/>
      <c r="T56" s="309"/>
      <c r="U56" s="255"/>
      <c r="V56" s="257"/>
      <c r="W56" s="258"/>
      <c r="X56" s="255"/>
      <c r="Y56" s="257"/>
      <c r="Z56" s="256"/>
      <c r="AA56" s="330"/>
      <c r="AB56" s="308"/>
      <c r="AC56" s="309"/>
      <c r="AD56" s="255"/>
      <c r="AE56" s="257"/>
      <c r="AF56" s="258"/>
      <c r="AG56" s="255"/>
      <c r="AH56" s="257"/>
      <c r="AI56" s="256"/>
      <c r="AJ56" s="330"/>
    </row>
    <row r="57" spans="1:36" s="162" customFormat="1" ht="14.1" customHeight="1" thickBot="1" x14ac:dyDescent="0.25">
      <c r="B57" s="161"/>
      <c r="C57" s="249"/>
      <c r="D57" s="249"/>
      <c r="E57" s="248"/>
      <c r="F57" s="307"/>
      <c r="G57" s="249"/>
      <c r="H57" s="248"/>
      <c r="I57" s="248"/>
      <c r="J57" s="259"/>
      <c r="K57" s="161"/>
      <c r="L57" s="260"/>
      <c r="M57" s="261"/>
      <c r="N57" s="259"/>
      <c r="S57" s="259"/>
      <c r="T57" s="161"/>
      <c r="U57" s="260"/>
      <c r="V57" s="261"/>
      <c r="W57" s="259"/>
      <c r="AB57" s="259"/>
      <c r="AC57" s="161"/>
      <c r="AD57" s="260"/>
      <c r="AE57" s="261"/>
      <c r="AF57" s="259"/>
    </row>
    <row r="58" spans="1:36" ht="14.1" customHeight="1" x14ac:dyDescent="0.2">
      <c r="B58" s="262" t="s">
        <v>131</v>
      </c>
      <c r="C58" s="315">
        <f>+C60-C59</f>
        <v>17910</v>
      </c>
      <c r="D58" s="315">
        <f>+D60-D59</f>
        <v>18544</v>
      </c>
      <c r="E58" s="316">
        <f>(C58-D58)/D58</f>
        <v>-3.4188955996548746E-2</v>
      </c>
      <c r="F58" s="315">
        <f>+F60-F59</f>
        <v>68342</v>
      </c>
      <c r="G58" s="453">
        <f>+G60-G59</f>
        <v>70099</v>
      </c>
      <c r="H58" s="316">
        <f>(F58-G58)/G58</f>
        <v>-2.5064551562789767E-2</v>
      </c>
      <c r="I58" s="341">
        <f>F58/$F$60</f>
        <v>0.69074884524808211</v>
      </c>
      <c r="K58" s="262" t="s">
        <v>131</v>
      </c>
      <c r="L58" s="315">
        <f>+L60-L59</f>
        <v>2381626</v>
      </c>
      <c r="M58" s="315">
        <f>+M60-M59</f>
        <v>2525111</v>
      </c>
      <c r="N58" s="316">
        <f>(L58-M58)/M58</f>
        <v>-5.6823244601920467E-2</v>
      </c>
      <c r="O58" s="315">
        <f>+O60-O59</f>
        <v>9176471</v>
      </c>
      <c r="P58" s="453">
        <f>+P60-P59</f>
        <v>9583408</v>
      </c>
      <c r="Q58" s="339">
        <f>(O58-P58)/P58</f>
        <v>-4.2462660464836724E-2</v>
      </c>
      <c r="R58" s="386">
        <f>+O58/O60</f>
        <v>0.84677257424474461</v>
      </c>
      <c r="S58" s="3"/>
      <c r="T58" s="262" t="s">
        <v>131</v>
      </c>
      <c r="U58" s="315">
        <f>+U60-U59</f>
        <v>8328430</v>
      </c>
      <c r="V58" s="315">
        <f>+V60-V59</f>
        <v>6267163</v>
      </c>
      <c r="W58" s="316">
        <f>(U58-V58)/V58</f>
        <v>0.32889953556338009</v>
      </c>
      <c r="X58" s="315">
        <f>+X60-X59</f>
        <v>27725563</v>
      </c>
      <c r="Y58" s="453">
        <f>+Y60-Y59</f>
        <v>26669377</v>
      </c>
      <c r="Z58" s="339">
        <f>(X58-Y58)/Y58</f>
        <v>3.9602949855184096E-2</v>
      </c>
      <c r="AA58" s="386">
        <f>+X58/X60</f>
        <v>0.99722353786915718</v>
      </c>
      <c r="AB58" s="3"/>
      <c r="AC58" s="262" t="s">
        <v>131</v>
      </c>
      <c r="AD58" s="315">
        <f>+AD60-AD59</f>
        <v>2458980</v>
      </c>
      <c r="AE58" s="315">
        <f>+AE60-AE59</f>
        <v>2595967</v>
      </c>
      <c r="AF58" s="341">
        <f>(AD58-AE58)/AE58</f>
        <v>-5.276916077900836E-2</v>
      </c>
      <c r="AG58" s="315">
        <f>+AG60-AG59</f>
        <v>9462691</v>
      </c>
      <c r="AH58" s="315">
        <f>+AH60-AH59</f>
        <v>9861299</v>
      </c>
      <c r="AI58" s="341">
        <f>(AG58-AH58)/AH58</f>
        <v>-4.0421449547366935E-2</v>
      </c>
      <c r="AJ58" s="386">
        <f>+AG58/AG60</f>
        <v>0.84660468049985571</v>
      </c>
    </row>
    <row r="59" spans="1:36" ht="14.1" customHeight="1" x14ac:dyDescent="0.2">
      <c r="B59" s="161" t="s">
        <v>132</v>
      </c>
      <c r="C59" s="317">
        <f>+C31+C30+C18+C53+C51+C22+C19+C52+C20+C21+C5</f>
        <v>7745</v>
      </c>
      <c r="D59" s="317">
        <f>+D31+D30+D18+D53+D51+D22+D19+D52+D20+D21+D5</f>
        <v>6797</v>
      </c>
      <c r="E59" s="263">
        <f>(C59-D59)/D59</f>
        <v>0.139473297042813</v>
      </c>
      <c r="F59" s="317">
        <f>+F31+F30+F18+F53+F51+F22+F19+F52+F20+F21+F5</f>
        <v>30597</v>
      </c>
      <c r="G59" s="454">
        <f>+G31+G30+G18+G53+G51+G22+G19+G52+G20+G21+G5</f>
        <v>26143</v>
      </c>
      <c r="H59" s="263">
        <f>(F59-G59)/G59</f>
        <v>0.17037065371227481</v>
      </c>
      <c r="I59" s="342">
        <f>F59/$F$60</f>
        <v>0.30925115475191783</v>
      </c>
      <c r="K59" s="161" t="s">
        <v>132</v>
      </c>
      <c r="L59" s="317">
        <f>+L31+L30+L18+L53+L51+L22+L19+L52+L20+L21+L5</f>
        <v>433276</v>
      </c>
      <c r="M59" s="317">
        <f>+M31+M30+M18+M53+M51+M22+M19+M52+M20+M21+M5</f>
        <v>394922</v>
      </c>
      <c r="N59" s="263">
        <f>(L59-M59)/M59</f>
        <v>9.7117911891462114E-2</v>
      </c>
      <c r="O59" s="317">
        <f>+O31+O30+O18+O53+O51+O22+O19+O52+O20+O21+O5</f>
        <v>1660525</v>
      </c>
      <c r="P59" s="454">
        <f>+P31+P30+P18+P53+P51+P22+P19+P52+P20+P21+P5</f>
        <v>1468141</v>
      </c>
      <c r="Q59" s="338">
        <f>(O59-P59)/P59</f>
        <v>0.13103918492842309</v>
      </c>
      <c r="R59" s="387">
        <f>+O59/O60</f>
        <v>0.15322742575525541</v>
      </c>
      <c r="S59" s="3"/>
      <c r="T59" s="161" t="s">
        <v>132</v>
      </c>
      <c r="U59" s="317">
        <f>+U31+U30+U18+U53+U51+U22+U19+U52+U20+U21+U5</f>
        <v>14548.6</v>
      </c>
      <c r="V59" s="317">
        <f>+V31+V30+V18+V53+V51+V22+V19+V52+V20+V21+V5</f>
        <v>34909.300000000003</v>
      </c>
      <c r="W59" s="263">
        <f>(U59-V59)/V59</f>
        <v>-0.58324572535112429</v>
      </c>
      <c r="X59" s="317">
        <f>+X31+X30+X18+X53+X51+X22+X19+X52+X20+X21+X5</f>
        <v>77193.3</v>
      </c>
      <c r="Y59" s="454">
        <f>+Y31+Y30+Y18+Y53+Y51+Y22+Y19+Y52+Y20+Y21+Y5</f>
        <v>93930.8</v>
      </c>
      <c r="Z59" s="338">
        <f>(X59-Y59)/Y59</f>
        <v>-0.17818968857925196</v>
      </c>
      <c r="AA59" s="387">
        <f>+X59/X60</f>
        <v>2.776462130842761E-3</v>
      </c>
      <c r="AB59" s="3"/>
      <c r="AC59" s="161" t="s">
        <v>132</v>
      </c>
      <c r="AD59" s="317">
        <f>+AD31+AD30+AD18+AD53+AD51+AD22+AD19+AD52+AD20+AD21+AD5</f>
        <v>447072</v>
      </c>
      <c r="AE59" s="317">
        <f>+AE31+AE30+AE18+AE53+AE51+AE22+AE19+AE52+AE20+AE21+AE5</f>
        <v>407822</v>
      </c>
      <c r="AF59" s="342">
        <f>(AD59-AE59)/AE59</f>
        <v>9.6242968746168667E-2</v>
      </c>
      <c r="AG59" s="317">
        <f>+AG31+AG30+AG18+AG53+AG51+AG22+AG19+AG52+AG20+AG21+AG5</f>
        <v>1714534</v>
      </c>
      <c r="AH59" s="317">
        <f>+AH31+AH30+AH18+AH53+AH51+AH22+AH19+AH52+AH20+AH21+AH5</f>
        <v>1517590</v>
      </c>
      <c r="AI59" s="342">
        <f>(AG59-AH59)/AH59</f>
        <v>0.12977418143240269</v>
      </c>
      <c r="AJ59" s="387">
        <f>+AG59/AG60</f>
        <v>0.15339531950014426</v>
      </c>
    </row>
    <row r="60" spans="1:36" ht="14.1" customHeight="1" thickBot="1" x14ac:dyDescent="0.25">
      <c r="B60" s="161" t="s">
        <v>133</v>
      </c>
      <c r="C60" s="318">
        <f>C49+C47+C43+C35+C33+C28+C16+C13+C4+C45+C24+C39+C7+C37+C26+C11+C55+C9+C41</f>
        <v>25655</v>
      </c>
      <c r="D60" s="448">
        <f>D49+D47+D43+D35+D33+D28+D16+D13+D4+D45+D24+D39+D7+D37+D26+D11+D55+D9+D41</f>
        <v>25341</v>
      </c>
      <c r="E60" s="319">
        <f>(C60-D60)/D60</f>
        <v>1.2390986938163451E-2</v>
      </c>
      <c r="F60" s="318">
        <f>F49+F47+F43+F35+F33+F28+F16+F13+F4+F45+F24+F39+F7+F37+F26+F11+F55+F9+F41</f>
        <v>98939</v>
      </c>
      <c r="G60" s="448">
        <f>G49+G47+G43+G35+G33+G28+G16+G13+G4+G45+G24+G39+G7+G37+G26+G11+G55+G9+G41</f>
        <v>96242</v>
      </c>
      <c r="H60" s="319">
        <f>(F60-G60)/G60</f>
        <v>2.8023108414205855E-2</v>
      </c>
      <c r="I60" s="343">
        <f>+H60/H60</f>
        <v>1</v>
      </c>
      <c r="K60" s="161" t="s">
        <v>133</v>
      </c>
      <c r="L60" s="318">
        <f>L49+L47+L43+L35+L33+L28+L16+L13+L4+L45+L24+L39+L7+L37+L26+L11+L55+L9+L41</f>
        <v>2814902</v>
      </c>
      <c r="M60" s="448">
        <f>M49+M47+M43+M35+M33+M28+M16+M13+M4+M45+M24+M39+M7+M37+M26+M11+M55+M9+M41</f>
        <v>2920033</v>
      </c>
      <c r="N60" s="319">
        <f>(L60-M60)/M60</f>
        <v>-3.6003360235997331E-2</v>
      </c>
      <c r="O60" s="318">
        <f>O49+O47+O43+O35+O33+O28+O16+O13+O4+O45+O24+O39+O7+O37+O26+O11+O55+O9+O41</f>
        <v>10836996</v>
      </c>
      <c r="P60" s="448">
        <f>P49+P47+P43+P35+P33+P28+P16+P13+P4+P45+P24+P39+P7+P37+P26+P11+P55+P9+P41</f>
        <v>11051549</v>
      </c>
      <c r="Q60" s="385">
        <f>(O60-P60)/P60</f>
        <v>-1.9413839634606876E-2</v>
      </c>
      <c r="R60" s="343">
        <f>+Q60/Q60</f>
        <v>1</v>
      </c>
      <c r="S60" s="3"/>
      <c r="T60" s="161" t="s">
        <v>133</v>
      </c>
      <c r="U60" s="318">
        <f>U49+U47+U43+U35+U33+U28+U16+U13+U4+U45+U24+U39+U7+U37+U26+U11+U55+U9+U41</f>
        <v>8342978.5999999996</v>
      </c>
      <c r="V60" s="448">
        <f>V49+V47+V43+V35+V33+V28+V16+V13+V4+V45+V24+V39+V7+V37+V26+V11+V55+V9+V41</f>
        <v>6302072.2999999998</v>
      </c>
      <c r="W60" s="319">
        <f>(U60-V60)/V60</f>
        <v>0.32384685589849549</v>
      </c>
      <c r="X60" s="318">
        <f>X49+X47+X43+X35+X33+X28+X16+X13+X4+X45+X24+X39+X7+X37+X26+X11+X55+X9+X41</f>
        <v>27802756.300000001</v>
      </c>
      <c r="Y60" s="448">
        <f>Y49+Y47+Y43+Y35+Y33+Y28+Y16+Y13+Y4+Y45+Y24+Y39+Y7+Y37+Y26+Y11+Y55+Y9+Y41</f>
        <v>26763307.800000001</v>
      </c>
      <c r="Z60" s="385">
        <f>(X60-Y60)/Y60</f>
        <v>3.8838566135685218E-2</v>
      </c>
      <c r="AA60" s="343">
        <f>+Z60/Z60</f>
        <v>1</v>
      </c>
      <c r="AB60" s="3"/>
      <c r="AC60" s="161" t="s">
        <v>133</v>
      </c>
      <c r="AD60" s="318">
        <f>AD49+AD47+AD43+AD35+AD33+AD28+AD16+AD13+AD4+AD45+AD24+AD39+AD7+AD37+AD26+AD11+AD55+AD9+AD41</f>
        <v>2906052</v>
      </c>
      <c r="AE60" s="448">
        <f>AE49+AE47+AE43+AE35+AE33+AE28+AE16+AE13+AE4+AE45+AE24+AE39+AE7+AE37+AE26+AE11+AE55+AE9+AE41</f>
        <v>3003789</v>
      </c>
      <c r="AF60" s="343">
        <f>(AD60-AE60)/AE60</f>
        <v>-3.2537904626456782E-2</v>
      </c>
      <c r="AG60" s="318">
        <f>AG49+AG47+AG43+AG35+AG33+AG28+AG16+AG13+AG4+AG45+AG24+AG39+AG7+AG37+AG26+AG11+AG55+AG9+AG41</f>
        <v>11177225</v>
      </c>
      <c r="AH60" s="448">
        <f>AH49+AH47+AH43+AH35+AH33+AH28+AH16+AH13+AH4+AH45+AH24+AH39+AH7+AH37+AH26+AH11+AH55+AH9+AH41</f>
        <v>11378889</v>
      </c>
      <c r="AI60" s="343">
        <f>(AG60-AH60)/AH60</f>
        <v>-1.7722644099964418E-2</v>
      </c>
      <c r="AJ60" s="343">
        <f>+AI60/AI60</f>
        <v>1</v>
      </c>
    </row>
    <row r="61" spans="1:36" x14ac:dyDescent="0.2">
      <c r="D61" s="3"/>
      <c r="F61" s="2"/>
      <c r="G61"/>
      <c r="H61"/>
      <c r="I61"/>
      <c r="J61"/>
      <c r="K61"/>
      <c r="M61"/>
      <c r="N61"/>
    </row>
    <row r="62" spans="1:36" x14ac:dyDescent="0.2">
      <c r="B62" s="161"/>
      <c r="E62"/>
      <c r="F62" s="2"/>
      <c r="H62"/>
      <c r="I62"/>
      <c r="J62"/>
      <c r="K62"/>
      <c r="N62"/>
      <c r="O62" s="2"/>
      <c r="P62" s="2"/>
      <c r="U62" s="87"/>
      <c r="V62" s="87"/>
      <c r="W62" s="87"/>
    </row>
    <row r="63" spans="1:36" x14ac:dyDescent="0.2">
      <c r="C63" s="2">
        <f>+C58-'Monthly Summary'!D16</f>
        <v>0</v>
      </c>
      <c r="D63" s="2">
        <f>+D58-'Monthly Summary'!E16</f>
        <v>0</v>
      </c>
      <c r="E63"/>
      <c r="F63" s="2">
        <f>+F58-'Monthly Summary'!G16</f>
        <v>0</v>
      </c>
      <c r="G63" s="2">
        <f>+G58-'Monthly Summary'!H16</f>
        <v>0</v>
      </c>
      <c r="H63"/>
      <c r="I63"/>
      <c r="J63"/>
      <c r="K63"/>
      <c r="L63" s="2">
        <f>+L58-'Monthly Summary'!D5</f>
        <v>0</v>
      </c>
      <c r="M63" s="2">
        <f>+M58-'Monthly Summary'!E5</f>
        <v>0</v>
      </c>
      <c r="N63"/>
      <c r="O63" s="2">
        <f>+O58-'Monthly Summary'!G5</f>
        <v>0</v>
      </c>
      <c r="P63" s="2">
        <f>+P58-'Monthly Summary'!H5</f>
        <v>0</v>
      </c>
      <c r="U63" s="87"/>
      <c r="V63" s="87"/>
      <c r="W63" s="87"/>
      <c r="AD63" s="2"/>
      <c r="AE63" s="2"/>
      <c r="AG63" s="2"/>
      <c r="AH63" s="2"/>
    </row>
    <row r="64" spans="1:36" x14ac:dyDescent="0.2">
      <c r="C64" s="2">
        <f>+C59-'Monthly Summary'!D17</f>
        <v>0</v>
      </c>
      <c r="D64" s="2">
        <f>+D59-'Monthly Summary'!E17</f>
        <v>0</v>
      </c>
      <c r="E64"/>
      <c r="F64" s="2">
        <f>+F59-'Monthly Summary'!G17</f>
        <v>0</v>
      </c>
      <c r="G64" s="2">
        <f>+G59-'Monthly Summary'!H17</f>
        <v>0</v>
      </c>
      <c r="H64"/>
      <c r="I64"/>
      <c r="J64"/>
      <c r="K64"/>
      <c r="L64" s="2">
        <f>+L59-'Monthly Summary'!D6</f>
        <v>0</v>
      </c>
      <c r="M64" s="2">
        <f>+M59-'Monthly Summary'!E6</f>
        <v>0</v>
      </c>
      <c r="N64"/>
      <c r="O64" s="2">
        <f>+O59-'Monthly Summary'!G6</f>
        <v>0</v>
      </c>
      <c r="P64" s="2">
        <f>+P59-'Monthly Summary'!H6</f>
        <v>0</v>
      </c>
      <c r="U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AG65" s="87"/>
      <c r="AH65" s="87"/>
    </row>
    <row r="66" spans="4:34" x14ac:dyDescent="0.2">
      <c r="E66"/>
      <c r="F66" s="2"/>
      <c r="H66"/>
      <c r="I66"/>
      <c r="J66"/>
      <c r="K66"/>
      <c r="N66"/>
      <c r="O66" s="2"/>
      <c r="P66" s="2"/>
    </row>
    <row r="67" spans="4:34" x14ac:dyDescent="0.2">
      <c r="E67"/>
      <c r="F67" s="2"/>
      <c r="H67"/>
      <c r="I67"/>
      <c r="J67"/>
      <c r="K67"/>
      <c r="N67"/>
      <c r="O67" s="2"/>
      <c r="P67" s="2"/>
      <c r="AD67" s="2"/>
      <c r="AE67" s="2"/>
      <c r="AG67" s="2"/>
      <c r="AH67" s="2"/>
    </row>
    <row r="68" spans="4:34" x14ac:dyDescent="0.2">
      <c r="D68" s="3"/>
      <c r="F68"/>
      <c r="G68"/>
      <c r="H68"/>
      <c r="I68"/>
      <c r="J68"/>
      <c r="K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F132" s="163"/>
      <c r="K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80" fitToWidth="0" orientation="portrait" r:id="rId1"/>
  <headerFooter alignWithMargins="0">
    <oddHeader>&amp;L
Schedule 10
&amp;CMinneapolis-St. Paul International Airport
&amp;"Arial,Bold"&amp;A
April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M6" sqref="M6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45748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391" t="s">
        <v>182</v>
      </c>
      <c r="I1" s="391" t="s">
        <v>178</v>
      </c>
      <c r="J1" s="391" t="s">
        <v>230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[3]American!$JK$22</f>
        <v>53318</v>
      </c>
      <c r="C4" s="11">
        <f>[3]Delta!$JK$22+[3]Delta!$JK$32</f>
        <v>866922</v>
      </c>
      <c r="D4" s="11">
        <f>[3]United!$JK$22</f>
        <v>46639</v>
      </c>
      <c r="E4" s="11">
        <f>[3]Spirit!$JK$22</f>
        <v>13110</v>
      </c>
      <c r="F4" s="11">
        <f>[3]Condor!$JK$22+[3]Condor!$JK$32</f>
        <v>0</v>
      </c>
      <c r="G4" s="11">
        <f>'[3]Air France'!$JK$32</f>
        <v>220</v>
      </c>
      <c r="H4" s="11">
        <f>'[3]Jet Blue'!$JK$22</f>
        <v>0</v>
      </c>
      <c r="I4" s="11">
        <f>[3]KLM!$JK$22+[3]KLM!$JK$32</f>
        <v>3151</v>
      </c>
      <c r="J4" s="11">
        <f>[3]Lufthansa!$JK$22+[3]Lufthansa!$JK$32</f>
        <v>2868</v>
      </c>
      <c r="K4" s="11">
        <f>'Other Major Airline Stats'!K5</f>
        <v>272452</v>
      </c>
      <c r="L4" s="195">
        <f>SUM(B4:K4)</f>
        <v>1258680</v>
      </c>
    </row>
    <row r="5" spans="1:21" x14ac:dyDescent="0.2">
      <c r="A5" s="43" t="s">
        <v>31</v>
      </c>
      <c r="B5" s="7">
        <f>[3]American!$JK$23</f>
        <v>43688</v>
      </c>
      <c r="C5" s="7">
        <f>[3]Delta!$JK$23+[3]Delta!$JK$33</f>
        <v>794373</v>
      </c>
      <c r="D5" s="7">
        <f>[3]United!$JK$23</f>
        <v>39886</v>
      </c>
      <c r="E5" s="7">
        <f>[3]Spirit!$JK$23</f>
        <v>7949</v>
      </c>
      <c r="F5" s="7">
        <f>[3]Condor!$JK$23+[3]Condor!$JK$33</f>
        <v>0</v>
      </c>
      <c r="G5" s="7">
        <f>'[3]Air France'!$JK$33</f>
        <v>152</v>
      </c>
      <c r="H5" s="7">
        <f>'[3]Jet Blue'!$JK$23</f>
        <v>0</v>
      </c>
      <c r="I5" s="7">
        <f>[3]KLM!$JK$23+[3]KLM!$JK$33</f>
        <v>2889</v>
      </c>
      <c r="J5" s="7">
        <f>[3]Lufthansa!$JK$23+[3]Lufthansa!$JK$33</f>
        <v>1913</v>
      </c>
      <c r="K5" s="7">
        <f>'Other Major Airline Stats'!K6</f>
        <v>232096</v>
      </c>
      <c r="L5" s="196">
        <f>SUM(B5:K5)</f>
        <v>1122946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97006</v>
      </c>
      <c r="C6" s="23">
        <f t="shared" si="0"/>
        <v>1661295</v>
      </c>
      <c r="D6" s="23">
        <f t="shared" si="0"/>
        <v>86525</v>
      </c>
      <c r="E6" s="23">
        <f t="shared" si="0"/>
        <v>21059</v>
      </c>
      <c r="F6" s="23">
        <f t="shared" ref="F6:I6" si="1">SUM(F4:F5)</f>
        <v>0</v>
      </c>
      <c r="G6" s="23">
        <f t="shared" si="1"/>
        <v>372</v>
      </c>
      <c r="H6" s="23">
        <f t="shared" ref="H6" si="2">SUM(H4:H5)</f>
        <v>0</v>
      </c>
      <c r="I6" s="23">
        <f t="shared" si="1"/>
        <v>6040</v>
      </c>
      <c r="J6" s="23">
        <f t="shared" ref="J6" si="3">SUM(J4:J5)</f>
        <v>4781</v>
      </c>
      <c r="K6" s="23">
        <f>SUM(K4:K5)</f>
        <v>504548</v>
      </c>
      <c r="L6" s="197">
        <f>SUM(B6:K6)</f>
        <v>2381626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[3]American!$JK$27</f>
        <v>1854</v>
      </c>
      <c r="C9" s="11">
        <f>[3]Delta!$JK$27+[3]Delta!$JK$37</f>
        <v>29236</v>
      </c>
      <c r="D9" s="11">
        <f>[3]United!$JK$27</f>
        <v>2080</v>
      </c>
      <c r="E9" s="11">
        <f>[3]Spirit!$JK$27</f>
        <v>101</v>
      </c>
      <c r="F9" s="11">
        <f>[3]Condor!$JK$27+[3]Condor!$JK$37</f>
        <v>0</v>
      </c>
      <c r="G9" s="11">
        <f>'[3]Air France'!$JK$37</f>
        <v>0</v>
      </c>
      <c r="H9" s="11">
        <f>'[3]Jet Blue'!$JK$27</f>
        <v>0</v>
      </c>
      <c r="I9" s="11">
        <f>[3]KLM!$JK$27+[3]KLM!$JK$37</f>
        <v>0</v>
      </c>
      <c r="J9" s="11">
        <f>[3]Lufthansa!$JK$27+[3]Lufthansa!$JK$37</f>
        <v>47</v>
      </c>
      <c r="K9" s="11">
        <f>'Other Major Airline Stats'!K10</f>
        <v>5192</v>
      </c>
      <c r="L9" s="195">
        <f>SUM(B9:K9)</f>
        <v>38510</v>
      </c>
      <c r="O9" s="219"/>
    </row>
    <row r="10" spans="1:21" x14ac:dyDescent="0.2">
      <c r="A10" s="43" t="s">
        <v>33</v>
      </c>
      <c r="B10" s="7">
        <f>[3]American!$JK$28</f>
        <v>2042</v>
      </c>
      <c r="C10" s="7">
        <f>[3]Delta!$JK$28+[3]Delta!$JK$38</f>
        <v>28984</v>
      </c>
      <c r="D10" s="7">
        <f>[3]United!$JK$28</f>
        <v>2307</v>
      </c>
      <c r="E10" s="7">
        <f>[3]Spirit!$JK$28</f>
        <v>106</v>
      </c>
      <c r="F10" s="7">
        <f>[3]Condor!$JK$28+[3]Condor!$JK$38</f>
        <v>0</v>
      </c>
      <c r="G10" s="7">
        <f>'[3]Air France'!$JK$38</f>
        <v>0</v>
      </c>
      <c r="H10" s="7">
        <f>'[3]Jet Blue'!$JK$28</f>
        <v>0</v>
      </c>
      <c r="I10" s="7">
        <f>[3]KLM!$JK$28+[3]KLM!$JK$38</f>
        <v>0</v>
      </c>
      <c r="J10" s="7">
        <f>[3]Lufthansa!$JK$28+[3]Lufthansa!$JK$38</f>
        <v>43</v>
      </c>
      <c r="K10" s="7">
        <f>'Other Major Airline Stats'!K11</f>
        <v>5362</v>
      </c>
      <c r="L10" s="196">
        <f>SUM(B10:K10)</f>
        <v>38844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3896</v>
      </c>
      <c r="C11" s="198">
        <f t="shared" si="4"/>
        <v>58220</v>
      </c>
      <c r="D11" s="198">
        <f t="shared" si="4"/>
        <v>4387</v>
      </c>
      <c r="E11" s="198">
        <f t="shared" si="4"/>
        <v>207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90</v>
      </c>
      <c r="K11" s="198">
        <f t="shared" si="4"/>
        <v>10554</v>
      </c>
      <c r="L11" s="199">
        <f>SUM(B11:K11)</f>
        <v>77354</v>
      </c>
    </row>
    <row r="12" spans="1:21" x14ac:dyDescent="0.2"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[3]American!$JK$4</f>
        <v>391</v>
      </c>
      <c r="C15" s="11">
        <f>[3]Delta!$JK$4+[3]Delta!$JK$15</f>
        <v>6067</v>
      </c>
      <c r="D15" s="11">
        <f>[3]United!$JK$4</f>
        <v>375</v>
      </c>
      <c r="E15" s="11">
        <f>[3]Spirit!$JK$4</f>
        <v>89</v>
      </c>
      <c r="F15" s="11">
        <f>[3]Condor!$JK$15</f>
        <v>0</v>
      </c>
      <c r="G15" s="11">
        <f>'[3]Air France'!$JK$15</f>
        <v>1</v>
      </c>
      <c r="H15" s="11">
        <f>'[3]Jet Blue'!$JK$4</f>
        <v>0</v>
      </c>
      <c r="I15" s="11">
        <f>[3]KLM!$JK$4+[3]KLM!$JK$15</f>
        <v>13</v>
      </c>
      <c r="J15" s="11">
        <f>[3]Lufthansa!$JK$4+[3]Lufthansa!$JK$15</f>
        <v>14</v>
      </c>
      <c r="K15" s="11">
        <f>'Other Major Airline Stats'!K16</f>
        <v>1947</v>
      </c>
      <c r="L15" s="16">
        <f>SUM(B15:K15)</f>
        <v>8897</v>
      </c>
    </row>
    <row r="16" spans="1:21" x14ac:dyDescent="0.2">
      <c r="A16" s="43" t="s">
        <v>23</v>
      </c>
      <c r="B16" s="7">
        <f>[3]American!$JK$5</f>
        <v>389</v>
      </c>
      <c r="C16" s="7">
        <f>[3]Delta!$JK$5+[3]Delta!$JK$16</f>
        <v>6060</v>
      </c>
      <c r="D16" s="7">
        <f>[3]United!$JK$5</f>
        <v>372</v>
      </c>
      <c r="E16" s="7">
        <f>[3]Spirit!$JK$5</f>
        <v>89</v>
      </c>
      <c r="F16" s="7">
        <f>[3]Condor!$JK$5+[3]Condor!$JK$16</f>
        <v>0</v>
      </c>
      <c r="G16" s="7">
        <f>'[3]Air France'!$JK$16</f>
        <v>1</v>
      </c>
      <c r="H16" s="7">
        <f>'[3]Jet Blue'!$JK$5</f>
        <v>0</v>
      </c>
      <c r="I16" s="7">
        <f>[3]KLM!$JK$5+[3]KLM!$JK$16</f>
        <v>13</v>
      </c>
      <c r="J16" s="7">
        <f>[3]Lufthansa!$JK$5+[3]Lufthansa!$JK$16</f>
        <v>14</v>
      </c>
      <c r="K16" s="7">
        <f>'Other Major Airline Stats'!K17</f>
        <v>1942</v>
      </c>
      <c r="L16" s="22">
        <f>SUM(B16:K16)</f>
        <v>8880</v>
      </c>
    </row>
    <row r="17" spans="1:12" x14ac:dyDescent="0.2">
      <c r="A17" s="43" t="s">
        <v>24</v>
      </c>
      <c r="B17" s="202">
        <f t="shared" ref="B17:K17" si="8">SUM(B15:B16)</f>
        <v>780</v>
      </c>
      <c r="C17" s="200">
        <f t="shared" si="8"/>
        <v>12127</v>
      </c>
      <c r="D17" s="200">
        <f t="shared" si="8"/>
        <v>747</v>
      </c>
      <c r="E17" s="200">
        <f t="shared" si="8"/>
        <v>178</v>
      </c>
      <c r="F17" s="200">
        <f t="shared" ref="F17:I17" si="9">SUM(F15:F16)</f>
        <v>0</v>
      </c>
      <c r="G17" s="200">
        <f t="shared" si="9"/>
        <v>2</v>
      </c>
      <c r="H17" s="200">
        <f t="shared" ref="H17" si="10">SUM(H15:H16)</f>
        <v>0</v>
      </c>
      <c r="I17" s="200">
        <f t="shared" si="9"/>
        <v>26</v>
      </c>
      <c r="J17" s="200">
        <f t="shared" ref="J17" si="11">SUM(J15:J16)</f>
        <v>28</v>
      </c>
      <c r="K17" s="200">
        <f t="shared" si="8"/>
        <v>3889</v>
      </c>
      <c r="L17" s="201">
        <f>SUM(B17:K17)</f>
        <v>17777</v>
      </c>
    </row>
    <row r="18" spans="1:12" x14ac:dyDescent="0.2">
      <c r="A18" s="43"/>
      <c r="B18" s="422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[3]American!$JK$8</f>
        <v>0</v>
      </c>
      <c r="C19" s="11">
        <f>[3]Delta!$JK$8</f>
        <v>3</v>
      </c>
      <c r="D19" s="11">
        <f>[3]United!$JK$8</f>
        <v>2</v>
      </c>
      <c r="E19" s="11">
        <f>[3]Spirit!$JK$8+[3]Spirit!$JK$15</f>
        <v>0</v>
      </c>
      <c r="F19" s="11">
        <f>[3]Condor!$JK$8</f>
        <v>0</v>
      </c>
      <c r="G19" s="11">
        <f>'[3]Air France'!$JK$8</f>
        <v>0</v>
      </c>
      <c r="H19" s="11">
        <f>'[3]Jet Blue'!$JK$8</f>
        <v>0</v>
      </c>
      <c r="I19" s="11">
        <f>[3]KLM!$JK$8</f>
        <v>0</v>
      </c>
      <c r="J19" s="11">
        <f>[3]Lufthansa!$JK$8</f>
        <v>0</v>
      </c>
      <c r="K19" s="11">
        <f>'Other Major Airline Stats'!K20</f>
        <v>56</v>
      </c>
      <c r="L19" s="16">
        <f>SUM(B19:K19)</f>
        <v>61</v>
      </c>
    </row>
    <row r="20" spans="1:12" x14ac:dyDescent="0.2">
      <c r="A20" s="43" t="s">
        <v>26</v>
      </c>
      <c r="B20" s="7">
        <f>[3]American!$JK$9</f>
        <v>0</v>
      </c>
      <c r="C20" s="7">
        <f>[3]Delta!$JK$9</f>
        <v>14</v>
      </c>
      <c r="D20" s="7">
        <f>[3]United!$JK$9</f>
        <v>4</v>
      </c>
      <c r="E20" s="7">
        <f>[3]Spirit!$JK$9</f>
        <v>0</v>
      </c>
      <c r="F20" s="7">
        <f>[3]Condor!$JK$9</f>
        <v>0</v>
      </c>
      <c r="G20" s="7">
        <f>'[3]Air France'!$JK$9</f>
        <v>0</v>
      </c>
      <c r="H20" s="7">
        <f>'[3]Jet Blue'!$JK$9</f>
        <v>0</v>
      </c>
      <c r="I20" s="7">
        <f>[3]KLM!$JK$9</f>
        <v>0</v>
      </c>
      <c r="J20" s="7">
        <f>[3]Lufthansa!$JK$9</f>
        <v>0</v>
      </c>
      <c r="K20" s="7">
        <f>'Other Major Airline Stats'!K21</f>
        <v>54</v>
      </c>
      <c r="L20" s="22">
        <f>SUM(B20:K20)</f>
        <v>72</v>
      </c>
    </row>
    <row r="21" spans="1:12" x14ac:dyDescent="0.2">
      <c r="A21" s="43" t="s">
        <v>27</v>
      </c>
      <c r="B21" s="202">
        <f t="shared" ref="B21:K21" si="12">SUM(B19:B20)</f>
        <v>0</v>
      </c>
      <c r="C21" s="200">
        <f t="shared" si="12"/>
        <v>17</v>
      </c>
      <c r="D21" s="200">
        <f t="shared" si="12"/>
        <v>6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110</v>
      </c>
      <c r="L21" s="137">
        <f>SUM(B21:K21)</f>
        <v>133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780</v>
      </c>
      <c r="C23" s="17">
        <f t="shared" si="16"/>
        <v>12144</v>
      </c>
      <c r="D23" s="17">
        <f t="shared" si="16"/>
        <v>753</v>
      </c>
      <c r="E23" s="17">
        <f>E17+E21</f>
        <v>178</v>
      </c>
      <c r="F23" s="17">
        <f t="shared" ref="F23:I23" si="17">F17+F21</f>
        <v>0</v>
      </c>
      <c r="G23" s="17">
        <f t="shared" si="17"/>
        <v>2</v>
      </c>
      <c r="H23" s="17">
        <f t="shared" ref="H23" si="18">H17+H21</f>
        <v>0</v>
      </c>
      <c r="I23" s="17">
        <f t="shared" si="17"/>
        <v>26</v>
      </c>
      <c r="J23" s="17">
        <f t="shared" ref="J23" si="19">J17+J21</f>
        <v>28</v>
      </c>
      <c r="K23" s="17">
        <f t="shared" si="16"/>
        <v>3999</v>
      </c>
      <c r="L23" s="18">
        <f>SUM(B23:K23)</f>
        <v>17910</v>
      </c>
    </row>
    <row r="25" spans="1:12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[3]American!$JK$47</f>
        <v>14433</v>
      </c>
      <c r="C28" s="11">
        <f>[3]Delta!$JK$47</f>
        <v>4335379</v>
      </c>
      <c r="D28" s="11">
        <f>[3]United!$JK$47</f>
        <v>36834</v>
      </c>
      <c r="E28" s="11">
        <f>[3]Spirit!$JK$47</f>
        <v>0</v>
      </c>
      <c r="F28" s="11">
        <f>[3]Condor!$JK$47</f>
        <v>0</v>
      </c>
      <c r="G28" s="11">
        <f>'[3]Air France'!$JK$47</f>
        <v>13567</v>
      </c>
      <c r="H28" s="11">
        <f>'[3]Jet Blue'!$JK$47</f>
        <v>0</v>
      </c>
      <c r="I28" s="11">
        <f>[3]KLM!$JK$47</f>
        <v>314198</v>
      </c>
      <c r="J28" s="11">
        <f>[3]Lufthansa!$JK$47</f>
        <v>354097</v>
      </c>
      <c r="K28" s="11">
        <f>'Other Major Airline Stats'!K28</f>
        <v>182322</v>
      </c>
      <c r="L28" s="16">
        <f>SUM(B28:K28)</f>
        <v>5250830</v>
      </c>
    </row>
    <row r="29" spans="1:12" x14ac:dyDescent="0.2">
      <c r="A29" s="43" t="s">
        <v>38</v>
      </c>
      <c r="B29" s="7">
        <f>[3]American!$JK$48</f>
        <v>8465</v>
      </c>
      <c r="C29" s="7">
        <f>[3]Delta!$JK$48</f>
        <v>93476</v>
      </c>
      <c r="D29" s="7">
        <f>[3]United!$JK$48</f>
        <v>0</v>
      </c>
      <c r="E29" s="7">
        <f>[3]Spirit!$JK$48</f>
        <v>0</v>
      </c>
      <c r="F29" s="7">
        <f>[3]Condor!$JK$48</f>
        <v>0</v>
      </c>
      <c r="G29" s="7">
        <f>'[3]Air France'!$JK$48</f>
        <v>0</v>
      </c>
      <c r="H29" s="7">
        <f>'[3]Jet Blue'!$JK$48</f>
        <v>0</v>
      </c>
      <c r="I29" s="7">
        <f>[3]KLM!$JK$48</f>
        <v>0</v>
      </c>
      <c r="J29" s="7">
        <f>[3]Lufthansa!$JK$48</f>
        <v>0</v>
      </c>
      <c r="K29" s="7">
        <f>'Other Major Airline Stats'!K29</f>
        <v>662</v>
      </c>
      <c r="L29" s="22">
        <f>SUM(B29:K29)</f>
        <v>102603</v>
      </c>
    </row>
    <row r="30" spans="1:12" x14ac:dyDescent="0.2">
      <c r="A30" s="47" t="s">
        <v>39</v>
      </c>
      <c r="B30" s="202">
        <f t="shared" ref="B30:K30" si="20">SUM(B28:B29)</f>
        <v>22898</v>
      </c>
      <c r="C30" s="202">
        <f t="shared" si="20"/>
        <v>4428855</v>
      </c>
      <c r="D30" s="202">
        <f t="shared" si="20"/>
        <v>36834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13567</v>
      </c>
      <c r="H30" s="202">
        <f t="shared" ref="H30" si="22">SUM(H28:H29)</f>
        <v>0</v>
      </c>
      <c r="I30" s="202">
        <f t="shared" si="21"/>
        <v>314198</v>
      </c>
      <c r="J30" s="202">
        <f t="shared" ref="J30" si="23">SUM(J28:J29)</f>
        <v>354097</v>
      </c>
      <c r="K30" s="202">
        <f t="shared" si="20"/>
        <v>182984</v>
      </c>
      <c r="L30" s="16">
        <f>SUM(B30:K30)</f>
        <v>5353433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[3]American!$JK$52</f>
        <v>3051</v>
      </c>
      <c r="C33" s="11">
        <f>[3]Delta!$JK$52</f>
        <v>2711375</v>
      </c>
      <c r="D33" s="11">
        <f>[3]United!$JK$52</f>
        <v>29512</v>
      </c>
      <c r="E33" s="11">
        <f>[3]Spirit!$JK$52</f>
        <v>0</v>
      </c>
      <c r="F33" s="11">
        <f>[3]Condor!$JK$52</f>
        <v>0</v>
      </c>
      <c r="G33" s="11">
        <f>'[3]Air France'!$JK$52</f>
        <v>0</v>
      </c>
      <c r="H33" s="11">
        <f>'[3]Jet Blue'!$JK$52</f>
        <v>0</v>
      </c>
      <c r="I33" s="11">
        <f>[3]KLM!$JK$52</f>
        <v>17709</v>
      </c>
      <c r="J33" s="11">
        <f>[3]Lufthansa!$JK$52</f>
        <v>74749</v>
      </c>
      <c r="K33" s="11">
        <f>'Other Major Airline Stats'!K33</f>
        <v>41084</v>
      </c>
      <c r="L33" s="16">
        <f t="shared" si="24"/>
        <v>2877480</v>
      </c>
    </row>
    <row r="34" spans="1:12" x14ac:dyDescent="0.2">
      <c r="A34" s="43" t="s">
        <v>38</v>
      </c>
      <c r="B34" s="7">
        <f>[3]American!$JK$53</f>
        <v>4207</v>
      </c>
      <c r="C34" s="7">
        <f>[3]Delta!$JK$53</f>
        <v>93310</v>
      </c>
      <c r="D34" s="7">
        <f>[3]United!$JK$53</f>
        <v>0</v>
      </c>
      <c r="E34" s="7">
        <f>[3]Spirit!$JK$53</f>
        <v>0</v>
      </c>
      <c r="F34" s="7">
        <f>[3]Condor!$JK$53</f>
        <v>0</v>
      </c>
      <c r="G34" s="7">
        <f>'[3]Air France'!$JK$53</f>
        <v>0</v>
      </c>
      <c r="H34" s="7">
        <f>'[3]Jet Blue'!$JK$53</f>
        <v>0</v>
      </c>
      <c r="I34" s="7">
        <f>[3]KLM!$JK$53</f>
        <v>0</v>
      </c>
      <c r="J34" s="7">
        <f>[3]Lufthansa!$JK$53</f>
        <v>0</v>
      </c>
      <c r="K34" s="7">
        <f>'Other Major Airline Stats'!K34</f>
        <v>0</v>
      </c>
      <c r="L34" s="22">
        <f t="shared" si="24"/>
        <v>97517</v>
      </c>
    </row>
    <row r="35" spans="1:12" x14ac:dyDescent="0.2">
      <c r="A35" s="47" t="s">
        <v>41</v>
      </c>
      <c r="B35" s="202">
        <f t="shared" ref="B35:K35" si="25">SUM(B33:B34)</f>
        <v>7258</v>
      </c>
      <c r="C35" s="202">
        <f t="shared" si="25"/>
        <v>2804685</v>
      </c>
      <c r="D35" s="202">
        <f t="shared" si="25"/>
        <v>29512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17709</v>
      </c>
      <c r="J35" s="202">
        <f t="shared" ref="J35" si="28">SUM(J33:J34)</f>
        <v>74749</v>
      </c>
      <c r="K35" s="202">
        <f t="shared" si="25"/>
        <v>41084</v>
      </c>
      <c r="L35" s="16">
        <f t="shared" si="24"/>
        <v>2974997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[3]American!$JK$57</f>
        <v>0</v>
      </c>
      <c r="C38" s="11">
        <f>[3]Delta!$JK$57</f>
        <v>0</v>
      </c>
      <c r="D38" s="11">
        <f>[3]United!$JK$57</f>
        <v>0</v>
      </c>
      <c r="E38" s="11">
        <f>[3]Spirit!$JK$57</f>
        <v>0</v>
      </c>
      <c r="F38" s="11">
        <f>[3]Condor!$JK$57</f>
        <v>0</v>
      </c>
      <c r="G38" s="11">
        <f>'[3]Air France'!$JK$57</f>
        <v>0</v>
      </c>
      <c r="H38" s="11">
        <f>'[3]Jet Blue'!$JK$57</f>
        <v>0</v>
      </c>
      <c r="I38" s="11">
        <f>[3]KLM!$JK$57</f>
        <v>0</v>
      </c>
      <c r="J38" s="11">
        <f>[3]Lufthansa!$JK$57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[3]American!$JK$58</f>
        <v>0</v>
      </c>
      <c r="C39" s="7">
        <f>[3]Delta!$JK$58</f>
        <v>0</v>
      </c>
      <c r="D39" s="7">
        <f>[3]United!$JK$58</f>
        <v>0</v>
      </c>
      <c r="E39" s="7">
        <f>[3]Spirit!$JK$58</f>
        <v>0</v>
      </c>
      <c r="F39" s="7">
        <f>[3]Condor!$JK$58</f>
        <v>0</v>
      </c>
      <c r="G39" s="7">
        <f>'[3]Air France'!$JK$58</f>
        <v>0</v>
      </c>
      <c r="H39" s="7">
        <f>'[3]Jet Blue'!$JK$58</f>
        <v>0</v>
      </c>
      <c r="I39" s="7">
        <f>[3]KLM!$JK$58</f>
        <v>0</v>
      </c>
      <c r="J39" s="7">
        <f>[3]Lufthansa!$JK$58</f>
        <v>0</v>
      </c>
      <c r="K39" s="7">
        <f>'Other Major Airline Stats'!K39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17484</v>
      </c>
      <c r="C43" s="11">
        <f t="shared" si="33"/>
        <v>7046754</v>
      </c>
      <c r="D43" s="11">
        <f t="shared" si="33"/>
        <v>66346</v>
      </c>
      <c r="E43" s="11">
        <f>E28+E33+E38</f>
        <v>0</v>
      </c>
      <c r="F43" s="11">
        <f t="shared" ref="F43:I43" si="34">F28+F33+F38</f>
        <v>0</v>
      </c>
      <c r="G43" s="11">
        <f t="shared" si="34"/>
        <v>13567</v>
      </c>
      <c r="H43" s="11">
        <f t="shared" ref="H43" si="35">H28+H33+H38</f>
        <v>0</v>
      </c>
      <c r="I43" s="11">
        <f t="shared" si="34"/>
        <v>331907</v>
      </c>
      <c r="J43" s="11">
        <f t="shared" ref="J43" si="36">J28+J33+J38</f>
        <v>428846</v>
      </c>
      <c r="K43" s="11">
        <f t="shared" si="33"/>
        <v>223406</v>
      </c>
      <c r="L43" s="16">
        <f>SUM(B43:K43)</f>
        <v>8128310</v>
      </c>
    </row>
    <row r="44" spans="1:12" x14ac:dyDescent="0.2">
      <c r="A44" s="43" t="s">
        <v>38</v>
      </c>
      <c r="B44" s="7">
        <f t="shared" si="33"/>
        <v>12672</v>
      </c>
      <c r="C44" s="7">
        <f t="shared" si="33"/>
        <v>186786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662</v>
      </c>
      <c r="L44" s="16">
        <f>SUM(B44:K44)</f>
        <v>200120</v>
      </c>
    </row>
    <row r="45" spans="1:12" ht="15.75" thickBot="1" x14ac:dyDescent="0.3">
      <c r="A45" s="44" t="s">
        <v>46</v>
      </c>
      <c r="B45" s="203">
        <f t="shared" ref="B45:K45" si="40">SUM(B43:B44)</f>
        <v>30156</v>
      </c>
      <c r="C45" s="203">
        <f t="shared" si="40"/>
        <v>7233540</v>
      </c>
      <c r="D45" s="203">
        <f t="shared" si="40"/>
        <v>66346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13567</v>
      </c>
      <c r="H45" s="203">
        <f t="shared" ref="H45" si="42">SUM(H43:H44)</f>
        <v>0</v>
      </c>
      <c r="I45" s="203">
        <f t="shared" si="41"/>
        <v>331907</v>
      </c>
      <c r="J45" s="203">
        <f t="shared" ref="J45" si="43">SUM(J43:J44)</f>
        <v>428846</v>
      </c>
      <c r="K45" s="203">
        <f t="shared" si="40"/>
        <v>224068</v>
      </c>
      <c r="L45" s="204">
        <f>SUM(B45:K45)</f>
        <v>8328430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[3]Delta!$JK$70+[3]Delta!$JK$73</f>
        <v>470789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470789</v>
      </c>
    </row>
    <row r="48" spans="1:12" hidden="1" x14ac:dyDescent="0.2">
      <c r="A48" s="265" t="s">
        <v>121</v>
      </c>
      <c r="C48" s="228">
        <f>[3]Delta!$JK$71+[3]Delta!$JK$74</f>
        <v>323584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323584</v>
      </c>
    </row>
    <row r="49" spans="1:12" hidden="1" x14ac:dyDescent="0.2">
      <c r="A49" s="266" t="s">
        <v>122</v>
      </c>
      <c r="C49" s="229">
        <f>SUM(C47:C48)</f>
        <v>794373</v>
      </c>
      <c r="L49" s="218">
        <f>SUM(B49:K49)</f>
        <v>794373</v>
      </c>
    </row>
    <row r="50" spans="1:12" x14ac:dyDescent="0.2">
      <c r="A50" s="264" t="s">
        <v>120</v>
      </c>
      <c r="B50" s="275"/>
      <c r="C50" s="231">
        <f>[3]Delta!$JK$70+[3]Delta!$JK$73</f>
        <v>470789</v>
      </c>
      <c r="D50" s="275"/>
      <c r="E50" s="231">
        <f>[3]Spirit!$JK$70+[3]Spirit!$JK$73</f>
        <v>0</v>
      </c>
      <c r="F50" s="275"/>
      <c r="G50" s="275"/>
      <c r="H50" s="275"/>
      <c r="I50" s="275"/>
      <c r="J50" s="275"/>
      <c r="K50" s="230">
        <f>'Other Major Airline Stats'!K48</f>
        <v>0</v>
      </c>
      <c r="L50" s="220">
        <f>SUM(B50:K50)</f>
        <v>470789</v>
      </c>
    </row>
    <row r="51" spans="1:12" x14ac:dyDescent="0.2">
      <c r="A51" s="277" t="s">
        <v>121</v>
      </c>
      <c r="B51" s="275"/>
      <c r="C51" s="231">
        <f>[3]Delta!$JK$71+[3]Delta!$JK$74</f>
        <v>323584</v>
      </c>
      <c r="D51" s="275"/>
      <c r="E51" s="231">
        <f>[3]Spirit!$JK$71+[3]Spirit!$JK$74</f>
        <v>0</v>
      </c>
      <c r="F51" s="275"/>
      <c r="G51" s="275"/>
      <c r="H51" s="275"/>
      <c r="I51" s="275"/>
      <c r="J51" s="275"/>
      <c r="K51" s="230">
        <f>+'Other Major Airline Stats'!K49</f>
        <v>0</v>
      </c>
      <c r="L51" s="220">
        <f>SUM(B51:K51)</f>
        <v>323584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L11" sqref="L1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4">
        <v>45748</v>
      </c>
      <c r="B2" s="314" t="s">
        <v>47</v>
      </c>
      <c r="C2" s="313" t="s">
        <v>208</v>
      </c>
      <c r="D2" s="313" t="s">
        <v>186</v>
      </c>
      <c r="E2" s="313" t="s">
        <v>201</v>
      </c>
      <c r="F2" s="313" t="s">
        <v>213</v>
      </c>
      <c r="G2" s="314" t="s">
        <v>48</v>
      </c>
      <c r="H2" s="313" t="s">
        <v>128</v>
      </c>
      <c r="I2" s="313" t="s">
        <v>49</v>
      </c>
      <c r="J2" s="313" t="s">
        <v>127</v>
      </c>
      <c r="K2" s="136" t="s">
        <v>61</v>
      </c>
    </row>
    <row r="3" spans="1:14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115"/>
    </row>
    <row r="4" spans="1:14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116"/>
    </row>
    <row r="5" spans="1:14" x14ac:dyDescent="0.2">
      <c r="A5" s="43" t="s">
        <v>30</v>
      </c>
      <c r="B5" s="87">
        <f>[3]Frontier!$JK$22+[3]Frontier!$JK$32</f>
        <v>13553</v>
      </c>
      <c r="C5" s="87">
        <f>'[3]Allegiant '!$JK$22</f>
        <v>3130</v>
      </c>
      <c r="D5" s="87">
        <f>'[3]Aer Lingus'!$JK$22+'[3]Aer Lingus'!$JK$32</f>
        <v>2313</v>
      </c>
      <c r="E5" s="87">
        <f>'[3]Denver Air'!$JK$22+'[3]Denver Air'!$JK$32</f>
        <v>546</v>
      </c>
      <c r="F5" s="87">
        <f>[3]WestJet!$JK$22+[3]WestJet!$JK$32</f>
        <v>5881</v>
      </c>
      <c r="G5" s="87">
        <f>[3]Icelandair!$JK$32</f>
        <v>2762</v>
      </c>
      <c r="H5" s="87">
        <f>[3]Southwest!$JK$22</f>
        <v>62634</v>
      </c>
      <c r="I5" s="87">
        <f>'[3]Sun Country'!$JK$22+'[3]Sun Country'!$JK$32</f>
        <v>173448</v>
      </c>
      <c r="J5" s="87">
        <f>[3]Alaska!$JK$22</f>
        <v>8185</v>
      </c>
      <c r="K5" s="110">
        <f>SUM(B5:J5)</f>
        <v>272452</v>
      </c>
      <c r="N5" s="87"/>
    </row>
    <row r="6" spans="1:14" x14ac:dyDescent="0.2">
      <c r="A6" s="43" t="s">
        <v>31</v>
      </c>
      <c r="B6" s="87">
        <f>[3]Frontier!$JK$23+[3]Frontier!$JK$33</f>
        <v>11248</v>
      </c>
      <c r="C6" s="87">
        <f>'[3]Allegiant '!$JK$23</f>
        <v>2007</v>
      </c>
      <c r="D6" s="87">
        <f>'[3]Aer Lingus'!$JK$23+'[3]Aer Lingus'!$JK$33</f>
        <v>2209</v>
      </c>
      <c r="E6" s="87">
        <f>'[3]Denver Air'!$JK$23+'[3]Denver Air'!$JK$33</f>
        <v>563</v>
      </c>
      <c r="F6" s="87">
        <f>[3]WestJet!$JK$23+[3]WestJet!$JK$33</f>
        <v>5778</v>
      </c>
      <c r="G6" s="87">
        <f>[3]Icelandair!$JK$33</f>
        <v>2540</v>
      </c>
      <c r="H6" s="87">
        <f>[3]Southwest!$JK$23</f>
        <v>51658</v>
      </c>
      <c r="I6" s="87">
        <f>'[3]Sun Country'!$JK$23+'[3]Sun Country'!$JK$33</f>
        <v>146769</v>
      </c>
      <c r="J6" s="87">
        <f>[3]Alaska!$JK$23</f>
        <v>9324</v>
      </c>
      <c r="K6" s="110">
        <f>SUM(B6:J6)</f>
        <v>232096</v>
      </c>
    </row>
    <row r="7" spans="1:14" ht="15" x14ac:dyDescent="0.25">
      <c r="A7" s="41" t="s">
        <v>7</v>
      </c>
      <c r="B7" s="118">
        <f>SUM(B5:B6)</f>
        <v>24801</v>
      </c>
      <c r="C7" s="118">
        <f t="shared" ref="C7:F7" si="0">SUM(C5:C6)</f>
        <v>5137</v>
      </c>
      <c r="D7" s="118">
        <f>SUM(D5:D6)</f>
        <v>4522</v>
      </c>
      <c r="E7" s="118">
        <f>SUM(E5:E6)</f>
        <v>1109</v>
      </c>
      <c r="F7" s="118">
        <f t="shared" si="0"/>
        <v>11659</v>
      </c>
      <c r="G7" s="118">
        <f t="shared" ref="G7:J7" si="1">SUM(G5:G6)</f>
        <v>5302</v>
      </c>
      <c r="H7" s="118">
        <f t="shared" si="1"/>
        <v>114292</v>
      </c>
      <c r="I7" s="118">
        <f>SUM(I5:I6)</f>
        <v>320217</v>
      </c>
      <c r="J7" s="118">
        <f t="shared" si="1"/>
        <v>17509</v>
      </c>
      <c r="K7" s="119">
        <f>SUM(B7:J7)</f>
        <v>504548</v>
      </c>
    </row>
    <row r="8" spans="1:14" x14ac:dyDescent="0.2">
      <c r="A8" s="43"/>
      <c r="B8" s="117"/>
      <c r="C8" s="117"/>
      <c r="D8" s="347"/>
      <c r="E8" s="117"/>
      <c r="F8" s="117"/>
      <c r="G8" s="117"/>
      <c r="H8" s="117"/>
      <c r="I8" s="117"/>
      <c r="J8" s="117"/>
      <c r="K8" s="110"/>
    </row>
    <row r="9" spans="1:14" x14ac:dyDescent="0.2">
      <c r="A9" s="43" t="s">
        <v>32</v>
      </c>
      <c r="B9" s="117"/>
      <c r="C9" s="117"/>
      <c r="D9" s="347"/>
      <c r="E9" s="117"/>
      <c r="F9" s="117"/>
      <c r="G9" s="117"/>
      <c r="H9" s="117"/>
      <c r="I9" s="117"/>
      <c r="J9" s="117"/>
      <c r="K9" s="110"/>
    </row>
    <row r="10" spans="1:14" x14ac:dyDescent="0.2">
      <c r="A10" s="43" t="s">
        <v>30</v>
      </c>
      <c r="B10" s="117">
        <f>[3]Frontier!$JK$27+[3]Frontier!$JK$37</f>
        <v>103</v>
      </c>
      <c r="C10" s="117">
        <f>'[3]Allegiant '!$JK$27</f>
        <v>0</v>
      </c>
      <c r="D10" s="347">
        <f>'[3]Aer Lingus'!$JK$27+'[3]Aer Lingus'!$JK$37</f>
        <v>16</v>
      </c>
      <c r="E10" s="117">
        <f>'[3]Denver Air'!$JK$27+'[3]Denver Air'!$JK$37</f>
        <v>28</v>
      </c>
      <c r="F10" s="117">
        <f>[3]WestJet!$JK$27+[3]WestJet!$JK$37</f>
        <v>5</v>
      </c>
      <c r="G10" s="117">
        <f>[3]Icelandair!$JK$37</f>
        <v>46</v>
      </c>
      <c r="H10" s="117">
        <f>[3]Southwest!$JK$27</f>
        <v>1469</v>
      </c>
      <c r="I10" s="117">
        <f>'[3]Sun Country'!$JK$27+'[3]Sun Country'!$JK$37</f>
        <v>3172</v>
      </c>
      <c r="J10" s="117">
        <f>[3]Alaska!$JK$27</f>
        <v>353</v>
      </c>
      <c r="K10" s="110">
        <f>SUM(B10:J10)</f>
        <v>5192</v>
      </c>
    </row>
    <row r="11" spans="1:14" x14ac:dyDescent="0.2">
      <c r="A11" s="43" t="s">
        <v>33</v>
      </c>
      <c r="B11" s="120">
        <f>[3]Frontier!$JK$28+[3]Frontier!$JK$38</f>
        <v>71</v>
      </c>
      <c r="C11" s="120">
        <f>'[3]Allegiant '!$JK$28</f>
        <v>0</v>
      </c>
      <c r="D11" s="120">
        <f>'[3]Aer Lingus'!$JK$28+'[3]Aer Lingus'!$JK$38</f>
        <v>17</v>
      </c>
      <c r="E11" s="120">
        <f>'[3]Denver Air'!$JK$28+'[3]Denver Air'!$JK$38</f>
        <v>28</v>
      </c>
      <c r="F11" s="120">
        <f>[3]WestJet!$JK$28+[3]WestJet!$JK$38</f>
        <v>4</v>
      </c>
      <c r="G11" s="120">
        <f>[3]Icelandair!$JK$38</f>
        <v>49</v>
      </c>
      <c r="H11" s="120">
        <f>[3]Southwest!$JK$28</f>
        <v>1723</v>
      </c>
      <c r="I11" s="120">
        <f>'[3]Sun Country'!$JK$28+'[3]Sun Country'!$JK$38</f>
        <v>3073</v>
      </c>
      <c r="J11" s="120">
        <f>[3]Alaska!$JK$28</f>
        <v>397</v>
      </c>
      <c r="K11" s="110">
        <f>SUM(B11:J11)</f>
        <v>5362</v>
      </c>
    </row>
    <row r="12" spans="1:14" ht="15.75" thickBot="1" x14ac:dyDescent="0.3">
      <c r="A12" s="44" t="s">
        <v>34</v>
      </c>
      <c r="B12" s="113">
        <f>SUM(B10:B11)</f>
        <v>174</v>
      </c>
      <c r="C12" s="113">
        <f t="shared" ref="C12:F12" si="2">SUM(C10:C11)</f>
        <v>0</v>
      </c>
      <c r="D12" s="113">
        <f>SUM(D10:D11)</f>
        <v>33</v>
      </c>
      <c r="E12" s="113">
        <f>SUM(E10:E11)</f>
        <v>56</v>
      </c>
      <c r="F12" s="113">
        <f t="shared" si="2"/>
        <v>9</v>
      </c>
      <c r="G12" s="113">
        <f t="shared" ref="G12:J12" si="3">SUM(G10:G11)</f>
        <v>95</v>
      </c>
      <c r="H12" s="113">
        <f t="shared" si="3"/>
        <v>3192</v>
      </c>
      <c r="I12" s="113">
        <f>SUM(I10:I11)</f>
        <v>6245</v>
      </c>
      <c r="J12" s="113">
        <f t="shared" si="3"/>
        <v>750</v>
      </c>
      <c r="K12" s="121">
        <f>SUM(B12:J12)</f>
        <v>10554</v>
      </c>
      <c r="N12" s="87"/>
    </row>
    <row r="13" spans="1:14" ht="15" x14ac:dyDescent="0.25">
      <c r="A13" s="40"/>
      <c r="B13" s="205"/>
      <c r="C13" s="205"/>
      <c r="D13" s="348"/>
      <c r="E13" s="205"/>
      <c r="F13" s="205"/>
      <c r="G13" s="205"/>
      <c r="H13" s="205"/>
      <c r="I13" s="205"/>
      <c r="J13" s="205"/>
      <c r="K13" s="206"/>
    </row>
    <row r="14" spans="1:14" ht="13.5" thickBot="1" x14ac:dyDescent="0.25"/>
    <row r="15" spans="1:14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4" x14ac:dyDescent="0.2">
      <c r="A16" s="43" t="s">
        <v>22</v>
      </c>
      <c r="B16" s="87">
        <f>[3]Frontier!$JK$4+[3]Frontier!$JK$15</f>
        <v>84</v>
      </c>
      <c r="C16" s="77">
        <f>'[3]Allegiant '!$JK$4</f>
        <v>20</v>
      </c>
      <c r="D16" s="87">
        <f>'[3]Aer Lingus'!$JK$4+'[3]Aer Lingus'!$JK$15</f>
        <v>26</v>
      </c>
      <c r="E16" s="87">
        <f>'[3]Denver Air'!$JK$4+'[3]Denver Air'!$JK$15</f>
        <v>74</v>
      </c>
      <c r="F16" s="77">
        <f>[3]WestJet!$JK$4+[3]WestJet!$JK$15</f>
        <v>68</v>
      </c>
      <c r="G16" s="87">
        <f>[3]Icelandair!$JK$15</f>
        <v>21</v>
      </c>
      <c r="H16" s="77">
        <f>[3]Southwest!$JK$4</f>
        <v>477</v>
      </c>
      <c r="I16" s="87">
        <f>'[3]Sun Country'!$JK$4+'[3]Sun Country'!$JK$15</f>
        <v>1087</v>
      </c>
      <c r="J16" s="87">
        <f>[3]Alaska!$JK$4</f>
        <v>90</v>
      </c>
      <c r="K16" s="110">
        <f>SUM(B16:J16)</f>
        <v>1947</v>
      </c>
    </row>
    <row r="17" spans="1:258" x14ac:dyDescent="0.2">
      <c r="A17" s="43" t="s">
        <v>23</v>
      </c>
      <c r="B17" s="87">
        <f>[3]Frontier!$JK$5+[3]Frontier!$JK$16</f>
        <v>84</v>
      </c>
      <c r="C17" s="77">
        <f>'[3]Allegiant '!$JK$5</f>
        <v>20</v>
      </c>
      <c r="D17" s="87">
        <f>'[3]Aer Lingus'!$JK$5+'[3]Aer Lingus'!$JK$16</f>
        <v>26</v>
      </c>
      <c r="E17" s="87">
        <f>'[3]Denver Air'!$JK$5+'[3]Denver Air'!$JK$16</f>
        <v>74</v>
      </c>
      <c r="F17" s="77">
        <f>[3]WestJet!$JK$5+[3]WestJet!$JK$16</f>
        <v>68</v>
      </c>
      <c r="G17" s="87">
        <f>[3]Icelandair!$JK$16</f>
        <v>21</v>
      </c>
      <c r="H17" s="77">
        <f>[3]Southwest!$JK$5</f>
        <v>477</v>
      </c>
      <c r="I17" s="87">
        <f>'[3]Sun Country'!$JK$5+'[3]Sun Country'!$JK$16</f>
        <v>1083</v>
      </c>
      <c r="J17" s="87">
        <f>[3]Alaska!$JK$5</f>
        <v>89</v>
      </c>
      <c r="K17" s="110">
        <f>SUM(B17:J17)</f>
        <v>1942</v>
      </c>
    </row>
    <row r="18" spans="1:258" x14ac:dyDescent="0.2">
      <c r="A18" s="47" t="s">
        <v>24</v>
      </c>
      <c r="B18" s="111">
        <f t="shared" ref="B18" si="4">SUM(B16:B17)</f>
        <v>168</v>
      </c>
      <c r="C18" s="111">
        <f t="shared" ref="C18:F18" si="5">SUM(C16:C17)</f>
        <v>40</v>
      </c>
      <c r="D18" s="111">
        <f t="shared" si="5"/>
        <v>52</v>
      </c>
      <c r="E18" s="111">
        <f t="shared" si="5"/>
        <v>148</v>
      </c>
      <c r="F18" s="111">
        <f t="shared" si="5"/>
        <v>136</v>
      </c>
      <c r="G18" s="111">
        <f t="shared" ref="G18:J18" si="6">SUM(G16:G17)</f>
        <v>42</v>
      </c>
      <c r="H18" s="111">
        <f t="shared" si="6"/>
        <v>954</v>
      </c>
      <c r="I18" s="111">
        <f t="shared" si="6"/>
        <v>2170</v>
      </c>
      <c r="J18" s="111">
        <f t="shared" si="6"/>
        <v>179</v>
      </c>
      <c r="K18" s="112">
        <f>SUM(B18:J18)</f>
        <v>3889</v>
      </c>
    </row>
    <row r="19" spans="1:258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110"/>
    </row>
    <row r="20" spans="1:258" x14ac:dyDescent="0.2">
      <c r="A20" s="43" t="s">
        <v>25</v>
      </c>
      <c r="B20" s="87">
        <f>[3]Frontier!$JK$8</f>
        <v>0</v>
      </c>
      <c r="C20" s="87">
        <f>'[3]Allegiant '!$JK$8</f>
        <v>0</v>
      </c>
      <c r="D20" s="87">
        <f>'[3]Aer Lingus'!$JK$8</f>
        <v>0</v>
      </c>
      <c r="E20" s="87">
        <f>'[3]Denver Air'!$JK$8</f>
        <v>0</v>
      </c>
      <c r="F20" s="87">
        <f>[3]WestJet!$JK$8</f>
        <v>0</v>
      </c>
      <c r="G20" s="87">
        <f>[3]Icelandair!$JK$8</f>
        <v>0</v>
      </c>
      <c r="H20" s="87">
        <f>[3]Southwest!$JK$8</f>
        <v>0</v>
      </c>
      <c r="I20" s="87">
        <f>'[3]Sun Country'!$JK$8</f>
        <v>56</v>
      </c>
      <c r="J20" s="87">
        <f>[3]Alaska!$JK$8</f>
        <v>0</v>
      </c>
      <c r="K20" s="110">
        <f>SUM(B20:J20)</f>
        <v>56</v>
      </c>
    </row>
    <row r="21" spans="1:258" x14ac:dyDescent="0.2">
      <c r="A21" s="43" t="s">
        <v>26</v>
      </c>
      <c r="B21" s="87">
        <f>[3]Frontier!$JK$9</f>
        <v>0</v>
      </c>
      <c r="C21" s="87">
        <f>'[3]Allegiant '!$JK$9</f>
        <v>0</v>
      </c>
      <c r="D21" s="87">
        <f>'[3]Aer Lingus'!$JK$9</f>
        <v>0</v>
      </c>
      <c r="E21" s="87">
        <f>'[3]Denver Air'!$JK$9</f>
        <v>0</v>
      </c>
      <c r="F21" s="87">
        <f>[3]WestJet!$JK$9</f>
        <v>0</v>
      </c>
      <c r="G21" s="87">
        <f>[3]Icelandair!$JK$9</f>
        <v>0</v>
      </c>
      <c r="H21" s="87">
        <f>[3]Southwest!$JK$9</f>
        <v>0</v>
      </c>
      <c r="I21" s="87">
        <f>'[3]Sun Country'!$JK$9</f>
        <v>54</v>
      </c>
      <c r="J21" s="87">
        <f>[3]Alaska!$JK$9</f>
        <v>0</v>
      </c>
      <c r="K21" s="110">
        <f>SUM(B21:J21)</f>
        <v>54</v>
      </c>
    </row>
    <row r="22" spans="1:258" x14ac:dyDescent="0.2">
      <c r="A22" s="47" t="s">
        <v>27</v>
      </c>
      <c r="B22" s="111">
        <f t="shared" ref="B22" si="7">SUM(B20:B21)</f>
        <v>0</v>
      </c>
      <c r="C22" s="111">
        <f t="shared" ref="C22:F22" si="8">SUM(C20:C21)</f>
        <v>0</v>
      </c>
      <c r="D22" s="111">
        <f t="shared" si="8"/>
        <v>0</v>
      </c>
      <c r="E22" s="111">
        <f t="shared" si="8"/>
        <v>0</v>
      </c>
      <c r="F22" s="111">
        <f t="shared" si="8"/>
        <v>0</v>
      </c>
      <c r="G22" s="111">
        <f t="shared" ref="G22:J22" si="9">SUM(G20:G21)</f>
        <v>0</v>
      </c>
      <c r="H22" s="111">
        <f t="shared" si="9"/>
        <v>0</v>
      </c>
      <c r="I22" s="111">
        <f t="shared" si="9"/>
        <v>110</v>
      </c>
      <c r="J22" s="111">
        <f t="shared" si="9"/>
        <v>0</v>
      </c>
      <c r="K22" s="112">
        <f>SUM(B22:J22)</f>
        <v>110</v>
      </c>
    </row>
    <row r="23" spans="1:258" ht="15.75" thickBot="1" x14ac:dyDescent="0.3">
      <c r="A23" s="44" t="s">
        <v>28</v>
      </c>
      <c r="B23" s="113">
        <f t="shared" ref="B23" si="10">B22+B18</f>
        <v>168</v>
      </c>
      <c r="C23" s="113">
        <f t="shared" ref="C23:F23" si="11">C22+C18</f>
        <v>40</v>
      </c>
      <c r="D23" s="113">
        <f t="shared" si="11"/>
        <v>52</v>
      </c>
      <c r="E23" s="113">
        <f t="shared" si="11"/>
        <v>148</v>
      </c>
      <c r="F23" s="113">
        <f t="shared" si="11"/>
        <v>136</v>
      </c>
      <c r="G23" s="113">
        <f t="shared" ref="G23:J23" si="12">G22+G18</f>
        <v>42</v>
      </c>
      <c r="H23" s="113">
        <f t="shared" si="12"/>
        <v>954</v>
      </c>
      <c r="I23" s="113">
        <f>I22+I18</f>
        <v>2280</v>
      </c>
      <c r="J23" s="113">
        <f t="shared" si="12"/>
        <v>179</v>
      </c>
      <c r="K23" s="114">
        <f>SUM(B23:J23)</f>
        <v>3999</v>
      </c>
      <c r="O23" s="87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87"/>
    </row>
    <row r="26" spans="1:258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3"/>
    </row>
    <row r="27" spans="1:258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16"/>
    </row>
    <row r="28" spans="1:258" x14ac:dyDescent="0.2">
      <c r="A28" s="43" t="s">
        <v>37</v>
      </c>
      <c r="B28" s="87">
        <f>[3]Frontier!$JK$47</f>
        <v>0</v>
      </c>
      <c r="C28" s="87">
        <f>'[3]Allegiant '!$JK$47</f>
        <v>0</v>
      </c>
      <c r="D28" s="87">
        <f>'[3]Aer Lingus'!$JK$47</f>
        <v>0</v>
      </c>
      <c r="E28" s="87">
        <f>'[3]Denver Air'!$JK$47</f>
        <v>0</v>
      </c>
      <c r="F28" s="87">
        <f>[3]WestJet!$JK$47</f>
        <v>0</v>
      </c>
      <c r="G28" s="87">
        <f>[3]Icelandair!$JK$47</f>
        <v>2663</v>
      </c>
      <c r="H28" s="87">
        <f>[3]Southwest!$JK$47</f>
        <v>171280</v>
      </c>
      <c r="I28" s="87">
        <f>'[3]Sun Country'!$JK$47</f>
        <v>0</v>
      </c>
      <c r="J28" s="87">
        <f>[3]Alaska!$JK$47</f>
        <v>8379</v>
      </c>
      <c r="K28" s="110">
        <f>SUM(B28:J28)</f>
        <v>182322</v>
      </c>
    </row>
    <row r="29" spans="1:258" x14ac:dyDescent="0.2">
      <c r="A29" s="43" t="s">
        <v>38</v>
      </c>
      <c r="B29" s="87">
        <f>[3]Frontier!$JK$48</f>
        <v>0</v>
      </c>
      <c r="C29" s="87">
        <f>'[3]Allegiant '!$JK$48</f>
        <v>0</v>
      </c>
      <c r="D29" s="87">
        <f>'[3]Aer Lingus'!$JK$48</f>
        <v>0</v>
      </c>
      <c r="E29" s="87">
        <f>'[3]Denver Air'!$JK$48</f>
        <v>0</v>
      </c>
      <c r="F29" s="87">
        <f>[3]WestJet!$JK$48</f>
        <v>0</v>
      </c>
      <c r="G29" s="87">
        <f>[3]Icelandair!$JK$48</f>
        <v>0</v>
      </c>
      <c r="H29" s="87">
        <f>[3]Southwest!$JK$48</f>
        <v>0</v>
      </c>
      <c r="I29" s="87">
        <f>'[3]Sun Country'!$JK$48</f>
        <v>0</v>
      </c>
      <c r="J29" s="87">
        <f>[3]Alaska!$JK$48</f>
        <v>662</v>
      </c>
      <c r="K29" s="110">
        <f>SUM(B29:J29)</f>
        <v>662</v>
      </c>
    </row>
    <row r="30" spans="1:258" x14ac:dyDescent="0.2">
      <c r="A30" s="47" t="s">
        <v>39</v>
      </c>
      <c r="B30" s="125">
        <f t="shared" ref="B30" si="13">SUM(B28:B29)</f>
        <v>0</v>
      </c>
      <c r="C30" s="125">
        <f t="shared" ref="C30:F30" si="14">SUM(C28:C29)</f>
        <v>0</v>
      </c>
      <c r="D30" s="125">
        <f t="shared" si="14"/>
        <v>0</v>
      </c>
      <c r="E30" s="125">
        <f t="shared" si="14"/>
        <v>0</v>
      </c>
      <c r="F30" s="125">
        <f t="shared" si="14"/>
        <v>0</v>
      </c>
      <c r="G30" s="125">
        <f t="shared" ref="G30:J30" si="15">SUM(G28:G29)</f>
        <v>2663</v>
      </c>
      <c r="H30" s="125">
        <f t="shared" si="15"/>
        <v>171280</v>
      </c>
      <c r="I30" s="125">
        <f t="shared" si="15"/>
        <v>0</v>
      </c>
      <c r="J30" s="125">
        <f t="shared" si="15"/>
        <v>9041</v>
      </c>
      <c r="K30" s="127">
        <f>SUM(B30:J30)</f>
        <v>182984</v>
      </c>
    </row>
    <row r="31" spans="1:258" x14ac:dyDescent="0.2">
      <c r="A31" s="43"/>
      <c r="B31" s="117"/>
      <c r="C31" s="117"/>
      <c r="D31" s="347"/>
      <c r="E31" s="117"/>
      <c r="F31" s="117"/>
      <c r="G31" s="117"/>
      <c r="H31" s="117"/>
      <c r="I31" s="117"/>
      <c r="J31" s="117"/>
      <c r="K31" s="110"/>
    </row>
    <row r="32" spans="1:258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110"/>
    </row>
    <row r="33" spans="1:11" x14ac:dyDescent="0.2">
      <c r="A33" s="43" t="s">
        <v>37</v>
      </c>
      <c r="B33" s="87">
        <f>[3]Frontier!$JK$52</f>
        <v>0</v>
      </c>
      <c r="C33" s="87">
        <f>'[3]Allegiant '!$JK$52</f>
        <v>0</v>
      </c>
      <c r="D33" s="87">
        <f>'[3]Aer Lingus'!$JK$52</f>
        <v>0</v>
      </c>
      <c r="E33" s="87">
        <f>'[3]Denver Air'!$JK$52</f>
        <v>0</v>
      </c>
      <c r="F33" s="87">
        <f>[3]WestJet!$JK$52</f>
        <v>0</v>
      </c>
      <c r="G33" s="87">
        <f>[3]Icelandair!$JK$52</f>
        <v>0</v>
      </c>
      <c r="H33" s="87">
        <f>[3]Southwest!$JK$52</f>
        <v>31849</v>
      </c>
      <c r="I33" s="87">
        <f>'[3]Sun Country'!$JK$52</f>
        <v>0</v>
      </c>
      <c r="J33" s="87">
        <f>[3]Alaska!$JK$52</f>
        <v>9235</v>
      </c>
      <c r="K33" s="110">
        <f>SUM(B33:J33)</f>
        <v>41084</v>
      </c>
    </row>
    <row r="34" spans="1:11" x14ac:dyDescent="0.2">
      <c r="A34" s="43" t="s">
        <v>38</v>
      </c>
      <c r="B34" s="87">
        <f>[3]Frontier!$JK$53</f>
        <v>0</v>
      </c>
      <c r="C34" s="87">
        <f>'[3]Allegiant '!$JK$53</f>
        <v>0</v>
      </c>
      <c r="D34" s="87">
        <f>'[3]Aer Lingus'!$JK$53</f>
        <v>0</v>
      </c>
      <c r="E34" s="87">
        <f>'[3]Denver Air'!$JK$53</f>
        <v>0</v>
      </c>
      <c r="F34" s="87">
        <f>[3]WestJet!$JK$53</f>
        <v>0</v>
      </c>
      <c r="G34" s="87">
        <f>[3]Icelandair!$JK$53</f>
        <v>0</v>
      </c>
      <c r="H34" s="87">
        <f>[3]Southwest!$JK$53</f>
        <v>0</v>
      </c>
      <c r="I34" s="87">
        <f>'[3]Sun Country'!$JK$53</f>
        <v>0</v>
      </c>
      <c r="J34" s="87">
        <f>[3]Alaska!$JK$53</f>
        <v>0</v>
      </c>
      <c r="K34" s="126">
        <f>SUM(B34:J34)</f>
        <v>0</v>
      </c>
    </row>
    <row r="35" spans="1:11" x14ac:dyDescent="0.2">
      <c r="A35" s="47" t="s">
        <v>41</v>
      </c>
      <c r="B35" s="111">
        <f t="shared" ref="B35" si="16">SUM(B33:B34)</f>
        <v>0</v>
      </c>
      <c r="C35" s="111">
        <f t="shared" ref="C35:F35" si="17">SUM(C33:C34)</f>
        <v>0</v>
      </c>
      <c r="D35" s="111">
        <f t="shared" si="17"/>
        <v>0</v>
      </c>
      <c r="E35" s="111">
        <f t="shared" si="17"/>
        <v>0</v>
      </c>
      <c r="F35" s="111">
        <f t="shared" si="17"/>
        <v>0</v>
      </c>
      <c r="G35" s="111">
        <f t="shared" ref="G35:J35" si="18">SUM(G33:G34)</f>
        <v>0</v>
      </c>
      <c r="H35" s="111">
        <f t="shared" si="18"/>
        <v>31849</v>
      </c>
      <c r="I35" s="111">
        <f t="shared" si="18"/>
        <v>0</v>
      </c>
      <c r="J35" s="111">
        <f t="shared" si="18"/>
        <v>9235</v>
      </c>
      <c r="K35" s="127">
        <f>SUM(B35:J35)</f>
        <v>41084</v>
      </c>
    </row>
    <row r="36" spans="1:11" hidden="1" x14ac:dyDescent="0.2">
      <c r="A36" s="43"/>
      <c r="B36" s="117"/>
      <c r="C36" s="117"/>
      <c r="D36" s="347"/>
      <c r="E36" s="117"/>
      <c r="F36" s="117"/>
      <c r="G36" s="117"/>
      <c r="H36" s="117"/>
      <c r="I36" s="117"/>
      <c r="J36" s="117"/>
      <c r="K36" s="110"/>
    </row>
    <row r="37" spans="1:11" hidden="1" x14ac:dyDescent="0.2">
      <c r="A37" s="43" t="s">
        <v>42</v>
      </c>
      <c r="B37" s="117"/>
      <c r="C37" s="117"/>
      <c r="D37" s="347"/>
      <c r="E37" s="117"/>
      <c r="F37" s="117"/>
      <c r="G37" s="117"/>
      <c r="H37" s="117"/>
      <c r="I37" s="117"/>
      <c r="J37" s="117"/>
      <c r="K37" s="110"/>
    </row>
    <row r="38" spans="1:11" hidden="1" x14ac:dyDescent="0.2">
      <c r="A38" s="43" t="s">
        <v>37</v>
      </c>
      <c r="B38" s="117">
        <f>[3]Frontier!$JK$57</f>
        <v>0</v>
      </c>
      <c r="C38" s="117">
        <f>'[3]Allegiant '!$JK$57</f>
        <v>0</v>
      </c>
      <c r="D38" s="347">
        <f>'[3]Aer Lingus'!$JK$57</f>
        <v>0</v>
      </c>
      <c r="E38" s="117">
        <f>'[3]Denver Air'!$JK$57</f>
        <v>0</v>
      </c>
      <c r="F38" s="117">
        <f>[3]WestJet!$JK$57</f>
        <v>0</v>
      </c>
      <c r="G38" s="117">
        <f>[3]Icelandair!$JK$57</f>
        <v>0</v>
      </c>
      <c r="H38" s="117">
        <f>[3]Southwest!$JK$57</f>
        <v>0</v>
      </c>
      <c r="I38" s="117">
        <f>'[3]Sun Country'!$JK$57</f>
        <v>0</v>
      </c>
      <c r="J38" s="117">
        <f>[3]Alaska!$JK$57</f>
        <v>0</v>
      </c>
      <c r="K38" s="110">
        <f>SUM(B38:I38)</f>
        <v>0</v>
      </c>
    </row>
    <row r="39" spans="1:11" hidden="1" x14ac:dyDescent="0.2">
      <c r="A39" s="43" t="s">
        <v>38</v>
      </c>
      <c r="B39" s="120">
        <f>[3]Frontier!$JK$58</f>
        <v>0</v>
      </c>
      <c r="C39" s="120">
        <f>'[3]Allegiant '!$JK$58</f>
        <v>0</v>
      </c>
      <c r="D39" s="120">
        <f>'[3]Aer Lingus'!$JK$58</f>
        <v>0</v>
      </c>
      <c r="E39" s="120">
        <f>'[3]Denver Air'!$JK$58</f>
        <v>0</v>
      </c>
      <c r="F39" s="120">
        <f>[3]WestJet!$JK$58</f>
        <v>0</v>
      </c>
      <c r="G39" s="120">
        <f>[3]Icelandair!$JK$58</f>
        <v>0</v>
      </c>
      <c r="H39" s="120">
        <f>[3]Southwest!$JK$58</f>
        <v>0</v>
      </c>
      <c r="I39" s="120">
        <f>'[3]Sun Country'!$JK$58</f>
        <v>0</v>
      </c>
      <c r="J39" s="120">
        <f>[3]Alaska!$JK$58</f>
        <v>0</v>
      </c>
      <c r="K39" s="126">
        <f>SUM(B39:I39)</f>
        <v>0</v>
      </c>
    </row>
    <row r="40" spans="1:11" hidden="1" x14ac:dyDescent="0.2">
      <c r="A40" s="47" t="s">
        <v>43</v>
      </c>
      <c r="B40" s="128">
        <f t="shared" ref="B40" si="19">SUM(B38:B39)</f>
        <v>0</v>
      </c>
      <c r="C40" s="128">
        <f t="shared" ref="C40:F40" si="20">SUM(C38:C39)</f>
        <v>0</v>
      </c>
      <c r="D40" s="350">
        <f t="shared" si="20"/>
        <v>0</v>
      </c>
      <c r="E40" s="128">
        <f t="shared" si="20"/>
        <v>0</v>
      </c>
      <c r="F40" s="128">
        <f t="shared" si="20"/>
        <v>0</v>
      </c>
      <c r="G40" s="128">
        <f t="shared" ref="G40:J40" si="21">SUM(G38:G39)</f>
        <v>0</v>
      </c>
      <c r="H40" s="128">
        <f t="shared" si="21"/>
        <v>0</v>
      </c>
      <c r="I40" s="128">
        <f t="shared" si="21"/>
        <v>0</v>
      </c>
      <c r="J40" s="128">
        <f t="shared" si="21"/>
        <v>0</v>
      </c>
      <c r="K40" s="110">
        <f>SUM(B40:I40)</f>
        <v>0</v>
      </c>
    </row>
    <row r="41" spans="1:11" x14ac:dyDescent="0.2">
      <c r="A41" s="43"/>
      <c r="B41" s="117"/>
      <c r="C41" s="117"/>
      <c r="D41" s="347"/>
      <c r="E41" s="117"/>
      <c r="F41" s="117"/>
      <c r="G41" s="117"/>
      <c r="H41" s="117"/>
      <c r="I41" s="117"/>
      <c r="J41" s="117"/>
      <c r="K41" s="110"/>
    </row>
    <row r="42" spans="1:11" x14ac:dyDescent="0.2">
      <c r="A42" s="43" t="s">
        <v>44</v>
      </c>
      <c r="B42" s="117"/>
      <c r="C42" s="117"/>
      <c r="D42" s="347"/>
      <c r="E42" s="117"/>
      <c r="F42" s="117"/>
      <c r="G42" s="117"/>
      <c r="H42" s="117"/>
      <c r="I42" s="117"/>
      <c r="J42" s="117"/>
      <c r="K42" s="110"/>
    </row>
    <row r="43" spans="1:11" x14ac:dyDescent="0.2">
      <c r="A43" s="43" t="s">
        <v>45</v>
      </c>
      <c r="B43" s="117">
        <f t="shared" ref="B43" si="22">B28+B33+B38</f>
        <v>0</v>
      </c>
      <c r="C43" s="117">
        <f t="shared" ref="C43:F43" si="23">C28+C33+C38</f>
        <v>0</v>
      </c>
      <c r="D43" s="347">
        <f t="shared" si="23"/>
        <v>0</v>
      </c>
      <c r="E43" s="117">
        <f t="shared" si="23"/>
        <v>0</v>
      </c>
      <c r="F43" s="117">
        <f t="shared" si="23"/>
        <v>0</v>
      </c>
      <c r="G43" s="117">
        <f t="shared" ref="G43:J43" si="24">G28+G33+G38</f>
        <v>2663</v>
      </c>
      <c r="H43" s="117">
        <f t="shared" si="24"/>
        <v>203129</v>
      </c>
      <c r="I43" s="117">
        <f t="shared" si="24"/>
        <v>0</v>
      </c>
      <c r="J43" s="117">
        <f t="shared" si="24"/>
        <v>17614</v>
      </c>
      <c r="K43" s="110">
        <f>SUM(B43:J43)</f>
        <v>223406</v>
      </c>
    </row>
    <row r="44" spans="1:11" x14ac:dyDescent="0.2">
      <c r="A44" s="43" t="s">
        <v>38</v>
      </c>
      <c r="B44" s="120">
        <f t="shared" ref="B44" si="25">+B39+B34+B29</f>
        <v>0</v>
      </c>
      <c r="C44" s="120">
        <f t="shared" ref="C44:F44" si="26">+C39+C34+C29</f>
        <v>0</v>
      </c>
      <c r="D44" s="120">
        <f t="shared" si="26"/>
        <v>0</v>
      </c>
      <c r="E44" s="120">
        <f t="shared" si="26"/>
        <v>0</v>
      </c>
      <c r="F44" s="120">
        <f t="shared" si="26"/>
        <v>0</v>
      </c>
      <c r="G44" s="120">
        <f t="shared" ref="G44:J44" si="27">+G39+G34+G29</f>
        <v>0</v>
      </c>
      <c r="H44" s="120">
        <f t="shared" si="27"/>
        <v>0</v>
      </c>
      <c r="I44" s="120">
        <f t="shared" si="27"/>
        <v>0</v>
      </c>
      <c r="J44" s="120">
        <f t="shared" si="27"/>
        <v>662</v>
      </c>
      <c r="K44" s="110">
        <f>SUM(B44:J44)</f>
        <v>662</v>
      </c>
    </row>
    <row r="45" spans="1:11" ht="15.75" thickBot="1" x14ac:dyDescent="0.3">
      <c r="A45" s="44" t="s">
        <v>46</v>
      </c>
      <c r="B45" s="129">
        <f t="shared" ref="B45" si="28">B43+B44</f>
        <v>0</v>
      </c>
      <c r="C45" s="129">
        <f t="shared" ref="C45:F45" si="29">C43+C44</f>
        <v>0</v>
      </c>
      <c r="D45" s="129">
        <f t="shared" si="29"/>
        <v>0</v>
      </c>
      <c r="E45" s="129">
        <f t="shared" si="29"/>
        <v>0</v>
      </c>
      <c r="F45" s="129">
        <f t="shared" si="29"/>
        <v>0</v>
      </c>
      <c r="G45" s="129">
        <f t="shared" ref="G45:J45" si="30">G43+G44</f>
        <v>2663</v>
      </c>
      <c r="H45" s="129">
        <f t="shared" si="30"/>
        <v>203129</v>
      </c>
      <c r="I45" s="129">
        <f t="shared" si="30"/>
        <v>0</v>
      </c>
      <c r="J45" s="129">
        <f t="shared" si="30"/>
        <v>18276</v>
      </c>
      <c r="K45" s="130">
        <f>SUM(B45:J45)</f>
        <v>224068</v>
      </c>
    </row>
    <row r="48" spans="1:11" x14ac:dyDescent="0.2">
      <c r="A48" s="264" t="s">
        <v>120</v>
      </c>
      <c r="B48" s="275"/>
      <c r="C48" s="275"/>
      <c r="D48" s="275"/>
      <c r="E48" s="275"/>
      <c r="F48" s="275"/>
      <c r="H48" s="231">
        <f>[3]Southwest!$JK$70+[3]Southwest!$JK$73</f>
        <v>0</v>
      </c>
      <c r="I48" s="231">
        <f>'[3]Sun Country'!$JK$70+'[3]Sun Country'!$JK$73</f>
        <v>0</v>
      </c>
      <c r="J48" s="275"/>
      <c r="K48" s="220">
        <f>SUM(B48:J48)</f>
        <v>0</v>
      </c>
    </row>
    <row r="49" spans="1:11" x14ac:dyDescent="0.2">
      <c r="A49" s="277" t="s">
        <v>121</v>
      </c>
      <c r="B49" s="275"/>
      <c r="C49" s="275"/>
      <c r="D49" s="275"/>
      <c r="E49" s="275"/>
      <c r="F49" s="275"/>
      <c r="H49" s="231">
        <f>[3]Southwest!$JK$71+[3]Southwest!$JK$74</f>
        <v>0</v>
      </c>
      <c r="I49" s="231">
        <f>'[3]Sun Country'!$JK$71+'[3]Sun Country'!$JK$74</f>
        <v>0</v>
      </c>
      <c r="J49" s="275"/>
      <c r="K49" s="220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April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N5" sqref="N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45748</v>
      </c>
      <c r="B2" s="392" t="s">
        <v>154</v>
      </c>
      <c r="C2" s="392" t="s">
        <v>156</v>
      </c>
      <c r="D2" s="392" t="s">
        <v>162</v>
      </c>
      <c r="E2" s="392" t="s">
        <v>161</v>
      </c>
      <c r="F2" s="392" t="s">
        <v>181</v>
      </c>
      <c r="G2" s="392" t="s">
        <v>166</v>
      </c>
      <c r="H2" s="392" t="s">
        <v>169</v>
      </c>
      <c r="I2" s="392" t="s">
        <v>165</v>
      </c>
      <c r="J2" s="392" t="s">
        <v>115</v>
      </c>
      <c r="K2" s="392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[3]Pinnacle!$JK$22+[3]Pinnacle!$JK$32</f>
        <v>78175</v>
      </c>
      <c r="C5" s="79">
        <f>[3]MESA_UA!$JK$22</f>
        <v>5302</v>
      </c>
      <c r="D5" s="87">
        <f>'[3]Sky West'!$JK$22+'[3]Sky West'!$JK$32</f>
        <v>109156</v>
      </c>
      <c r="E5" s="87">
        <f>'[3]Sky West_UA'!$JK$22</f>
        <v>3264</v>
      </c>
      <c r="F5" s="87">
        <f>'[3]Sky West_AA'!$JK$22</f>
        <v>0</v>
      </c>
      <c r="G5" s="87">
        <f>[3]Republic!$JK$22</f>
        <v>6008</v>
      </c>
      <c r="H5" s="87">
        <f>[3]Republic_UA!$JK$22</f>
        <v>4176</v>
      </c>
      <c r="I5" s="87">
        <f>'[3]American Eagle'!$JK$22</f>
        <v>2917</v>
      </c>
      <c r="J5" s="87">
        <f>'Other Regional'!I5</f>
        <v>9577</v>
      </c>
      <c r="K5" s="80">
        <f>SUM(B5:J5)</f>
        <v>218575</v>
      </c>
    </row>
    <row r="6" spans="1:14" s="6" customFormat="1" x14ac:dyDescent="0.2">
      <c r="A6" s="43" t="s">
        <v>31</v>
      </c>
      <c r="B6" s="79">
        <f>[3]Pinnacle!$JK$23+[3]Pinnacle!$JK$33</f>
        <v>76493</v>
      </c>
      <c r="C6" s="79">
        <f>[3]MESA_UA!$JK$23</f>
        <v>4814</v>
      </c>
      <c r="D6" s="87">
        <f>'[3]Sky West'!$JK$23+'[3]Sky West'!$JK$33</f>
        <v>110825</v>
      </c>
      <c r="E6" s="87">
        <f>'[3]Sky West_UA'!$JK$23</f>
        <v>2623</v>
      </c>
      <c r="F6" s="87">
        <f>'[3]Sky West_AA'!$JK$23</f>
        <v>0</v>
      </c>
      <c r="G6" s="87">
        <f>[3]Republic!$JK$23</f>
        <v>5674</v>
      </c>
      <c r="H6" s="87">
        <f>[3]Republic_UA!$JK$23</f>
        <v>3497</v>
      </c>
      <c r="I6" s="87">
        <f>'[3]American Eagle'!$JK$23</f>
        <v>2803</v>
      </c>
      <c r="J6" s="87">
        <f>'Other Regional'!I6</f>
        <v>7972</v>
      </c>
      <c r="K6" s="84">
        <f>SUM(B6:J6)</f>
        <v>214701</v>
      </c>
    </row>
    <row r="7" spans="1:14" ht="15" thickBot="1" x14ac:dyDescent="0.25">
      <c r="A7" s="52" t="s">
        <v>7</v>
      </c>
      <c r="B7" s="97">
        <f>SUM(B5:B6)</f>
        <v>154668</v>
      </c>
      <c r="C7" s="97">
        <f t="shared" ref="C7:J7" si="0">SUM(C5:C6)</f>
        <v>10116</v>
      </c>
      <c r="D7" s="97">
        <f t="shared" si="0"/>
        <v>219981</v>
      </c>
      <c r="E7" s="97">
        <f t="shared" si="0"/>
        <v>5887</v>
      </c>
      <c r="F7" s="97">
        <f t="shared" ref="F7" si="1">SUM(F5:F6)</f>
        <v>0</v>
      </c>
      <c r="G7" s="97">
        <f t="shared" si="0"/>
        <v>11682</v>
      </c>
      <c r="H7" s="97">
        <f t="shared" si="0"/>
        <v>7673</v>
      </c>
      <c r="I7" s="97">
        <f t="shared" si="0"/>
        <v>5720</v>
      </c>
      <c r="J7" s="97">
        <f t="shared" si="0"/>
        <v>17549</v>
      </c>
      <c r="K7" s="98">
        <f>SUM(B7:J7)</f>
        <v>433276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[3]Pinnacle!$JK$27+[3]Pinnacle!$JK$37</f>
        <v>2370</v>
      </c>
      <c r="C10" s="79">
        <f>[3]MESA_UA!$JK$27</f>
        <v>185</v>
      </c>
      <c r="D10" s="87">
        <f>'[3]Sky West'!$JK$27+'[3]Sky West'!$JK$37</f>
        <v>3614</v>
      </c>
      <c r="E10" s="87">
        <f>'[3]Sky West_UA'!$JK$27</f>
        <v>110</v>
      </c>
      <c r="F10" s="87">
        <f>'[3]Sky West_AA'!$JK$27</f>
        <v>0</v>
      </c>
      <c r="G10" s="87">
        <f>[3]Republic!$JK$27</f>
        <v>254</v>
      </c>
      <c r="H10" s="87">
        <f>[3]Republic_UA!$JK$27</f>
        <v>103</v>
      </c>
      <c r="I10" s="87">
        <f>'[3]American Eagle'!$JK$27</f>
        <v>140</v>
      </c>
      <c r="J10" s="87">
        <f>'Other Regional'!I10</f>
        <v>213</v>
      </c>
      <c r="K10" s="80">
        <f>SUM(B10:J10)</f>
        <v>6989</v>
      </c>
    </row>
    <row r="11" spans="1:14" x14ac:dyDescent="0.2">
      <c r="A11" s="43" t="s">
        <v>33</v>
      </c>
      <c r="B11" s="79">
        <f>[3]Pinnacle!$JK$28+[3]Pinnacle!$JK$38</f>
        <v>2187</v>
      </c>
      <c r="C11" s="79">
        <f>[3]MESA_UA!$JK$28</f>
        <v>205</v>
      </c>
      <c r="D11" s="87">
        <f>'[3]Sky West'!$JK$28+'[3]Sky West'!$JK$38</f>
        <v>3476</v>
      </c>
      <c r="E11" s="87">
        <f>'[3]Sky West_UA'!$JK$28</f>
        <v>135</v>
      </c>
      <c r="F11" s="87">
        <f>'[3]Sky West_AA'!$JK$28</f>
        <v>0</v>
      </c>
      <c r="G11" s="87">
        <f>[3]Republic!$JK$28</f>
        <v>235</v>
      </c>
      <c r="H11" s="87">
        <f>[3]Republic_UA!$JK$28</f>
        <v>171</v>
      </c>
      <c r="I11" s="87">
        <f>'[3]American Eagle'!$JK$28</f>
        <v>137</v>
      </c>
      <c r="J11" s="87">
        <f>'Other Regional'!I11</f>
        <v>261</v>
      </c>
      <c r="K11" s="84">
        <f>SUM(B11:J11)</f>
        <v>6807</v>
      </c>
    </row>
    <row r="12" spans="1:14" ht="15" thickBot="1" x14ac:dyDescent="0.25">
      <c r="A12" s="53" t="s">
        <v>34</v>
      </c>
      <c r="B12" s="100">
        <f t="shared" ref="B12:J12" si="2">SUM(B10:B11)</f>
        <v>4557</v>
      </c>
      <c r="C12" s="100">
        <f t="shared" si="2"/>
        <v>390</v>
      </c>
      <c r="D12" s="100">
        <f t="shared" si="2"/>
        <v>7090</v>
      </c>
      <c r="E12" s="100">
        <f t="shared" si="2"/>
        <v>245</v>
      </c>
      <c r="F12" s="100">
        <f t="shared" ref="F12" si="3">SUM(F10:F11)</f>
        <v>0</v>
      </c>
      <c r="G12" s="100">
        <f t="shared" si="2"/>
        <v>489</v>
      </c>
      <c r="H12" s="100">
        <f t="shared" si="2"/>
        <v>274</v>
      </c>
      <c r="I12" s="100">
        <f t="shared" si="2"/>
        <v>277</v>
      </c>
      <c r="J12" s="100">
        <f t="shared" si="2"/>
        <v>474</v>
      </c>
      <c r="K12" s="101">
        <f>SUM(B12:J12)</f>
        <v>13796</v>
      </c>
    </row>
    <row r="13" spans="1:14" ht="13.5" thickBot="1" x14ac:dyDescent="0.25">
      <c r="B13" s="87"/>
    </row>
    <row r="14" spans="1:14" ht="15.75" thickTop="1" x14ac:dyDescent="0.25">
      <c r="A14" s="42" t="s">
        <v>9</v>
      </c>
      <c r="B14" s="424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[3]Pinnacle!$JK$4+[3]Pinnacle!$JK$15</f>
        <v>1260</v>
      </c>
      <c r="C15" s="78">
        <f>[3]MESA_UA!$JK$4</f>
        <v>81</v>
      </c>
      <c r="D15" s="77">
        <f>'[3]Sky West'!$JK$4+'[3]Sky West'!$JK$15</f>
        <v>2093</v>
      </c>
      <c r="E15" s="77">
        <f>'[3]Sky West_UA'!$JK$4</f>
        <v>51</v>
      </c>
      <c r="F15" s="77">
        <f>'[3]Sky West_AA'!$JK$4</f>
        <v>0</v>
      </c>
      <c r="G15" s="79">
        <f>[3]Republic!$JK$4</f>
        <v>99</v>
      </c>
      <c r="H15" s="321">
        <f>[3]Republic_UA!$JK$4</f>
        <v>60</v>
      </c>
      <c r="I15" s="79">
        <f>'[3]American Eagle'!$JK$4</f>
        <v>57</v>
      </c>
      <c r="J15" s="78">
        <f>'Other Regional'!I15</f>
        <v>172</v>
      </c>
      <c r="K15" s="80">
        <f t="shared" si="4"/>
        <v>3873</v>
      </c>
    </row>
    <row r="16" spans="1:14" x14ac:dyDescent="0.2">
      <c r="A16" s="43" t="s">
        <v>54</v>
      </c>
      <c r="B16" s="7">
        <f>[3]Pinnacle!$JK$5+[3]Pinnacle!$JK$16</f>
        <v>1259</v>
      </c>
      <c r="C16" s="82">
        <f>[3]MESA_UA!$JK$5</f>
        <v>81</v>
      </c>
      <c r="D16" s="81">
        <f>'[3]Sky West'!$JK$5+'[3]Sky West'!$JK$16</f>
        <v>2093</v>
      </c>
      <c r="E16" s="81">
        <f>'[3]Sky West_UA'!$JK$5</f>
        <v>51</v>
      </c>
      <c r="F16" s="81">
        <f>'[3]Sky West_AA'!$JK$5</f>
        <v>0</v>
      </c>
      <c r="G16" s="83">
        <f>[3]Republic!$JK$5</f>
        <v>98</v>
      </c>
      <c r="H16" s="208">
        <f>[3]Republic_UA!$JK$5</f>
        <v>60</v>
      </c>
      <c r="I16" s="83">
        <f>'[3]American Eagle'!$JK$5</f>
        <v>56</v>
      </c>
      <c r="J16" s="82">
        <f>'Other Regional'!I16</f>
        <v>172</v>
      </c>
      <c r="K16" s="84">
        <f t="shared" si="4"/>
        <v>3870</v>
      </c>
      <c r="M16" s="87"/>
      <c r="N16" s="87"/>
    </row>
    <row r="17" spans="1:11" x14ac:dyDescent="0.2">
      <c r="A17" s="47" t="s">
        <v>55</v>
      </c>
      <c r="B17" s="85">
        <f t="shared" ref="B17:E17" si="5">SUM(B15:B16)</f>
        <v>2519</v>
      </c>
      <c r="C17" s="85">
        <f t="shared" si="5"/>
        <v>162</v>
      </c>
      <c r="D17" s="85">
        <f t="shared" si="5"/>
        <v>4186</v>
      </c>
      <c r="E17" s="85">
        <f t="shared" si="5"/>
        <v>102</v>
      </c>
      <c r="F17" s="85">
        <f t="shared" ref="F17" si="6">SUM(F15:F16)</f>
        <v>0</v>
      </c>
      <c r="G17" s="85">
        <f>SUM(G15:G16)</f>
        <v>197</v>
      </c>
      <c r="H17" s="85">
        <f t="shared" ref="H17" si="7">SUM(H15:H16)</f>
        <v>120</v>
      </c>
      <c r="I17" s="85">
        <f>SUM(I15:I16)</f>
        <v>113</v>
      </c>
      <c r="J17" s="85">
        <f>SUM(J15:J16)</f>
        <v>344</v>
      </c>
      <c r="K17" s="86">
        <f t="shared" si="4"/>
        <v>7743</v>
      </c>
    </row>
    <row r="18" spans="1:11" x14ac:dyDescent="0.2">
      <c r="A18" s="43" t="s">
        <v>56</v>
      </c>
      <c r="B18" s="87">
        <f>[3]Pinnacle!$JK$8</f>
        <v>0</v>
      </c>
      <c r="C18" s="79">
        <f>[3]MESA_UA!$JK$8</f>
        <v>0</v>
      </c>
      <c r="D18" s="87">
        <f>'[3]Sky West'!$JK$8</f>
        <v>0</v>
      </c>
      <c r="E18" s="87">
        <f>'[3]Sky West_UA'!$JK$8</f>
        <v>0</v>
      </c>
      <c r="F18" s="87">
        <f>'[3]Sky West_AA'!$JK$8</f>
        <v>0</v>
      </c>
      <c r="G18" s="87">
        <f>[3]Republic!$JK$8</f>
        <v>0</v>
      </c>
      <c r="H18" s="87">
        <f>[3]Republic_UA!$JK$8</f>
        <v>0</v>
      </c>
      <c r="I18" s="87">
        <f>'[3]American Eagle'!$JK$8</f>
        <v>0</v>
      </c>
      <c r="J18" s="87">
        <f>'Other Regional'!I18</f>
        <v>0</v>
      </c>
      <c r="K18" s="80">
        <f t="shared" si="4"/>
        <v>0</v>
      </c>
    </row>
    <row r="19" spans="1:11" x14ac:dyDescent="0.2">
      <c r="A19" s="43" t="s">
        <v>57</v>
      </c>
      <c r="B19" s="88">
        <f>[3]Pinnacle!$JK$9</f>
        <v>2</v>
      </c>
      <c r="C19" s="83">
        <f>[3]MESA_UA!$JK$9</f>
        <v>0</v>
      </c>
      <c r="D19" s="88">
        <f>'[3]Sky West'!$JK$9</f>
        <v>0</v>
      </c>
      <c r="E19" s="88">
        <f>'[3]Sky West_UA'!$JK$9</f>
        <v>0</v>
      </c>
      <c r="F19" s="88">
        <f>'[3]Sky West_AA'!$JK$9</f>
        <v>0</v>
      </c>
      <c r="G19" s="88">
        <f>[3]Republic!$JK$9</f>
        <v>0</v>
      </c>
      <c r="H19" s="88">
        <f>[3]Republic_UA!$JK$9</f>
        <v>0</v>
      </c>
      <c r="I19" s="88">
        <f>'[3]American Eagle'!$JK$9</f>
        <v>0</v>
      </c>
      <c r="J19" s="88">
        <f>'Other Regional'!I19</f>
        <v>0</v>
      </c>
      <c r="K19" s="84">
        <f t="shared" si="4"/>
        <v>2</v>
      </c>
    </row>
    <row r="20" spans="1:11" x14ac:dyDescent="0.2">
      <c r="A20" s="47" t="s">
        <v>58</v>
      </c>
      <c r="B20" s="85">
        <f t="shared" ref="B20:J20" si="8">SUM(B18:B19)</f>
        <v>2</v>
      </c>
      <c r="C20" s="85">
        <f t="shared" si="8"/>
        <v>0</v>
      </c>
      <c r="D20" s="85">
        <f t="shared" si="8"/>
        <v>0</v>
      </c>
      <c r="E20" s="85">
        <f t="shared" si="8"/>
        <v>0</v>
      </c>
      <c r="F20" s="85">
        <f t="shared" ref="F20" si="9">SUM(F18:F19)</f>
        <v>0</v>
      </c>
      <c r="G20" s="85">
        <f t="shared" si="8"/>
        <v>0</v>
      </c>
      <c r="H20" s="85">
        <f t="shared" si="8"/>
        <v>0</v>
      </c>
      <c r="I20" s="85">
        <f t="shared" si="8"/>
        <v>0</v>
      </c>
      <c r="J20" s="85">
        <f t="shared" si="8"/>
        <v>0</v>
      </c>
      <c r="K20" s="86">
        <f t="shared" si="4"/>
        <v>2</v>
      </c>
    </row>
    <row r="21" spans="1:11" ht="15.75" thickBot="1" x14ac:dyDescent="0.3">
      <c r="A21" s="51" t="s">
        <v>28</v>
      </c>
      <c r="B21" s="89">
        <f>SUM(B20,B17)</f>
        <v>2521</v>
      </c>
      <c r="C21" s="89">
        <f t="shared" ref="C21:I21" si="10">SUM(C20,C17)</f>
        <v>162</v>
      </c>
      <c r="D21" s="89">
        <f t="shared" si="10"/>
        <v>4186</v>
      </c>
      <c r="E21" s="89">
        <f t="shared" si="10"/>
        <v>102</v>
      </c>
      <c r="F21" s="89">
        <f t="shared" ref="F21" si="11">SUM(F20,F17)</f>
        <v>0</v>
      </c>
      <c r="G21" s="89">
        <f t="shared" si="10"/>
        <v>197</v>
      </c>
      <c r="H21" s="89">
        <f t="shared" si="10"/>
        <v>120</v>
      </c>
      <c r="I21" s="89">
        <f t="shared" si="10"/>
        <v>113</v>
      </c>
      <c r="J21" s="89">
        <f>SUM(J20,J17)</f>
        <v>344</v>
      </c>
      <c r="K21" s="90">
        <f t="shared" si="4"/>
        <v>7745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[3]Pinnacle!$JK$47</f>
        <v>0</v>
      </c>
      <c r="C25" s="79">
        <f>[3]MESA_UA!$JK$47</f>
        <v>0</v>
      </c>
      <c r="D25" s="87">
        <f>'[3]Sky West'!$JK$47</f>
        <v>0</v>
      </c>
      <c r="E25" s="87">
        <f>'[3]Sky West_UA'!$JK$47</f>
        <v>0</v>
      </c>
      <c r="F25" s="87">
        <f>'[3]Sky West_AA'!$JK$47</f>
        <v>0</v>
      </c>
      <c r="G25" s="87">
        <f>[3]Republic!$JK$47</f>
        <v>1890</v>
      </c>
      <c r="H25" s="87">
        <f>[3]Republic_UA!$JK$47</f>
        <v>0</v>
      </c>
      <c r="I25" s="87">
        <f>'[3]American Eagle'!$JK$47</f>
        <v>207</v>
      </c>
      <c r="J25" s="87">
        <f>'Other Regional'!I25</f>
        <v>6626.1</v>
      </c>
      <c r="K25" s="80">
        <f>SUM(B25:J25)</f>
        <v>8723.1</v>
      </c>
    </row>
    <row r="26" spans="1:11" x14ac:dyDescent="0.2">
      <c r="A26" s="43" t="s">
        <v>38</v>
      </c>
      <c r="B26" s="87">
        <f>[3]Pinnacle!$JK$48</f>
        <v>0</v>
      </c>
      <c r="C26" s="79">
        <f>[3]MESA_UA!$JK$48</f>
        <v>0</v>
      </c>
      <c r="D26" s="87">
        <f>'[3]Sky West'!$JK$48</f>
        <v>0</v>
      </c>
      <c r="E26" s="87">
        <f>'[3]Sky West_UA'!$JK$48</f>
        <v>0</v>
      </c>
      <c r="F26" s="87">
        <f>'[3]Sky West_AA'!$JK$48</f>
        <v>0</v>
      </c>
      <c r="G26" s="87">
        <f>[3]Republic!$JK$48</f>
        <v>0</v>
      </c>
      <c r="H26" s="87">
        <f>[3]Republic_UA!$JK$48</f>
        <v>0</v>
      </c>
      <c r="I26" s="87">
        <f>'[3]American Eagle'!$JK$48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2">SUM(B25:B26)</f>
        <v>0</v>
      </c>
      <c r="C27" s="97">
        <f t="shared" si="12"/>
        <v>0</v>
      </c>
      <c r="D27" s="97">
        <f t="shared" si="12"/>
        <v>0</v>
      </c>
      <c r="E27" s="97">
        <f t="shared" si="12"/>
        <v>0</v>
      </c>
      <c r="F27" s="97">
        <f t="shared" ref="F27" si="13">SUM(F25:F26)</f>
        <v>0</v>
      </c>
      <c r="G27" s="97">
        <f t="shared" si="12"/>
        <v>1890</v>
      </c>
      <c r="H27" s="97">
        <f t="shared" si="12"/>
        <v>0</v>
      </c>
      <c r="I27" s="97">
        <f t="shared" si="12"/>
        <v>207</v>
      </c>
      <c r="J27" s="97">
        <f t="shared" si="12"/>
        <v>6626.1</v>
      </c>
      <c r="K27" s="98">
        <f>SUM(B27:J27)</f>
        <v>8723.1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[3]Pinnacle!$JK$52</f>
        <v>0</v>
      </c>
      <c r="C30" s="79">
        <f>[3]MESA_UA!$JK$52</f>
        <v>0</v>
      </c>
      <c r="D30" s="87">
        <f>'[3]Sky West'!$JK$52</f>
        <v>0</v>
      </c>
      <c r="E30" s="87">
        <f>'[3]Sky West_UA'!$JK$52</f>
        <v>0</v>
      </c>
      <c r="F30" s="87">
        <f>'[3]Sky West_AA'!$JK$52</f>
        <v>0</v>
      </c>
      <c r="G30" s="87">
        <f>[3]Republic!$JK$52</f>
        <v>200</v>
      </c>
      <c r="H30" s="87">
        <f>[3]Republic_UA!$JK$52</f>
        <v>0</v>
      </c>
      <c r="I30" s="87">
        <f>'[3]American Eagle'!$JK$52</f>
        <v>0</v>
      </c>
      <c r="J30" s="87">
        <f>'Other Regional'!I30</f>
        <v>5625.5</v>
      </c>
      <c r="K30" s="80">
        <f t="shared" ref="K30:K37" si="14">SUM(B30:J30)</f>
        <v>5825.5</v>
      </c>
    </row>
    <row r="31" spans="1:11" x14ac:dyDescent="0.2">
      <c r="A31" s="43" t="s">
        <v>60</v>
      </c>
      <c r="B31" s="87">
        <f>[3]Pinnacle!$JK$53</f>
        <v>0</v>
      </c>
      <c r="C31" s="79">
        <f>[3]MESA_UA!$JK$53</f>
        <v>0</v>
      </c>
      <c r="D31" s="87">
        <f>'[3]Sky West'!$JK$53</f>
        <v>0</v>
      </c>
      <c r="E31" s="87">
        <f>'[3]Sky West_UA'!$JK$53</f>
        <v>0</v>
      </c>
      <c r="F31" s="87">
        <f>'[3]Sky West_AA'!$JK$53</f>
        <v>0</v>
      </c>
      <c r="G31" s="87">
        <f>[3]Republic!$JK$53</f>
        <v>0</v>
      </c>
      <c r="H31" s="87">
        <f>[3]Republic_UA!$JK$53</f>
        <v>0</v>
      </c>
      <c r="I31" s="87">
        <f>'[3]American Eagle'!$JK$53</f>
        <v>0</v>
      </c>
      <c r="J31" s="87">
        <f>'Other Regional'!I31</f>
        <v>0</v>
      </c>
      <c r="K31" s="80">
        <f t="shared" si="14"/>
        <v>0</v>
      </c>
    </row>
    <row r="32" spans="1:11" ht="15" thickBot="1" x14ac:dyDescent="0.25">
      <c r="A32" s="52" t="s">
        <v>41</v>
      </c>
      <c r="B32" s="97">
        <f t="shared" ref="B32:I32" si="15">SUM(B30:B31)</f>
        <v>0</v>
      </c>
      <c r="C32" s="97">
        <f t="shared" si="15"/>
        <v>0</v>
      </c>
      <c r="D32" s="97">
        <f t="shared" si="15"/>
        <v>0</v>
      </c>
      <c r="E32" s="97">
        <f t="shared" si="15"/>
        <v>0</v>
      </c>
      <c r="F32" s="97">
        <f t="shared" ref="F32" si="16">SUM(F30:F31)</f>
        <v>0</v>
      </c>
      <c r="G32" s="97">
        <f t="shared" si="15"/>
        <v>200</v>
      </c>
      <c r="H32" s="97">
        <f t="shared" si="15"/>
        <v>0</v>
      </c>
      <c r="I32" s="97">
        <f t="shared" si="15"/>
        <v>0</v>
      </c>
      <c r="J32" s="97">
        <f>SUM(J30:J31)</f>
        <v>5625.5</v>
      </c>
      <c r="K32" s="98">
        <f t="shared" si="14"/>
        <v>5825.5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4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4"/>
        <v>0</v>
      </c>
    </row>
    <row r="35" spans="1:11" ht="13.5" hidden="1" thickTop="1" x14ac:dyDescent="0.2">
      <c r="A35" s="43" t="s">
        <v>37</v>
      </c>
      <c r="B35" s="87">
        <f>[3]Pinnacle!$JK$57</f>
        <v>0</v>
      </c>
      <c r="C35" s="79">
        <f>[3]MESA_UA!$JK$57</f>
        <v>0</v>
      </c>
      <c r="D35" s="87">
        <f>'[3]Sky West'!$JK$57</f>
        <v>0</v>
      </c>
      <c r="E35" s="87">
        <f>'[3]Sky West_UA'!$JK$57</f>
        <v>0</v>
      </c>
      <c r="F35" s="87">
        <f>'[3]Sky West_AA'!$JK$57</f>
        <v>0</v>
      </c>
      <c r="G35" s="87">
        <f>[3]Republic!$JK$57</f>
        <v>0</v>
      </c>
      <c r="H35" s="87">
        <f>[3]Republic!$JK$57</f>
        <v>0</v>
      </c>
      <c r="I35" s="87">
        <f>'[3]American Eagle'!$JK$57</f>
        <v>0</v>
      </c>
      <c r="J35" s="87">
        <f>'Other Regional'!I35</f>
        <v>0</v>
      </c>
      <c r="K35" s="80">
        <f t="shared" si="14"/>
        <v>0</v>
      </c>
    </row>
    <row r="36" spans="1:11" ht="13.5" hidden="1" thickTop="1" x14ac:dyDescent="0.2">
      <c r="A36" s="43" t="s">
        <v>38</v>
      </c>
      <c r="B36" s="87">
        <f>[3]Pinnacle!$JK$58</f>
        <v>0</v>
      </c>
      <c r="C36" s="79">
        <f>[3]MESA_UA!$JK$58</f>
        <v>0</v>
      </c>
      <c r="D36" s="87">
        <f>'[3]Sky West'!$JK$58</f>
        <v>0</v>
      </c>
      <c r="E36" s="87">
        <f>'[3]Sky West_UA'!$JK$58</f>
        <v>0</v>
      </c>
      <c r="F36" s="87">
        <f>'[3]Sky West_AA'!$JK$58</f>
        <v>0</v>
      </c>
      <c r="G36" s="87">
        <f>[3]Republic!$JK$58</f>
        <v>0</v>
      </c>
      <c r="H36" s="87">
        <f>[3]Republic!$JK$58</f>
        <v>0</v>
      </c>
      <c r="I36" s="87">
        <f>'[3]American Eagle'!$JK$58</f>
        <v>0</v>
      </c>
      <c r="J36" s="87">
        <f>'Other Regional'!I36</f>
        <v>0</v>
      </c>
      <c r="K36" s="80">
        <f t="shared" si="14"/>
        <v>0</v>
      </c>
    </row>
    <row r="37" spans="1:11" ht="13.5" hidden="1" thickTop="1" x14ac:dyDescent="0.2">
      <c r="A37" s="54" t="s">
        <v>43</v>
      </c>
      <c r="B37" s="105">
        <f t="shared" ref="B37:I37" si="17">SUM(B35:B36)</f>
        <v>0</v>
      </c>
      <c r="C37" s="105">
        <f t="shared" si="17"/>
        <v>0</v>
      </c>
      <c r="D37" s="105">
        <f t="shared" si="17"/>
        <v>0</v>
      </c>
      <c r="E37" s="105">
        <f t="shared" si="17"/>
        <v>0</v>
      </c>
      <c r="F37" s="105">
        <f t="shared" ref="F37" si="18">SUM(F35:F36)</f>
        <v>0</v>
      </c>
      <c r="G37" s="105">
        <f t="shared" si="17"/>
        <v>0</v>
      </c>
      <c r="H37" s="105">
        <f t="shared" si="17"/>
        <v>0</v>
      </c>
      <c r="I37" s="105">
        <f t="shared" si="17"/>
        <v>0</v>
      </c>
      <c r="J37" s="105">
        <f>SUM(J35:J36)</f>
        <v>0</v>
      </c>
      <c r="K37" s="107">
        <f t="shared" si="14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9">SUM(B35,B30,B25)</f>
        <v>0</v>
      </c>
      <c r="C40" s="87">
        <f>SUM(C35,C30,C25)</f>
        <v>0</v>
      </c>
      <c r="D40" s="87">
        <f t="shared" si="19"/>
        <v>0</v>
      </c>
      <c r="E40" s="87">
        <f t="shared" ref="E40:E42" si="20">SUM(E35,E30,E25)</f>
        <v>0</v>
      </c>
      <c r="F40" s="87">
        <f t="shared" ref="F40" si="21">SUM(F35,F30,F25)</f>
        <v>0</v>
      </c>
      <c r="G40" s="87">
        <f t="shared" si="19"/>
        <v>2090</v>
      </c>
      <c r="H40" s="87">
        <f t="shared" si="19"/>
        <v>0</v>
      </c>
      <c r="I40" s="87">
        <f>SUM(I35,I30,I25)</f>
        <v>207</v>
      </c>
      <c r="J40" s="87">
        <f>J35+J30+J25</f>
        <v>12251.6</v>
      </c>
      <c r="K40" s="80">
        <f>SUM(B40:J40)</f>
        <v>14548.6</v>
      </c>
    </row>
    <row r="41" spans="1:11" x14ac:dyDescent="0.2">
      <c r="A41" s="43" t="s">
        <v>38</v>
      </c>
      <c r="B41" s="87">
        <f t="shared" si="19"/>
        <v>0</v>
      </c>
      <c r="C41" s="87">
        <f>SUM(C36,C31,C26)</f>
        <v>0</v>
      </c>
      <c r="D41" s="87">
        <f t="shared" si="19"/>
        <v>0</v>
      </c>
      <c r="E41" s="87">
        <f t="shared" si="20"/>
        <v>0</v>
      </c>
      <c r="F41" s="87">
        <f t="shared" ref="F41" si="22">SUM(F36,F31,F26)</f>
        <v>0</v>
      </c>
      <c r="G41" s="87">
        <f t="shared" si="19"/>
        <v>0</v>
      </c>
      <c r="H41" s="87">
        <f t="shared" si="19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9"/>
        <v>0</v>
      </c>
      <c r="C42" s="100">
        <f>SUM(C37,C32,C27)</f>
        <v>0</v>
      </c>
      <c r="D42" s="100">
        <f t="shared" si="19"/>
        <v>0</v>
      </c>
      <c r="E42" s="100">
        <f t="shared" si="20"/>
        <v>0</v>
      </c>
      <c r="F42" s="100">
        <f t="shared" ref="F42" si="23">SUM(F37,F32,F27)</f>
        <v>0</v>
      </c>
      <c r="G42" s="100">
        <f t="shared" si="19"/>
        <v>2090</v>
      </c>
      <c r="H42" s="100">
        <f t="shared" si="19"/>
        <v>0</v>
      </c>
      <c r="I42" s="100">
        <f>SUM(I37,I32,I27)</f>
        <v>207</v>
      </c>
      <c r="J42" s="100">
        <f>SUM(J37,J32,J27)</f>
        <v>12251.6</v>
      </c>
      <c r="K42" s="101">
        <f>SUM(B42:J42)</f>
        <v>14548.6</v>
      </c>
    </row>
    <row r="44" spans="1:11" x14ac:dyDescent="0.2">
      <c r="A44" s="264" t="s">
        <v>120</v>
      </c>
      <c r="B44" s="230">
        <f>[3]Pinnacle!$JK$70+[3]Pinnacle!$JK$73</f>
        <v>25310</v>
      </c>
      <c r="D44" s="231">
        <f>'[3]Sky West'!$JK$70+'[3]Sky West'!$JK$73</f>
        <v>38496</v>
      </c>
      <c r="E44" s="2"/>
      <c r="F44" s="2"/>
      <c r="J44" s="231">
        <f>+'Other Regional'!I46</f>
        <v>0</v>
      </c>
      <c r="K44" s="220">
        <f>SUM(B44:J44)</f>
        <v>63806</v>
      </c>
    </row>
    <row r="45" spans="1:11" x14ac:dyDescent="0.2">
      <c r="A45" s="277" t="s">
        <v>121</v>
      </c>
      <c r="B45" s="230">
        <f>[3]Pinnacle!$JK$71+[3]Pinnacle!$JK$74</f>
        <v>51183</v>
      </c>
      <c r="D45" s="231">
        <f>'[3]Sky West'!$JK$71+'[3]Sky West'!$JK$74</f>
        <v>72329</v>
      </c>
      <c r="E45" s="2"/>
      <c r="F45" s="2"/>
      <c r="J45" s="231">
        <f>+'Other Regional'!I47</f>
        <v>0</v>
      </c>
      <c r="K45" s="220">
        <f>SUM(B45:J45)</f>
        <v>123512</v>
      </c>
    </row>
    <row r="46" spans="1:11" x14ac:dyDescent="0.2">
      <c r="A46" s="221" t="s">
        <v>122</v>
      </c>
      <c r="B46" s="222">
        <f>SUM(B44:B45)</f>
        <v>76493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April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K6" sqref="K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45748</v>
      </c>
      <c r="B2" s="393" t="s">
        <v>164</v>
      </c>
      <c r="C2" s="393" t="s">
        <v>163</v>
      </c>
      <c r="D2" s="393" t="s">
        <v>216</v>
      </c>
      <c r="E2" s="393" t="s">
        <v>206</v>
      </c>
      <c r="F2" s="393" t="s">
        <v>170</v>
      </c>
      <c r="G2" s="393" t="s">
        <v>167</v>
      </c>
      <c r="H2" s="393" t="s">
        <v>158</v>
      </c>
      <c r="I2" s="393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America'!$JK$22</f>
        <v>0</v>
      </c>
      <c r="C5" s="79">
        <f>'[3]Shuttle America_Delta'!$JK$22</f>
        <v>0</v>
      </c>
      <c r="D5" s="321">
        <f>'[3]Air Wisconsin'!$JK$22</f>
        <v>0</v>
      </c>
      <c r="E5" s="321">
        <f>[3]Jazz_AC!$JK$22+[3]Jazz_AC!$JK$32</f>
        <v>4106</v>
      </c>
      <c r="F5" s="321">
        <f>[3]PSA!$JK$22</f>
        <v>5471</v>
      </c>
      <c r="G5" s="79">
        <f>'[3]Continental Express'!$JK$22</f>
        <v>0</v>
      </c>
      <c r="H5" s="11">
        <f>'[3]Go Jet'!$JK$22+'[3]Go Jet'!$JK$32</f>
        <v>0</v>
      </c>
      <c r="I5" s="80">
        <f>SUM(B5:H5)</f>
        <v>9577</v>
      </c>
    </row>
    <row r="6" spans="1:9" s="6" customFormat="1" x14ac:dyDescent="0.2">
      <c r="A6" s="43" t="s">
        <v>31</v>
      </c>
      <c r="B6" s="79">
        <f>'[3]Shuttle America'!$JK$23</f>
        <v>0</v>
      </c>
      <c r="C6" s="79">
        <f>'[3]Shuttle America_Delta'!$JK$23</f>
        <v>0</v>
      </c>
      <c r="D6" s="321">
        <f>'[3]Air Wisconsin'!$JK$23</f>
        <v>0</v>
      </c>
      <c r="E6" s="321">
        <f>[3]Jazz_AC!$JK$23+[3]Jazz_AC!$JK$33</f>
        <v>3082</v>
      </c>
      <c r="F6" s="321">
        <f>[3]PSA!$JK$23</f>
        <v>4890</v>
      </c>
      <c r="G6" s="79">
        <f>'[3]Continental Express'!$JK$23</f>
        <v>0</v>
      </c>
      <c r="H6" s="7">
        <f>'[3]Go Jet'!$JK$23+'[3]Go Jet'!$JK$33</f>
        <v>0</v>
      </c>
      <c r="I6" s="84">
        <f>SUM(B6:H6)</f>
        <v>7972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7188</v>
      </c>
      <c r="F7" s="97">
        <f t="shared" si="0"/>
        <v>10361</v>
      </c>
      <c r="G7" s="97">
        <f t="shared" si="0"/>
        <v>0</v>
      </c>
      <c r="H7" s="97">
        <f>SUM(H5:H6)</f>
        <v>0</v>
      </c>
      <c r="I7" s="98">
        <f>SUM(B7:H7)</f>
        <v>17549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America'!$JK$27</f>
        <v>0</v>
      </c>
      <c r="C10" s="79">
        <f>'[3]Shuttle America_Delta'!$JK$27</f>
        <v>0</v>
      </c>
      <c r="D10" s="321">
        <f>'[3]Air Wisconsin'!$JK$27</f>
        <v>0</v>
      </c>
      <c r="E10" s="321">
        <f>[3]Jazz_AC!$JK$27+[3]Jazz_AC!$JK$37</f>
        <v>81</v>
      </c>
      <c r="F10" s="321">
        <f>[3]PSA!$JK$27</f>
        <v>132</v>
      </c>
      <c r="G10" s="79">
        <f>'[3]Continental Express'!$JK$27</f>
        <v>0</v>
      </c>
      <c r="H10" s="11">
        <f>'[3]Go Jet'!$JK$27+'[3]Go Jet'!$JK$37</f>
        <v>0</v>
      </c>
      <c r="I10" s="80">
        <f>SUM(B10:H10)</f>
        <v>213</v>
      </c>
    </row>
    <row r="11" spans="1:9" x14ac:dyDescent="0.2">
      <c r="A11" s="43" t="s">
        <v>33</v>
      </c>
      <c r="B11" s="79">
        <f>'[3]Shuttle America'!$JK$28</f>
        <v>0</v>
      </c>
      <c r="C11" s="79">
        <f>'[3]Shuttle America_Delta'!$JK$28</f>
        <v>0</v>
      </c>
      <c r="D11" s="321">
        <f>'[3]Air Wisconsin'!$JK$28</f>
        <v>0</v>
      </c>
      <c r="E11" s="321">
        <f>[3]Jazz_AC!$JK$28+[3]Jazz_AC!$JK$38</f>
        <v>71</v>
      </c>
      <c r="F11" s="321">
        <f>[3]PSA!$JK$28</f>
        <v>190</v>
      </c>
      <c r="G11" s="79">
        <f>'[3]Continental Express'!$JK$28</f>
        <v>0</v>
      </c>
      <c r="H11" s="7">
        <f>'[3]Go Jet'!$JK$28+'[3]Go Jet'!$JK$38</f>
        <v>0</v>
      </c>
      <c r="I11" s="84">
        <f>SUM(B11:H11)</f>
        <v>261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152</v>
      </c>
      <c r="F12" s="100">
        <f t="shared" ref="F12" si="3">SUM(F10:F11)</f>
        <v>322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474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America'!$JK$4</f>
        <v>0</v>
      </c>
      <c r="C15" s="77">
        <f>'[3]Shuttle America_Delta'!$JK$4</f>
        <v>0</v>
      </c>
      <c r="D15" s="322">
        <f>'[3]Air Wisconsin'!$JK$4</f>
        <v>0</v>
      </c>
      <c r="E15" s="322">
        <f>[3]Jazz_AC!$JK$4+[3]Jazz_AC!$JK$15</f>
        <v>83</v>
      </c>
      <c r="F15" s="322">
        <f>[3]PSA!$JK$4</f>
        <v>89</v>
      </c>
      <c r="G15" s="78">
        <f>'[3]Continental Express'!$JK$4</f>
        <v>0</v>
      </c>
      <c r="H15" s="11">
        <f>'[3]Go Jet'!$JK$4+'[3]Go Jet'!$JK$15</f>
        <v>0</v>
      </c>
      <c r="I15" s="80">
        <f t="shared" ref="I15:I21" si="6">SUM(B15:H15)</f>
        <v>172</v>
      </c>
    </row>
    <row r="16" spans="1:9" x14ac:dyDescent="0.2">
      <c r="A16" s="43" t="s">
        <v>54</v>
      </c>
      <c r="B16" s="81">
        <f>'[3]Shuttle America'!$JK$5</f>
        <v>0</v>
      </c>
      <c r="C16" s="81">
        <f>'[3]Shuttle America_Delta'!$JK$5</f>
        <v>0</v>
      </c>
      <c r="D16" s="323">
        <f>'[3]Air Wisconsin'!$JK$5</f>
        <v>0</v>
      </c>
      <c r="E16" s="323">
        <f>[3]Jazz_AC!$JK$5+[3]Jazz_AC!$JK$16</f>
        <v>83</v>
      </c>
      <c r="F16" s="323">
        <f>[3]PSA!$JK$5</f>
        <v>89</v>
      </c>
      <c r="G16" s="82">
        <f>'[3]Continental Express'!$JK$5</f>
        <v>0</v>
      </c>
      <c r="H16" s="7">
        <f>'[3]Go Jet'!$JK$5+'[3]Go Jet'!$JK$16</f>
        <v>0</v>
      </c>
      <c r="I16" s="84">
        <f t="shared" si="6"/>
        <v>172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166</v>
      </c>
      <c r="F17" s="85">
        <f t="shared" ref="F17" si="8">SUM(F15:F16)</f>
        <v>178</v>
      </c>
      <c r="G17" s="85">
        <f t="shared" ref="G17" si="9">SUM(G15:G16)</f>
        <v>0</v>
      </c>
      <c r="H17" s="200">
        <f>SUM(H15:H16)</f>
        <v>0</v>
      </c>
      <c r="I17" s="86">
        <f t="shared" si="6"/>
        <v>344</v>
      </c>
    </row>
    <row r="18" spans="1:12" x14ac:dyDescent="0.2">
      <c r="A18" s="43" t="s">
        <v>56</v>
      </c>
      <c r="B18" s="87">
        <f>'[3]Shuttle America'!$JK$8</f>
        <v>0</v>
      </c>
      <c r="C18" s="87">
        <f>'[3]Shuttle America_Delta'!$JK$8</f>
        <v>0</v>
      </c>
      <c r="D18" s="87">
        <f>'[3]Air Wisconsin'!$JK$8</f>
        <v>0</v>
      </c>
      <c r="E18" s="87">
        <f>[3]Jazz_AC!$JK$8</f>
        <v>0</v>
      </c>
      <c r="F18" s="87">
        <f>[3]PSA!$JK$8</f>
        <v>0</v>
      </c>
      <c r="G18" s="79">
        <f>'[3]Continental Express'!$JK$8</f>
        <v>0</v>
      </c>
      <c r="H18" s="11">
        <f>'[3]Go Jet'!$JK$8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America'!$JK$9</f>
        <v>0</v>
      </c>
      <c r="C19" s="88">
        <f>'[3]Shuttle America_Delta'!$JK$9</f>
        <v>0</v>
      </c>
      <c r="D19" s="88">
        <f>'[3]Air Wisconsin'!$JK$9</f>
        <v>0</v>
      </c>
      <c r="E19" s="88">
        <f>[3]Jazz_AC!$JK$9</f>
        <v>0</v>
      </c>
      <c r="F19" s="88">
        <f>[3]PSA!$JK$9</f>
        <v>0</v>
      </c>
      <c r="G19" s="83">
        <f>'[3]Continental Express'!$JK$9</f>
        <v>0</v>
      </c>
      <c r="H19" s="7">
        <f>'[3]Go Jet'!$JK$9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166</v>
      </c>
      <c r="F21" s="89">
        <f t="shared" ref="F21" si="14">SUM(F20,F17)</f>
        <v>178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344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America'!$JK$47</f>
        <v>0</v>
      </c>
      <c r="C25" s="87">
        <f>'[3]Shuttle America_Delta'!$JK$47</f>
        <v>0</v>
      </c>
      <c r="D25" s="87">
        <f>'[3]Air Wisconsin'!$JK$47</f>
        <v>0</v>
      </c>
      <c r="E25" s="87">
        <f>[3]Jazz_AC!$JK$47</f>
        <v>6622.1</v>
      </c>
      <c r="F25" s="87">
        <f>[3]PSA!$JK$47</f>
        <v>4</v>
      </c>
      <c r="G25" s="79">
        <f>'[3]Continental Express'!$JK$47</f>
        <v>0</v>
      </c>
      <c r="H25" s="87">
        <f>'[3]Go Jet'!$JK$47</f>
        <v>0</v>
      </c>
      <c r="I25" s="80">
        <f>SUM(B25:H25)</f>
        <v>6626.1</v>
      </c>
    </row>
    <row r="26" spans="1:12" x14ac:dyDescent="0.2">
      <c r="A26" s="43" t="s">
        <v>38</v>
      </c>
      <c r="B26" s="87">
        <f>'[3]Shuttle America'!$JK$48</f>
        <v>0</v>
      </c>
      <c r="C26" s="87">
        <f>'[3]Shuttle America_Delta'!$JK$48</f>
        <v>0</v>
      </c>
      <c r="D26" s="87">
        <f>'[3]Air Wisconsin'!$JK$48</f>
        <v>0</v>
      </c>
      <c r="E26" s="87">
        <f>[3]Jazz_AC!$JK$48</f>
        <v>0</v>
      </c>
      <c r="F26" s="87">
        <f>[3]PSA!$JK$48</f>
        <v>0</v>
      </c>
      <c r="G26" s="79">
        <f>'[3]Continental Express'!$JK$48</f>
        <v>0</v>
      </c>
      <c r="H26" s="87">
        <f>'[3]Go Jet'!$JK$48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6622.1</v>
      </c>
      <c r="F27" s="97">
        <f t="shared" ref="F27" si="18">SUM(F25:F26)</f>
        <v>4</v>
      </c>
      <c r="G27" s="97">
        <f t="shared" ref="G27" si="19">SUM(G25:G26)</f>
        <v>0</v>
      </c>
      <c r="H27" s="97">
        <f>SUM(H25:H26)</f>
        <v>0</v>
      </c>
      <c r="I27" s="98">
        <f>SUM(B27:H27)</f>
        <v>6626.1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America'!$JK$52</f>
        <v>0</v>
      </c>
      <c r="C30" s="87">
        <f>'[3]Shuttle America_Delta'!$JK$52</f>
        <v>0</v>
      </c>
      <c r="D30" s="87">
        <f>'[3]Air Wisconsin'!$JK$52</f>
        <v>0</v>
      </c>
      <c r="E30" s="87">
        <f>[3]Jazz_AC!$JK$52</f>
        <v>5625.5</v>
      </c>
      <c r="F30" s="87">
        <f>[3]PSA!$JK$52</f>
        <v>0</v>
      </c>
      <c r="G30" s="79">
        <f>'[3]Continental Express'!$JK$52</f>
        <v>0</v>
      </c>
      <c r="H30" s="87">
        <f>'[3]Go Jet'!$JK$52</f>
        <v>0</v>
      </c>
      <c r="I30" s="80">
        <f>SUM(B30:H30)</f>
        <v>5625.5</v>
      </c>
    </row>
    <row r="31" spans="1:12" x14ac:dyDescent="0.2">
      <c r="A31" s="43" t="s">
        <v>60</v>
      </c>
      <c r="B31" s="87">
        <f>'[3]Shuttle America'!$JK$53</f>
        <v>0</v>
      </c>
      <c r="C31" s="87">
        <f>'[3]Shuttle America_Delta'!$JK$53</f>
        <v>0</v>
      </c>
      <c r="D31" s="87">
        <f>'[3]Air Wisconsin'!$JK$53</f>
        <v>0</v>
      </c>
      <c r="E31" s="87">
        <f>[3]Jazz_AC!$JK$53</f>
        <v>0</v>
      </c>
      <c r="F31" s="87">
        <f>[3]PSA!$JK$53</f>
        <v>0</v>
      </c>
      <c r="G31" s="79">
        <f>'[3]Continental Express'!$JK$53</f>
        <v>0</v>
      </c>
      <c r="H31" s="87">
        <f>'[3]Go Jet'!$JK$53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5625.5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5625.5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America'!$JK$57</f>
        <v>0</v>
      </c>
      <c r="C35" s="87">
        <f>'[3]Shuttle America_Delta'!$JK$57</f>
        <v>0</v>
      </c>
      <c r="D35" s="87">
        <f>'[3]Air Wisconsin'!$JK$57</f>
        <v>0</v>
      </c>
      <c r="E35" s="87">
        <f>[3]Jazz_AC!$JK$57</f>
        <v>0</v>
      </c>
      <c r="F35" s="87">
        <f>[3]PSA!$JK$57</f>
        <v>0</v>
      </c>
      <c r="G35" s="79">
        <f>'[3]Continental Express'!$JK$57</f>
        <v>0</v>
      </c>
      <c r="H35" s="87">
        <f>'[3]Go Jet'!$JK$57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12247.6</v>
      </c>
      <c r="F40" s="87">
        <f t="shared" ref="F40:F41" si="28">SUM(F35,F30,F25)</f>
        <v>4</v>
      </c>
      <c r="G40" s="87">
        <f t="shared" si="26"/>
        <v>0</v>
      </c>
      <c r="H40" s="87">
        <f t="shared" ref="H40" si="29">SUM(H35,H30,H25)</f>
        <v>0</v>
      </c>
      <c r="I40" s="80">
        <f>SUM(B40:H40)</f>
        <v>12251.6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12247.6</v>
      </c>
      <c r="F42" s="100">
        <f t="shared" ref="F42" si="34">SUM(F40:F41)</f>
        <v>4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12251.6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America_Delta'!$JK$70+'[3]Shuttle America_Delta'!$JK$73</f>
        <v>0</v>
      </c>
      <c r="D46" s="2"/>
      <c r="H46" s="231">
        <f>'[3]Go Jet'!$JK$70+'[3]Go Jet'!$JK$73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America_Delta'!$JK$71+'[3]Shuttle America_Delta'!$JK$74</f>
        <v>0</v>
      </c>
      <c r="D47" s="2"/>
      <c r="H47" s="231">
        <f>'[3]Go Jet'!$JK$71+'[3]Go Jet'!$JK$74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April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I6" sqref="I6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45748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Misc'!$JK$22</f>
        <v>0</v>
      </c>
      <c r="C5" s="143">
        <f>[3]Ryan!$JK$22</f>
        <v>0</v>
      </c>
      <c r="D5" s="143">
        <f>'[3]Charter Misc'!$JK$32</f>
        <v>0</v>
      </c>
      <c r="E5" s="143">
        <f>[3]Omni!$JK$32+[3]Omni!$JK$22</f>
        <v>0</v>
      </c>
      <c r="F5" s="143">
        <f>'[3]Red Way'!$JK$32+'[3]Red Way'!$JK$22</f>
        <v>0</v>
      </c>
      <c r="G5" s="143">
        <f>[3]Xtra!$JK$32+[3]Xtra!$JK$22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Misc'!$JK$23+'[3]Charter Misc'!$JK$28+'[3]Charter Misc'!$JK$38</f>
        <v>0</v>
      </c>
      <c r="C6" s="146">
        <f>[3]Ryan!$JK$23</f>
        <v>0</v>
      </c>
      <c r="D6" s="146">
        <f>'[3]Charter Misc'!$JK$33</f>
        <v>0</v>
      </c>
      <c r="E6" s="146">
        <f>[3]Omni!$JK$23+[3]Omni!$JK$33+[3]Omni!$JK$28+[3]Omni!$JK$38</f>
        <v>0</v>
      </c>
      <c r="F6" s="146">
        <f>'[3]Red Way'!$JK$33+'[3]Red Way'!$JK$23</f>
        <v>0</v>
      </c>
      <c r="G6" s="146">
        <f>[3]Xtra!$JK$33+[3]Xtra!$JK$23</f>
        <v>0</v>
      </c>
      <c r="H6" s="237">
        <f>SUM(B6:G6)</f>
        <v>0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Misc'!$JK$4+'[3]Charter Misc'!$JK$8</f>
        <v>0</v>
      </c>
      <c r="C10" s="143">
        <f>[3]Ryan!$JK$4</f>
        <v>0</v>
      </c>
      <c r="D10" s="143">
        <f>'[3]Charter Misc'!$JK$15</f>
        <v>0</v>
      </c>
      <c r="E10" s="143">
        <f>[3]Omni!$JK$15+[3]Omni!$JK$4</f>
        <v>0</v>
      </c>
      <c r="F10" s="143">
        <f>'[3]Red Way'!$JK$15+'[3]Red Way'!$JK$4</f>
        <v>0</v>
      </c>
      <c r="G10" s="143">
        <f>[3]Xtra!$JK$15+[3]Xtra!$JK$4</f>
        <v>0</v>
      </c>
      <c r="H10" s="236">
        <f>SUM(B10:G10)</f>
        <v>0</v>
      </c>
    </row>
    <row r="11" spans="1:18" x14ac:dyDescent="0.2">
      <c r="A11" s="141" t="s">
        <v>80</v>
      </c>
      <c r="B11" s="301">
        <f>'[3]Charter Misc'!$JK$5+'[3]Charter Misc'!$JK$9</f>
        <v>0</v>
      </c>
      <c r="C11" s="143">
        <f>[3]Ryan!$JK$5</f>
        <v>0</v>
      </c>
      <c r="D11" s="143">
        <f>'[3]Charter Misc'!$JK$16</f>
        <v>0</v>
      </c>
      <c r="E11" s="143">
        <f>[3]Omni!$JK$16+[3]Omni!$JK$5</f>
        <v>0</v>
      </c>
      <c r="F11" s="143">
        <f>'[3]Red Way'!$JK$16+'[3]Red Way'!$JK$5</f>
        <v>0</v>
      </c>
      <c r="G11" s="143">
        <f>[3]Xtra!$JK$16+[3]Xtra!$JK$5</f>
        <v>0</v>
      </c>
      <c r="H11" s="236">
        <f>SUM(B11:G11)</f>
        <v>0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79"/>
    </row>
    <row r="20" spans="1:19" ht="13.5" thickBot="1" x14ac:dyDescent="0.25">
      <c r="A20" s="167" t="s">
        <v>99</v>
      </c>
      <c r="B20" s="421" t="s">
        <v>100</v>
      </c>
      <c r="C20" s="421" t="s">
        <v>101</v>
      </c>
      <c r="D20" s="421" t="s">
        <v>235</v>
      </c>
      <c r="E20" s="421" t="s">
        <v>220</v>
      </c>
      <c r="F20" s="421" t="s">
        <v>96</v>
      </c>
      <c r="G20" s="421" t="s">
        <v>100</v>
      </c>
      <c r="H20" s="421" t="s">
        <v>101</v>
      </c>
      <c r="I20" s="421" t="s">
        <v>235</v>
      </c>
      <c r="J20" s="421" t="s">
        <v>220</v>
      </c>
      <c r="K20" s="421" t="s">
        <v>96</v>
      </c>
      <c r="L20" s="421" t="s">
        <v>100</v>
      </c>
      <c r="M20" s="421" t="s">
        <v>101</v>
      </c>
      <c r="N20" s="421" t="s">
        <v>235</v>
      </c>
      <c r="O20" s="421" t="s">
        <v>220</v>
      </c>
      <c r="P20" s="421" t="s">
        <v>96</v>
      </c>
      <c r="S20" s="379"/>
    </row>
    <row r="21" spans="1:19" ht="14.1" customHeight="1" x14ac:dyDescent="0.2">
      <c r="A21" s="172" t="s">
        <v>102</v>
      </c>
      <c r="B21" s="411">
        <f>+[4]Charter!B21</f>
        <v>174577</v>
      </c>
      <c r="C21" s="411">
        <f>+[4]Charter!C21</f>
        <v>137213</v>
      </c>
      <c r="D21" s="411">
        <f t="shared" ref="D21" si="2">SUM(B21:C21)</f>
        <v>311790</v>
      </c>
      <c r="E21" s="420">
        <f>[5]Charter!$D$21</f>
        <v>308897</v>
      </c>
      <c r="F21" s="412">
        <f t="shared" ref="F21:F32" si="3">(D21-E21)/E21</f>
        <v>9.3655814073946974E-3</v>
      </c>
      <c r="G21" s="411">
        <f t="shared" ref="G21" si="4">L21-B21</f>
        <v>1105482</v>
      </c>
      <c r="H21" s="411">
        <f t="shared" ref="H21" si="5">M21-C21</f>
        <v>1139036</v>
      </c>
      <c r="I21" s="411">
        <f t="shared" ref="I21" si="6">SUM(G21:H21)</f>
        <v>2244518</v>
      </c>
      <c r="J21" s="420">
        <f>[5]Charter!I21</f>
        <v>2234831</v>
      </c>
      <c r="K21" s="417">
        <f t="shared" ref="K21:K32" si="7">(I21-J21)/J21</f>
        <v>4.3345559462885557E-3</v>
      </c>
      <c r="L21" s="411">
        <f>+[4]Charter!L21</f>
        <v>1280059</v>
      </c>
      <c r="M21" s="411">
        <f>+[4]Charter!M21</f>
        <v>1276249</v>
      </c>
      <c r="N21" s="420">
        <f t="shared" ref="N21" si="8">SUM(L21:M21)</f>
        <v>2556308</v>
      </c>
      <c r="O21" s="420">
        <f>[5]Charter!N21</f>
        <v>2543728</v>
      </c>
      <c r="P21" s="416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11">
        <f>+[6]Charter!B22</f>
        <v>163197</v>
      </c>
      <c r="C22" s="411">
        <f>+[6]Charter!C22</f>
        <v>167591</v>
      </c>
      <c r="D22" s="411">
        <f t="shared" ref="D22" si="9">SUM(B22:C22)</f>
        <v>330788</v>
      </c>
      <c r="E22" s="411">
        <f>[7]Charter!D22</f>
        <v>330142</v>
      </c>
      <c r="F22" s="445">
        <f t="shared" si="3"/>
        <v>1.9567337691054152E-3</v>
      </c>
      <c r="G22" s="411">
        <f t="shared" ref="G22" si="10">L22-B22</f>
        <v>1069832</v>
      </c>
      <c r="H22" s="411">
        <f t="shared" ref="H22" si="11">M22-C22</f>
        <v>1086960</v>
      </c>
      <c r="I22" s="411">
        <f t="shared" ref="I22" si="12">SUM(G22:H22)</f>
        <v>2156792</v>
      </c>
      <c r="J22" s="411">
        <f>[7]Charter!I22</f>
        <v>2253669</v>
      </c>
      <c r="K22" s="418">
        <f t="shared" si="7"/>
        <v>-4.298634803957458E-2</v>
      </c>
      <c r="L22" s="411">
        <f>+[6]Charter!L22</f>
        <v>1233029</v>
      </c>
      <c r="M22" s="411">
        <f>+[6]Charter!M22</f>
        <v>1254551</v>
      </c>
      <c r="N22" s="420">
        <f t="shared" ref="N22" si="13">SUM(L22:M22)</f>
        <v>2487580</v>
      </c>
      <c r="O22" s="411">
        <f>[7]Charter!N22</f>
        <v>2583811</v>
      </c>
      <c r="P22" s="446">
        <f t="shared" ref="P22:P32" si="14">(N22-O22)/O22</f>
        <v>-3.7243823174373046E-2</v>
      </c>
      <c r="S22" s="379"/>
    </row>
    <row r="23" spans="1:19" ht="14.1" customHeight="1" x14ac:dyDescent="0.2">
      <c r="A23" s="173" t="s">
        <v>104</v>
      </c>
      <c r="B23" s="411">
        <f>+[2]Charter!B23</f>
        <v>216816</v>
      </c>
      <c r="C23" s="411">
        <f>+[2]Charter!C23</f>
        <v>228526</v>
      </c>
      <c r="D23" s="411">
        <f t="shared" ref="D23" si="15">SUM(B23:C23)</f>
        <v>445342</v>
      </c>
      <c r="E23" s="411">
        <f>[8]Charter!D23</f>
        <v>413424</v>
      </c>
      <c r="F23" s="418">
        <f t="shared" si="3"/>
        <v>7.7204032663802782E-2</v>
      </c>
      <c r="G23" s="411">
        <f t="shared" ref="G23" si="16">L23-B23</f>
        <v>1371093</v>
      </c>
      <c r="H23" s="411">
        <f t="shared" ref="H23" si="17">M23-C23</f>
        <v>1411715</v>
      </c>
      <c r="I23" s="411">
        <f t="shared" ref="I23" si="18">SUM(G23:H23)</f>
        <v>2782808</v>
      </c>
      <c r="J23" s="411">
        <f>[8]Charter!I23</f>
        <v>2834638</v>
      </c>
      <c r="K23" s="418">
        <f t="shared" si="7"/>
        <v>-1.8284521692011467E-2</v>
      </c>
      <c r="L23" s="411">
        <f>+[2]Charter!L23</f>
        <v>1587909</v>
      </c>
      <c r="M23" s="411">
        <f>+[2]Charter!M23</f>
        <v>1640241</v>
      </c>
      <c r="N23" s="420">
        <f t="shared" ref="N23" si="19">SUM(L23:M23)</f>
        <v>3228150</v>
      </c>
      <c r="O23" s="411">
        <f>[8]Charter!N23</f>
        <v>3248062</v>
      </c>
      <c r="P23" s="446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11">
        <f>+'Intl Detail'!$R$4+'Intl Detail'!$R$9</f>
        <v>162754</v>
      </c>
      <c r="C24" s="411">
        <f>+'Intl Detail'!$R$5+'Intl Detail'!$R$10</f>
        <v>136743</v>
      </c>
      <c r="D24" s="411">
        <f t="shared" ref="D24" si="20">SUM(B24:C24)</f>
        <v>299497</v>
      </c>
      <c r="E24" s="411">
        <f>[1]Charter!D24</f>
        <v>275719</v>
      </c>
      <c r="F24" s="418">
        <f t="shared" si="3"/>
        <v>8.6239976207660704E-2</v>
      </c>
      <c r="G24" s="411">
        <f t="shared" ref="G24" si="21">L24-B24</f>
        <v>1360000</v>
      </c>
      <c r="H24" s="411">
        <f t="shared" ref="H24" si="22">M24-C24</f>
        <v>1246555</v>
      </c>
      <c r="I24" s="411">
        <f t="shared" ref="I24" si="23">SUM(G24:H24)</f>
        <v>2606555</v>
      </c>
      <c r="J24" s="411">
        <f>[1]Charter!I24</f>
        <v>2728070</v>
      </c>
      <c r="K24" s="418">
        <f t="shared" si="7"/>
        <v>-4.4542478748712457E-2</v>
      </c>
      <c r="L24" s="411">
        <f>+'Monthly Summary'!$B$11</f>
        <v>1522754</v>
      </c>
      <c r="M24" s="411">
        <f>+'Monthly Summary'!$C$11</f>
        <v>1383298</v>
      </c>
      <c r="N24" s="420">
        <f t="shared" ref="N24" si="24">SUM(L24:M24)</f>
        <v>2906052</v>
      </c>
      <c r="O24" s="411">
        <f>[1]Charter!N24</f>
        <v>3003789</v>
      </c>
      <c r="P24" s="446">
        <f t="shared" si="14"/>
        <v>-3.2537904626456782E-2</v>
      </c>
    </row>
    <row r="25" spans="1:19" ht="14.1" customHeight="1" x14ac:dyDescent="0.2">
      <c r="A25" s="166" t="s">
        <v>75</v>
      </c>
      <c r="B25" s="411"/>
      <c r="C25" s="411"/>
      <c r="D25" s="411">
        <f t="shared" ref="D25" si="25">SUM(B25:C25)</f>
        <v>0</v>
      </c>
      <c r="E25" s="411">
        <f>[9]Charter!D25</f>
        <v>257969</v>
      </c>
      <c r="F25" s="419">
        <f t="shared" si="3"/>
        <v>-1</v>
      </c>
      <c r="G25" s="411"/>
      <c r="H25" s="411"/>
      <c r="I25" s="411">
        <f t="shared" ref="I25" si="26">SUM(G25:H25)</f>
        <v>0</v>
      </c>
      <c r="J25" s="411">
        <f>[9]Charter!I25</f>
        <v>2943570</v>
      </c>
      <c r="K25" s="419">
        <f>(I25-J25)/J25</f>
        <v>-1</v>
      </c>
      <c r="L25" s="411"/>
      <c r="M25" s="411"/>
      <c r="N25" s="420">
        <f t="shared" ref="N25" si="27">SUM(L25:M25)</f>
        <v>0</v>
      </c>
      <c r="O25" s="411">
        <f>[9]Charter!N25</f>
        <v>3201539</v>
      </c>
      <c r="P25" s="447">
        <f t="shared" si="14"/>
        <v>-1</v>
      </c>
    </row>
    <row r="26" spans="1:19" ht="14.1" customHeight="1" x14ac:dyDescent="0.2">
      <c r="A26" s="173" t="s">
        <v>106</v>
      </c>
      <c r="B26" s="411"/>
      <c r="C26" s="411"/>
      <c r="D26" s="411">
        <f t="shared" ref="D26" si="28">SUM(B26:C26)</f>
        <v>0</v>
      </c>
      <c r="E26" s="411">
        <f>[10]Charter!D26</f>
        <v>312797</v>
      </c>
      <c r="F26" s="413">
        <f t="shared" si="3"/>
        <v>-1</v>
      </c>
      <c r="G26" s="411"/>
      <c r="H26" s="411"/>
      <c r="I26" s="411">
        <f t="shared" ref="I26" si="29">SUM(G26:H26)</f>
        <v>0</v>
      </c>
      <c r="J26" s="411">
        <f>[10]Charter!I26</f>
        <v>3224478</v>
      </c>
      <c r="K26" s="418">
        <f t="shared" si="7"/>
        <v>-1</v>
      </c>
      <c r="L26" s="411"/>
      <c r="M26" s="411"/>
      <c r="N26" s="420">
        <f t="shared" ref="N26" si="30">SUM(L26:M26)</f>
        <v>0</v>
      </c>
      <c r="O26" s="411">
        <f>[10]Charter!N26</f>
        <v>3537275</v>
      </c>
      <c r="P26" s="408">
        <f t="shared" si="14"/>
        <v>-1</v>
      </c>
    </row>
    <row r="27" spans="1:19" ht="14.1" customHeight="1" x14ac:dyDescent="0.2">
      <c r="A27" s="166" t="s">
        <v>107</v>
      </c>
      <c r="B27" s="411"/>
      <c r="C27" s="411"/>
      <c r="D27" s="411">
        <f t="shared" ref="D27" si="31">SUM(B27:C27)</f>
        <v>0</v>
      </c>
      <c r="E27" s="411">
        <f>[11]Charter!D27</f>
        <v>324356</v>
      </c>
      <c r="F27" s="414">
        <f t="shared" si="3"/>
        <v>-1</v>
      </c>
      <c r="G27" s="411"/>
      <c r="H27" s="411"/>
      <c r="I27" s="411">
        <f t="shared" ref="I27" si="32">SUM(G27:H27)</f>
        <v>0</v>
      </c>
      <c r="J27" s="411">
        <f>[11]Charter!I27</f>
        <v>3285779</v>
      </c>
      <c r="K27" s="419">
        <f t="shared" si="7"/>
        <v>-1</v>
      </c>
      <c r="L27" s="411"/>
      <c r="M27" s="411"/>
      <c r="N27" s="420">
        <f t="shared" ref="N27" si="33">SUM(L27:M27)</f>
        <v>0</v>
      </c>
      <c r="O27" s="411">
        <f>[11]Charter!N27</f>
        <v>3610135</v>
      </c>
      <c r="P27" s="409">
        <f t="shared" si="14"/>
        <v>-1</v>
      </c>
    </row>
    <row r="28" spans="1:19" ht="14.1" customHeight="1" x14ac:dyDescent="0.2">
      <c r="A28" s="173" t="s">
        <v>108</v>
      </c>
      <c r="B28" s="411"/>
      <c r="C28" s="411"/>
      <c r="D28" s="411">
        <f t="shared" ref="D28" si="34">SUM(B28:C28)</f>
        <v>0</v>
      </c>
      <c r="E28" s="411">
        <f>[12]Charter!D28</f>
        <v>330774</v>
      </c>
      <c r="F28" s="413">
        <f t="shared" si="3"/>
        <v>-1</v>
      </c>
      <c r="G28" s="411"/>
      <c r="H28" s="411"/>
      <c r="I28" s="411">
        <f t="shared" ref="I28" si="35">SUM(G28:H28)</f>
        <v>0</v>
      </c>
      <c r="J28" s="411">
        <f>[12]Charter!I28</f>
        <v>3289710</v>
      </c>
      <c r="K28" s="418">
        <f t="shared" si="7"/>
        <v>-1</v>
      </c>
      <c r="L28" s="411"/>
      <c r="M28" s="411"/>
      <c r="N28" s="420">
        <f t="shared" ref="N28" si="36">SUM(L28:M28)</f>
        <v>0</v>
      </c>
      <c r="O28" s="411">
        <f>[12]Charter!N28</f>
        <v>3620484</v>
      </c>
      <c r="P28" s="408">
        <f t="shared" si="14"/>
        <v>-1</v>
      </c>
    </row>
    <row r="29" spans="1:19" ht="14.1" customHeight="1" x14ac:dyDescent="0.2">
      <c r="A29" s="166" t="s">
        <v>109</v>
      </c>
      <c r="B29" s="411"/>
      <c r="C29" s="411"/>
      <c r="D29" s="411">
        <f t="shared" ref="D29" si="37">SUM(B29:C29)</f>
        <v>0</v>
      </c>
      <c r="E29" s="411">
        <f>[13]Charter!D29</f>
        <v>268454</v>
      </c>
      <c r="F29" s="414">
        <f t="shared" si="3"/>
        <v>-1</v>
      </c>
      <c r="G29" s="411"/>
      <c r="H29" s="411"/>
      <c r="I29" s="411">
        <f t="shared" ref="I29" si="38">SUM(G29:H29)</f>
        <v>0</v>
      </c>
      <c r="J29" s="411">
        <f>[13]Charter!I29</f>
        <v>2679340</v>
      </c>
      <c r="K29" s="419">
        <f t="shared" si="7"/>
        <v>-1</v>
      </c>
      <c r="L29" s="411"/>
      <c r="M29" s="411"/>
      <c r="N29" s="420">
        <f t="shared" ref="N29" si="39">SUM(L29:M29)</f>
        <v>0</v>
      </c>
      <c r="O29" s="411">
        <f>[13]Charter!N29</f>
        <v>2947794</v>
      </c>
      <c r="P29" s="409">
        <f t="shared" si="14"/>
        <v>-1</v>
      </c>
    </row>
    <row r="30" spans="1:19" ht="14.1" customHeight="1" x14ac:dyDescent="0.2">
      <c r="A30" s="173" t="s">
        <v>110</v>
      </c>
      <c r="B30" s="411"/>
      <c r="C30" s="411"/>
      <c r="D30" s="411">
        <f t="shared" ref="D30" si="40">SUM(B30:C30)</f>
        <v>0</v>
      </c>
      <c r="E30" s="411">
        <f>[14]Charter!D30</f>
        <v>253799</v>
      </c>
      <c r="F30" s="413">
        <f t="shared" si="3"/>
        <v>-1</v>
      </c>
      <c r="G30" s="411"/>
      <c r="H30" s="411"/>
      <c r="I30" s="411">
        <f t="shared" ref="I30" si="41">SUM(G30:H30)</f>
        <v>0</v>
      </c>
      <c r="J30" s="411">
        <f>[14]Charter!I30</f>
        <v>2857152</v>
      </c>
      <c r="K30" s="418">
        <f t="shared" si="7"/>
        <v>-1</v>
      </c>
      <c r="L30" s="411"/>
      <c r="M30" s="411"/>
      <c r="N30" s="420">
        <f t="shared" ref="N30" si="42">SUM(L30:M30)</f>
        <v>0</v>
      </c>
      <c r="O30" s="411">
        <f>[14]Charter!N30</f>
        <v>3110951</v>
      </c>
      <c r="P30" s="408">
        <f t="shared" si="14"/>
        <v>-1</v>
      </c>
    </row>
    <row r="31" spans="1:19" ht="14.1" customHeight="1" x14ac:dyDescent="0.2">
      <c r="A31" s="166" t="s">
        <v>111</v>
      </c>
      <c r="B31" s="411"/>
      <c r="C31" s="411"/>
      <c r="D31" s="411">
        <f t="shared" ref="D31" si="43">SUM(B31:C31)</f>
        <v>0</v>
      </c>
      <c r="E31" s="411">
        <f>[15]Charter!D31</f>
        <v>204393</v>
      </c>
      <c r="F31" s="414">
        <f t="shared" si="3"/>
        <v>-1</v>
      </c>
      <c r="G31" s="411"/>
      <c r="H31" s="411"/>
      <c r="I31" s="411">
        <f t="shared" ref="I31" si="44">SUM(G31:H31)</f>
        <v>0</v>
      </c>
      <c r="J31" s="411">
        <f>[15]Charter!I31</f>
        <v>2514974</v>
      </c>
      <c r="K31" s="419">
        <f t="shared" si="7"/>
        <v>-1</v>
      </c>
      <c r="L31" s="411"/>
      <c r="M31" s="411"/>
      <c r="N31" s="420">
        <f t="shared" ref="N31" si="45">SUM(L31:M31)</f>
        <v>0</v>
      </c>
      <c r="O31" s="411">
        <f>[15]Charter!N31</f>
        <v>2719367</v>
      </c>
      <c r="P31" s="409">
        <f t="shared" si="14"/>
        <v>-1</v>
      </c>
    </row>
    <row r="32" spans="1:19" ht="14.1" customHeight="1" x14ac:dyDescent="0.2">
      <c r="A32" s="174" t="s">
        <v>112</v>
      </c>
      <c r="B32" s="411"/>
      <c r="C32" s="411"/>
      <c r="D32" s="411">
        <f t="shared" ref="D32" si="46">SUM(B32:C32)</f>
        <v>0</v>
      </c>
      <c r="E32" s="411">
        <f>[16]Charter!D32</f>
        <v>288997</v>
      </c>
      <c r="F32" s="415">
        <f t="shared" si="3"/>
        <v>-1</v>
      </c>
      <c r="G32" s="411"/>
      <c r="H32" s="411"/>
      <c r="I32" s="411">
        <f t="shared" ref="I32" si="47">SUM(G32:H32)</f>
        <v>0</v>
      </c>
      <c r="J32" s="411">
        <f>[16]Charter!I32</f>
        <v>2752325</v>
      </c>
      <c r="K32" s="415">
        <f t="shared" si="7"/>
        <v>-1</v>
      </c>
      <c r="L32" s="411"/>
      <c r="M32" s="411"/>
      <c r="N32" s="420">
        <f t="shared" ref="N32" si="48">SUM(L32:M32)</f>
        <v>0</v>
      </c>
      <c r="O32" s="411">
        <f>[16]Charter!N32</f>
        <v>3041322</v>
      </c>
      <c r="P32" s="410">
        <f t="shared" si="14"/>
        <v>-1</v>
      </c>
    </row>
    <row r="33" spans="1:16" ht="13.5" thickBot="1" x14ac:dyDescent="0.25">
      <c r="A33" s="171" t="s">
        <v>76</v>
      </c>
      <c r="B33" s="177">
        <f>SUM(B21:B32)</f>
        <v>717344</v>
      </c>
      <c r="C33" s="178">
        <f>SUM(C21:C32)</f>
        <v>670073</v>
      </c>
      <c r="D33" s="178">
        <f>SUM(D21:D32)</f>
        <v>1387417</v>
      </c>
      <c r="E33" s="179">
        <f>SUM(E21:E32)</f>
        <v>3569721</v>
      </c>
      <c r="F33" s="169">
        <f>(D33-E33)/E33</f>
        <v>-0.6113374126437332</v>
      </c>
      <c r="G33" s="180">
        <f>SUM(G21:G32)</f>
        <v>4906407</v>
      </c>
      <c r="H33" s="178">
        <f>SUM(H21:H32)</f>
        <v>4884266</v>
      </c>
      <c r="I33" s="178">
        <f>SUM(I21:I32)</f>
        <v>9790673</v>
      </c>
      <c r="J33" s="181">
        <f>SUM(J21:J32)</f>
        <v>33598536</v>
      </c>
      <c r="K33" s="170">
        <f>(I33-J33)/J33</f>
        <v>-0.70859822582745868</v>
      </c>
      <c r="L33" s="180">
        <f>SUM(L21:L32)</f>
        <v>5623751</v>
      </c>
      <c r="M33" s="178">
        <f>SUM(M21:M32)</f>
        <v>5554339</v>
      </c>
      <c r="N33" s="178">
        <f>SUM(N21:N32)</f>
        <v>11178090</v>
      </c>
      <c r="O33" s="179">
        <f>SUM(O21:O32)</f>
        <v>37168257</v>
      </c>
      <c r="P33" s="168">
        <f>(N33-O33)/O33</f>
        <v>-0.69925708380675478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April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J6" sqref="J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5" t="s">
        <v>187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23" s="26" customFormat="1" ht="43.5" customHeight="1" thickBot="1" x14ac:dyDescent="0.25">
      <c r="A2" s="384">
        <v>45748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Air'!$JK$4</f>
        <v>0</v>
      </c>
      <c r="C4" s="124">
        <f>[3]DHL!$JK$8+[3]DHL!$JK$4</f>
        <v>0</v>
      </c>
      <c r="D4" s="124">
        <f>[3]Airborne!$JK$4+[3]Airborne!$JK$15</f>
        <v>7</v>
      </c>
      <c r="E4" s="87">
        <f>[3]DHL_Bemidji!$JK$4</f>
        <v>41</v>
      </c>
      <c r="F4" s="87">
        <f>[3]Bemidji!$JK$4</f>
        <v>153</v>
      </c>
      <c r="G4" s="124">
        <f>[3]DHL_Encore!$JK$4+[3]DHL_Encore!$JK$15</f>
        <v>0</v>
      </c>
      <c r="H4" s="124">
        <f>[3]DHL_Mesa!$JK$4+[3]DHL_Mesa!$JK$15</f>
        <v>0</v>
      </c>
      <c r="I4" s="124">
        <f>[3]Encore!$JK$4+[3]Encore!$JK$15</f>
        <v>0</v>
      </c>
      <c r="J4" s="124">
        <f>[3]FedEx!$JK$4+[3]FedEx!$JK$15</f>
        <v>73</v>
      </c>
      <c r="K4" s="124">
        <f>[3]IFL!$JK$4+[3]IFL!$JK$15</f>
        <v>18</v>
      </c>
      <c r="L4" s="124">
        <f>[3]DHL_Kalitta!$JK$4+[3]DHL_Kalitta!$JK$15</f>
        <v>16</v>
      </c>
      <c r="M4" s="87">
        <f>'[3]Mountain Cargo'!$JK$4</f>
        <v>23</v>
      </c>
      <c r="N4" s="124">
        <f>[3]DHL_Amerijet!$JK$4+[3]DHL_Amerijet!$JK$15</f>
        <v>0</v>
      </c>
      <c r="O4" s="124">
        <f>[3]DHL_Swift!$JK$4+[3]DHL_Swift!$JK$15</f>
        <v>0</v>
      </c>
      <c r="P4" s="124">
        <f>+'[3]Sun Country Cargo'!$JK$4+'[3]Sun Country Cargo'!$JK$8+'[3]Sun Country Cargo'!$JK$15</f>
        <v>97</v>
      </c>
      <c r="Q4" s="124">
        <f>[3]UPS!$JK$4+[3]UPS!$JK$15</f>
        <v>117</v>
      </c>
      <c r="R4" s="87">
        <f>'[3]Misc Cargo'!$JK$4</f>
        <v>0</v>
      </c>
      <c r="S4" s="356">
        <f>SUM(B4:R4)</f>
        <v>545</v>
      </c>
      <c r="U4" s="328"/>
      <c r="V4" s="328"/>
      <c r="W4" s="207"/>
    </row>
    <row r="5" spans="1:23" x14ac:dyDescent="0.2">
      <c r="A5" s="36" t="s">
        <v>54</v>
      </c>
      <c r="B5" s="357">
        <f>'[3]Atlas Air'!$JK$5</f>
        <v>0</v>
      </c>
      <c r="C5" s="148">
        <f>[3]DHL!$JK$9+[3]DHL!$JK$5</f>
        <v>0</v>
      </c>
      <c r="D5" s="148">
        <f>[3]Airborne!$JK$5</f>
        <v>7</v>
      </c>
      <c r="E5" s="88">
        <f>[3]DHL_Bemidji!$JK$5</f>
        <v>41</v>
      </c>
      <c r="F5" s="88">
        <f>[3]Bemidji!$JK$5</f>
        <v>153</v>
      </c>
      <c r="G5" s="148">
        <f>[3]DHL_Encore!$JK$5</f>
        <v>0</v>
      </c>
      <c r="H5" s="148">
        <f>[3]DHL_Mesa!$JK$5</f>
        <v>0</v>
      </c>
      <c r="I5" s="148">
        <f>[3]Encore!$JK$5</f>
        <v>0</v>
      </c>
      <c r="J5" s="148">
        <f>[3]FedEx!$JK$5</f>
        <v>73</v>
      </c>
      <c r="K5" s="148">
        <f>[3]IFL!$JK$5</f>
        <v>18</v>
      </c>
      <c r="L5" s="148">
        <f>[3]DHL_Kalitta!$JK$5+[3]DHL_Kalitta!$JK$16</f>
        <v>16</v>
      </c>
      <c r="M5" s="88">
        <f>'[3]Mountain Cargo'!$JK$5</f>
        <v>23</v>
      </c>
      <c r="N5" s="148">
        <f>[3]DHL_Amerijet!$JK$5</f>
        <v>0</v>
      </c>
      <c r="O5" s="148">
        <f>[3]DHL_Swift!$JK$5</f>
        <v>0</v>
      </c>
      <c r="P5" s="148">
        <f>+'[3]Sun Country Cargo'!$JK$5+'[3]Sun Country Cargo'!$JK$9+'[3]Sun Country Cargo'!$JK$16</f>
        <v>97</v>
      </c>
      <c r="Q5" s="148">
        <f>[3]UPS!$JK$5+[3]UPS!$JK$16</f>
        <v>117</v>
      </c>
      <c r="R5" s="88">
        <f>'[3]Misc Cargo'!$JK$5</f>
        <v>0</v>
      </c>
      <c r="S5" s="356">
        <f>SUM(B5:R5)</f>
        <v>545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0</v>
      </c>
      <c r="D6" s="359">
        <f t="shared" ref="D6:E6" si="1">SUM(D4:D5)</f>
        <v>14</v>
      </c>
      <c r="E6" s="85">
        <f t="shared" si="1"/>
        <v>82</v>
      </c>
      <c r="F6" s="85">
        <f t="shared" si="0"/>
        <v>306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146</v>
      </c>
      <c r="K6" s="359">
        <f t="shared" si="0"/>
        <v>36</v>
      </c>
      <c r="L6" s="359">
        <f t="shared" si="0"/>
        <v>32</v>
      </c>
      <c r="M6" s="85">
        <f t="shared" si="0"/>
        <v>46</v>
      </c>
      <c r="N6" s="359">
        <f t="shared" si="0"/>
        <v>0</v>
      </c>
      <c r="O6" s="359">
        <f t="shared" si="0"/>
        <v>0</v>
      </c>
      <c r="P6" s="359">
        <f t="shared" si="0"/>
        <v>194</v>
      </c>
      <c r="Q6" s="359">
        <f t="shared" si="0"/>
        <v>234</v>
      </c>
      <c r="R6" s="85">
        <f t="shared" si="0"/>
        <v>0</v>
      </c>
      <c r="S6" s="356">
        <f t="shared" ref="S6:S10" si="3">SUM(B6:R6)</f>
        <v>1090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Cargo'!$JK$8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Cargo'!$JK$9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0</v>
      </c>
      <c r="D12" s="153">
        <f t="shared" ref="D12:E12" si="8">D6+D10</f>
        <v>14</v>
      </c>
      <c r="E12" s="154">
        <f t="shared" si="8"/>
        <v>82</v>
      </c>
      <c r="F12" s="154">
        <f t="shared" si="7"/>
        <v>306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146</v>
      </c>
      <c r="K12" s="153">
        <f t="shared" si="7"/>
        <v>36</v>
      </c>
      <c r="L12" s="153">
        <f t="shared" si="7"/>
        <v>32</v>
      </c>
      <c r="M12" s="154">
        <f t="shared" si="7"/>
        <v>46</v>
      </c>
      <c r="N12" s="153">
        <f t="shared" si="7"/>
        <v>0</v>
      </c>
      <c r="O12" s="153">
        <f t="shared" si="7"/>
        <v>0</v>
      </c>
      <c r="P12" s="153">
        <f t="shared" si="7"/>
        <v>194</v>
      </c>
      <c r="Q12" s="153">
        <f t="shared" si="7"/>
        <v>234</v>
      </c>
      <c r="R12" s="154">
        <f t="shared" si="7"/>
        <v>0</v>
      </c>
      <c r="S12" s="362">
        <f>SUM(B12:R12)</f>
        <v>1090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Air'!$JK$47</f>
        <v>0</v>
      </c>
      <c r="C16" s="124">
        <f>[3]DHL!$JK$47</f>
        <v>0</v>
      </c>
      <c r="D16" s="124">
        <f>[3]Airborne!$JK$47</f>
        <v>186628</v>
      </c>
      <c r="E16" s="124">
        <f>[3]DHL_Bemidji!$JK$47</f>
        <v>43663</v>
      </c>
      <c r="F16" s="472" t="s">
        <v>86</v>
      </c>
      <c r="G16" s="124">
        <f>[3]DHL_Encore!$JK$47</f>
        <v>0</v>
      </c>
      <c r="H16" s="124">
        <f>[3]DHL_Mesa!$JK$47</f>
        <v>0</v>
      </c>
      <c r="I16" s="124">
        <f>[3]Encore!$JK$47</f>
        <v>0</v>
      </c>
      <c r="J16" s="124">
        <f>[3]FedEx!$JK$47</f>
        <v>5575665</v>
      </c>
      <c r="K16" s="124">
        <f>[3]IFL!$JK$47</f>
        <v>70672</v>
      </c>
      <c r="L16" s="124">
        <f>[3]DHL_Kalitta!$JK$47</f>
        <v>439871</v>
      </c>
      <c r="M16" s="87">
        <f>'[3]Mountain Cargo'!$JK$47</f>
        <v>0</v>
      </c>
      <c r="N16" s="124">
        <f>[3]DHL_Amerijet!$JK$47</f>
        <v>0</v>
      </c>
      <c r="O16" s="124">
        <f>[3]DHL_Swift!$JK$47</f>
        <v>0</v>
      </c>
      <c r="P16" s="124">
        <f>+'[3]Sun Country Cargo'!$JK$47</f>
        <v>2495693</v>
      </c>
      <c r="Q16" s="124">
        <f>[3]UPS!$JK$47</f>
        <v>4861469</v>
      </c>
      <c r="R16" s="87">
        <f>'[3]Misc Cargo'!$JK$47</f>
        <v>0</v>
      </c>
      <c r="S16" s="356">
        <f>SUM(B16:E16)+SUM(G16:R16)</f>
        <v>13673661</v>
      </c>
      <c r="U16" s="328"/>
      <c r="V16" s="328"/>
      <c r="W16" s="207"/>
    </row>
    <row r="17" spans="1:23" x14ac:dyDescent="0.2">
      <c r="A17" s="36" t="s">
        <v>38</v>
      </c>
      <c r="B17" s="175">
        <f>'[3]Atlas Air'!$JK$48</f>
        <v>0</v>
      </c>
      <c r="C17" s="124">
        <f>[3]DHL!$JK$48</f>
        <v>0</v>
      </c>
      <c r="D17" s="124">
        <f>[3]Airborne!$JK$48</f>
        <v>0</v>
      </c>
      <c r="E17" s="124">
        <f>[3]DHL_Bemidji!$JK$48</f>
        <v>0</v>
      </c>
      <c r="F17" s="473"/>
      <c r="G17" s="124">
        <f>[3]DHL_Encore!$JK$48</f>
        <v>0</v>
      </c>
      <c r="H17" s="124">
        <f>[3]DHL_Mesa!$JK$48</f>
        <v>0</v>
      </c>
      <c r="I17" s="124">
        <f>[3]Encore!$JK$48</f>
        <v>0</v>
      </c>
      <c r="J17" s="124">
        <f>[3]FedEx!$JK$48</f>
        <v>0</v>
      </c>
      <c r="K17" s="124">
        <f>[3]IFL!$JK$48</f>
        <v>0</v>
      </c>
      <c r="L17" s="124">
        <f>[3]DHL_Kalitta!$JK$48</f>
        <v>0</v>
      </c>
      <c r="M17" s="87">
        <f>'[3]Mountain Cargo'!$JK$48</f>
        <v>53786</v>
      </c>
      <c r="N17" s="124">
        <f>[3]DHL_Amerijet!$JK$48</f>
        <v>0</v>
      </c>
      <c r="O17" s="124">
        <f>[3]DHL_Swift!$JK$48</f>
        <v>0</v>
      </c>
      <c r="P17" s="124">
        <f>+'[3]Sun Country Cargo'!$JK$48</f>
        <v>0</v>
      </c>
      <c r="Q17" s="124">
        <f>[3]UPS!$JK$48</f>
        <v>2748199</v>
      </c>
      <c r="R17" s="87">
        <f>'[3]Misc Cargo'!$JK$48</f>
        <v>0</v>
      </c>
      <c r="S17" s="356">
        <f>SUM(B17:E17)+SUM(G17:R17)</f>
        <v>2801985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0</v>
      </c>
      <c r="D18" s="213">
        <f>SUM(D16:D17)</f>
        <v>186628</v>
      </c>
      <c r="E18" s="213">
        <f>SUM(E16:E17)</f>
        <v>43663</v>
      </c>
      <c r="F18" s="473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5575665</v>
      </c>
      <c r="K18" s="213">
        <f>SUM(K16:K17)</f>
        <v>70672</v>
      </c>
      <c r="L18" s="213">
        <f t="shared" ref="L18:R18" si="10">SUM(L16:L17)</f>
        <v>439871</v>
      </c>
      <c r="M18" s="214">
        <f t="shared" si="10"/>
        <v>53786</v>
      </c>
      <c r="N18" s="213">
        <f t="shared" si="10"/>
        <v>0</v>
      </c>
      <c r="O18" s="213">
        <f t="shared" si="10"/>
        <v>0</v>
      </c>
      <c r="P18" s="213">
        <f t="shared" si="10"/>
        <v>2495693</v>
      </c>
      <c r="Q18" s="213">
        <f t="shared" si="10"/>
        <v>7609668</v>
      </c>
      <c r="R18" s="214">
        <f t="shared" si="10"/>
        <v>0</v>
      </c>
      <c r="S18" s="368">
        <f>SUM(B18:D18)+SUM(G18:R18)</f>
        <v>16431983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3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3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Air'!$JK$52</f>
        <v>0</v>
      </c>
      <c r="C21" s="124">
        <f>[3]DHL!$JK$52</f>
        <v>0</v>
      </c>
      <c r="D21" s="124">
        <f>[3]Airborne!$JK$52</f>
        <v>162968</v>
      </c>
      <c r="E21" s="124">
        <f>[3]DHL_Bemidji!$JK$52</f>
        <v>33746</v>
      </c>
      <c r="F21" s="473"/>
      <c r="G21" s="124">
        <f>[3]DHL_Encore!$JK$52</f>
        <v>0</v>
      </c>
      <c r="H21" s="124">
        <f>[3]DHL_Mesa!$JK$52</f>
        <v>0</v>
      </c>
      <c r="I21" s="124">
        <f>[3]Encore!$JK$52</f>
        <v>0</v>
      </c>
      <c r="J21" s="124">
        <f>[3]FedEx!$JK$52</f>
        <v>4894809</v>
      </c>
      <c r="K21" s="124">
        <f>[3]IFL!$JK$52</f>
        <v>0</v>
      </c>
      <c r="L21" s="124">
        <f>[3]DHL_Kalitta!$JK$52</f>
        <v>343805</v>
      </c>
      <c r="M21" s="87">
        <f>'[3]Mountain Cargo'!$JK$52</f>
        <v>0</v>
      </c>
      <c r="N21" s="124">
        <f>[3]DHL_Amerijet!$JK$52</f>
        <v>0</v>
      </c>
      <c r="O21" s="124">
        <f>[3]DHL_Swift!$JK$52</f>
        <v>0</v>
      </c>
      <c r="P21" s="124">
        <f>+'[3]Sun Country Cargo'!$JK$52</f>
        <v>2318826</v>
      </c>
      <c r="Q21" s="124">
        <f>[3]UPS!$JK$52</f>
        <v>3779757</v>
      </c>
      <c r="R21" s="87">
        <f>'[3]Misc Cargo'!$JK$52</f>
        <v>0</v>
      </c>
      <c r="S21" s="356">
        <f>SUM(B21:E21)+SUM(G21:R21)</f>
        <v>11533911</v>
      </c>
      <c r="U21" s="328"/>
      <c r="V21" s="328"/>
      <c r="W21" s="207"/>
    </row>
    <row r="22" spans="1:23" x14ac:dyDescent="0.2">
      <c r="A22" s="36" t="s">
        <v>60</v>
      </c>
      <c r="B22" s="175">
        <f>'[3]Atlas Air'!$JK$53</f>
        <v>0</v>
      </c>
      <c r="C22" s="124">
        <f>[3]DHL!$JK$53</f>
        <v>0</v>
      </c>
      <c r="D22" s="124">
        <f>[3]Airborne!$JK$53</f>
        <v>0</v>
      </c>
      <c r="E22" s="124">
        <f>[3]DHL_Bemidji!$JK$53</f>
        <v>0</v>
      </c>
      <c r="F22" s="473"/>
      <c r="G22" s="124">
        <f>[3]DHL_Encore!$JK$53</f>
        <v>0</v>
      </c>
      <c r="H22" s="124">
        <f>[3]DHL_Mesa!$JK$53</f>
        <v>0</v>
      </c>
      <c r="I22" s="124">
        <f>[3]Encore!$JK$53</f>
        <v>0</v>
      </c>
      <c r="J22" s="124">
        <f>[3]FedEx!$JK$53</f>
        <v>0</v>
      </c>
      <c r="K22" s="124">
        <f>[3]IFL!$JK$53</f>
        <v>0</v>
      </c>
      <c r="L22" s="124">
        <f>[3]DHL_Kalitta!$JK$53</f>
        <v>0</v>
      </c>
      <c r="M22" s="87">
        <f>'[3]Mountain Cargo'!$JK$53</f>
        <v>78489</v>
      </c>
      <c r="N22" s="124">
        <f>[3]DHL_Amerijet!$JK$53</f>
        <v>0</v>
      </c>
      <c r="O22" s="124">
        <f>[3]DHL_Swift!$JK$53</f>
        <v>0</v>
      </c>
      <c r="P22" s="124">
        <f>+'[3]Sun Country Cargo'!$JK$53</f>
        <v>0</v>
      </c>
      <c r="Q22" s="124">
        <f>[3]UPS!$JK$53</f>
        <v>25981</v>
      </c>
      <c r="R22" s="87">
        <f>'[3]Misc Cargo'!$JK$53</f>
        <v>0</v>
      </c>
      <c r="S22" s="356">
        <f>SUM(B22:E22)+SUM(G22:R22)</f>
        <v>104470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0</v>
      </c>
      <c r="D23" s="213">
        <f t="shared" ref="D23:E23" si="11">SUM(D21:D22)</f>
        <v>162968</v>
      </c>
      <c r="E23" s="213">
        <f t="shared" si="11"/>
        <v>33746</v>
      </c>
      <c r="F23" s="473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4894809</v>
      </c>
      <c r="K23" s="213">
        <f t="shared" si="12"/>
        <v>0</v>
      </c>
      <c r="L23" s="213">
        <f t="shared" si="12"/>
        <v>343805</v>
      </c>
      <c r="M23" s="214">
        <f t="shared" si="12"/>
        <v>78489</v>
      </c>
      <c r="N23" s="213">
        <f t="shared" si="12"/>
        <v>0</v>
      </c>
      <c r="O23" s="213">
        <f t="shared" si="12"/>
        <v>0</v>
      </c>
      <c r="P23" s="213">
        <f t="shared" si="12"/>
        <v>2318826</v>
      </c>
      <c r="Q23" s="213">
        <f t="shared" si="12"/>
        <v>3805738</v>
      </c>
      <c r="R23" s="214">
        <f t="shared" si="12"/>
        <v>0</v>
      </c>
      <c r="S23" s="368">
        <f>SUM(B23:D23)+SUM(G23:R23)</f>
        <v>11604635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3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3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Air'!$JK$57</f>
        <v>0</v>
      </c>
      <c r="C26" s="124">
        <f>[3]DHL!$JK$57</f>
        <v>0</v>
      </c>
      <c r="D26" s="124">
        <f>[3]Airborne!$JK$57</f>
        <v>0</v>
      </c>
      <c r="E26" s="124">
        <f>[3]DHL_Bemidji!$JK$57</f>
        <v>0</v>
      </c>
      <c r="F26" s="473"/>
      <c r="G26" s="124">
        <f>[3]DHL_Encore!$JK$57</f>
        <v>0</v>
      </c>
      <c r="H26" s="124">
        <f>[3]DHL_Mesa!$JK$57</f>
        <v>0</v>
      </c>
      <c r="I26" s="124">
        <f>[3]Encore!$JK$57</f>
        <v>0</v>
      </c>
      <c r="J26" s="124">
        <f>[3]FedEx!$JK$57</f>
        <v>0</v>
      </c>
      <c r="K26" s="124">
        <f>[3]IFL!$JK$57</f>
        <v>0</v>
      </c>
      <c r="L26" s="124">
        <f>[3]DHL_Kalitta!$JK$57</f>
        <v>0</v>
      </c>
      <c r="M26" s="87">
        <f>'[3]Mountain Cargo'!$JK$57</f>
        <v>0</v>
      </c>
      <c r="N26" s="124">
        <f>[3]DHL_Amerijet!$JK$57</f>
        <v>0</v>
      </c>
      <c r="O26" s="124">
        <f>[3]DHL_Swift!$JK$57</f>
        <v>0</v>
      </c>
      <c r="P26" s="124">
        <f>+'[3]Sun Country Cargo'!$JK$57</f>
        <v>0</v>
      </c>
      <c r="Q26" s="124">
        <f>[3]UPS!$JK$57</f>
        <v>0</v>
      </c>
      <c r="R26" s="87">
        <f>'[3]Misc Cargo'!$JK$57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Air'!$JK$58</f>
        <v>0</v>
      </c>
      <c r="C27" s="124">
        <f>[3]DHL!$JK$58</f>
        <v>0</v>
      </c>
      <c r="D27" s="124">
        <f>[3]Airborne!$JK$58</f>
        <v>0</v>
      </c>
      <c r="E27" s="124">
        <f>[3]DHL_Bemidji!$JK$58</f>
        <v>0</v>
      </c>
      <c r="F27" s="473"/>
      <c r="G27" s="124">
        <f>[3]DHL_Encore!$JK$58</f>
        <v>0</v>
      </c>
      <c r="H27" s="124">
        <f>[3]DHL_Mesa!$JK$58</f>
        <v>0</v>
      </c>
      <c r="I27" s="124">
        <f>[3]Encore!$JK$58</f>
        <v>0</v>
      </c>
      <c r="J27" s="124">
        <f>[3]FedEx!$JK$58</f>
        <v>0</v>
      </c>
      <c r="K27" s="124">
        <f>[3]IFL!$JK$58</f>
        <v>0</v>
      </c>
      <c r="L27" s="124">
        <f>[3]DHL_Kalitta!$JK$58</f>
        <v>0</v>
      </c>
      <c r="M27" s="87">
        <f>'[3]Mountain Cargo'!$JK$58</f>
        <v>0</v>
      </c>
      <c r="N27" s="124">
        <f>[3]DHL_Amerijet!$JK$58</f>
        <v>0</v>
      </c>
      <c r="O27" s="124">
        <f>[3]DHL_Swift!$JK$58</f>
        <v>0</v>
      </c>
      <c r="P27" s="124">
        <f>+'[3]Sun Country Cargo'!$JK$58</f>
        <v>0</v>
      </c>
      <c r="Q27" s="124">
        <f>[3]UPS!$JK$58</f>
        <v>0</v>
      </c>
      <c r="R27" s="87">
        <f>'[3]Misc Cargo'!$JK$58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3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3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3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0</v>
      </c>
      <c r="D31" s="124">
        <f t="shared" si="17"/>
        <v>349596</v>
      </c>
      <c r="E31" s="124">
        <f t="shared" si="17"/>
        <v>77409</v>
      </c>
      <c r="F31" s="473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10470474</v>
      </c>
      <c r="K31" s="124">
        <f t="shared" si="18"/>
        <v>70672</v>
      </c>
      <c r="L31" s="124">
        <f t="shared" si="18"/>
        <v>783676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4814519</v>
      </c>
      <c r="Q31" s="124">
        <f t="shared" si="17"/>
        <v>8641226</v>
      </c>
      <c r="R31" s="87">
        <f>R26+R21+R16</f>
        <v>0</v>
      </c>
      <c r="S31" s="356">
        <f>SUM(B31:E31)+SUM(G31:R31)</f>
        <v>25207572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4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132275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2774180</v>
      </c>
      <c r="R32" s="87">
        <f>R27+R22+R17</f>
        <v>0</v>
      </c>
      <c r="S32" s="356">
        <f>SUM(B32:E32)+SUM(G32:R32)</f>
        <v>2906455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0</v>
      </c>
      <c r="D33" s="153">
        <f t="shared" si="21"/>
        <v>349596</v>
      </c>
      <c r="E33" s="153">
        <f t="shared" si="21"/>
        <v>77409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10470474</v>
      </c>
      <c r="K33" s="153">
        <f t="shared" si="18"/>
        <v>70672</v>
      </c>
      <c r="L33" s="153">
        <f t="shared" si="18"/>
        <v>783676</v>
      </c>
      <c r="M33" s="154">
        <f>M28+M23+M18</f>
        <v>132275</v>
      </c>
      <c r="N33" s="153">
        <f t="shared" si="18"/>
        <v>0</v>
      </c>
      <c r="O33" s="153">
        <f t="shared" si="18"/>
        <v>0</v>
      </c>
      <c r="P33" s="153">
        <f t="shared" si="17"/>
        <v>4814519</v>
      </c>
      <c r="Q33" s="153">
        <f t="shared" si="17"/>
        <v>11415406</v>
      </c>
      <c r="R33" s="154">
        <f t="shared" si="17"/>
        <v>0</v>
      </c>
      <c r="S33" s="362">
        <f>SUM(B33:E33)+SUM(G33:R33)</f>
        <v>28114027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April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N15" sqref="N1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45748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5250830</v>
      </c>
      <c r="C5" s="87">
        <f>'Regional Major'!K25</f>
        <v>8723.1</v>
      </c>
      <c r="D5" s="87">
        <f>Cargo!S16</f>
        <v>13673661</v>
      </c>
      <c r="E5" s="87">
        <f>SUM(B5:D5)</f>
        <v>18933214.100000001</v>
      </c>
      <c r="F5" s="87">
        <f>E5*0.00045359237</f>
        <v>8587.9614553364172</v>
      </c>
      <c r="G5" s="87">
        <f>'[1]Cargo Summary'!F5</f>
        <v>8104.4401989383132</v>
      </c>
      <c r="H5" s="71">
        <f>(F5-G5)/G5</f>
        <v>5.9661277587247249E-2</v>
      </c>
      <c r="I5" s="87">
        <f>+F5+'[2]Cargo Summary'!I5</f>
        <v>31119.657768215555</v>
      </c>
      <c r="J5" s="87">
        <f>+'[1]Cargo Summary'!I5</f>
        <v>33872.128163766196</v>
      </c>
      <c r="K5" s="63">
        <f>(I5-J5)/J5</f>
        <v>-8.126062768311744E-2</v>
      </c>
      <c r="M5" s="12"/>
      <c r="O5" s="388"/>
    </row>
    <row r="6" spans="1:18" x14ac:dyDescent="0.2">
      <c r="A6" s="43" t="s">
        <v>16</v>
      </c>
      <c r="B6" s="131">
        <f>'Major Airline Stats'!L29</f>
        <v>102603</v>
      </c>
      <c r="C6" s="87">
        <f>'Regional Major'!K26</f>
        <v>0</v>
      </c>
      <c r="D6" s="87">
        <f>Cargo!S17</f>
        <v>2801985</v>
      </c>
      <c r="E6" s="87">
        <f>SUM(B6:D6)</f>
        <v>2904588</v>
      </c>
      <c r="F6" s="87">
        <f>E6*0.00045359237</f>
        <v>1317.49895479356</v>
      </c>
      <c r="G6" s="87">
        <f>'[1]Cargo Summary'!F6</f>
        <v>184.55584913612</v>
      </c>
      <c r="H6" s="3">
        <f>(F6-G6)/G6</f>
        <v>6.1387548049037051</v>
      </c>
      <c r="I6" s="87">
        <f>+F6+'[2]Cargo Summary'!I6</f>
        <v>4228.4288964532998</v>
      </c>
      <c r="J6" s="87">
        <f>+'[1]Cargo Summary'!I6</f>
        <v>619.60763101236989</v>
      </c>
      <c r="K6" s="63">
        <f>(I6-J6)/J6</f>
        <v>5.8243654287222348</v>
      </c>
      <c r="M6" s="12"/>
    </row>
    <row r="7" spans="1:18" ht="18" customHeight="1" thickBot="1" x14ac:dyDescent="0.25">
      <c r="A7" s="52" t="s">
        <v>71</v>
      </c>
      <c r="B7" s="133">
        <f>SUM(B5:B6)</f>
        <v>5353433</v>
      </c>
      <c r="C7" s="97">
        <f t="shared" ref="C7:J7" si="0">SUM(C5:C6)</f>
        <v>8723.1</v>
      </c>
      <c r="D7" s="97">
        <f t="shared" si="0"/>
        <v>16475646</v>
      </c>
      <c r="E7" s="97">
        <f t="shared" si="0"/>
        <v>21837802.100000001</v>
      </c>
      <c r="F7" s="97">
        <f t="shared" si="0"/>
        <v>9905.4604101299774</v>
      </c>
      <c r="G7" s="97">
        <f t="shared" si="0"/>
        <v>8288.9960480744339</v>
      </c>
      <c r="H7" s="27">
        <f>(F7-G7)/G7</f>
        <v>0.19501328661280451</v>
      </c>
      <c r="I7" s="97">
        <f t="shared" si="0"/>
        <v>35348.086664668852</v>
      </c>
      <c r="J7" s="97">
        <f t="shared" si="0"/>
        <v>34491.735794778564</v>
      </c>
      <c r="K7" s="227">
        <f>(I7-J7)/J7</f>
        <v>2.4827711628822233E-2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2877480</v>
      </c>
      <c r="C10" s="87">
        <f>'Regional Major'!K30</f>
        <v>5825.5</v>
      </c>
      <c r="D10" s="87">
        <f>Cargo!S21</f>
        <v>11533911</v>
      </c>
      <c r="E10" s="87">
        <f>SUM(B10:D10)</f>
        <v>14417216.5</v>
      </c>
      <c r="F10" s="87">
        <f>E10*0.00045359237</f>
        <v>6539.5394010381051</v>
      </c>
      <c r="G10" s="87">
        <f>'[1]Cargo Summary'!F10</f>
        <v>6612.2382831105369</v>
      </c>
      <c r="H10" s="3">
        <f>(F10-G10)/G10</f>
        <v>-1.099459501605147E-2</v>
      </c>
      <c r="I10" s="87">
        <f>+F10+'[2]Cargo Summary'!I10</f>
        <v>24644.240815436395</v>
      </c>
      <c r="J10" s="87">
        <f>+'[1]Cargo Summary'!I10</f>
        <v>27622.696599625662</v>
      </c>
      <c r="K10" s="63">
        <f>(I10-J10)/J10</f>
        <v>-0.1078263946261362</v>
      </c>
      <c r="M10" s="12"/>
      <c r="O10" s="388"/>
    </row>
    <row r="11" spans="1:18" x14ac:dyDescent="0.2">
      <c r="A11" s="43" t="s">
        <v>16</v>
      </c>
      <c r="B11" s="131">
        <f>'Major Airline Stats'!L34</f>
        <v>97517</v>
      </c>
      <c r="C11" s="87">
        <f>'Regional Major'!K31</f>
        <v>0</v>
      </c>
      <c r="D11" s="87">
        <f>Cargo!S22</f>
        <v>104470</v>
      </c>
      <c r="E11" s="87">
        <f>SUM(B11:D11)</f>
        <v>201987</v>
      </c>
      <c r="F11" s="87">
        <f>E11*0.00045359237</f>
        <v>91.619762039189993</v>
      </c>
      <c r="G11" s="87">
        <f>'[1]Cargo Summary'!F11</f>
        <v>143.64408532396999</v>
      </c>
      <c r="H11" s="24">
        <f>(F11-G11)/G11</f>
        <v>-0.36217518575475005</v>
      </c>
      <c r="I11" s="87">
        <f>+F11+'[2]Cargo Summary'!I11</f>
        <v>3223.1475489628797</v>
      </c>
      <c r="J11" s="87">
        <f>+'[1]Cargo Summary'!I11</f>
        <v>642.09855508645001</v>
      </c>
      <c r="K11" s="63">
        <f>(I11-J11)/J11</f>
        <v>4.019708459753387</v>
      </c>
      <c r="M11" s="12"/>
    </row>
    <row r="12" spans="1:18" ht="18" customHeight="1" thickBot="1" x14ac:dyDescent="0.25">
      <c r="A12" s="52" t="s">
        <v>72</v>
      </c>
      <c r="B12" s="133">
        <f>SUM(B10:B11)</f>
        <v>2974997</v>
      </c>
      <c r="C12" s="97">
        <f t="shared" ref="C12:J12" si="1">SUM(C10:C11)</f>
        <v>5825.5</v>
      </c>
      <c r="D12" s="97">
        <f t="shared" si="1"/>
        <v>11638381</v>
      </c>
      <c r="E12" s="97">
        <f t="shared" si="1"/>
        <v>14619203.5</v>
      </c>
      <c r="F12" s="97">
        <f t="shared" si="1"/>
        <v>6631.1591630772955</v>
      </c>
      <c r="G12" s="97">
        <f t="shared" si="1"/>
        <v>6755.882368434507</v>
      </c>
      <c r="H12" s="27">
        <f>(F12-G12)/G12</f>
        <v>-1.8461423475926029E-2</v>
      </c>
      <c r="I12" s="97">
        <f>SUM(I10:I11)</f>
        <v>27867.388364399274</v>
      </c>
      <c r="J12" s="97">
        <f t="shared" si="1"/>
        <v>28264.795154712112</v>
      </c>
      <c r="K12" s="227">
        <f>(I12-J12)/J12</f>
        <v>-1.4060133396954234E-2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3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8128310</v>
      </c>
      <c r="C20" s="87">
        <f>C15+C10+C5</f>
        <v>14548.6</v>
      </c>
      <c r="D20" s="87">
        <f t="shared" si="3"/>
        <v>25207572</v>
      </c>
      <c r="E20" s="87">
        <f>SUM(B20:D20)</f>
        <v>33350430.600000001</v>
      </c>
      <c r="F20" s="87">
        <f>E20*0.00045359237</f>
        <v>15127.500856374521</v>
      </c>
      <c r="G20" s="87">
        <f>'[1]Cargo Summary'!F20</f>
        <v>14716.67848204885</v>
      </c>
      <c r="H20" s="3">
        <f>(F20-G20)/G20</f>
        <v>2.7915427711951803E-2</v>
      </c>
      <c r="I20" s="87">
        <f>+F20+'[2]Cargo Summary'!I20</f>
        <v>55763.89858365195</v>
      </c>
      <c r="J20" s="87">
        <f>+'[1]Cargo Summary'!I20</f>
        <v>61494.824763391865</v>
      </c>
      <c r="K20" s="63">
        <f>(I20-J20)/J20</f>
        <v>-9.3193633802361217E-2</v>
      </c>
      <c r="M20" s="12"/>
    </row>
    <row r="21" spans="1:13" x14ac:dyDescent="0.2">
      <c r="A21" s="43" t="s">
        <v>16</v>
      </c>
      <c r="B21" s="131">
        <f t="shared" si="3"/>
        <v>200120</v>
      </c>
      <c r="C21" s="88">
        <f t="shared" si="3"/>
        <v>0</v>
      </c>
      <c r="D21" s="88">
        <f t="shared" si="3"/>
        <v>2906455</v>
      </c>
      <c r="E21" s="87">
        <f>SUM(B21:D21)</f>
        <v>3106575</v>
      </c>
      <c r="F21" s="87">
        <f>E21*0.00045359237</f>
        <v>1409.1187168327499</v>
      </c>
      <c r="G21" s="87">
        <f>'[1]Cargo Summary'!F21</f>
        <v>328.19993446008999</v>
      </c>
      <c r="H21" s="3">
        <f>(F21-G21)/G21</f>
        <v>3.2934765332931613</v>
      </c>
      <c r="I21" s="87">
        <f>+F21+'[2]Cargo Summary'!I21</f>
        <v>7451.576445416179</v>
      </c>
      <c r="J21" s="87">
        <f>+'[1]Cargo Summary'!I21</f>
        <v>1261.7061860988199</v>
      </c>
      <c r="K21" s="63">
        <f>(I21-J21)/J21</f>
        <v>4.9059522157502951</v>
      </c>
      <c r="M21" s="12"/>
    </row>
    <row r="22" spans="1:13" ht="18" customHeight="1" thickBot="1" x14ac:dyDescent="0.25">
      <c r="A22" s="65" t="s">
        <v>62</v>
      </c>
      <c r="B22" s="134">
        <f>SUM(B20:B21)</f>
        <v>8328430</v>
      </c>
      <c r="C22" s="135">
        <f t="shared" ref="C22:J22" si="4">SUM(C20:C21)</f>
        <v>14548.6</v>
      </c>
      <c r="D22" s="135">
        <f t="shared" si="4"/>
        <v>28114027</v>
      </c>
      <c r="E22" s="135">
        <f t="shared" si="4"/>
        <v>36457005.600000001</v>
      </c>
      <c r="F22" s="135">
        <f t="shared" si="4"/>
        <v>16536.61957320727</v>
      </c>
      <c r="G22" s="135">
        <f t="shared" si="4"/>
        <v>15044.87841650894</v>
      </c>
      <c r="H22" s="233">
        <f>(F22-G22)/G22</f>
        <v>9.9152755868164619E-2</v>
      </c>
      <c r="I22" s="135">
        <f>SUM(I20:I21)</f>
        <v>63215.475029068126</v>
      </c>
      <c r="J22" s="135">
        <f t="shared" si="4"/>
        <v>62756.530949490683</v>
      </c>
      <c r="K22" s="234">
        <f>(I22-J22)/J22</f>
        <v>7.31308873568588E-3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April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2" zoomScale="115" zoomScaleNormal="115" workbookViewId="0">
      <selection activeCell="N35" sqref="N34:N35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4" t="s">
        <v>176</v>
      </c>
      <c r="B2" s="485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4" t="s">
        <v>172</v>
      </c>
      <c r="K2" s="485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6">
        <v>45748</v>
      </c>
      <c r="B3" s="487"/>
      <c r="C3" s="488" t="s">
        <v>9</v>
      </c>
      <c r="D3" s="489"/>
      <c r="E3" s="489"/>
      <c r="F3" s="489"/>
      <c r="G3" s="489"/>
      <c r="H3" s="490"/>
      <c r="I3" s="353"/>
      <c r="J3" s="486">
        <f>+A3</f>
        <v>45748</v>
      </c>
      <c r="K3" s="487"/>
      <c r="L3" s="481" t="s">
        <v>173</v>
      </c>
      <c r="M3" s="482"/>
      <c r="N3" s="482"/>
      <c r="O3" s="482"/>
      <c r="P3" s="482"/>
      <c r="Q3" s="482"/>
      <c r="R3" s="483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194</v>
      </c>
      <c r="D5" s="370">
        <f>SUM(D6:D7)</f>
        <v>194</v>
      </c>
      <c r="E5" s="371">
        <f>(C5-D5)/D5</f>
        <v>0</v>
      </c>
      <c r="F5" s="370">
        <f>SUM(F6:F7)</f>
        <v>758</v>
      </c>
      <c r="G5" s="370">
        <f>SUM(G6:G7)</f>
        <v>908</v>
      </c>
      <c r="H5" s="372">
        <f>(F5-G5)/G5</f>
        <v>-0.16519823788546256</v>
      </c>
      <c r="I5" s="371">
        <f>+F5/$F$34</f>
        <v>0.1832688588007737</v>
      </c>
      <c r="J5" s="246" t="s">
        <v>192</v>
      </c>
      <c r="K5" s="37"/>
      <c r="L5" s="370">
        <f>SUM(L6:L7)</f>
        <v>4814519</v>
      </c>
      <c r="M5" s="370">
        <f>SUM(M6:M7)</f>
        <v>4191521</v>
      </c>
      <c r="N5" s="371">
        <f>(L5-M5)/M5</f>
        <v>0.14863291869466955</v>
      </c>
      <c r="O5" s="370">
        <f>SUM(O6:O7)</f>
        <v>18726002</v>
      </c>
      <c r="P5" s="370">
        <f>SUM(P6:P7)</f>
        <v>20793476</v>
      </c>
      <c r="Q5" s="372">
        <f>(O5-P5)/P5</f>
        <v>-9.942897474188539E-2</v>
      </c>
      <c r="R5" s="371">
        <f>O5/$O$34</f>
        <v>0.16785059917888923</v>
      </c>
      <c r="T5" s="379"/>
    </row>
    <row r="6" spans="1:20" ht="14.1" customHeight="1" x14ac:dyDescent="0.2">
      <c r="A6" s="36"/>
      <c r="B6" s="306" t="s">
        <v>193</v>
      </c>
      <c r="C6" s="310">
        <f>+'[3]Atlas Air'!$JK$19</f>
        <v>0</v>
      </c>
      <c r="D6" s="207">
        <f>+'[3]Atlas Air'!$IW$19</f>
        <v>2</v>
      </c>
      <c r="E6" s="312">
        <f>IFERROR((C6-D6)/D6,0)</f>
        <v>-1</v>
      </c>
      <c r="F6" s="310">
        <f>+SUM('[3]Atlas Air'!$JH$19:$JK$19)</f>
        <v>8</v>
      </c>
      <c r="G6" s="207">
        <f>+SUM('[3]Atlas Air'!$IT$19:$IW$19)</f>
        <v>18</v>
      </c>
      <c r="H6" s="311">
        <f>IFERROR((F6-G6)/G6,0)</f>
        <v>-0.55555555555555558</v>
      </c>
      <c r="I6" s="312">
        <f>+F6/$F$34</f>
        <v>1.9342359767891683E-3</v>
      </c>
      <c r="J6" s="36"/>
      <c r="K6" s="306" t="s">
        <v>193</v>
      </c>
      <c r="L6" s="310">
        <f>+'[3]Atlas Air'!$JK$64</f>
        <v>0</v>
      </c>
      <c r="M6" s="207">
        <f>+'[3]Atlas Air'!$IW$64</f>
        <v>71630</v>
      </c>
      <c r="N6" s="312">
        <f>IFERROR((L6-M6)/M6,0)</f>
        <v>-1</v>
      </c>
      <c r="O6" s="207">
        <f>+SUM('[3]Atlas Air'!$JH$64:$JK$64)</f>
        <v>108656</v>
      </c>
      <c r="P6" s="207">
        <f>+SUM('[3]Atlas Air'!$IT$64:$IW$64)</f>
        <v>563603</v>
      </c>
      <c r="Q6" s="311">
        <f>IFERROR((O6-P6)/P6,0)</f>
        <v>-0.8072118139896346</v>
      </c>
      <c r="R6" s="312">
        <f>O6/$O$34</f>
        <v>9.7393852165461624E-4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Cargo'!$JK$19</f>
        <v>194</v>
      </c>
      <c r="D7" s="207">
        <f>+'[3]Sun Country Cargo'!$IW$19</f>
        <v>192</v>
      </c>
      <c r="E7" s="312">
        <f>(C7-D7)/D7</f>
        <v>1.0416666666666666E-2</v>
      </c>
      <c r="F7" s="310">
        <f>+SUM('[3]Sun Country Cargo'!$JH$19:$JK$19)</f>
        <v>750</v>
      </c>
      <c r="G7" s="207">
        <f>+SUM('[3]Sun Country Cargo'!$IT$19:$IW$19)</f>
        <v>890</v>
      </c>
      <c r="H7" s="311">
        <f>(F7-G7)/G7</f>
        <v>-0.15730337078651685</v>
      </c>
      <c r="I7" s="312">
        <f>+F7/$F$34</f>
        <v>0.18133462282398452</v>
      </c>
      <c r="J7" s="36"/>
      <c r="K7" s="306" t="s">
        <v>49</v>
      </c>
      <c r="L7" s="310">
        <f>+'[3]Sun Country Cargo'!$JK$64</f>
        <v>4814519</v>
      </c>
      <c r="M7" s="207">
        <f>+'[3]Sun Country Cargo'!$IW$64</f>
        <v>4119891</v>
      </c>
      <c r="N7" s="312">
        <f>(L7-M7)/M7</f>
        <v>0.16860348975252015</v>
      </c>
      <c r="O7" s="207">
        <f>+SUM('[3]Sun Country Cargo'!$JH$64:$JK$64)</f>
        <v>18617346</v>
      </c>
      <c r="P7" s="207">
        <f>+SUM('[3]Sun Country Cargo'!$IT$64:$IW$64)</f>
        <v>20229873</v>
      </c>
      <c r="Q7" s="311">
        <f>(O7-P7)/P7</f>
        <v>-7.9710188986356956E-2</v>
      </c>
      <c r="R7" s="312">
        <f>O7/$O$34</f>
        <v>0.16687666065723461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128</v>
      </c>
      <c r="D9" s="370">
        <f>SUM(D10:D18)</f>
        <v>128</v>
      </c>
      <c r="E9" s="371">
        <f>(C9-D9)/D9</f>
        <v>0</v>
      </c>
      <c r="F9" s="370">
        <f>SUM(F10:F18)</f>
        <v>492</v>
      </c>
      <c r="G9" s="370">
        <f>SUM(G10:G18)</f>
        <v>480</v>
      </c>
      <c r="H9" s="372">
        <f>(F9-G9)/G9</f>
        <v>2.5000000000000001E-2</v>
      </c>
      <c r="I9" s="371">
        <f t="shared" ref="I9:I18" si="0">+F9/$F$34</f>
        <v>0.11895551257253385</v>
      </c>
      <c r="J9" s="246" t="s">
        <v>194</v>
      </c>
      <c r="K9" s="37"/>
      <c r="L9" s="370">
        <f>SUM(L10:L18)</f>
        <v>1210681</v>
      </c>
      <c r="M9" s="370">
        <f>SUM(M10:M18)</f>
        <v>755078</v>
      </c>
      <c r="N9" s="371">
        <f t="shared" ref="N9:N18" si="1">(L9-M9)/M9</f>
        <v>0.60338534561992274</v>
      </c>
      <c r="O9" s="370">
        <f>SUM(O10:O18)</f>
        <v>4739433</v>
      </c>
      <c r="P9" s="370">
        <f>SUM(P10:P18)</f>
        <v>4992788</v>
      </c>
      <c r="Q9" s="372">
        <f t="shared" ref="Q9:Q18" si="2">(O9-P9)/P9</f>
        <v>-5.0744193424595636E-2</v>
      </c>
      <c r="R9" s="371">
        <f t="shared" ref="R9:R18" si="3">O9/$O$34</f>
        <v>4.2481928006747008E-2</v>
      </c>
      <c r="T9" s="379"/>
    </row>
    <row r="10" spans="1:20" ht="14.1" customHeight="1" x14ac:dyDescent="0.2">
      <c r="A10" s="246"/>
      <c r="B10" s="306" t="s">
        <v>195</v>
      </c>
      <c r="C10" s="310">
        <f>+[3]Airborne!$JK$19</f>
        <v>14</v>
      </c>
      <c r="D10" s="207">
        <f>+[3]Airborne!$IW$19</f>
        <v>2</v>
      </c>
      <c r="E10" s="312">
        <f>(C10-D10)/D10</f>
        <v>6</v>
      </c>
      <c r="F10" s="310">
        <f>+SUM([3]Airborne!$JH$19:$JK$19)</f>
        <v>30</v>
      </c>
      <c r="G10" s="207">
        <f>+SUM([3]Airborne!$IT$19:$IW$19)</f>
        <v>28</v>
      </c>
      <c r="H10" s="311">
        <f>(F10-G10)/G10</f>
        <v>7.1428571428571425E-2</v>
      </c>
      <c r="I10" s="312">
        <f t="shared" si="0"/>
        <v>7.2533849129593807E-3</v>
      </c>
      <c r="J10" s="246"/>
      <c r="K10" s="306" t="s">
        <v>195</v>
      </c>
      <c r="L10" s="310">
        <f>+[3]Airborne!$JK$64</f>
        <v>349596</v>
      </c>
      <c r="M10" s="207">
        <f>+[3]Airborne!$IW$64</f>
        <v>71244</v>
      </c>
      <c r="N10" s="312">
        <f t="shared" si="1"/>
        <v>3.9070237493683679</v>
      </c>
      <c r="O10" s="310">
        <f>+SUM([3]Airborne!$JH$64:$JK$64)</f>
        <v>950291</v>
      </c>
      <c r="P10" s="207">
        <f>+SUM([3]Airborne!$IT$64:$IW$64)</f>
        <v>1140428</v>
      </c>
      <c r="Q10" s="311">
        <f t="shared" si="2"/>
        <v>-0.16672424738782282</v>
      </c>
      <c r="R10" s="312">
        <f t="shared" si="3"/>
        <v>8.5179374510536646E-3</v>
      </c>
      <c r="T10" s="379"/>
    </row>
    <row r="11" spans="1:20" ht="14.1" customHeight="1" x14ac:dyDescent="0.2">
      <c r="A11" s="246"/>
      <c r="B11" s="37" t="s">
        <v>193</v>
      </c>
      <c r="C11" s="310">
        <f>+[3]DHL_Atlas!$JK$19</f>
        <v>0</v>
      </c>
      <c r="D11" s="207">
        <f>+[3]DHL_Atlas!$IW$19</f>
        <v>0</v>
      </c>
      <c r="E11" s="312">
        <f>IFERROR((C11-D11)/D11,0)</f>
        <v>0</v>
      </c>
      <c r="F11" s="310">
        <f>+SUM([3]DHL_Atlas!$JH$19:$JK$19)</f>
        <v>0</v>
      </c>
      <c r="G11" s="207">
        <f>+SUM([3]DHL_Atlas!$IT$19:$IW$19)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+[3]DHL_Atlas!$JK$64</f>
        <v>0</v>
      </c>
      <c r="M11" s="207">
        <f>+[3]DHL_Atlas!$IW$64</f>
        <v>0</v>
      </c>
      <c r="N11" s="312">
        <f>IFERROR((L11-M11)/M11,0)</f>
        <v>0</v>
      </c>
      <c r="O11" s="310">
        <f>+SUM([3]DHL_Atlas!$JH$64:$JK$64)</f>
        <v>0</v>
      </c>
      <c r="P11" s="207">
        <f>+SUM([3]DHL_Atlas!$IT$64:$IW$64)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+[3]DHL!$JK$19</f>
        <v>0</v>
      </c>
      <c r="D12" s="207">
        <f>+[3]DHL!$IW$19</f>
        <v>42</v>
      </c>
      <c r="E12" s="312">
        <f>IFERROR((C12-D12)/D12,0)</f>
        <v>-1</v>
      </c>
      <c r="F12" s="310">
        <f>+SUM([3]DHL!$JH$19:$JK$19)</f>
        <v>10</v>
      </c>
      <c r="G12" s="207">
        <f>+SUM([3]DHL!$IT$19:$IW$19)</f>
        <v>48</v>
      </c>
      <c r="H12" s="311">
        <f>IFERROR((F12-G12)/G12,0)</f>
        <v>-0.79166666666666663</v>
      </c>
      <c r="I12" s="312">
        <f t="shared" si="0"/>
        <v>2.4177949709864605E-3</v>
      </c>
      <c r="J12" s="246"/>
      <c r="K12" s="37" t="s">
        <v>231</v>
      </c>
      <c r="L12" s="310">
        <f>+[3]DHL!$JK$64</f>
        <v>0</v>
      </c>
      <c r="M12" s="207">
        <f>+[3]DHL!$IW$64</f>
        <v>589395</v>
      </c>
      <c r="N12" s="312">
        <f>IFERROR((L12-M12)/M12,0)</f>
        <v>-1</v>
      </c>
      <c r="O12" s="310">
        <f>+SUM([3]DHL!$JH$64:$JK$64)</f>
        <v>274607</v>
      </c>
      <c r="P12" s="207">
        <f>+SUM([3]DHL!$IT$64:$IW$64)</f>
        <v>797306</v>
      </c>
      <c r="Q12" s="311">
        <f>IFERROR((O12-P12)/P12,0)</f>
        <v>-0.65558142043330914</v>
      </c>
      <c r="R12" s="312">
        <f t="shared" si="3"/>
        <v>2.4614410213518738E-3</v>
      </c>
      <c r="T12" s="379"/>
    </row>
    <row r="13" spans="1:20" ht="14.1" customHeight="1" x14ac:dyDescent="0.2">
      <c r="A13" s="246"/>
      <c r="B13" s="306" t="s">
        <v>83</v>
      </c>
      <c r="C13" s="310">
        <f>+[3]DHL_Bemidji!$JK$19</f>
        <v>82</v>
      </c>
      <c r="D13" s="207">
        <f>+[3]DHL_Bemidji!$IW$19</f>
        <v>84</v>
      </c>
      <c r="E13" s="312">
        <f>(C13-D13)/D13</f>
        <v>-2.3809523809523808E-2</v>
      </c>
      <c r="F13" s="310">
        <f>+SUM([3]DHL_Bemidji!$JH$19:$JK$19)</f>
        <v>320</v>
      </c>
      <c r="G13" s="207">
        <f>+SUM([3]DHL_Bemidji!$IT$19:$IW$19)</f>
        <v>304</v>
      </c>
      <c r="H13" s="311">
        <f t="shared" ref="H13:H18" si="4">(F13-G13)/G13</f>
        <v>5.2631578947368418E-2</v>
      </c>
      <c r="I13" s="312">
        <f t="shared" si="0"/>
        <v>7.7369439071566737E-2</v>
      </c>
      <c r="J13" s="246"/>
      <c r="K13" s="306" t="s">
        <v>83</v>
      </c>
      <c r="L13" s="310">
        <f>+[3]DHL_Bemidji!$JK$64</f>
        <v>77409</v>
      </c>
      <c r="M13" s="207">
        <f>+[3]DHL_Bemidji!$IW$64</f>
        <v>94439</v>
      </c>
      <c r="N13" s="312">
        <f t="shared" ref="N13" si="5">(L13-M13)/M13</f>
        <v>-0.18032804244009359</v>
      </c>
      <c r="O13" s="310">
        <f>+SUM([3]DHL_Bemidji!$JH$64:$JK$64)</f>
        <v>325354</v>
      </c>
      <c r="P13" s="207">
        <f>+SUM([3]DHL_Bemidji!$IT$64:$IW$64)</f>
        <v>375104</v>
      </c>
      <c r="Q13" s="311">
        <f t="shared" ref="Q13" si="6">(O13-P13)/P13</f>
        <v>-0.1326298839788432</v>
      </c>
      <c r="R13" s="312">
        <f t="shared" si="3"/>
        <v>2.9163119733324992E-3</v>
      </c>
      <c r="T13" s="379"/>
    </row>
    <row r="14" spans="1:20" ht="14.1" customHeight="1" x14ac:dyDescent="0.2">
      <c r="A14" s="246"/>
      <c r="B14" s="37" t="s">
        <v>184</v>
      </c>
      <c r="C14" s="310">
        <f>+[3]Encore!$JK$19+[3]DHL_Encore!$JK$12</f>
        <v>0</v>
      </c>
      <c r="D14" s="207">
        <f>+[3]Encore!$IW$19+[3]DHL_Encore!$IW$19</f>
        <v>0</v>
      </c>
      <c r="E14" s="312">
        <f>IFERROR((C14-D14)/D14,0)</f>
        <v>0</v>
      </c>
      <c r="F14" s="310">
        <f>+SUM([3]Encore!$JH$19:$JK$19)+SUM([3]DHL_Encore!$JH$19:$JK$19)</f>
        <v>0</v>
      </c>
      <c r="G14" s="207">
        <f>+SUM([3]Encore!$IT$19:$IW$19)+SUM([3]DHL_Encore!$IT$19:$IW$19)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+[3]Encore!$JK$64+[3]DHL_Encore!$JK$64</f>
        <v>0</v>
      </c>
      <c r="M14" s="207">
        <f>+[3]Encore!$IW$64+[3]DHL_Encore!$IW$64</f>
        <v>0</v>
      </c>
      <c r="N14" s="312">
        <f>IFERROR((L14-M14)/M14,0)</f>
        <v>0</v>
      </c>
      <c r="O14" s="310">
        <f>+SUM([3]Encore!$JH$64:$JK$64)+SUM([3]DHL_Encore!$JH$64:$JK$64)</f>
        <v>0</v>
      </c>
      <c r="P14" s="207">
        <f>+SUM([3]Encore!$IT$64:$IW$64)+SUM([3]DHL_Encore!$IT$64:$IW$64)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+[3]DHL_Kalitta!$JK$19</f>
        <v>32</v>
      </c>
      <c r="D15" s="207">
        <f>+[3]DHL_Kalitta!$IW$19</f>
        <v>0</v>
      </c>
      <c r="E15" s="312" t="e">
        <f t="shared" ref="E15:E18" si="7">(C15-D15)/D15</f>
        <v>#DIV/0!</v>
      </c>
      <c r="F15" s="310">
        <f>+SUM([3]DHL_Kalitta!$JH$19:$JK$19)</f>
        <v>132</v>
      </c>
      <c r="G15" s="207">
        <f>+SUM([3]DHL_Kalitta!$IT$19:$IW$19)</f>
        <v>96</v>
      </c>
      <c r="H15" s="311">
        <f t="shared" si="4"/>
        <v>0.375</v>
      </c>
      <c r="I15" s="312">
        <f t="shared" si="0"/>
        <v>3.1914893617021274E-2</v>
      </c>
      <c r="J15" s="246"/>
      <c r="K15" s="37" t="s">
        <v>196</v>
      </c>
      <c r="L15" s="310">
        <f>+[3]DHL_Kalitta!$JK$64</f>
        <v>783676</v>
      </c>
      <c r="M15" s="207">
        <f>+[3]DHL_Kalitta!$IW$64</f>
        <v>0</v>
      </c>
      <c r="N15" s="312" t="e">
        <f t="shared" si="1"/>
        <v>#DIV/0!</v>
      </c>
      <c r="O15" s="310">
        <f>+SUM([3]DHL_Kalitta!$JH$64:$JK$64)</f>
        <v>3189181</v>
      </c>
      <c r="P15" s="207">
        <f>+SUM([3]DHL_Kalitta!$IT$64:$IW$64)</f>
        <v>2603803</v>
      </c>
      <c r="Q15" s="311">
        <f t="shared" si="2"/>
        <v>0.22481654718118077</v>
      </c>
      <c r="R15" s="312">
        <f t="shared" si="3"/>
        <v>2.8586237561008972E-2</v>
      </c>
      <c r="T15" s="379"/>
    </row>
    <row r="16" spans="1:20" ht="14.1" customHeight="1" x14ac:dyDescent="0.2">
      <c r="A16" s="246"/>
      <c r="B16" s="37" t="s">
        <v>51</v>
      </c>
      <c r="C16" s="310">
        <f>+[3]DHL_Mesa!$JK$19</f>
        <v>0</v>
      </c>
      <c r="D16" s="207">
        <f>+[3]DHL_Mesa!$IW$19</f>
        <v>0</v>
      </c>
      <c r="E16" s="312" t="e">
        <f t="shared" ref="E16" si="8">(C16-D16)/D16</f>
        <v>#DIV/0!</v>
      </c>
      <c r="F16" s="310">
        <f>+SUM([3]DHL_Mesa!$JH$19:$JK$19)</f>
        <v>0</v>
      </c>
      <c r="G16" s="207">
        <f>+SUM([3]DHL_Mesa!$IT$19:$IW$19)</f>
        <v>2</v>
      </c>
      <c r="H16" s="311">
        <f t="shared" ref="H16" si="9">(F16-G16)/G16</f>
        <v>-1</v>
      </c>
      <c r="I16" s="312">
        <f t="shared" ref="I16" si="10">+F16/$F$34</f>
        <v>0</v>
      </c>
      <c r="J16" s="246"/>
      <c r="K16" s="37" t="s">
        <v>51</v>
      </c>
      <c r="L16" s="310">
        <f>+[3]DHL_Mesa!$JK$64</f>
        <v>0</v>
      </c>
      <c r="M16" s="207">
        <f>+[3]DHL_Mesa!$IW$64</f>
        <v>0</v>
      </c>
      <c r="N16" s="312" t="e">
        <f t="shared" ref="N16" si="11">(L16-M16)/M16</f>
        <v>#DIV/0!</v>
      </c>
      <c r="O16" s="310">
        <f>+SUM([3]DHL_Mesa!$JH$64:$JK$64)</f>
        <v>0</v>
      </c>
      <c r="P16" s="207">
        <f>+SUM([3]DHL_Mesa!$IT$64:$IW$64)</f>
        <v>22802</v>
      </c>
      <c r="Q16" s="311">
        <f t="shared" ref="Q16" si="12">(O16-P16)/P16</f>
        <v>-1</v>
      </c>
      <c r="R16" s="312">
        <f t="shared" ref="R16" si="13">O16/$O$34</f>
        <v>0</v>
      </c>
      <c r="T16" s="379"/>
    </row>
    <row r="17" spans="1:20" x14ac:dyDescent="0.2">
      <c r="A17" s="246"/>
      <c r="B17" s="37" t="s">
        <v>210</v>
      </c>
      <c r="C17" s="310">
        <f>+[3]DHL_Amerijet!$JK$19</f>
        <v>0</v>
      </c>
      <c r="D17" s="207">
        <f>+[3]DHL_Amerijet!$IW$19</f>
        <v>0</v>
      </c>
      <c r="E17" s="312">
        <f>IFERROR((C17-D17)/D17,0)</f>
        <v>0</v>
      </c>
      <c r="F17" s="310">
        <f>+SUM([3]DHL_Amerijet!$JH$19:$JK$19)</f>
        <v>0</v>
      </c>
      <c r="G17" s="207">
        <f>+SUM([3]DHL_Amerijet!$IT$19:$IW$19)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+[3]DHL_Amerijet!$JK$64</f>
        <v>0</v>
      </c>
      <c r="M17" s="207">
        <f>+[3]DHL_Amerijet!$IW$64</f>
        <v>0</v>
      </c>
      <c r="N17" s="312">
        <f>IFERROR((L17-M17)/M17,0)</f>
        <v>0</v>
      </c>
      <c r="O17" s="310">
        <f>+SUM([3]DHL_Amerijet!$JH$64:$JK$64)</f>
        <v>0</v>
      </c>
      <c r="P17" s="207">
        <f>+SUM([3]DHL_Amerijet!$IT$64:$IW$64)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+[3]DHL_Swift!$JK$19</f>
        <v>0</v>
      </c>
      <c r="D18" s="207">
        <f>+[3]DHL_Swift!$IW$19</f>
        <v>0</v>
      </c>
      <c r="E18" s="312" t="e">
        <f t="shared" si="7"/>
        <v>#DIV/0!</v>
      </c>
      <c r="F18" s="310">
        <f>+SUM([3]DHL_Swift!$JH$19:$JK$19)</f>
        <v>0</v>
      </c>
      <c r="G18" s="207">
        <f>+SUM([3]DHL_Swift!$IT$19:$IW$19)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+[3]DHL_Swift!$JK$64</f>
        <v>0</v>
      </c>
      <c r="M18" s="207">
        <f>+[3]DHL_Swift!$IW$64</f>
        <v>0</v>
      </c>
      <c r="N18" s="312" t="e">
        <f t="shared" si="1"/>
        <v>#DIV/0!</v>
      </c>
      <c r="O18" s="310">
        <f>+SUM([3]DHL_Swift!$JH$64:$JK$64)</f>
        <v>0</v>
      </c>
      <c r="P18" s="207">
        <f>+SUM([3]DHL_Swift!$IT$64:$IW$64)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228</v>
      </c>
      <c r="D20" s="370">
        <f>SUM(D21:D24)</f>
        <v>250</v>
      </c>
      <c r="E20" s="371">
        <f>(C20-D20)/D20</f>
        <v>-8.7999999999999995E-2</v>
      </c>
      <c r="F20" s="374">
        <f>SUM(F21:F24)</f>
        <v>824</v>
      </c>
      <c r="G20" s="370">
        <f>SUM(G21:G24)</f>
        <v>1016</v>
      </c>
      <c r="H20" s="372">
        <f t="shared" ref="H20:H21" si="14">(F20-G20)/G20</f>
        <v>-0.1889763779527559</v>
      </c>
      <c r="I20" s="371">
        <f>+F20/$F$34</f>
        <v>0.19922630560928434</v>
      </c>
      <c r="J20" s="246" t="s">
        <v>174</v>
      </c>
      <c r="K20" s="37"/>
      <c r="L20" s="374">
        <f>SUM(L21:L24)</f>
        <v>10673421</v>
      </c>
      <c r="M20" s="370">
        <f>SUM(M21:M24)</f>
        <v>12541716</v>
      </c>
      <c r="N20" s="371">
        <f>(L20-M20)/M20</f>
        <v>-0.14896645722164337</v>
      </c>
      <c r="O20" s="374">
        <f>SUM(O21:O24)</f>
        <v>39745056</v>
      </c>
      <c r="P20" s="370">
        <f>SUM(P21:P24)</f>
        <v>50769179</v>
      </c>
      <c r="Q20" s="372">
        <f t="shared" ref="Q20:Q22" si="15">(O20-P20)/P20</f>
        <v>-0.21714203808574489</v>
      </c>
      <c r="R20" s="371">
        <f>O20/$O$34</f>
        <v>0.35625497978684967</v>
      </c>
      <c r="T20" s="379"/>
    </row>
    <row r="21" spans="1:20" ht="14.1" customHeight="1" x14ac:dyDescent="0.2">
      <c r="A21" s="36"/>
      <c r="B21" s="306" t="s">
        <v>174</v>
      </c>
      <c r="C21" s="310">
        <f>+[3]FedEx!$JK$19</f>
        <v>146</v>
      </c>
      <c r="D21" s="207">
        <f>+[3]FedEx!$IW$19</f>
        <v>174</v>
      </c>
      <c r="E21" s="312">
        <f>(C21-D21)/D21</f>
        <v>-0.16091954022988506</v>
      </c>
      <c r="F21" s="310">
        <f>+SUM([3]FedEx!$JH$19:$JK$19)</f>
        <v>526</v>
      </c>
      <c r="G21" s="207">
        <f>+SUM([3]FedEx!$IT$19:$IW$19)</f>
        <v>720</v>
      </c>
      <c r="H21" s="311">
        <f t="shared" si="14"/>
        <v>-0.26944444444444443</v>
      </c>
      <c r="I21" s="312">
        <f>+F21/$F$34</f>
        <v>0.12717601547388782</v>
      </c>
      <c r="J21" s="246"/>
      <c r="K21" s="306" t="s">
        <v>174</v>
      </c>
      <c r="L21" s="310">
        <f>+[3]FedEx!$JK$64</f>
        <v>10470474</v>
      </c>
      <c r="M21" s="207">
        <f>+[3]FedEx!$IW$64</f>
        <v>12346416</v>
      </c>
      <c r="N21" s="312">
        <f>(L21-M21)/M21</f>
        <v>-0.15194223165653903</v>
      </c>
      <c r="O21" s="310">
        <f>+SUM([3]FedEx!$JH$64:$JK$64)</f>
        <v>38964866</v>
      </c>
      <c r="P21" s="207">
        <f>+SUM([3]FedEx!$IT$64:$IW$64)</f>
        <v>50048980</v>
      </c>
      <c r="Q21" s="311">
        <f t="shared" si="15"/>
        <v>-0.22146533256022399</v>
      </c>
      <c r="R21" s="312">
        <f>O21/$O$34</f>
        <v>0.34926174337827842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Cargo'!$JK$19</f>
        <v>46</v>
      </c>
      <c r="D22" s="207">
        <f>+'[3]Mountain Cargo'!$IW$19</f>
        <v>40</v>
      </c>
      <c r="E22" s="312">
        <f>(C22-D22)/D22</f>
        <v>0.15</v>
      </c>
      <c r="F22" s="310">
        <f>+SUM('[3]Mountain Cargo'!$JH$19:$JK$19)</f>
        <v>166</v>
      </c>
      <c r="G22" s="207">
        <f>+SUM('[3]Mountain Cargo'!$IT$19:$IW$19)</f>
        <v>166</v>
      </c>
      <c r="H22" s="311">
        <f>(F22-G22)/G22</f>
        <v>0</v>
      </c>
      <c r="I22" s="312">
        <f>+F22/$F$34</f>
        <v>4.0135396518375242E-2</v>
      </c>
      <c r="J22" s="351"/>
      <c r="K22" s="306" t="s">
        <v>198</v>
      </c>
      <c r="L22" s="310">
        <f>+'[3]Mountain Cargo'!$JK$64</f>
        <v>132275</v>
      </c>
      <c r="M22" s="207">
        <f>+'[3]Mountain Cargo'!$IW$64</f>
        <v>135291</v>
      </c>
      <c r="N22" s="312">
        <f>(L22-M22)/M22</f>
        <v>-2.229268761410589E-2</v>
      </c>
      <c r="O22" s="310">
        <f>+SUM('[3]Mountain Cargo'!$JH$64:$JK$64)</f>
        <v>535131</v>
      </c>
      <c r="P22" s="207">
        <f>+SUM('[3]Mountain Cargo'!$IT$64:$IW$64)</f>
        <v>488480</v>
      </c>
      <c r="Q22" s="311">
        <f t="shared" si="15"/>
        <v>9.5502374713396662E-2</v>
      </c>
      <c r="R22" s="312">
        <f>O22/$O$34</f>
        <v>4.7966490118498423E-3</v>
      </c>
      <c r="T22" s="379"/>
    </row>
    <row r="23" spans="1:20" ht="14.1" customHeight="1" x14ac:dyDescent="0.2">
      <c r="A23" s="36"/>
      <c r="B23" s="306" t="s">
        <v>168</v>
      </c>
      <c r="C23" s="310">
        <f>+[3]IFL!$JK$19</f>
        <v>36</v>
      </c>
      <c r="D23" s="207">
        <f>+[3]IFL!$IW$19</f>
        <v>36</v>
      </c>
      <c r="E23" s="312">
        <f>(C23-D23)/D23</f>
        <v>0</v>
      </c>
      <c r="F23" s="310">
        <f>+SUM([3]IFL!$JH$19:$JK$19)</f>
        <v>132</v>
      </c>
      <c r="G23" s="207">
        <f>+SUM([3]IFL!$IT$19:$IW$19)</f>
        <v>130</v>
      </c>
      <c r="H23" s="311">
        <f>(F23-G23)/G23</f>
        <v>1.5384615384615385E-2</v>
      </c>
      <c r="I23" s="312">
        <f>+F23/$F$34</f>
        <v>3.1914893617021274E-2</v>
      </c>
      <c r="J23" s="351"/>
      <c r="K23" s="306" t="s">
        <v>168</v>
      </c>
      <c r="L23" s="310">
        <f>+[3]IFL!$JK$64</f>
        <v>70672</v>
      </c>
      <c r="M23" s="207">
        <f>+[3]IFL!$IW$64</f>
        <v>60009</v>
      </c>
      <c r="N23" s="312">
        <f>(L23-M23)/M23</f>
        <v>0.17769001316469196</v>
      </c>
      <c r="O23" s="310">
        <f>+SUM([3]IFL!$JH$64:$JK$64)</f>
        <v>245059</v>
      </c>
      <c r="P23" s="207">
        <f>+SUM([3]IFL!$IT$64:$IW$64)</f>
        <v>231719</v>
      </c>
      <c r="Q23" s="311">
        <f>(O23-P23)/P23</f>
        <v>5.7569728852618907E-2</v>
      </c>
      <c r="R23" s="312">
        <f>O23/$O$34</f>
        <v>2.196587396721383E-3</v>
      </c>
      <c r="T23" s="379"/>
    </row>
    <row r="24" spans="1:20" ht="14.1" customHeight="1" x14ac:dyDescent="0.2">
      <c r="A24" s="246"/>
      <c r="B24" s="306" t="s">
        <v>84</v>
      </c>
      <c r="C24" s="310">
        <f>+'[3]CSA Air'!$JK$19</f>
        <v>0</v>
      </c>
      <c r="D24" s="207">
        <f>+'[3]CSA Air'!$IW$19</f>
        <v>0</v>
      </c>
      <c r="E24" s="312">
        <f>IFERROR((C24-D24)/D24,)</f>
        <v>0</v>
      </c>
      <c r="F24" s="310">
        <f>+SUM('[3]CSA Air'!$JH$19:$JK$19)</f>
        <v>0</v>
      </c>
      <c r="G24" s="207">
        <f>+SUM('[3]CSA Air'!$IT$19:$IW$19)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Air'!$JK$64</f>
        <v>0</v>
      </c>
      <c r="M24" s="207">
        <f>+'[3]CSA Air'!$IW$64</f>
        <v>0</v>
      </c>
      <c r="N24" s="312">
        <f>IFERROR((L24-M24)/M24,0)</f>
        <v>0</v>
      </c>
      <c r="O24" s="310">
        <f>+SUM('[3]CSA Air'!$JH$64:$JK$64)</f>
        <v>0</v>
      </c>
      <c r="P24" s="207">
        <f>+SUM('[3]CSA Air'!$IT$64:$IW$64)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540</v>
      </c>
      <c r="D26" s="370">
        <f>SUM(D27:D28)</f>
        <v>522</v>
      </c>
      <c r="E26" s="371">
        <f>(C26-D26)/D26</f>
        <v>3.4482758620689655E-2</v>
      </c>
      <c r="F26" s="370">
        <f>SUM(F27:F28)</f>
        <v>2060</v>
      </c>
      <c r="G26" s="370">
        <f>SUM(G27:G28)</f>
        <v>2056</v>
      </c>
      <c r="H26" s="372">
        <f>(F26-G26)/G26</f>
        <v>1.9455252918287938E-3</v>
      </c>
      <c r="I26" s="371">
        <f>+F26/$F$34</f>
        <v>0.49806576402321084</v>
      </c>
      <c r="J26" s="246" t="s">
        <v>82</v>
      </c>
      <c r="K26" s="37"/>
      <c r="L26" s="370">
        <f>SUM(L27:L28)</f>
        <v>11415406</v>
      </c>
      <c r="M26" s="370">
        <f>SUM(M27:M28)</f>
        <v>9377892</v>
      </c>
      <c r="N26" s="371">
        <f>(L26-M26)/M26</f>
        <v>0.21726780389452127</v>
      </c>
      <c r="O26" s="370">
        <f>SUM(O27:O28)</f>
        <v>48314984</v>
      </c>
      <c r="P26" s="370">
        <f>SUM(P27:P28)</f>
        <v>35035717</v>
      </c>
      <c r="Q26" s="372">
        <f>(O26-P26)/P26</f>
        <v>0.37902084321551061</v>
      </c>
      <c r="R26" s="371">
        <f>O26/$O$34</f>
        <v>0.43307156614201187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+[3]UPS!$JK$19</f>
        <v>234</v>
      </c>
      <c r="D27" s="207">
        <f>+[3]UPS!$IW$19</f>
        <v>178</v>
      </c>
      <c r="E27" s="312">
        <f>(C27-D27)/D27</f>
        <v>0.3146067415730337</v>
      </c>
      <c r="F27" s="310">
        <f>+SUM([3]UPS!$JH$19:$JK$19)</f>
        <v>882</v>
      </c>
      <c r="G27" s="207">
        <f>+SUM([3]UPS!$IT$19:$IW$19)</f>
        <v>698</v>
      </c>
      <c r="H27" s="311">
        <f>(F27-G27)/G27</f>
        <v>0.26361031518624639</v>
      </c>
      <c r="I27" s="312">
        <f>+F27/$F$34</f>
        <v>0.21324951644100582</v>
      </c>
      <c r="J27" s="246"/>
      <c r="K27" s="306" t="s">
        <v>82</v>
      </c>
      <c r="L27" s="310">
        <f>+[3]UPS!$JK$64</f>
        <v>11415406</v>
      </c>
      <c r="M27" s="207">
        <f>+[3]UPS!$IW$64</f>
        <v>9377892</v>
      </c>
      <c r="N27" s="312">
        <f>(L27-M27)/M27</f>
        <v>0.21726780389452127</v>
      </c>
      <c r="O27" s="310">
        <f>+SUM([3]UPS!$JH$64:$JK$64)</f>
        <v>48314984</v>
      </c>
      <c r="P27" s="207">
        <f>+SUM([3]UPS!$IT$64:$IW$64)</f>
        <v>35035717</v>
      </c>
      <c r="Q27" s="311">
        <f>(O27-P27)/P27</f>
        <v>0.37902084321551061</v>
      </c>
      <c r="R27" s="312">
        <f>O27/$O$34</f>
        <v>0.43307156614201187</v>
      </c>
      <c r="S27" s="328"/>
      <c r="T27" s="381"/>
    </row>
    <row r="28" spans="1:20" x14ac:dyDescent="0.2">
      <c r="A28" s="246"/>
      <c r="B28" s="306" t="s">
        <v>83</v>
      </c>
      <c r="C28" s="310">
        <f>+[3]Bemidji!$JK$19</f>
        <v>306</v>
      </c>
      <c r="D28" s="207">
        <f>+[3]Bemidji!$IW$19</f>
        <v>344</v>
      </c>
      <c r="E28" s="312">
        <f>(C28-D28)/D28</f>
        <v>-0.11046511627906977</v>
      </c>
      <c r="F28" s="310">
        <f>+SUM([3]Bemidji!$JH$19:$JK$19)</f>
        <v>1178</v>
      </c>
      <c r="G28" s="207">
        <f>+SUM([3]Bemidji!$IT$19:$IW$19)</f>
        <v>1358</v>
      </c>
      <c r="H28" s="311">
        <f t="shared" ref="H28" si="16">(F28-G28)/G28</f>
        <v>-0.13254786450662739</v>
      </c>
      <c r="I28" s="312">
        <f>+F28/$F$34</f>
        <v>0.28481624758220503</v>
      </c>
      <c r="J28" s="246"/>
      <c r="K28" s="306" t="s">
        <v>83</v>
      </c>
      <c r="L28" s="478" t="s">
        <v>177</v>
      </c>
      <c r="M28" s="479"/>
      <c r="N28" s="479"/>
      <c r="O28" s="479"/>
      <c r="P28" s="479"/>
      <c r="Q28" s="479"/>
      <c r="R28" s="480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Cargo'!$JK$19</f>
        <v>0</v>
      </c>
      <c r="D30" s="370">
        <f>+'[3]Misc Cargo'!$IW$19</f>
        <v>0</v>
      </c>
      <c r="E30" s="371">
        <f>IFERROR((C30-D30)/D30,0)</f>
        <v>0</v>
      </c>
      <c r="F30" s="374">
        <f>+SUM('[3]Misc Cargo'!$JH$19:$JK$19)</f>
        <v>2</v>
      </c>
      <c r="G30" s="370">
        <f>+SUM('[3]Misc Cargo'!$IT$19:$IW$19)</f>
        <v>0</v>
      </c>
      <c r="H30" s="372">
        <f>IFERROR((F30-G30)/G30,0)</f>
        <v>0</v>
      </c>
      <c r="I30" s="371">
        <f>+F30/$F$34</f>
        <v>4.8355899419729207E-4</v>
      </c>
      <c r="J30" s="246" t="s">
        <v>126</v>
      </c>
      <c r="K30" s="37"/>
      <c r="L30" s="374">
        <f>+'[3]Misc Cargo'!$JK$64</f>
        <v>0</v>
      </c>
      <c r="M30" s="370">
        <f>+'[3]Misc Cargo'!$IW$64</f>
        <v>0</v>
      </c>
      <c r="N30" s="371">
        <f>IFERROR((L30-M30)/M30,0)</f>
        <v>0</v>
      </c>
      <c r="O30" s="374">
        <f>+SUM('[3]Misc Cargo'!$JH$64:$JK$64)</f>
        <v>38035</v>
      </c>
      <c r="P30" s="370">
        <f>+SUM('[3]Misc Cargo'!$IT$64:$IW$64)</f>
        <v>0</v>
      </c>
      <c r="Q30" s="372">
        <f>IFERROR((O30-P30)/P30,0)</f>
        <v>0</v>
      </c>
      <c r="R30" s="371">
        <f>O30/$O$34</f>
        <v>3.4092688550225786E-4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1090</v>
      </c>
      <c r="D34" s="332">
        <f>+D30+D26+D20+D9+D5</f>
        <v>1094</v>
      </c>
      <c r="E34" s="333">
        <f>(C34-D34)/D34</f>
        <v>-3.6563071297989031E-3</v>
      </c>
      <c r="F34" s="332">
        <f>+F30+F26+F20+F9+F5</f>
        <v>4136</v>
      </c>
      <c r="G34" s="332">
        <f>+G30+G26+G20+G9+G5</f>
        <v>4460</v>
      </c>
      <c r="H34" s="334">
        <f>(F34-G34)/G34</f>
        <v>-7.2645739910313895E-2</v>
      </c>
      <c r="I34" s="340"/>
      <c r="K34" s="331" t="s">
        <v>175</v>
      </c>
      <c r="L34" s="332">
        <f>+L30+L26+L20+L9+L5</f>
        <v>28114027</v>
      </c>
      <c r="M34" s="332">
        <f>+M30+M26+M20+M9+M5</f>
        <v>26866207</v>
      </c>
      <c r="N34" s="335">
        <f>(L34-M34)/M34</f>
        <v>4.6445707799392749E-2</v>
      </c>
      <c r="O34" s="332">
        <f>+O30+O26+O20+O9+O5</f>
        <v>111563510</v>
      </c>
      <c r="P34" s="332">
        <f>+P30+P26+P20+P9+P5</f>
        <v>111591160</v>
      </c>
      <c r="Q34" s="334">
        <f t="shared" ref="Q34" si="17">(O34-P34)/P34</f>
        <v>-2.4777948360784133E-4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April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2025-05-27T14:48:03Z</dcterms:modified>
</cp:coreProperties>
</file>