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DCC0D4DC-CBBE-4F0A-81A1-C032B0AC990A}" xr6:coauthVersionLast="47" xr6:coauthVersionMax="47" xr10:uidLastSave="{00000000-0000-0000-0000-000000000000}"/>
  <bookViews>
    <workbookView xWindow="15135" yWindow="-163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Activity'!$A$1:$AJ$63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6" l="1"/>
  <c r="F35" i="16"/>
  <c r="F29" i="16"/>
  <c r="F28" i="16"/>
  <c r="F23" i="16"/>
  <c r="F22" i="16"/>
  <c r="F18" i="16"/>
  <c r="F17" i="16"/>
  <c r="F10" i="16"/>
  <c r="F9" i="16"/>
  <c r="F5" i="16"/>
  <c r="F4" i="16"/>
  <c r="L5" i="8"/>
  <c r="L4" i="8" l="1"/>
  <c r="B21" i="7"/>
  <c r="C21" i="7"/>
  <c r="G21" i="7"/>
  <c r="H21" i="7"/>
  <c r="M21" i="7"/>
  <c r="L21" i="7"/>
  <c r="D57" i="9" l="1"/>
  <c r="D55" i="9"/>
  <c r="D54" i="9"/>
  <c r="D53" i="9"/>
  <c r="D52" i="9"/>
  <c r="D51" i="9"/>
  <c r="D48" i="9"/>
  <c r="D46" i="9"/>
  <c r="D44" i="9"/>
  <c r="D42" i="9"/>
  <c r="D40" i="9"/>
  <c r="D38" i="9"/>
  <c r="D36" i="9"/>
  <c r="D34" i="9"/>
  <c r="D33" i="9"/>
  <c r="D32" i="9"/>
  <c r="D31" i="9"/>
  <c r="D28" i="9"/>
  <c r="D26" i="9"/>
  <c r="D24" i="9"/>
  <c r="D23" i="9"/>
  <c r="D22" i="9"/>
  <c r="D21" i="9"/>
  <c r="D20" i="9"/>
  <c r="D19" i="9"/>
  <c r="D16" i="9"/>
  <c r="D15" i="9"/>
  <c r="D14" i="9"/>
  <c r="D11" i="9"/>
  <c r="D9" i="9"/>
  <c r="D7" i="9"/>
  <c r="D6" i="9"/>
  <c r="D5" i="9"/>
  <c r="M57" i="9"/>
  <c r="M55" i="9"/>
  <c r="M54" i="9"/>
  <c r="M53" i="9"/>
  <c r="M52" i="9"/>
  <c r="M51" i="9"/>
  <c r="M48" i="9"/>
  <c r="M46" i="9"/>
  <c r="M44" i="9"/>
  <c r="M42" i="9"/>
  <c r="M40" i="9"/>
  <c r="M38" i="9"/>
  <c r="M36" i="9"/>
  <c r="M34" i="9"/>
  <c r="M33" i="9"/>
  <c r="M32" i="9"/>
  <c r="M31" i="9"/>
  <c r="M28" i="9"/>
  <c r="M26" i="9"/>
  <c r="M24" i="9"/>
  <c r="M23" i="9"/>
  <c r="M22" i="9"/>
  <c r="M21" i="9"/>
  <c r="M20" i="9"/>
  <c r="M19" i="9"/>
  <c r="M16" i="9"/>
  <c r="M15" i="9"/>
  <c r="M14" i="9"/>
  <c r="M11" i="9"/>
  <c r="M9" i="9"/>
  <c r="M7" i="9"/>
  <c r="M6" i="9"/>
  <c r="M5" i="9"/>
  <c r="V57" i="9"/>
  <c r="V55" i="9"/>
  <c r="V54" i="9"/>
  <c r="V53" i="9"/>
  <c r="V52" i="9"/>
  <c r="V51" i="9"/>
  <c r="V48" i="9"/>
  <c r="V46" i="9"/>
  <c r="V44" i="9"/>
  <c r="V42" i="9"/>
  <c r="V40" i="9"/>
  <c r="V38" i="9"/>
  <c r="V36" i="9"/>
  <c r="V34" i="9"/>
  <c r="V33" i="9"/>
  <c r="V32" i="9"/>
  <c r="V31" i="9"/>
  <c r="V28" i="9"/>
  <c r="V26" i="9"/>
  <c r="V24" i="9"/>
  <c r="V23" i="9"/>
  <c r="V22" i="9"/>
  <c r="V21" i="9"/>
  <c r="V20" i="9"/>
  <c r="V19" i="9"/>
  <c r="V16" i="9"/>
  <c r="V15" i="9"/>
  <c r="V14" i="9"/>
  <c r="V11" i="9"/>
  <c r="V9" i="9"/>
  <c r="V7" i="9"/>
  <c r="V6" i="9"/>
  <c r="V5" i="9"/>
  <c r="AE57" i="9"/>
  <c r="AE55" i="9"/>
  <c r="AE54" i="9"/>
  <c r="AE53" i="9"/>
  <c r="AE52" i="9"/>
  <c r="AE51" i="9"/>
  <c r="AE48" i="9"/>
  <c r="AE46" i="9"/>
  <c r="AE44" i="9"/>
  <c r="AE42" i="9"/>
  <c r="AE40" i="9"/>
  <c r="AE38" i="9"/>
  <c r="AE36" i="9"/>
  <c r="AE34" i="9"/>
  <c r="AE33" i="9"/>
  <c r="AE32" i="9"/>
  <c r="AE31" i="9"/>
  <c r="AE28" i="9"/>
  <c r="AE26" i="9"/>
  <c r="AE24" i="9"/>
  <c r="AE23" i="9"/>
  <c r="AE22" i="9"/>
  <c r="AE21" i="9"/>
  <c r="AE20" i="9"/>
  <c r="AE19" i="9"/>
  <c r="AE16" i="9"/>
  <c r="AE15" i="9"/>
  <c r="AE14" i="9"/>
  <c r="AE11" i="9"/>
  <c r="AE9" i="9"/>
  <c r="AE7" i="9"/>
  <c r="AE6" i="9"/>
  <c r="AE5" i="9"/>
  <c r="AD57" i="9"/>
  <c r="AD55" i="9"/>
  <c r="AD54" i="9"/>
  <c r="AD53" i="9"/>
  <c r="AD52" i="9"/>
  <c r="AD51" i="9"/>
  <c r="AD48" i="9"/>
  <c r="AD46" i="9"/>
  <c r="AD44" i="9"/>
  <c r="AD42" i="9"/>
  <c r="AD40" i="9"/>
  <c r="AD38" i="9"/>
  <c r="AD36" i="9"/>
  <c r="AD34" i="9"/>
  <c r="AD33" i="9"/>
  <c r="AD32" i="9"/>
  <c r="AD31" i="9"/>
  <c r="AD28" i="9"/>
  <c r="AD26" i="9"/>
  <c r="AD24" i="9"/>
  <c r="AD23" i="9"/>
  <c r="AD22" i="9"/>
  <c r="AD21" i="9"/>
  <c r="AD20" i="9"/>
  <c r="AD19" i="9"/>
  <c r="AD16" i="9"/>
  <c r="AD15" i="9"/>
  <c r="AD14" i="9"/>
  <c r="AD11" i="9"/>
  <c r="AD9" i="9"/>
  <c r="AD7" i="9"/>
  <c r="AD6" i="9"/>
  <c r="AD5" i="9"/>
  <c r="U57" i="9"/>
  <c r="U55" i="9"/>
  <c r="U54" i="9"/>
  <c r="U53" i="9"/>
  <c r="U52" i="9"/>
  <c r="U51" i="9"/>
  <c r="U48" i="9"/>
  <c r="U46" i="9"/>
  <c r="U44" i="9"/>
  <c r="U42" i="9"/>
  <c r="U40" i="9"/>
  <c r="U38" i="9"/>
  <c r="U36" i="9"/>
  <c r="U34" i="9"/>
  <c r="U33" i="9"/>
  <c r="U32" i="9"/>
  <c r="U31" i="9"/>
  <c r="U28" i="9"/>
  <c r="U26" i="9"/>
  <c r="U24" i="9"/>
  <c r="U23" i="9"/>
  <c r="U22" i="9"/>
  <c r="U21" i="9"/>
  <c r="U20" i="9"/>
  <c r="U19" i="9"/>
  <c r="U16" i="9"/>
  <c r="U15" i="9"/>
  <c r="U14" i="9"/>
  <c r="U11" i="9"/>
  <c r="U9" i="9"/>
  <c r="U7" i="9"/>
  <c r="U6" i="9"/>
  <c r="U5" i="9"/>
  <c r="L57" i="9"/>
  <c r="L55" i="9"/>
  <c r="L54" i="9"/>
  <c r="L53" i="9"/>
  <c r="L52" i="9"/>
  <c r="L51" i="9"/>
  <c r="L48" i="9"/>
  <c r="L46" i="9"/>
  <c r="L44" i="9"/>
  <c r="L42" i="9"/>
  <c r="L40" i="9"/>
  <c r="L38" i="9"/>
  <c r="L36" i="9"/>
  <c r="L34" i="9"/>
  <c r="L33" i="9"/>
  <c r="L32" i="9"/>
  <c r="L31" i="9"/>
  <c r="L28" i="9"/>
  <c r="L26" i="9"/>
  <c r="L24" i="9"/>
  <c r="L23" i="9"/>
  <c r="L22" i="9"/>
  <c r="L21" i="9"/>
  <c r="L20" i="9"/>
  <c r="L19" i="9"/>
  <c r="L16" i="9"/>
  <c r="L15" i="9"/>
  <c r="L14" i="9"/>
  <c r="L11" i="9"/>
  <c r="L9" i="9"/>
  <c r="L7" i="9"/>
  <c r="L6" i="9"/>
  <c r="L5" i="9"/>
  <c r="C57" i="9"/>
  <c r="C55" i="9"/>
  <c r="C54" i="9"/>
  <c r="C53" i="9"/>
  <c r="C52" i="9"/>
  <c r="C51" i="9"/>
  <c r="C48" i="9"/>
  <c r="C46" i="9"/>
  <c r="C44" i="9"/>
  <c r="C42" i="9"/>
  <c r="C40" i="9"/>
  <c r="C38" i="9"/>
  <c r="C36" i="9"/>
  <c r="C34" i="9"/>
  <c r="C33" i="9"/>
  <c r="C32" i="9"/>
  <c r="C31" i="9"/>
  <c r="C28" i="9"/>
  <c r="C26" i="9"/>
  <c r="C24" i="9"/>
  <c r="C23" i="9"/>
  <c r="C22" i="9"/>
  <c r="C21" i="9"/>
  <c r="C20" i="9"/>
  <c r="C19" i="9"/>
  <c r="C16" i="9"/>
  <c r="C15" i="9"/>
  <c r="C14" i="9"/>
  <c r="C11" i="9"/>
  <c r="C9" i="9"/>
  <c r="C7" i="9"/>
  <c r="C6" i="9"/>
  <c r="C5" i="9"/>
  <c r="G57" i="9"/>
  <c r="G55" i="9"/>
  <c r="G54" i="9"/>
  <c r="G53" i="9"/>
  <c r="G52" i="9"/>
  <c r="G51" i="9"/>
  <c r="G48" i="9"/>
  <c r="G46" i="9"/>
  <c r="G44" i="9"/>
  <c r="G42" i="9"/>
  <c r="G40" i="9"/>
  <c r="G38" i="9"/>
  <c r="G36" i="9"/>
  <c r="G34" i="9"/>
  <c r="G33" i="9"/>
  <c r="G32" i="9"/>
  <c r="G31" i="9"/>
  <c r="G28" i="9"/>
  <c r="G26" i="9"/>
  <c r="G24" i="9"/>
  <c r="G23" i="9"/>
  <c r="G22" i="9"/>
  <c r="G21" i="9"/>
  <c r="G20" i="9"/>
  <c r="G19" i="9"/>
  <c r="G16" i="9"/>
  <c r="G15" i="9"/>
  <c r="G14" i="9"/>
  <c r="G11" i="9"/>
  <c r="G9" i="9"/>
  <c r="G7" i="9"/>
  <c r="G6" i="9"/>
  <c r="G5" i="9"/>
  <c r="P57" i="9"/>
  <c r="P55" i="9"/>
  <c r="P54" i="9"/>
  <c r="P53" i="9"/>
  <c r="P52" i="9"/>
  <c r="P51" i="9"/>
  <c r="P48" i="9"/>
  <c r="P46" i="9"/>
  <c r="P44" i="9"/>
  <c r="P42" i="9"/>
  <c r="P40" i="9"/>
  <c r="P38" i="9"/>
  <c r="P36" i="9"/>
  <c r="P34" i="9"/>
  <c r="P33" i="9"/>
  <c r="P32" i="9"/>
  <c r="P31" i="9"/>
  <c r="P28" i="9"/>
  <c r="P26" i="9"/>
  <c r="P24" i="9"/>
  <c r="P23" i="9"/>
  <c r="P22" i="9"/>
  <c r="P21" i="9"/>
  <c r="P20" i="9"/>
  <c r="P19" i="9"/>
  <c r="P16" i="9"/>
  <c r="P15" i="9"/>
  <c r="P14" i="9"/>
  <c r="P11" i="9"/>
  <c r="P9" i="9"/>
  <c r="P7" i="9"/>
  <c r="P6" i="9"/>
  <c r="P5" i="9"/>
  <c r="Y57" i="9"/>
  <c r="Y55" i="9"/>
  <c r="Y54" i="9"/>
  <c r="Y53" i="9"/>
  <c r="Y52" i="9"/>
  <c r="Y51" i="9"/>
  <c r="Y48" i="9"/>
  <c r="Y46" i="9"/>
  <c r="Y44" i="9"/>
  <c r="Y42" i="9"/>
  <c r="Y40" i="9"/>
  <c r="Y38" i="9"/>
  <c r="Y36" i="9"/>
  <c r="Y34" i="9"/>
  <c r="Y33" i="9"/>
  <c r="Y32" i="9"/>
  <c r="Y31" i="9"/>
  <c r="Y28" i="9"/>
  <c r="Y26" i="9"/>
  <c r="Y24" i="9"/>
  <c r="Y23" i="9"/>
  <c r="Y22" i="9"/>
  <c r="Y21" i="9"/>
  <c r="Y20" i="9"/>
  <c r="Y19" i="9"/>
  <c r="Y16" i="9"/>
  <c r="Y15" i="9"/>
  <c r="Y14" i="9"/>
  <c r="Y11" i="9"/>
  <c r="Y9" i="9"/>
  <c r="Y7" i="9"/>
  <c r="Y6" i="9"/>
  <c r="Y5" i="9"/>
  <c r="AH57" i="9"/>
  <c r="AH55" i="9"/>
  <c r="AH54" i="9"/>
  <c r="AH53" i="9"/>
  <c r="AH52" i="9"/>
  <c r="AH51" i="9"/>
  <c r="AH48" i="9"/>
  <c r="AH46" i="9"/>
  <c r="AH44" i="9"/>
  <c r="AH42" i="9"/>
  <c r="AH40" i="9"/>
  <c r="AH38" i="9"/>
  <c r="AH36" i="9"/>
  <c r="AH34" i="9"/>
  <c r="AH33" i="9"/>
  <c r="AH32" i="9"/>
  <c r="AH31" i="9"/>
  <c r="AH28" i="9"/>
  <c r="AH26" i="9"/>
  <c r="AH24" i="9"/>
  <c r="AH23" i="9"/>
  <c r="AH22" i="9"/>
  <c r="AH21" i="9"/>
  <c r="AH20" i="9"/>
  <c r="AH19" i="9"/>
  <c r="AH16" i="9"/>
  <c r="AH15" i="9"/>
  <c r="AH14" i="9"/>
  <c r="AH11" i="9"/>
  <c r="AH9" i="9"/>
  <c r="AH7" i="9"/>
  <c r="AH6" i="9"/>
  <c r="AH5" i="9"/>
  <c r="AG57" i="9"/>
  <c r="AG55" i="9"/>
  <c r="AG54" i="9"/>
  <c r="AG53" i="9"/>
  <c r="AG52" i="9"/>
  <c r="AG51" i="9"/>
  <c r="AG48" i="9"/>
  <c r="AG46" i="9"/>
  <c r="AG44" i="9"/>
  <c r="AG42" i="9"/>
  <c r="AG40" i="9"/>
  <c r="AG38" i="9"/>
  <c r="AG36" i="9"/>
  <c r="AG34" i="9"/>
  <c r="AG33" i="9"/>
  <c r="AG32" i="9"/>
  <c r="AG31" i="9"/>
  <c r="AG28" i="9"/>
  <c r="AG26" i="9"/>
  <c r="AG24" i="9"/>
  <c r="AG23" i="9"/>
  <c r="AG22" i="9"/>
  <c r="AG21" i="9"/>
  <c r="AG20" i="9"/>
  <c r="AG19" i="9"/>
  <c r="AG16" i="9"/>
  <c r="AG15" i="9"/>
  <c r="AG14" i="9"/>
  <c r="AG11" i="9"/>
  <c r="AG9" i="9"/>
  <c r="AG7" i="9"/>
  <c r="AG6" i="9"/>
  <c r="AG5" i="9"/>
  <c r="X57" i="9"/>
  <c r="X55" i="9"/>
  <c r="X54" i="9"/>
  <c r="X53" i="9"/>
  <c r="X52" i="9"/>
  <c r="X51" i="9"/>
  <c r="X48" i="9"/>
  <c r="X46" i="9"/>
  <c r="X44" i="9"/>
  <c r="X42" i="9"/>
  <c r="X40" i="9"/>
  <c r="X38" i="9"/>
  <c r="X36" i="9"/>
  <c r="X34" i="9"/>
  <c r="X33" i="9"/>
  <c r="X32" i="9"/>
  <c r="X31" i="9"/>
  <c r="X28" i="9"/>
  <c r="X26" i="9"/>
  <c r="X24" i="9"/>
  <c r="X23" i="9"/>
  <c r="X22" i="9"/>
  <c r="X21" i="9"/>
  <c r="X20" i="9"/>
  <c r="X19" i="9"/>
  <c r="X16" i="9"/>
  <c r="X15" i="9"/>
  <c r="X14" i="9"/>
  <c r="X11" i="9"/>
  <c r="X9" i="9"/>
  <c r="X7" i="9"/>
  <c r="X6" i="9"/>
  <c r="X5" i="9"/>
  <c r="O57" i="9"/>
  <c r="O55" i="9"/>
  <c r="O54" i="9"/>
  <c r="O53" i="9"/>
  <c r="O52" i="9"/>
  <c r="O51" i="9"/>
  <c r="O48" i="9"/>
  <c r="O46" i="9"/>
  <c r="O44" i="9"/>
  <c r="O42" i="9"/>
  <c r="O40" i="9"/>
  <c r="O38" i="9"/>
  <c r="O36" i="9"/>
  <c r="O34" i="9"/>
  <c r="O33" i="9"/>
  <c r="O32" i="9"/>
  <c r="O31" i="9"/>
  <c r="O28" i="9"/>
  <c r="O26" i="9"/>
  <c r="O24" i="9"/>
  <c r="O23" i="9"/>
  <c r="O22" i="9"/>
  <c r="O21" i="9"/>
  <c r="O20" i="9"/>
  <c r="O19" i="9"/>
  <c r="O16" i="9"/>
  <c r="O15" i="9"/>
  <c r="O14" i="9"/>
  <c r="O11" i="9"/>
  <c r="O9" i="9"/>
  <c r="O7" i="9"/>
  <c r="O6" i="9"/>
  <c r="O5" i="9"/>
  <c r="F57" i="9"/>
  <c r="F55" i="9"/>
  <c r="F54" i="9"/>
  <c r="F53" i="9"/>
  <c r="F52" i="9"/>
  <c r="F51" i="9"/>
  <c r="F48" i="9"/>
  <c r="F46" i="9"/>
  <c r="F44" i="9"/>
  <c r="F42" i="9"/>
  <c r="F40" i="9"/>
  <c r="F38" i="9"/>
  <c r="F36" i="9"/>
  <c r="F34" i="9"/>
  <c r="F33" i="9"/>
  <c r="F32" i="9"/>
  <c r="F31" i="9"/>
  <c r="F28" i="9"/>
  <c r="F26" i="9"/>
  <c r="F24" i="9"/>
  <c r="F23" i="9"/>
  <c r="F22" i="9"/>
  <c r="F21" i="9"/>
  <c r="F20" i="9"/>
  <c r="F19" i="9"/>
  <c r="F16" i="9"/>
  <c r="F15" i="9"/>
  <c r="F14" i="9"/>
  <c r="F11" i="9"/>
  <c r="F9" i="9"/>
  <c r="F7" i="9"/>
  <c r="F6" i="9"/>
  <c r="F5" i="9"/>
  <c r="P36" i="16"/>
  <c r="O36" i="16"/>
  <c r="N36" i="16"/>
  <c r="M36" i="16"/>
  <c r="L36" i="16"/>
  <c r="K36" i="16"/>
  <c r="J36" i="16"/>
  <c r="I36" i="16"/>
  <c r="H36" i="16"/>
  <c r="G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E35" i="16"/>
  <c r="D35" i="16"/>
  <c r="C35" i="16"/>
  <c r="B35" i="16"/>
  <c r="P23" i="16"/>
  <c r="O23" i="16"/>
  <c r="N23" i="16"/>
  <c r="M23" i="16"/>
  <c r="L23" i="16"/>
  <c r="K23" i="16"/>
  <c r="J23" i="16"/>
  <c r="I23" i="16"/>
  <c r="H23" i="16"/>
  <c r="G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E17" i="16"/>
  <c r="D17" i="16"/>
  <c r="C17" i="16"/>
  <c r="B17" i="16"/>
  <c r="P29" i="16"/>
  <c r="O29" i="16"/>
  <c r="N29" i="16"/>
  <c r="M29" i="16"/>
  <c r="L29" i="16"/>
  <c r="K29" i="16"/>
  <c r="J29" i="16"/>
  <c r="I29" i="16"/>
  <c r="H29" i="16"/>
  <c r="G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E28" i="16"/>
  <c r="D28" i="16"/>
  <c r="C28" i="16"/>
  <c r="B28" i="16"/>
  <c r="P10" i="16"/>
  <c r="O10" i="16"/>
  <c r="N10" i="16"/>
  <c r="M10" i="16"/>
  <c r="L10" i="16"/>
  <c r="K10" i="16"/>
  <c r="J10" i="16"/>
  <c r="I10" i="16"/>
  <c r="H10" i="16"/>
  <c r="G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E4" i="16"/>
  <c r="D4" i="16"/>
  <c r="C4" i="16"/>
  <c r="B4" i="16"/>
  <c r="P30" i="17"/>
  <c r="P27" i="17"/>
  <c r="P24" i="17"/>
  <c r="P23" i="17"/>
  <c r="P22" i="17"/>
  <c r="P21" i="17"/>
  <c r="P18" i="17"/>
  <c r="P17" i="17"/>
  <c r="P16" i="17"/>
  <c r="P15" i="17"/>
  <c r="P14" i="17"/>
  <c r="P13" i="17"/>
  <c r="P12" i="17"/>
  <c r="P11" i="17"/>
  <c r="P10" i="17"/>
  <c r="P7" i="17"/>
  <c r="P6" i="17"/>
  <c r="G30" i="17"/>
  <c r="G28" i="17"/>
  <c r="G27" i="17"/>
  <c r="G24" i="17"/>
  <c r="G23" i="17"/>
  <c r="G22" i="17"/>
  <c r="G21" i="17"/>
  <c r="G18" i="17"/>
  <c r="G17" i="17"/>
  <c r="G16" i="17"/>
  <c r="G15" i="17"/>
  <c r="G14" i="17"/>
  <c r="G13" i="17"/>
  <c r="G12" i="17"/>
  <c r="G11" i="17"/>
  <c r="G10" i="17"/>
  <c r="G7" i="17"/>
  <c r="G6" i="17"/>
  <c r="O30" i="17"/>
  <c r="O27" i="17"/>
  <c r="O24" i="17"/>
  <c r="O23" i="17"/>
  <c r="O22" i="17"/>
  <c r="O21" i="17"/>
  <c r="O18" i="17"/>
  <c r="O17" i="17"/>
  <c r="O16" i="17"/>
  <c r="O15" i="17"/>
  <c r="O14" i="17"/>
  <c r="O13" i="17"/>
  <c r="O12" i="17"/>
  <c r="O11" i="17"/>
  <c r="O10" i="17"/>
  <c r="O7" i="17"/>
  <c r="O6" i="17"/>
  <c r="F30" i="17"/>
  <c r="F28" i="17"/>
  <c r="F27" i="17"/>
  <c r="F24" i="17"/>
  <c r="F23" i="17"/>
  <c r="F22" i="17"/>
  <c r="F21" i="17"/>
  <c r="F18" i="17"/>
  <c r="F17" i="17"/>
  <c r="F16" i="17"/>
  <c r="F15" i="17"/>
  <c r="F14" i="17"/>
  <c r="F13" i="17"/>
  <c r="F12" i="17"/>
  <c r="F11" i="17"/>
  <c r="F10" i="17"/>
  <c r="F7" i="17"/>
  <c r="F6" i="17"/>
  <c r="M30" i="17"/>
  <c r="M27" i="17"/>
  <c r="M24" i="17"/>
  <c r="M23" i="17"/>
  <c r="M22" i="17"/>
  <c r="M21" i="17"/>
  <c r="M18" i="17"/>
  <c r="M17" i="17"/>
  <c r="M16" i="17"/>
  <c r="M15" i="17"/>
  <c r="M14" i="17"/>
  <c r="M13" i="17"/>
  <c r="M12" i="17"/>
  <c r="M11" i="17"/>
  <c r="M10" i="17"/>
  <c r="M7" i="17"/>
  <c r="M6" i="17"/>
  <c r="D30" i="17"/>
  <c r="D28" i="17"/>
  <c r="D27" i="17"/>
  <c r="D24" i="17"/>
  <c r="D23" i="17"/>
  <c r="D22" i="17"/>
  <c r="D21" i="17"/>
  <c r="D18" i="17"/>
  <c r="D17" i="17"/>
  <c r="D16" i="17"/>
  <c r="D15" i="17"/>
  <c r="D14" i="17"/>
  <c r="D13" i="17"/>
  <c r="D12" i="17"/>
  <c r="D11" i="17"/>
  <c r="D10" i="17"/>
  <c r="D7" i="17"/>
  <c r="D6" i="17"/>
  <c r="L30" i="17"/>
  <c r="L27" i="17"/>
  <c r="L24" i="17"/>
  <c r="L23" i="17"/>
  <c r="L22" i="17"/>
  <c r="L21" i="17"/>
  <c r="L18" i="17"/>
  <c r="L17" i="17"/>
  <c r="L16" i="17"/>
  <c r="L15" i="17"/>
  <c r="L14" i="17"/>
  <c r="L13" i="17"/>
  <c r="L12" i="17"/>
  <c r="L11" i="17"/>
  <c r="L10" i="17"/>
  <c r="L7" i="17"/>
  <c r="L6" i="17"/>
  <c r="C30" i="17"/>
  <c r="C28" i="17"/>
  <c r="C27" i="17"/>
  <c r="C24" i="17"/>
  <c r="C23" i="17"/>
  <c r="C22" i="17"/>
  <c r="C21" i="17"/>
  <c r="C18" i="17"/>
  <c r="C17" i="17"/>
  <c r="C16" i="17"/>
  <c r="C15" i="17"/>
  <c r="C14" i="17"/>
  <c r="C13" i="17"/>
  <c r="C12" i="17"/>
  <c r="C11" i="17"/>
  <c r="C10" i="17"/>
  <c r="C7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AI31" i="9" l="1"/>
  <c r="AG61" i="9"/>
  <c r="C21" i="1"/>
  <c r="B21" i="1"/>
  <c r="C20" i="1"/>
  <c r="B20" i="1"/>
  <c r="H28" i="1"/>
  <c r="H27" i="1"/>
  <c r="H17" i="1"/>
  <c r="H18" i="1"/>
  <c r="H19" i="1"/>
  <c r="H20" i="1"/>
  <c r="H21" i="1"/>
  <c r="H16" i="1"/>
  <c r="D37" i="1" l="1"/>
  <c r="B37" i="1"/>
  <c r="D36" i="1"/>
  <c r="B36" i="1"/>
  <c r="E28" i="1"/>
  <c r="E27" i="1"/>
  <c r="E21" i="1"/>
  <c r="E20" i="1"/>
  <c r="E19" i="1"/>
  <c r="E18" i="1"/>
  <c r="E17" i="1"/>
  <c r="E16" i="1"/>
  <c r="H10" i="1"/>
  <c r="E10" i="1"/>
  <c r="H7" i="1"/>
  <c r="E7" i="1"/>
  <c r="H6" i="1"/>
  <c r="E6" i="1"/>
  <c r="H5" i="1"/>
  <c r="E5" i="1"/>
  <c r="AI20" i="9" l="1"/>
  <c r="O22" i="7"/>
  <c r="O21" i="7"/>
  <c r="J22" i="7"/>
  <c r="J21" i="7"/>
  <c r="E22" i="7"/>
  <c r="E21" i="7"/>
  <c r="E22" i="1" l="1"/>
  <c r="AI22" i="9"/>
  <c r="AI28" i="9"/>
  <c r="AI38" i="9"/>
  <c r="AI16" i="9"/>
  <c r="AE13" i="9"/>
  <c r="AF5" i="9"/>
  <c r="AF7" i="9"/>
  <c r="AF11" i="9"/>
  <c r="AF15" i="9"/>
  <c r="AF19" i="9"/>
  <c r="AF21" i="9"/>
  <c r="AF23" i="9"/>
  <c r="AF26" i="9"/>
  <c r="AF31" i="9"/>
  <c r="AF33" i="9"/>
  <c r="AF36" i="9"/>
  <c r="AF40" i="9"/>
  <c r="AF44" i="9"/>
  <c r="AF48" i="9"/>
  <c r="AF52" i="9"/>
  <c r="AF54" i="9"/>
  <c r="AF57" i="9"/>
  <c r="AH18" i="9"/>
  <c r="AF16" i="9"/>
  <c r="AF24" i="9"/>
  <c r="AF53" i="9"/>
  <c r="AI42" i="9"/>
  <c r="AI5" i="9"/>
  <c r="AI19" i="9"/>
  <c r="AI54" i="9"/>
  <c r="AH4" i="9"/>
  <c r="AI6" i="9"/>
  <c r="AE4" i="9"/>
  <c r="AE18" i="9"/>
  <c r="AE30" i="9"/>
  <c r="AE61" i="9"/>
  <c r="AI53" i="9"/>
  <c r="AD61" i="9"/>
  <c r="AI26" i="9"/>
  <c r="AF6" i="9"/>
  <c r="AF9" i="9"/>
  <c r="AF14" i="9"/>
  <c r="AF20" i="9"/>
  <c r="AF22" i="9"/>
  <c r="AF28" i="9"/>
  <c r="AF32" i="9"/>
  <c r="AF38" i="9"/>
  <c r="AF42" i="9"/>
  <c r="AF46" i="9"/>
  <c r="AF55" i="9"/>
  <c r="AI33" i="9"/>
  <c r="AI40" i="9"/>
  <c r="AF51" i="9"/>
  <c r="AI57" i="9"/>
  <c r="AI55" i="9"/>
  <c r="AH13" i="9"/>
  <c r="AH30" i="9"/>
  <c r="AH61" i="9"/>
  <c r="AH50" i="9"/>
  <c r="AI11" i="9"/>
  <c r="AI44" i="9"/>
  <c r="AD4" i="9"/>
  <c r="AD13" i="9"/>
  <c r="AD50" i="9"/>
  <c r="AI21" i="9"/>
  <c r="AG30" i="9"/>
  <c r="AI32" i="9"/>
  <c r="AI46" i="9"/>
  <c r="AI48" i="9"/>
  <c r="AI9" i="9"/>
  <c r="AG18" i="9"/>
  <c r="AI7" i="9"/>
  <c r="AG4" i="9"/>
  <c r="AF34" i="9"/>
  <c r="AE50" i="9"/>
  <c r="AG13" i="9"/>
  <c r="AI15" i="9"/>
  <c r="AI24" i="9"/>
  <c r="AD30" i="9"/>
  <c r="AI36" i="9"/>
  <c r="AG50" i="9"/>
  <c r="AI52" i="9"/>
  <c r="AI14" i="9"/>
  <c r="AD18" i="9"/>
  <c r="AI23" i="9"/>
  <c r="AI34" i="9"/>
  <c r="AI51" i="9"/>
  <c r="AG62" i="9" l="1"/>
  <c r="H22" i="1"/>
  <c r="AF13" i="9"/>
  <c r="AF30" i="9"/>
  <c r="AF4" i="9"/>
  <c r="AH62" i="9"/>
  <c r="AF18" i="9"/>
  <c r="AF61" i="9"/>
  <c r="AI13" i="9"/>
  <c r="AI61" i="9"/>
  <c r="AF50" i="9"/>
  <c r="AE62" i="9"/>
  <c r="AE60" i="9" s="1"/>
  <c r="AI30" i="9"/>
  <c r="AI50" i="9"/>
  <c r="AI4" i="9"/>
  <c r="AI18" i="9"/>
  <c r="AD62" i="9"/>
  <c r="AH60" i="9" l="1"/>
  <c r="AJ50" i="9"/>
  <c r="AJ61" i="9"/>
  <c r="AJ4" i="9"/>
  <c r="AJ13" i="9"/>
  <c r="AJ18" i="9"/>
  <c r="AG60" i="9"/>
  <c r="AJ24" i="9"/>
  <c r="AJ5" i="9"/>
  <c r="AJ6" i="9"/>
  <c r="AJ48" i="9"/>
  <c r="AJ11" i="9"/>
  <c r="AJ19" i="9"/>
  <c r="AJ20" i="9"/>
  <c r="AJ9" i="9"/>
  <c r="AJ23" i="9"/>
  <c r="AJ28" i="9"/>
  <c r="AJ46" i="9"/>
  <c r="AJ54" i="9"/>
  <c r="AJ15" i="9"/>
  <c r="AJ33" i="9"/>
  <c r="AJ26" i="9"/>
  <c r="AJ16" i="9"/>
  <c r="AJ31" i="9"/>
  <c r="AJ32" i="9"/>
  <c r="AJ22" i="9"/>
  <c r="AJ36" i="9"/>
  <c r="AJ52" i="9"/>
  <c r="AJ57" i="9"/>
  <c r="AJ38" i="9"/>
  <c r="AJ21" i="9"/>
  <c r="AJ53" i="9"/>
  <c r="AJ42" i="9"/>
  <c r="AJ44" i="9"/>
  <c r="AJ40" i="9"/>
  <c r="AJ34" i="9"/>
  <c r="AJ55" i="9"/>
  <c r="AJ7" i="9"/>
  <c r="AJ51" i="9"/>
  <c r="AJ14" i="9"/>
  <c r="AJ30" i="9"/>
  <c r="AF62" i="9"/>
  <c r="AD60" i="9"/>
  <c r="AF60" i="9" s="1"/>
  <c r="AI62" i="9"/>
  <c r="AJ62" i="9" s="1"/>
  <c r="AJ60" i="9" l="1"/>
  <c r="AI60" i="9"/>
  <c r="H6" i="7" l="1"/>
  <c r="H5" i="7"/>
  <c r="L5" i="15"/>
  <c r="W57" i="9"/>
  <c r="N57" i="9"/>
  <c r="Q57" i="9"/>
  <c r="Z57" i="9"/>
  <c r="F12" i="7"/>
  <c r="F7" i="7"/>
  <c r="E57" i="9"/>
  <c r="H57" i="9"/>
  <c r="K16" i="3" l="1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E61" i="9" l="1"/>
  <c r="G9" i="17"/>
  <c r="N55" i="9" l="1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AB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AA5" i="9" s="1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X60" i="9" l="1"/>
  <c r="E60" i="9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Q10" i="16" l="1"/>
  <c r="Q9" i="16"/>
  <c r="Q4" i="16"/>
  <c r="Q5" i="16"/>
  <c r="H23" i="8"/>
  <c r="H6" i="8"/>
  <c r="H12" i="8" s="1"/>
  <c r="H10" i="8"/>
  <c r="C22" i="7" l="1"/>
  <c r="B22" i="7"/>
  <c r="H18" i="8"/>
  <c r="H31" i="8"/>
  <c r="H32" i="8"/>
  <c r="H28" i="8"/>
  <c r="D22" i="7" l="1"/>
  <c r="D21" i="7"/>
  <c r="H33" i="8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AH66" i="9" s="1"/>
  <c r="K18" i="3"/>
  <c r="B33" i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G19" i="1" s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D16" i="1" l="1"/>
  <c r="C22" i="1"/>
  <c r="F18" i="1"/>
  <c r="F7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B8" i="1"/>
  <c r="I21" i="1"/>
  <c r="I20" i="1"/>
  <c r="D6" i="1"/>
  <c r="C8" i="1"/>
  <c r="C11" i="1" s="1"/>
  <c r="C33" i="7"/>
  <c r="B10" i="1"/>
  <c r="F19" i="1"/>
  <c r="J45" i="2"/>
  <c r="K45" i="2" s="1"/>
  <c r="K45" i="3"/>
  <c r="J23" i="2"/>
  <c r="K23" i="2" s="1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7" i="5"/>
  <c r="E5" i="5"/>
  <c r="F5" i="5" s="1"/>
  <c r="I5" i="5" s="1"/>
  <c r="B11" i="1" l="1"/>
  <c r="G17" i="1"/>
  <c r="G6" i="1"/>
  <c r="G5" i="1"/>
  <c r="D27" i="1"/>
  <c r="G16" i="1"/>
  <c r="D22" i="1"/>
  <c r="B22" i="1"/>
  <c r="F21" i="7"/>
  <c r="C33" i="1"/>
  <c r="B32" i="1"/>
  <c r="D32" i="1" s="1"/>
  <c r="I7" i="1"/>
  <c r="I19" i="1"/>
  <c r="B20" i="5"/>
  <c r="E20" i="5" s="1"/>
  <c r="D10" i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M22" i="7"/>
  <c r="L22" i="7"/>
  <c r="G22" i="7" s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G10" i="1" l="1"/>
  <c r="D11" i="1"/>
  <c r="F11" i="1" s="1"/>
  <c r="F22" i="1"/>
  <c r="G27" i="1"/>
  <c r="N22" i="7"/>
  <c r="H22" i="7"/>
  <c r="I22" i="7" s="1"/>
  <c r="G22" i="1"/>
  <c r="I22" i="1" s="1"/>
  <c r="N21" i="7"/>
  <c r="P29" i="7"/>
  <c r="P27" i="7"/>
  <c r="P24" i="7"/>
  <c r="P31" i="7"/>
  <c r="I17" i="5"/>
  <c r="I12" i="5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17" i="1"/>
  <c r="E12" i="5"/>
  <c r="C22" i="5"/>
  <c r="H11" i="5"/>
  <c r="F27" i="1"/>
  <c r="D29" i="1"/>
  <c r="F29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1" i="7" l="1"/>
  <c r="P32" i="7"/>
  <c r="I8" i="1"/>
  <c r="K31" i="7"/>
  <c r="K30" i="7"/>
  <c r="K29" i="7"/>
  <c r="K28" i="7"/>
  <c r="K27" i="7"/>
  <c r="K24" i="7"/>
  <c r="K26" i="7"/>
  <c r="P26" i="7"/>
  <c r="K25" i="7"/>
  <c r="P25" i="7"/>
  <c r="K22" i="7"/>
  <c r="P30" i="7"/>
  <c r="I22" i="5"/>
  <c r="P28" i="7"/>
  <c r="M33" i="7"/>
  <c r="P22" i="7"/>
  <c r="P23" i="7"/>
  <c r="H21" i="5"/>
  <c r="I10" i="1"/>
  <c r="E22" i="5"/>
  <c r="G11" i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I11" i="1" l="1"/>
  <c r="AG66" i="9"/>
  <c r="K7" i="5"/>
  <c r="K32" i="7"/>
  <c r="H33" i="7"/>
  <c r="K21" i="5"/>
  <c r="E32" i="1"/>
  <c r="K20" i="5"/>
  <c r="K22" i="5"/>
  <c r="N33" i="7" l="1"/>
  <c r="P33" i="7" s="1"/>
  <c r="L33" i="7"/>
  <c r="P21" i="7" l="1"/>
  <c r="K21" i="7" l="1"/>
  <c r="G33" i="7"/>
  <c r="B33" i="7"/>
  <c r="D33" i="7"/>
  <c r="F33" i="7" l="1"/>
  <c r="F23" i="7"/>
  <c r="K23" i="7" l="1"/>
  <c r="I33" i="7"/>
  <c r="K33" i="7" l="1"/>
</calcChain>
</file>

<file path=xl/sharedStrings.xml><?xml version="1.0" encoding="utf-8"?>
<sst xmlns="http://schemas.openxmlformats.org/spreadsheetml/2006/main" count="726" uniqueCount="252">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</sst>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1931328</v>
          </cell>
          <cell r="G5">
            <v>3941618</v>
          </cell>
        </row>
        <row r="6">
          <cell r="D6">
            <v>258561</v>
          </cell>
          <cell r="G6">
            <v>567164</v>
          </cell>
        </row>
        <row r="7">
          <cell r="D7">
            <v>603</v>
          </cell>
          <cell r="G7">
            <v>668</v>
          </cell>
        </row>
        <row r="10">
          <cell r="D10">
            <v>71141</v>
          </cell>
          <cell r="G10">
            <v>145113</v>
          </cell>
        </row>
        <row r="16">
          <cell r="D16">
            <v>14737</v>
          </cell>
          <cell r="G16">
            <v>30338</v>
          </cell>
        </row>
        <row r="17">
          <cell r="D17">
            <v>5439</v>
          </cell>
          <cell r="G17">
            <v>11765</v>
          </cell>
        </row>
        <row r="18">
          <cell r="D18">
            <v>11</v>
          </cell>
          <cell r="G18">
            <v>12</v>
          </cell>
        </row>
        <row r="19">
          <cell r="D19">
            <v>1073</v>
          </cell>
          <cell r="G19">
            <v>2200</v>
          </cell>
        </row>
        <row r="20">
          <cell r="D20">
            <v>1168</v>
          </cell>
          <cell r="G20">
            <v>2465</v>
          </cell>
        </row>
        <row r="21">
          <cell r="D21">
            <v>83</v>
          </cell>
          <cell r="G21">
            <v>169</v>
          </cell>
        </row>
        <row r="27">
          <cell r="D27">
            <v>14100.072589263429</v>
          </cell>
          <cell r="G27">
            <v>29254.93976194174</v>
          </cell>
        </row>
        <row r="28">
          <cell r="D28">
            <v>1145.5702100535</v>
          </cell>
          <cell r="G28">
            <v>2590.3526269775002</v>
          </cell>
        </row>
        <row r="32">
          <cell r="B32">
            <v>806837</v>
          </cell>
          <cell r="D32">
            <v>1653151</v>
          </cell>
        </row>
        <row r="33">
          <cell r="B33">
            <v>297729</v>
          </cell>
          <cell r="D33">
            <v>626851</v>
          </cell>
        </row>
      </sheetData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>
        <row r="5">
          <cell r="F5">
            <v>7663.42902978653</v>
          </cell>
          <cell r="I5">
            <v>15746.455949403411</v>
          </cell>
        </row>
        <row r="6">
          <cell r="F6">
            <v>572.24487651408003</v>
          </cell>
          <cell r="I6">
            <v>1369.6815818154701</v>
          </cell>
        </row>
        <row r="10">
          <cell r="F10">
            <v>6436.6435594769</v>
          </cell>
          <cell r="I10">
            <v>13508.483812538328</v>
          </cell>
        </row>
        <row r="11">
          <cell r="F11">
            <v>573.32533353941994</v>
          </cell>
          <cell r="I11">
            <v>1220.6710451620299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14100.072589263429</v>
          </cell>
          <cell r="I20">
            <v>29254.93976194174</v>
          </cell>
        </row>
        <row r="21">
          <cell r="F21">
            <v>1145.5702100535</v>
          </cell>
          <cell r="I21">
            <v>2590.3526269775002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2118751</v>
          </cell>
        </row>
        <row r="6">
          <cell r="G6">
            <v>348073</v>
          </cell>
        </row>
        <row r="7">
          <cell r="G7">
            <v>0</v>
          </cell>
        </row>
        <row r="10">
          <cell r="G10">
            <v>76904</v>
          </cell>
        </row>
        <row r="16">
          <cell r="G16">
            <v>16324</v>
          </cell>
        </row>
        <row r="17">
          <cell r="G17">
            <v>6621</v>
          </cell>
        </row>
        <row r="18">
          <cell r="G18">
            <v>0</v>
          </cell>
        </row>
        <row r="19">
          <cell r="G19">
            <v>1132</v>
          </cell>
        </row>
        <row r="20">
          <cell r="G20">
            <v>1212</v>
          </cell>
        </row>
        <row r="21">
          <cell r="G21">
            <v>74</v>
          </cell>
        </row>
        <row r="27">
          <cell r="G27">
            <v>14916.936428975734</v>
          </cell>
        </row>
        <row r="28">
          <cell r="G28">
            <v>390.82380424703001</v>
          </cell>
        </row>
        <row r="32">
          <cell r="D32">
            <v>876311</v>
          </cell>
        </row>
        <row r="33">
          <cell r="D33">
            <v>373336</v>
          </cell>
        </row>
      </sheetData>
      <sheetData sheetId="1"/>
      <sheetData sheetId="2"/>
      <sheetData sheetId="3"/>
      <sheetData sheetId="4"/>
      <sheetData sheetId="5">
        <row r="21">
          <cell r="B21">
            <v>155925</v>
          </cell>
          <cell r="C21">
            <v>152972</v>
          </cell>
          <cell r="G21">
            <v>1099558</v>
          </cell>
          <cell r="H21">
            <v>1135273</v>
          </cell>
          <cell r="L21">
            <v>1255483</v>
          </cell>
          <cell r="M21">
            <v>1288245</v>
          </cell>
        </row>
      </sheetData>
      <sheetData sheetId="6"/>
      <sheetData sheetId="7">
        <row r="5">
          <cell r="I5">
            <v>8195.9813080605454</v>
          </cell>
        </row>
        <row r="6">
          <cell r="I6">
            <v>195.74007620321001</v>
          </cell>
        </row>
        <row r="10">
          <cell r="I10">
            <v>6720.9551209151887</v>
          </cell>
        </row>
        <row r="11">
          <cell r="I11">
            <v>195.08372804382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14916.936428975734</v>
          </cell>
        </row>
        <row r="21">
          <cell r="I21">
            <v>390.82380424703001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41">
          <cell r="IF41">
            <v>0</v>
          </cell>
          <cell r="IG41">
            <v>0</v>
          </cell>
          <cell r="IT41">
            <v>0</v>
          </cell>
          <cell r="IU41">
            <v>0</v>
          </cell>
        </row>
        <row r="43">
          <cell r="IF43">
            <v>0</v>
          </cell>
          <cell r="IG43">
            <v>0</v>
          </cell>
          <cell r="IT43">
            <v>0</v>
          </cell>
          <cell r="IU43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5">
        <row r="4">
          <cell r="IU4">
            <v>46</v>
          </cell>
        </row>
        <row r="5">
          <cell r="IU5">
            <v>46</v>
          </cell>
        </row>
        <row r="19">
          <cell r="IF19">
            <v>74</v>
          </cell>
          <cell r="IG19">
            <v>88</v>
          </cell>
          <cell r="IT19">
            <v>68</v>
          </cell>
          <cell r="IU19">
            <v>92</v>
          </cell>
        </row>
        <row r="22">
          <cell r="IU22">
            <v>7070</v>
          </cell>
        </row>
        <row r="23">
          <cell r="IU23">
            <v>6478</v>
          </cell>
        </row>
        <row r="41">
          <cell r="IF41">
            <v>11477</v>
          </cell>
          <cell r="IG41">
            <v>13427</v>
          </cell>
          <cell r="IT41">
            <v>9310</v>
          </cell>
          <cell r="IU41">
            <v>13548</v>
          </cell>
        </row>
        <row r="43">
          <cell r="IF43">
            <v>11477</v>
          </cell>
          <cell r="IG43">
            <v>13427</v>
          </cell>
          <cell r="IT43">
            <v>9310</v>
          </cell>
          <cell r="IU43">
            <v>13548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6"/>
      <sheetData sheetId="7">
        <row r="4">
          <cell r="IU4">
            <v>53</v>
          </cell>
        </row>
        <row r="5">
          <cell r="IU5">
            <v>54</v>
          </cell>
        </row>
        <row r="19">
          <cell r="IF19">
            <v>98</v>
          </cell>
          <cell r="IG19">
            <v>92</v>
          </cell>
          <cell r="IT19">
            <v>103</v>
          </cell>
          <cell r="IU19">
            <v>107</v>
          </cell>
        </row>
        <row r="22">
          <cell r="IU22">
            <v>6656</v>
          </cell>
        </row>
        <row r="23">
          <cell r="IU23">
            <v>7454</v>
          </cell>
        </row>
        <row r="27">
          <cell r="IU27">
            <v>318</v>
          </cell>
        </row>
        <row r="28">
          <cell r="IU28">
            <v>400</v>
          </cell>
        </row>
        <row r="41">
          <cell r="IF41">
            <v>12852</v>
          </cell>
          <cell r="IG41">
            <v>12396</v>
          </cell>
          <cell r="IT41">
            <v>12044</v>
          </cell>
          <cell r="IU41">
            <v>14110</v>
          </cell>
        </row>
        <row r="43">
          <cell r="IF43">
            <v>13390</v>
          </cell>
          <cell r="IG43">
            <v>12984</v>
          </cell>
          <cell r="IT43">
            <v>12582</v>
          </cell>
          <cell r="IU43">
            <v>14828</v>
          </cell>
        </row>
        <row r="47">
          <cell r="IU47">
            <v>4588</v>
          </cell>
        </row>
        <row r="52">
          <cell r="IU52">
            <v>6802</v>
          </cell>
        </row>
        <row r="64">
          <cell r="IF64">
            <v>18689</v>
          </cell>
          <cell r="IG64">
            <v>15493</v>
          </cell>
          <cell r="IT64">
            <v>11751</v>
          </cell>
          <cell r="IU64">
            <v>11390</v>
          </cell>
        </row>
      </sheetData>
      <sheetData sheetId="8"/>
      <sheetData sheetId="9">
        <row r="4">
          <cell r="IU4">
            <v>285</v>
          </cell>
        </row>
        <row r="5">
          <cell r="IU5">
            <v>285</v>
          </cell>
        </row>
        <row r="19">
          <cell r="IF19">
            <v>619</v>
          </cell>
          <cell r="IG19">
            <v>606</v>
          </cell>
          <cell r="IT19">
            <v>630</v>
          </cell>
          <cell r="IU19">
            <v>570</v>
          </cell>
        </row>
        <row r="22">
          <cell r="IU22">
            <v>43511</v>
          </cell>
        </row>
        <row r="23">
          <cell r="IU23">
            <v>44172</v>
          </cell>
        </row>
        <row r="27">
          <cell r="IU27">
            <v>1215</v>
          </cell>
        </row>
        <row r="28">
          <cell r="IU28">
            <v>1467</v>
          </cell>
        </row>
        <row r="41">
          <cell r="IF41">
            <v>87452</v>
          </cell>
          <cell r="IG41">
            <v>86621</v>
          </cell>
          <cell r="IT41">
            <v>92195</v>
          </cell>
          <cell r="IU41">
            <v>87683</v>
          </cell>
        </row>
        <row r="43">
          <cell r="IF43">
            <v>90676</v>
          </cell>
          <cell r="IG43">
            <v>89555</v>
          </cell>
          <cell r="IT43">
            <v>95210</v>
          </cell>
          <cell r="IU43">
            <v>90365</v>
          </cell>
        </row>
        <row r="47">
          <cell r="IU47">
            <v>22092</v>
          </cell>
        </row>
        <row r="48">
          <cell r="IU48">
            <v>8600</v>
          </cell>
        </row>
        <row r="52">
          <cell r="IU52">
            <v>5119</v>
          </cell>
        </row>
        <row r="53">
          <cell r="IU53">
            <v>7458</v>
          </cell>
        </row>
        <row r="64">
          <cell r="IF64">
            <v>57420</v>
          </cell>
          <cell r="IG64">
            <v>41792</v>
          </cell>
          <cell r="IT64">
            <v>52635</v>
          </cell>
          <cell r="IU64">
            <v>43269</v>
          </cell>
        </row>
      </sheetData>
      <sheetData sheetId="10"/>
      <sheetData sheetId="11"/>
      <sheetData sheetId="12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41">
          <cell r="IF41">
            <v>0</v>
          </cell>
          <cell r="IG41">
            <v>0</v>
          </cell>
          <cell r="IT41">
            <v>0</v>
          </cell>
          <cell r="IU41">
            <v>0</v>
          </cell>
        </row>
        <row r="43">
          <cell r="IF43">
            <v>0</v>
          </cell>
          <cell r="IG43">
            <v>0</v>
          </cell>
          <cell r="IT43">
            <v>0</v>
          </cell>
          <cell r="IU43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13">
        <row r="4">
          <cell r="IU4">
            <v>4557</v>
          </cell>
        </row>
        <row r="5">
          <cell r="IU5">
            <v>4550</v>
          </cell>
        </row>
        <row r="8">
          <cell r="IU8">
            <v>6</v>
          </cell>
        </row>
        <row r="9">
          <cell r="IU9">
            <v>9</v>
          </cell>
        </row>
        <row r="15">
          <cell r="IT15">
            <v>637</v>
          </cell>
          <cell r="IU15">
            <v>624</v>
          </cell>
        </row>
        <row r="16">
          <cell r="IT16">
            <v>638</v>
          </cell>
          <cell r="IU16">
            <v>627</v>
          </cell>
        </row>
        <row r="19">
          <cell r="IF19">
            <v>10531</v>
          </cell>
          <cell r="IG19">
            <v>9647</v>
          </cell>
          <cell r="IT19">
            <v>10940</v>
          </cell>
          <cell r="IU19">
            <v>10373</v>
          </cell>
        </row>
        <row r="22">
          <cell r="IU22">
            <v>597839</v>
          </cell>
        </row>
        <row r="23">
          <cell r="IU23">
            <v>608748</v>
          </cell>
        </row>
        <row r="27">
          <cell r="IU27">
            <v>22408</v>
          </cell>
        </row>
        <row r="28">
          <cell r="IU28">
            <v>22470</v>
          </cell>
        </row>
        <row r="32">
          <cell r="IT32">
            <v>101603</v>
          </cell>
          <cell r="IU32">
            <v>95439</v>
          </cell>
        </row>
        <row r="33">
          <cell r="IT33">
            <v>99364</v>
          </cell>
          <cell r="IU33">
            <v>100982</v>
          </cell>
        </row>
        <row r="37">
          <cell r="IT37">
            <v>2944</v>
          </cell>
          <cell r="IU37">
            <v>3069</v>
          </cell>
        </row>
        <row r="38">
          <cell r="IT38">
            <v>2653</v>
          </cell>
          <cell r="IU38">
            <v>3192</v>
          </cell>
        </row>
        <row r="41">
          <cell r="IF41">
            <v>1377931</v>
          </cell>
          <cell r="IG41">
            <v>1260770</v>
          </cell>
          <cell r="IT41">
            <v>1436472</v>
          </cell>
          <cell r="IU41">
            <v>1403008</v>
          </cell>
        </row>
        <row r="43">
          <cell r="IF43">
            <v>1424970</v>
          </cell>
          <cell r="IG43">
            <v>1307550</v>
          </cell>
          <cell r="IT43">
            <v>1485776</v>
          </cell>
          <cell r="IU43">
            <v>1454147</v>
          </cell>
        </row>
        <row r="47">
          <cell r="IU47">
            <v>3893282</v>
          </cell>
        </row>
        <row r="48">
          <cell r="IU48">
            <v>213735</v>
          </cell>
        </row>
        <row r="52">
          <cell r="IU52">
            <v>2262971</v>
          </cell>
        </row>
        <row r="53">
          <cell r="IU53">
            <v>233177</v>
          </cell>
        </row>
        <row r="64">
          <cell r="IF64">
            <v>5984086</v>
          </cell>
          <cell r="IG64">
            <v>5343852</v>
          </cell>
          <cell r="IT64">
            <v>5763948</v>
          </cell>
          <cell r="IU64">
            <v>6603165</v>
          </cell>
        </row>
        <row r="70">
          <cell r="IU70">
            <v>388595</v>
          </cell>
        </row>
        <row r="71">
          <cell r="IU71">
            <v>220153</v>
          </cell>
        </row>
        <row r="73">
          <cell r="IU73">
            <v>64462</v>
          </cell>
        </row>
        <row r="74">
          <cell r="IU74">
            <v>36520</v>
          </cell>
        </row>
      </sheetData>
      <sheetData sheetId="14">
        <row r="4">
          <cell r="IU4">
            <v>80</v>
          </cell>
        </row>
        <row r="5">
          <cell r="IU5">
            <v>80</v>
          </cell>
        </row>
        <row r="8">
          <cell r="IU8">
            <v>1</v>
          </cell>
        </row>
        <row r="9">
          <cell r="IU9">
            <v>1</v>
          </cell>
        </row>
        <row r="19">
          <cell r="IF19">
            <v>160</v>
          </cell>
          <cell r="IG19">
            <v>136</v>
          </cell>
          <cell r="IT19">
            <v>180</v>
          </cell>
          <cell r="IU19">
            <v>162</v>
          </cell>
        </row>
        <row r="22">
          <cell r="IU22">
            <v>795</v>
          </cell>
        </row>
        <row r="23">
          <cell r="IU23">
            <v>763</v>
          </cell>
        </row>
        <row r="27">
          <cell r="IU27">
            <v>41</v>
          </cell>
        </row>
        <row r="28">
          <cell r="IU28">
            <v>43</v>
          </cell>
        </row>
        <row r="41">
          <cell r="IF41">
            <v>1483</v>
          </cell>
          <cell r="IG41">
            <v>1203</v>
          </cell>
          <cell r="IT41">
            <v>1646</v>
          </cell>
          <cell r="IU41">
            <v>1558</v>
          </cell>
        </row>
        <row r="43">
          <cell r="IF43">
            <v>1535</v>
          </cell>
          <cell r="IG43">
            <v>1240</v>
          </cell>
          <cell r="IT43">
            <v>1723</v>
          </cell>
          <cell r="IU43">
            <v>1642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15">
        <row r="4">
          <cell r="IU4">
            <v>141</v>
          </cell>
        </row>
        <row r="5">
          <cell r="IU5">
            <v>141</v>
          </cell>
        </row>
        <row r="15">
          <cell r="IT15">
            <v>31</v>
          </cell>
          <cell r="IU15">
            <v>29</v>
          </cell>
        </row>
        <row r="16">
          <cell r="IT16">
            <v>31</v>
          </cell>
          <cell r="IU16">
            <v>29</v>
          </cell>
        </row>
        <row r="19">
          <cell r="IF19">
            <v>94</v>
          </cell>
          <cell r="IG19">
            <v>94</v>
          </cell>
          <cell r="IT19">
            <v>272</v>
          </cell>
          <cell r="IU19">
            <v>340</v>
          </cell>
        </row>
        <row r="22">
          <cell r="IU22">
            <v>22255</v>
          </cell>
        </row>
        <row r="23">
          <cell r="IU23">
            <v>24107</v>
          </cell>
        </row>
        <row r="27">
          <cell r="IU27">
            <v>161</v>
          </cell>
        </row>
        <row r="28">
          <cell r="IU28">
            <v>125</v>
          </cell>
        </row>
        <row r="32">
          <cell r="IT32">
            <v>4420</v>
          </cell>
          <cell r="IU32">
            <v>4650</v>
          </cell>
        </row>
        <row r="33">
          <cell r="IT33">
            <v>3981</v>
          </cell>
          <cell r="IU33">
            <v>5072</v>
          </cell>
        </row>
        <row r="37">
          <cell r="IT37">
            <v>4</v>
          </cell>
          <cell r="IU37">
            <v>5</v>
          </cell>
        </row>
        <row r="38">
          <cell r="IT38">
            <v>4</v>
          </cell>
          <cell r="IU38">
            <v>2</v>
          </cell>
        </row>
        <row r="41">
          <cell r="IF41">
            <v>14510</v>
          </cell>
          <cell r="IG41">
            <v>15078</v>
          </cell>
          <cell r="IT41">
            <v>42260</v>
          </cell>
          <cell r="IU41">
            <v>56084</v>
          </cell>
        </row>
        <row r="43">
          <cell r="IF43">
            <v>14593</v>
          </cell>
          <cell r="IG43">
            <v>15189</v>
          </cell>
          <cell r="IT43">
            <v>42507</v>
          </cell>
          <cell r="IU43">
            <v>56377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16">
        <row r="15">
          <cell r="IT15">
            <v>5</v>
          </cell>
        </row>
        <row r="16">
          <cell r="IT16">
            <v>5</v>
          </cell>
        </row>
        <row r="19">
          <cell r="IF19">
            <v>6</v>
          </cell>
          <cell r="IG19">
            <v>0</v>
          </cell>
          <cell r="IT19">
            <v>10</v>
          </cell>
          <cell r="IU19">
            <v>0</v>
          </cell>
        </row>
        <row r="32">
          <cell r="IT32">
            <v>718</v>
          </cell>
        </row>
        <row r="33">
          <cell r="IT33">
            <v>430</v>
          </cell>
        </row>
        <row r="37">
          <cell r="IT37">
            <v>14</v>
          </cell>
        </row>
        <row r="38">
          <cell r="IT38">
            <v>12</v>
          </cell>
        </row>
        <row r="41">
          <cell r="IF41">
            <v>731</v>
          </cell>
          <cell r="IG41">
            <v>0</v>
          </cell>
          <cell r="IT41">
            <v>1148</v>
          </cell>
          <cell r="IU41">
            <v>0</v>
          </cell>
        </row>
        <row r="43">
          <cell r="IF43">
            <v>741</v>
          </cell>
          <cell r="IG43">
            <v>0</v>
          </cell>
          <cell r="IT43">
            <v>1174</v>
          </cell>
          <cell r="IU43">
            <v>0</v>
          </cell>
        </row>
        <row r="64">
          <cell r="IF64">
            <v>337</v>
          </cell>
          <cell r="IG64">
            <v>0</v>
          </cell>
          <cell r="IT64">
            <v>46</v>
          </cell>
          <cell r="IU64">
            <v>0</v>
          </cell>
        </row>
      </sheetData>
      <sheetData sheetId="17">
        <row r="4">
          <cell r="IU4">
            <v>28</v>
          </cell>
        </row>
        <row r="5">
          <cell r="IU5">
            <v>28</v>
          </cell>
        </row>
        <row r="8">
          <cell r="IU8">
            <v>1</v>
          </cell>
        </row>
        <row r="9">
          <cell r="IU9">
            <v>1</v>
          </cell>
        </row>
        <row r="19">
          <cell r="IF19">
            <v>124</v>
          </cell>
          <cell r="IG19">
            <v>144</v>
          </cell>
          <cell r="IT19">
            <v>60</v>
          </cell>
          <cell r="IU19">
            <v>58</v>
          </cell>
        </row>
        <row r="22">
          <cell r="IU22">
            <v>2435</v>
          </cell>
        </row>
        <row r="23">
          <cell r="IU23">
            <v>2076</v>
          </cell>
        </row>
        <row r="27">
          <cell r="IU27">
            <v>40</v>
          </cell>
        </row>
        <row r="28">
          <cell r="IU28">
            <v>46</v>
          </cell>
        </row>
        <row r="41">
          <cell r="IF41">
            <v>8815</v>
          </cell>
          <cell r="IG41">
            <v>9129</v>
          </cell>
          <cell r="IT41">
            <v>5278</v>
          </cell>
          <cell r="IU41">
            <v>4511</v>
          </cell>
        </row>
        <row r="43">
          <cell r="IF43">
            <v>9174</v>
          </cell>
          <cell r="IG43">
            <v>9461</v>
          </cell>
          <cell r="IT43">
            <v>5401</v>
          </cell>
          <cell r="IU43">
            <v>4597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18">
        <row r="15">
          <cell r="IT15">
            <v>14</v>
          </cell>
          <cell r="IU15">
            <v>14</v>
          </cell>
        </row>
        <row r="16">
          <cell r="IT16">
            <v>14</v>
          </cell>
          <cell r="IU16">
            <v>14</v>
          </cell>
        </row>
        <row r="19">
          <cell r="IF19">
            <v>34</v>
          </cell>
          <cell r="IG19">
            <v>30</v>
          </cell>
          <cell r="IT19">
            <v>28</v>
          </cell>
          <cell r="IU19">
            <v>28</v>
          </cell>
        </row>
        <row r="32">
          <cell r="IT32">
            <v>3082</v>
          </cell>
          <cell r="IU32">
            <v>2513</v>
          </cell>
        </row>
        <row r="33">
          <cell r="IT33">
            <v>2244</v>
          </cell>
          <cell r="IU33">
            <v>1919</v>
          </cell>
        </row>
        <row r="37">
          <cell r="IT37">
            <v>6</v>
          </cell>
          <cell r="IU37">
            <v>7</v>
          </cell>
        </row>
        <row r="38">
          <cell r="IU38">
            <v>0</v>
          </cell>
        </row>
        <row r="41">
          <cell r="IF41">
            <v>6668</v>
          </cell>
          <cell r="IG41">
            <v>4523</v>
          </cell>
          <cell r="IT41">
            <v>5326</v>
          </cell>
          <cell r="IU41">
            <v>4432</v>
          </cell>
        </row>
        <row r="43">
          <cell r="IF43">
            <v>6677</v>
          </cell>
          <cell r="IG43">
            <v>4530</v>
          </cell>
          <cell r="IT43">
            <v>5332</v>
          </cell>
          <cell r="IU43">
            <v>4439</v>
          </cell>
        </row>
        <row r="47">
          <cell r="IU47">
            <v>277588</v>
          </cell>
        </row>
        <row r="52">
          <cell r="IU52">
            <v>33111</v>
          </cell>
        </row>
        <row r="64">
          <cell r="IF64">
            <v>602670</v>
          </cell>
          <cell r="IG64">
            <v>550238</v>
          </cell>
          <cell r="IT64">
            <v>224435</v>
          </cell>
          <cell r="IU64">
            <v>310699</v>
          </cell>
        </row>
      </sheetData>
      <sheetData sheetId="19"/>
      <sheetData sheetId="20"/>
      <sheetData sheetId="21"/>
      <sheetData sheetId="22"/>
      <sheetData sheetId="23">
        <row r="4">
          <cell r="IU4">
            <v>532</v>
          </cell>
        </row>
        <row r="5">
          <cell r="IU5">
            <v>531</v>
          </cell>
        </row>
        <row r="19">
          <cell r="IF19">
            <v>908</v>
          </cell>
          <cell r="IG19">
            <v>809</v>
          </cell>
          <cell r="IT19">
            <v>1138</v>
          </cell>
          <cell r="IU19">
            <v>1063</v>
          </cell>
        </row>
        <row r="22">
          <cell r="IU22">
            <v>60398</v>
          </cell>
        </row>
        <row r="23">
          <cell r="IU23">
            <v>63026</v>
          </cell>
        </row>
        <row r="27">
          <cell r="IU27">
            <v>1498</v>
          </cell>
        </row>
        <row r="28">
          <cell r="IU28">
            <v>1606</v>
          </cell>
        </row>
        <row r="41">
          <cell r="IF41">
            <v>88624</v>
          </cell>
          <cell r="IG41">
            <v>86175</v>
          </cell>
          <cell r="IT41">
            <v>115130</v>
          </cell>
          <cell r="IU41">
            <v>123424</v>
          </cell>
        </row>
        <row r="43">
          <cell r="IF43">
            <v>91111</v>
          </cell>
          <cell r="IG43">
            <v>88493</v>
          </cell>
          <cell r="IT43">
            <v>118548</v>
          </cell>
          <cell r="IU43">
            <v>126528</v>
          </cell>
        </row>
        <row r="47">
          <cell r="IU47">
            <v>192617</v>
          </cell>
        </row>
        <row r="52">
          <cell r="IU52">
            <v>32243</v>
          </cell>
        </row>
        <row r="64">
          <cell r="IF64">
            <v>176647</v>
          </cell>
          <cell r="IG64">
            <v>163960</v>
          </cell>
          <cell r="IT64">
            <v>191573</v>
          </cell>
          <cell r="IU64">
            <v>224860</v>
          </cell>
        </row>
        <row r="70">
          <cell r="IU70">
            <v>62561</v>
          </cell>
        </row>
        <row r="71">
          <cell r="IU71">
            <v>465</v>
          </cell>
        </row>
      </sheetData>
      <sheetData sheetId="24">
        <row r="4">
          <cell r="IU4">
            <v>95</v>
          </cell>
        </row>
        <row r="5">
          <cell r="IU5">
            <v>95</v>
          </cell>
        </row>
        <row r="19">
          <cell r="IF19">
            <v>381</v>
          </cell>
          <cell r="IG19">
            <v>324</v>
          </cell>
          <cell r="IT19">
            <v>214</v>
          </cell>
          <cell r="IU19">
            <v>190</v>
          </cell>
        </row>
        <row r="22">
          <cell r="IU22">
            <v>12161</v>
          </cell>
        </row>
        <row r="23">
          <cell r="IU23">
            <v>11694</v>
          </cell>
        </row>
        <row r="27">
          <cell r="IU27">
            <v>84</v>
          </cell>
        </row>
        <row r="28">
          <cell r="IU28">
            <v>107</v>
          </cell>
        </row>
        <row r="41">
          <cell r="IF41">
            <v>42939</v>
          </cell>
          <cell r="IG41">
            <v>43876</v>
          </cell>
          <cell r="IT41">
            <v>28204</v>
          </cell>
          <cell r="IU41">
            <v>23855</v>
          </cell>
        </row>
        <row r="43">
          <cell r="IF43">
            <v>44607</v>
          </cell>
          <cell r="IG43">
            <v>44153</v>
          </cell>
          <cell r="IT43">
            <v>28475</v>
          </cell>
          <cell r="IU43">
            <v>24046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25">
        <row r="4">
          <cell r="IU4">
            <v>788</v>
          </cell>
        </row>
        <row r="5">
          <cell r="IU5">
            <v>792</v>
          </cell>
        </row>
        <row r="8">
          <cell r="IU8">
            <v>69</v>
          </cell>
        </row>
        <row r="9">
          <cell r="IU9">
            <v>63</v>
          </cell>
        </row>
        <row r="15">
          <cell r="IT15">
            <v>190</v>
          </cell>
          <cell r="IU15">
            <v>268</v>
          </cell>
        </row>
        <row r="16">
          <cell r="IT16">
            <v>189</v>
          </cell>
          <cell r="IU16">
            <v>267</v>
          </cell>
        </row>
        <row r="19">
          <cell r="IF19">
            <v>1792</v>
          </cell>
          <cell r="IG19">
            <v>2040</v>
          </cell>
          <cell r="IT19">
            <v>1887</v>
          </cell>
          <cell r="IU19">
            <v>2247</v>
          </cell>
        </row>
        <row r="22">
          <cell r="IU22">
            <v>126525</v>
          </cell>
        </row>
        <row r="23">
          <cell r="IU23">
            <v>134701</v>
          </cell>
        </row>
        <row r="27">
          <cell r="IU27">
            <v>1873</v>
          </cell>
        </row>
        <row r="28">
          <cell r="IU28">
            <v>1932</v>
          </cell>
        </row>
        <row r="32">
          <cell r="IT32">
            <v>26284</v>
          </cell>
          <cell r="IU32">
            <v>39552</v>
          </cell>
        </row>
        <row r="33">
          <cell r="IT33">
            <v>27796</v>
          </cell>
          <cell r="IU33">
            <v>41585</v>
          </cell>
        </row>
        <row r="37">
          <cell r="IT37">
            <v>477</v>
          </cell>
          <cell r="IU37">
            <v>499</v>
          </cell>
        </row>
        <row r="38">
          <cell r="IT38">
            <v>503</v>
          </cell>
          <cell r="IU38">
            <v>527</v>
          </cell>
        </row>
        <row r="41">
          <cell r="IF41">
            <v>253235</v>
          </cell>
          <cell r="IG41">
            <v>304833</v>
          </cell>
          <cell r="IT41">
            <v>271298</v>
          </cell>
          <cell r="IU41">
            <v>342363</v>
          </cell>
        </row>
        <row r="43">
          <cell r="IF43">
            <v>257728</v>
          </cell>
          <cell r="IG43">
            <v>309879</v>
          </cell>
          <cell r="IT43">
            <v>275973</v>
          </cell>
          <cell r="IU43">
            <v>347194</v>
          </cell>
        </row>
        <row r="64">
          <cell r="IF64">
            <v>40217</v>
          </cell>
          <cell r="IG64">
            <v>20284</v>
          </cell>
          <cell r="IT64">
            <v>0</v>
          </cell>
          <cell r="IU64">
            <v>0</v>
          </cell>
        </row>
        <row r="70">
          <cell r="IU70">
            <v>134701</v>
          </cell>
        </row>
        <row r="73">
          <cell r="IU73">
            <v>41585</v>
          </cell>
        </row>
      </sheetData>
      <sheetData sheetId="26"/>
      <sheetData sheetId="27"/>
      <sheetData sheetId="28">
        <row r="4">
          <cell r="IU4">
            <v>384</v>
          </cell>
        </row>
        <row r="5">
          <cell r="IU5">
            <v>381</v>
          </cell>
        </row>
        <row r="8">
          <cell r="IU8">
            <v>1</v>
          </cell>
        </row>
        <row r="9">
          <cell r="IU9">
            <v>3</v>
          </cell>
        </row>
        <row r="19">
          <cell r="IF19">
            <v>780</v>
          </cell>
          <cell r="IG19">
            <v>727</v>
          </cell>
          <cell r="IT19">
            <v>722</v>
          </cell>
          <cell r="IU19">
            <v>769</v>
          </cell>
        </row>
        <row r="22">
          <cell r="IU22">
            <v>50689</v>
          </cell>
        </row>
        <row r="23">
          <cell r="IU23">
            <v>50363</v>
          </cell>
        </row>
        <row r="27">
          <cell r="IU27">
            <v>1803</v>
          </cell>
        </row>
        <row r="28">
          <cell r="IU28">
            <v>1974</v>
          </cell>
        </row>
        <row r="41">
          <cell r="IF41">
            <v>103573</v>
          </cell>
          <cell r="IG41">
            <v>93297</v>
          </cell>
          <cell r="IT41">
            <v>91022</v>
          </cell>
          <cell r="IU41">
            <v>101052</v>
          </cell>
        </row>
        <row r="43">
          <cell r="IF43">
            <v>106792</v>
          </cell>
          <cell r="IG43">
            <v>96457</v>
          </cell>
          <cell r="IT43">
            <v>94238</v>
          </cell>
          <cell r="IU43">
            <v>104829</v>
          </cell>
        </row>
        <row r="47">
          <cell r="IU47">
            <v>16407</v>
          </cell>
        </row>
        <row r="52">
          <cell r="IU52">
            <v>4901</v>
          </cell>
        </row>
        <row r="64">
          <cell r="IF64">
            <v>132692</v>
          </cell>
          <cell r="IG64">
            <v>72710</v>
          </cell>
          <cell r="IT64">
            <v>16229</v>
          </cell>
          <cell r="IU64">
            <v>21308</v>
          </cell>
        </row>
      </sheetData>
      <sheetData sheetId="29">
        <row r="15">
          <cell r="IT15">
            <v>36</v>
          </cell>
          <cell r="IU15">
            <v>33</v>
          </cell>
        </row>
        <row r="16">
          <cell r="IT16">
            <v>36</v>
          </cell>
          <cell r="IU16">
            <v>33</v>
          </cell>
        </row>
        <row r="19">
          <cell r="IF19">
            <v>0</v>
          </cell>
          <cell r="IG19">
            <v>0</v>
          </cell>
          <cell r="IT19">
            <v>72</v>
          </cell>
          <cell r="IU19">
            <v>66</v>
          </cell>
        </row>
        <row r="32">
          <cell r="IT32">
            <v>3800</v>
          </cell>
          <cell r="IU32">
            <v>3551</v>
          </cell>
        </row>
        <row r="33">
          <cell r="IT33">
            <v>3618</v>
          </cell>
          <cell r="IU33">
            <v>3564</v>
          </cell>
        </row>
        <row r="37">
          <cell r="IT37">
            <v>0</v>
          </cell>
          <cell r="IU37">
            <v>1</v>
          </cell>
        </row>
        <row r="38">
          <cell r="IT38">
            <v>1</v>
          </cell>
          <cell r="IU38">
            <v>1</v>
          </cell>
        </row>
        <row r="41">
          <cell r="IF41">
            <v>0</v>
          </cell>
          <cell r="IG41">
            <v>0</v>
          </cell>
          <cell r="IT41">
            <v>7418</v>
          </cell>
          <cell r="IU41">
            <v>7115</v>
          </cell>
        </row>
        <row r="43">
          <cell r="IF43">
            <v>0</v>
          </cell>
          <cell r="IG43">
            <v>0</v>
          </cell>
          <cell r="IT43">
            <v>7419</v>
          </cell>
          <cell r="IU43">
            <v>7117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30">
        <row r="19">
          <cell r="IF19">
            <v>0</v>
          </cell>
          <cell r="IG19">
            <v>0</v>
          </cell>
        </row>
        <row r="41">
          <cell r="IF41">
            <v>0</v>
          </cell>
          <cell r="IG41">
            <v>0</v>
          </cell>
        </row>
        <row r="43">
          <cell r="IF43">
            <v>0</v>
          </cell>
          <cell r="IG43">
            <v>0</v>
          </cell>
        </row>
        <row r="64">
          <cell r="IF64">
            <v>0</v>
          </cell>
          <cell r="IG64">
            <v>0</v>
          </cell>
        </row>
      </sheetData>
      <sheetData sheetId="31">
        <row r="4">
          <cell r="IU4">
            <v>42</v>
          </cell>
        </row>
        <row r="5">
          <cell r="IU5">
            <v>42</v>
          </cell>
        </row>
        <row r="19">
          <cell r="IF19">
            <v>109</v>
          </cell>
          <cell r="IG19">
            <v>10</v>
          </cell>
          <cell r="IT19">
            <v>34</v>
          </cell>
          <cell r="IU19">
            <v>84</v>
          </cell>
        </row>
        <row r="22">
          <cell r="IU22">
            <v>2658</v>
          </cell>
        </row>
        <row r="23">
          <cell r="IU23">
            <v>2520</v>
          </cell>
        </row>
        <row r="27">
          <cell r="IU27">
            <v>101</v>
          </cell>
        </row>
        <row r="28">
          <cell r="IU28">
            <v>103</v>
          </cell>
        </row>
        <row r="41">
          <cell r="IF41">
            <v>5174</v>
          </cell>
          <cell r="IG41">
            <v>285</v>
          </cell>
          <cell r="IT41">
            <v>1696</v>
          </cell>
          <cell r="IU41">
            <v>5178</v>
          </cell>
        </row>
        <row r="43">
          <cell r="IF43">
            <v>5367</v>
          </cell>
          <cell r="IG43">
            <v>293</v>
          </cell>
          <cell r="IT43">
            <v>1778</v>
          </cell>
          <cell r="IU43">
            <v>5382</v>
          </cell>
        </row>
        <row r="47">
          <cell r="IU47">
            <v>578</v>
          </cell>
        </row>
        <row r="52">
          <cell r="IU52">
            <v>150</v>
          </cell>
        </row>
        <row r="64">
          <cell r="IF64">
            <v>2228</v>
          </cell>
          <cell r="IG64">
            <v>700</v>
          </cell>
          <cell r="IT64">
            <v>0</v>
          </cell>
          <cell r="IU64">
            <v>728</v>
          </cell>
        </row>
      </sheetData>
      <sheetData sheetId="32">
        <row r="4">
          <cell r="IU4">
            <v>32</v>
          </cell>
        </row>
        <row r="5">
          <cell r="IU5">
            <v>32</v>
          </cell>
        </row>
        <row r="19">
          <cell r="IF19">
            <v>2</v>
          </cell>
          <cell r="IG19">
            <v>0</v>
          </cell>
          <cell r="IT19">
            <v>100</v>
          </cell>
          <cell r="IU19">
            <v>64</v>
          </cell>
        </row>
        <row r="22">
          <cell r="IU22">
            <v>1474</v>
          </cell>
        </row>
        <row r="23">
          <cell r="IU23">
            <v>1474</v>
          </cell>
        </row>
        <row r="27">
          <cell r="IU27">
            <v>41</v>
          </cell>
        </row>
        <row r="28">
          <cell r="IU28">
            <v>37</v>
          </cell>
        </row>
        <row r="41">
          <cell r="IF41">
            <v>35</v>
          </cell>
          <cell r="IG41">
            <v>0</v>
          </cell>
          <cell r="IT41">
            <v>4331</v>
          </cell>
          <cell r="IU41">
            <v>2948</v>
          </cell>
        </row>
        <row r="43">
          <cell r="IF43">
            <v>36</v>
          </cell>
          <cell r="IG43">
            <v>0</v>
          </cell>
          <cell r="IT43">
            <v>4465</v>
          </cell>
          <cell r="IU43">
            <v>3026</v>
          </cell>
        </row>
        <row r="47">
          <cell r="IU47">
            <v>449</v>
          </cell>
        </row>
        <row r="52">
          <cell r="IU52">
            <v>200</v>
          </cell>
        </row>
        <row r="64">
          <cell r="IF64">
            <v>0</v>
          </cell>
          <cell r="IG64">
            <v>0</v>
          </cell>
          <cell r="IT64">
            <v>1107</v>
          </cell>
          <cell r="IU64">
            <v>649</v>
          </cell>
        </row>
      </sheetData>
      <sheetData sheetId="33">
        <row r="19">
          <cell r="IF19">
            <v>0</v>
          </cell>
          <cell r="IG19">
            <v>0</v>
          </cell>
        </row>
        <row r="41">
          <cell r="IF41">
            <v>0</v>
          </cell>
          <cell r="IG41">
            <v>0</v>
          </cell>
        </row>
        <row r="43">
          <cell r="IF43">
            <v>0</v>
          </cell>
          <cell r="IG43">
            <v>0</v>
          </cell>
        </row>
        <row r="64">
          <cell r="IF64">
            <v>0</v>
          </cell>
          <cell r="IG64">
            <v>0</v>
          </cell>
        </row>
      </sheetData>
      <sheetData sheetId="34">
        <row r="19">
          <cell r="IF19">
            <v>0</v>
          </cell>
          <cell r="IG19">
            <v>0</v>
          </cell>
        </row>
        <row r="41">
          <cell r="IF41">
            <v>0</v>
          </cell>
          <cell r="IG41">
            <v>0</v>
          </cell>
        </row>
        <row r="43">
          <cell r="IF43">
            <v>0</v>
          </cell>
          <cell r="IG43">
            <v>0</v>
          </cell>
        </row>
        <row r="64">
          <cell r="IF64">
            <v>0</v>
          </cell>
          <cell r="IG6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41">
          <cell r="IF41">
            <v>0</v>
          </cell>
          <cell r="IG41">
            <v>0</v>
          </cell>
          <cell r="IT41">
            <v>0</v>
          </cell>
          <cell r="IU41">
            <v>0</v>
          </cell>
        </row>
        <row r="43">
          <cell r="IF43">
            <v>0</v>
          </cell>
          <cell r="IG43">
            <v>0</v>
          </cell>
          <cell r="IT43">
            <v>0</v>
          </cell>
          <cell r="IU43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44">
        <row r="4">
          <cell r="IU4">
            <v>38</v>
          </cell>
        </row>
        <row r="5">
          <cell r="IU5">
            <v>37</v>
          </cell>
        </row>
        <row r="8">
          <cell r="IU8">
            <v>1</v>
          </cell>
        </row>
        <row r="9">
          <cell r="IU9">
            <v>2</v>
          </cell>
        </row>
        <row r="19">
          <cell r="IF19">
            <v>16</v>
          </cell>
          <cell r="IG19">
            <v>10</v>
          </cell>
          <cell r="IT19">
            <v>92</v>
          </cell>
          <cell r="IU19">
            <v>78</v>
          </cell>
        </row>
        <row r="22">
          <cell r="IU22">
            <v>2541</v>
          </cell>
        </row>
        <row r="23">
          <cell r="IU23">
            <v>2271</v>
          </cell>
        </row>
        <row r="27">
          <cell r="IU27">
            <v>117</v>
          </cell>
        </row>
        <row r="28">
          <cell r="IU28">
            <v>103</v>
          </cell>
        </row>
        <row r="41">
          <cell r="IF41">
            <v>561</v>
          </cell>
          <cell r="IG41">
            <v>706</v>
          </cell>
          <cell r="IT41">
            <v>5902</v>
          </cell>
          <cell r="IU41">
            <v>4812</v>
          </cell>
        </row>
        <row r="43">
          <cell r="IF43">
            <v>574</v>
          </cell>
          <cell r="IG43">
            <v>728</v>
          </cell>
          <cell r="IT43">
            <v>6158</v>
          </cell>
          <cell r="IU43">
            <v>5032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45">
        <row r="15">
          <cell r="IT15">
            <v>93</v>
          </cell>
          <cell r="IU15">
            <v>87</v>
          </cell>
        </row>
        <row r="16">
          <cell r="IT16">
            <v>93</v>
          </cell>
          <cell r="IU16">
            <v>90</v>
          </cell>
        </row>
        <row r="19">
          <cell r="IF19">
            <v>81</v>
          </cell>
          <cell r="IG19">
            <v>150</v>
          </cell>
          <cell r="IT19">
            <v>186</v>
          </cell>
          <cell r="IU19">
            <v>177</v>
          </cell>
        </row>
        <row r="32">
          <cell r="IT32">
            <v>3974</v>
          </cell>
          <cell r="IU32">
            <v>3452</v>
          </cell>
        </row>
        <row r="33">
          <cell r="IT33">
            <v>3553</v>
          </cell>
          <cell r="IU33">
            <v>3106</v>
          </cell>
        </row>
        <row r="37">
          <cell r="IT37">
            <v>46</v>
          </cell>
          <cell r="IU37">
            <v>67</v>
          </cell>
        </row>
        <row r="38">
          <cell r="IT38">
            <v>46</v>
          </cell>
          <cell r="IU38">
            <v>51</v>
          </cell>
        </row>
        <row r="41">
          <cell r="IF41">
            <v>6713</v>
          </cell>
          <cell r="IG41">
            <v>5752</v>
          </cell>
          <cell r="IT41">
            <v>7527</v>
          </cell>
          <cell r="IU41">
            <v>6558</v>
          </cell>
        </row>
        <row r="43">
          <cell r="IF43">
            <v>6832</v>
          </cell>
          <cell r="IG43">
            <v>5881</v>
          </cell>
          <cell r="IT43">
            <v>7619</v>
          </cell>
          <cell r="IU43">
            <v>6676</v>
          </cell>
        </row>
        <row r="47">
          <cell r="IU47">
            <v>5602.9</v>
          </cell>
        </row>
        <row r="52">
          <cell r="IU52">
            <v>5416.4</v>
          </cell>
        </row>
        <row r="64">
          <cell r="IF64">
            <v>2900</v>
          </cell>
          <cell r="IG64">
            <v>1750</v>
          </cell>
          <cell r="IT64">
            <v>10958.5</v>
          </cell>
          <cell r="IU64">
            <v>11019.3</v>
          </cell>
        </row>
      </sheetData>
      <sheetData sheetId="46">
        <row r="4">
          <cell r="IU4">
            <v>55</v>
          </cell>
        </row>
        <row r="5">
          <cell r="IU5">
            <v>55</v>
          </cell>
        </row>
        <row r="19">
          <cell r="IF19">
            <v>6</v>
          </cell>
          <cell r="IG19">
            <v>36</v>
          </cell>
          <cell r="IT19">
            <v>116</v>
          </cell>
          <cell r="IU19">
            <v>110</v>
          </cell>
        </row>
        <row r="22">
          <cell r="IU22">
            <v>3444</v>
          </cell>
        </row>
        <row r="23">
          <cell r="IU23">
            <v>3222</v>
          </cell>
        </row>
        <row r="27">
          <cell r="IU27">
            <v>117</v>
          </cell>
        </row>
        <row r="28">
          <cell r="IU28">
            <v>155</v>
          </cell>
        </row>
        <row r="41">
          <cell r="IF41">
            <v>416</v>
          </cell>
          <cell r="IG41">
            <v>2198</v>
          </cell>
          <cell r="IT41">
            <v>7271</v>
          </cell>
          <cell r="IU41">
            <v>6666</v>
          </cell>
        </row>
        <row r="43">
          <cell r="IF43">
            <v>423</v>
          </cell>
          <cell r="IG43">
            <v>2262</v>
          </cell>
          <cell r="IT43">
            <v>7488</v>
          </cell>
          <cell r="IU43">
            <v>6938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47"/>
      <sheetData sheetId="48"/>
      <sheetData sheetId="49">
        <row r="4">
          <cell r="IU4">
            <v>493</v>
          </cell>
        </row>
        <row r="5">
          <cell r="IU5">
            <v>491</v>
          </cell>
        </row>
        <row r="15">
          <cell r="IT15">
            <v>16</v>
          </cell>
          <cell r="IU15">
            <v>27</v>
          </cell>
        </row>
        <row r="16">
          <cell r="IT16">
            <v>14</v>
          </cell>
          <cell r="IU16">
            <v>28</v>
          </cell>
        </row>
        <row r="19">
          <cell r="IF19">
            <v>1886</v>
          </cell>
          <cell r="IG19">
            <v>1048</v>
          </cell>
          <cell r="IT19">
            <v>1432</v>
          </cell>
          <cell r="IU19">
            <v>1039</v>
          </cell>
        </row>
        <row r="22">
          <cell r="IU22">
            <v>30453</v>
          </cell>
        </row>
        <row r="23">
          <cell r="IU23">
            <v>29337</v>
          </cell>
        </row>
        <row r="27">
          <cell r="IU27">
            <v>1155</v>
          </cell>
        </row>
        <row r="28">
          <cell r="IU28">
            <v>1121</v>
          </cell>
        </row>
        <row r="32">
          <cell r="IT32">
            <v>1050</v>
          </cell>
          <cell r="IU32">
            <v>1370</v>
          </cell>
        </row>
        <row r="33">
          <cell r="IT33">
            <v>934</v>
          </cell>
          <cell r="IU33">
            <v>1225</v>
          </cell>
        </row>
        <row r="37">
          <cell r="IT37">
            <v>19</v>
          </cell>
          <cell r="IU37">
            <v>31</v>
          </cell>
        </row>
        <row r="38">
          <cell r="IT38">
            <v>14</v>
          </cell>
          <cell r="IU38">
            <v>22</v>
          </cell>
        </row>
        <row r="41">
          <cell r="IF41">
            <v>104952</v>
          </cell>
          <cell r="IG41">
            <v>56963</v>
          </cell>
          <cell r="IT41">
            <v>83099</v>
          </cell>
          <cell r="IU41">
            <v>62385</v>
          </cell>
        </row>
        <row r="43">
          <cell r="IF43">
            <v>109113</v>
          </cell>
          <cell r="IG43">
            <v>59584</v>
          </cell>
          <cell r="IT43">
            <v>86267</v>
          </cell>
          <cell r="IU43">
            <v>64714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  <row r="70">
          <cell r="IU70">
            <v>9343</v>
          </cell>
        </row>
        <row r="71">
          <cell r="IU71">
            <v>19994</v>
          </cell>
        </row>
        <row r="73">
          <cell r="IU73">
            <v>390</v>
          </cell>
        </row>
        <row r="74">
          <cell r="IU74">
            <v>835</v>
          </cell>
        </row>
      </sheetData>
      <sheetData sheetId="50">
        <row r="4">
          <cell r="IU4">
            <v>56</v>
          </cell>
        </row>
        <row r="5">
          <cell r="IU5">
            <v>56</v>
          </cell>
        </row>
        <row r="19">
          <cell r="IF19">
            <v>110</v>
          </cell>
          <cell r="IG19">
            <v>146</v>
          </cell>
          <cell r="IT19">
            <v>126</v>
          </cell>
          <cell r="IU19">
            <v>112</v>
          </cell>
        </row>
        <row r="22">
          <cell r="IU22">
            <v>3705</v>
          </cell>
        </row>
        <row r="23">
          <cell r="IU23">
            <v>3716</v>
          </cell>
        </row>
        <row r="27">
          <cell r="IU27">
            <v>97</v>
          </cell>
        </row>
        <row r="28">
          <cell r="IU28">
            <v>99</v>
          </cell>
        </row>
        <row r="41">
          <cell r="IF41">
            <v>4990</v>
          </cell>
          <cell r="IG41">
            <v>7096</v>
          </cell>
          <cell r="IT41">
            <v>7636</v>
          </cell>
          <cell r="IU41">
            <v>7421</v>
          </cell>
        </row>
        <row r="43">
          <cell r="IF43">
            <v>5177</v>
          </cell>
          <cell r="IG43">
            <v>7339</v>
          </cell>
          <cell r="IT43">
            <v>7856</v>
          </cell>
          <cell r="IU43">
            <v>7617</v>
          </cell>
        </row>
        <row r="47">
          <cell r="IU47">
            <v>110</v>
          </cell>
        </row>
        <row r="52">
          <cell r="IU52">
            <v>230</v>
          </cell>
        </row>
        <row r="64">
          <cell r="IF64">
            <v>0</v>
          </cell>
          <cell r="IG64">
            <v>40</v>
          </cell>
          <cell r="IT64">
            <v>301</v>
          </cell>
          <cell r="IU64">
            <v>340</v>
          </cell>
        </row>
      </sheetData>
      <sheetData sheetId="51">
        <row r="4">
          <cell r="IU4">
            <v>49</v>
          </cell>
        </row>
        <row r="5">
          <cell r="IU5">
            <v>49</v>
          </cell>
        </row>
        <row r="19">
          <cell r="IF19">
            <v>158</v>
          </cell>
          <cell r="IG19">
            <v>164</v>
          </cell>
          <cell r="IT19">
            <v>108</v>
          </cell>
          <cell r="IU19">
            <v>98</v>
          </cell>
        </row>
        <row r="22">
          <cell r="IU22">
            <v>1856</v>
          </cell>
        </row>
        <row r="23">
          <cell r="IU23">
            <v>2238</v>
          </cell>
        </row>
        <row r="27">
          <cell r="IU27">
            <v>119</v>
          </cell>
        </row>
        <row r="28">
          <cell r="IU28">
            <v>154</v>
          </cell>
        </row>
        <row r="41">
          <cell r="IF41">
            <v>7492</v>
          </cell>
          <cell r="IG41">
            <v>8539</v>
          </cell>
          <cell r="IT41">
            <v>4502</v>
          </cell>
          <cell r="IU41">
            <v>4094</v>
          </cell>
        </row>
        <row r="43">
          <cell r="IF43">
            <v>7786</v>
          </cell>
          <cell r="IG43">
            <v>8882</v>
          </cell>
          <cell r="IT43">
            <v>4821</v>
          </cell>
          <cell r="IU43">
            <v>4367</v>
          </cell>
        </row>
        <row r="47">
          <cell r="IU47">
            <v>2339</v>
          </cell>
        </row>
        <row r="64">
          <cell r="IF64">
            <v>1260</v>
          </cell>
          <cell r="IG64">
            <v>1962</v>
          </cell>
          <cell r="IT64">
            <v>1196</v>
          </cell>
          <cell r="IU64">
            <v>2339</v>
          </cell>
        </row>
      </sheetData>
      <sheetData sheetId="52">
        <row r="4">
          <cell r="IU4">
            <v>37</v>
          </cell>
        </row>
        <row r="5">
          <cell r="IU5">
            <v>36</v>
          </cell>
        </row>
        <row r="9">
          <cell r="IU9">
            <v>1</v>
          </cell>
        </row>
        <row r="19">
          <cell r="IF19">
            <v>84</v>
          </cell>
          <cell r="IG19">
            <v>84</v>
          </cell>
          <cell r="IT19">
            <v>64</v>
          </cell>
          <cell r="IU19">
            <v>74</v>
          </cell>
        </row>
        <row r="22">
          <cell r="IU22">
            <v>2319</v>
          </cell>
        </row>
        <row r="23">
          <cell r="IU23">
            <v>2198</v>
          </cell>
        </row>
        <row r="27">
          <cell r="IU27">
            <v>75</v>
          </cell>
        </row>
        <row r="28">
          <cell r="IU28">
            <v>96</v>
          </cell>
        </row>
        <row r="41">
          <cell r="IF41">
            <v>5077</v>
          </cell>
          <cell r="IG41">
            <v>5036</v>
          </cell>
          <cell r="IT41">
            <v>4009</v>
          </cell>
          <cell r="IU41">
            <v>4517</v>
          </cell>
        </row>
        <row r="43">
          <cell r="IF43">
            <v>5320</v>
          </cell>
          <cell r="IG43">
            <v>5207</v>
          </cell>
          <cell r="IT43">
            <v>4140</v>
          </cell>
          <cell r="IU43">
            <v>4688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53"/>
      <sheetData sheetId="54">
        <row r="4">
          <cell r="IU4">
            <v>2001</v>
          </cell>
        </row>
        <row r="5">
          <cell r="IU5">
            <v>1994</v>
          </cell>
        </row>
        <row r="9">
          <cell r="IU9">
            <v>7</v>
          </cell>
        </row>
        <row r="15">
          <cell r="IT15">
            <v>124</v>
          </cell>
          <cell r="IU15">
            <v>111</v>
          </cell>
        </row>
        <row r="16">
          <cell r="IT16">
            <v>127</v>
          </cell>
          <cell r="IU16">
            <v>109</v>
          </cell>
        </row>
        <row r="19">
          <cell r="IF19">
            <v>3874</v>
          </cell>
          <cell r="IG19">
            <v>3791</v>
          </cell>
          <cell r="IT19">
            <v>4363</v>
          </cell>
          <cell r="IU19">
            <v>4222</v>
          </cell>
        </row>
        <row r="22">
          <cell r="IU22">
            <v>94899</v>
          </cell>
        </row>
        <row r="23">
          <cell r="IU23">
            <v>109366</v>
          </cell>
        </row>
        <row r="27">
          <cell r="IU27">
            <v>2965</v>
          </cell>
        </row>
        <row r="28">
          <cell r="IU28">
            <v>3796</v>
          </cell>
        </row>
        <row r="32">
          <cell r="IT32">
            <v>7361</v>
          </cell>
          <cell r="IU32">
            <v>7115</v>
          </cell>
        </row>
        <row r="33">
          <cell r="IT33">
            <v>7723</v>
          </cell>
          <cell r="IU33">
            <v>7144</v>
          </cell>
        </row>
        <row r="37">
          <cell r="IT37">
            <v>123</v>
          </cell>
          <cell r="IU37">
            <v>99</v>
          </cell>
        </row>
        <row r="38">
          <cell r="IT38">
            <v>96</v>
          </cell>
          <cell r="IU38">
            <v>90</v>
          </cell>
        </row>
        <row r="41">
          <cell r="IF41">
            <v>173193</v>
          </cell>
          <cell r="IG41">
            <v>171986</v>
          </cell>
          <cell r="IT41">
            <v>222100</v>
          </cell>
          <cell r="IU41">
            <v>218524</v>
          </cell>
        </row>
        <row r="43">
          <cell r="IF43">
            <v>178766</v>
          </cell>
          <cell r="IG43">
            <v>177936</v>
          </cell>
          <cell r="IT43">
            <v>229468</v>
          </cell>
          <cell r="IU43">
            <v>225474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  <row r="70">
          <cell r="IU70">
            <v>34945</v>
          </cell>
        </row>
        <row r="71">
          <cell r="IU71">
            <v>74421</v>
          </cell>
        </row>
        <row r="73">
          <cell r="IU73">
            <v>2283</v>
          </cell>
        </row>
        <row r="74">
          <cell r="IU74">
            <v>4861</v>
          </cell>
        </row>
      </sheetData>
      <sheetData sheetId="55"/>
      <sheetData sheetId="56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41">
          <cell r="IF41">
            <v>0</v>
          </cell>
          <cell r="IG41">
            <v>0</v>
          </cell>
          <cell r="IT41">
            <v>0</v>
          </cell>
          <cell r="IU41">
            <v>0</v>
          </cell>
        </row>
        <row r="43">
          <cell r="IF43">
            <v>0</v>
          </cell>
          <cell r="IG43">
            <v>0</v>
          </cell>
          <cell r="IT43">
            <v>0</v>
          </cell>
          <cell r="IU43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57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41">
          <cell r="IF41">
            <v>0</v>
          </cell>
          <cell r="IG41">
            <v>0</v>
          </cell>
          <cell r="IT41">
            <v>0</v>
          </cell>
          <cell r="IU41">
            <v>0</v>
          </cell>
        </row>
        <row r="43">
          <cell r="IF43">
            <v>0</v>
          </cell>
          <cell r="IG43">
            <v>0</v>
          </cell>
          <cell r="IT43">
            <v>0</v>
          </cell>
          <cell r="IU43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5">
          <cell r="IU15">
            <v>2</v>
          </cell>
        </row>
        <row r="32">
          <cell r="IU32">
            <v>240</v>
          </cell>
        </row>
      </sheetData>
      <sheetData sheetId="68">
        <row r="4">
          <cell r="IU4">
            <v>4</v>
          </cell>
        </row>
        <row r="5">
          <cell r="IU5">
            <v>4</v>
          </cell>
        </row>
        <row r="19">
          <cell r="IF19">
            <v>64</v>
          </cell>
          <cell r="IG19">
            <v>56</v>
          </cell>
          <cell r="IT19">
            <v>0</v>
          </cell>
          <cell r="IU19">
            <v>8</v>
          </cell>
        </row>
        <row r="47">
          <cell r="IU47">
            <v>44676</v>
          </cell>
        </row>
        <row r="52">
          <cell r="IU52">
            <v>47076</v>
          </cell>
        </row>
        <row r="64">
          <cell r="IF64">
            <v>2943114</v>
          </cell>
          <cell r="IG64">
            <v>2621020</v>
          </cell>
          <cell r="IT64">
            <v>0</v>
          </cell>
          <cell r="IU64">
            <v>91752</v>
          </cell>
        </row>
      </sheetData>
      <sheetData sheetId="69">
        <row r="4">
          <cell r="IU4">
            <v>115</v>
          </cell>
        </row>
        <row r="5">
          <cell r="IU5">
            <v>115</v>
          </cell>
        </row>
        <row r="19">
          <cell r="IF19">
            <v>117</v>
          </cell>
          <cell r="IG19">
            <v>107</v>
          </cell>
          <cell r="IT19">
            <v>230</v>
          </cell>
          <cell r="IU19">
            <v>230</v>
          </cell>
        </row>
        <row r="47">
          <cell r="IU47">
            <v>2418818</v>
          </cell>
        </row>
        <row r="52">
          <cell r="IU52">
            <v>2757336</v>
          </cell>
        </row>
        <row r="64">
          <cell r="IF64">
            <v>2626710</v>
          </cell>
          <cell r="IG64">
            <v>2768902</v>
          </cell>
          <cell r="IT64">
            <v>5249880</v>
          </cell>
          <cell r="IU64">
            <v>5176154</v>
          </cell>
        </row>
      </sheetData>
      <sheetData sheetId="70">
        <row r="19">
          <cell r="IF19">
            <v>2</v>
          </cell>
          <cell r="IG19">
            <v>10</v>
          </cell>
          <cell r="IT19">
            <v>20</v>
          </cell>
          <cell r="IU19">
            <v>0</v>
          </cell>
        </row>
        <row r="64">
          <cell r="IF64">
            <v>35948</v>
          </cell>
          <cell r="IG64">
            <v>237698</v>
          </cell>
          <cell r="IT64">
            <v>766443</v>
          </cell>
          <cell r="IU64">
            <v>0</v>
          </cell>
        </row>
      </sheetData>
      <sheetData sheetId="71">
        <row r="19">
          <cell r="IF19">
            <v>0</v>
          </cell>
          <cell r="IG19">
            <v>2</v>
          </cell>
          <cell r="IT19">
            <v>0</v>
          </cell>
          <cell r="IU19">
            <v>0</v>
          </cell>
        </row>
        <row r="64">
          <cell r="IF64">
            <v>0</v>
          </cell>
          <cell r="IG64">
            <v>51951</v>
          </cell>
          <cell r="IT64">
            <v>0</v>
          </cell>
          <cell r="IU64">
            <v>0</v>
          </cell>
        </row>
      </sheetData>
      <sheetData sheetId="72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73">
        <row r="19">
          <cell r="IF19">
            <v>32</v>
          </cell>
          <cell r="IG19">
            <v>22</v>
          </cell>
          <cell r="IT19">
            <v>0</v>
          </cell>
          <cell r="IU19">
            <v>0</v>
          </cell>
        </row>
        <row r="64">
          <cell r="IF64">
            <v>843641</v>
          </cell>
          <cell r="IG64">
            <v>644220</v>
          </cell>
          <cell r="IT64">
            <v>0</v>
          </cell>
          <cell r="IU64">
            <v>0</v>
          </cell>
        </row>
      </sheetData>
      <sheetData sheetId="74">
        <row r="4">
          <cell r="IU4">
            <v>36</v>
          </cell>
        </row>
        <row r="5">
          <cell r="IU5">
            <v>36</v>
          </cell>
        </row>
        <row r="19">
          <cell r="IF19">
            <v>56</v>
          </cell>
          <cell r="IG19">
            <v>66</v>
          </cell>
          <cell r="IT19">
            <v>70</v>
          </cell>
          <cell r="IU19">
            <v>72</v>
          </cell>
        </row>
        <row r="47">
          <cell r="IU47">
            <v>48338</v>
          </cell>
        </row>
        <row r="52">
          <cell r="IU52">
            <v>47281</v>
          </cell>
        </row>
        <row r="64">
          <cell r="IF64">
            <v>74018</v>
          </cell>
          <cell r="IG64">
            <v>92106</v>
          </cell>
          <cell r="IT64">
            <v>86240</v>
          </cell>
          <cell r="IU64">
            <v>95619</v>
          </cell>
        </row>
      </sheetData>
      <sheetData sheetId="75">
        <row r="12">
          <cell r="IU12">
            <v>0</v>
          </cell>
        </row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76">
        <row r="4">
          <cell r="IU4">
            <v>21</v>
          </cell>
        </row>
        <row r="5">
          <cell r="IU5">
            <v>21</v>
          </cell>
        </row>
        <row r="19">
          <cell r="IF19">
            <v>0</v>
          </cell>
          <cell r="IG19">
            <v>0</v>
          </cell>
          <cell r="IT19">
            <v>24</v>
          </cell>
          <cell r="IU19">
            <v>42</v>
          </cell>
        </row>
        <row r="47">
          <cell r="IU47">
            <v>561196</v>
          </cell>
        </row>
        <row r="52">
          <cell r="IU52">
            <v>550532</v>
          </cell>
        </row>
        <row r="64">
          <cell r="IF64">
            <v>0</v>
          </cell>
          <cell r="IG64">
            <v>0</v>
          </cell>
          <cell r="IT64">
            <v>597065</v>
          </cell>
          <cell r="IU64">
            <v>1111728</v>
          </cell>
        </row>
      </sheetData>
      <sheetData sheetId="77">
        <row r="19">
          <cell r="IF19">
            <v>12</v>
          </cell>
          <cell r="IG19">
            <v>6</v>
          </cell>
          <cell r="IT19">
            <v>2</v>
          </cell>
          <cell r="IU19">
            <v>0</v>
          </cell>
        </row>
        <row r="64">
          <cell r="IF64">
            <v>221384</v>
          </cell>
          <cell r="IG64">
            <v>87207</v>
          </cell>
          <cell r="IT64">
            <v>22802</v>
          </cell>
          <cell r="IU64">
            <v>0</v>
          </cell>
        </row>
      </sheetData>
      <sheetData sheetId="78"/>
      <sheetData sheetId="79">
        <row r="19">
          <cell r="IF19">
            <v>14</v>
          </cell>
          <cell r="IG19">
            <v>4</v>
          </cell>
          <cell r="IT19">
            <v>2</v>
          </cell>
          <cell r="IU19">
            <v>0</v>
          </cell>
        </row>
        <row r="64">
          <cell r="IF64">
            <v>165251</v>
          </cell>
          <cell r="IG64">
            <v>77765</v>
          </cell>
          <cell r="IT64">
            <v>53345</v>
          </cell>
          <cell r="IU64">
            <v>0</v>
          </cell>
        </row>
      </sheetData>
      <sheetData sheetId="80">
        <row r="19">
          <cell r="IF19">
            <v>0</v>
          </cell>
          <cell r="IG19">
            <v>0</v>
          </cell>
        </row>
        <row r="64">
          <cell r="IF64">
            <v>0</v>
          </cell>
          <cell r="IG64">
            <v>0</v>
          </cell>
        </row>
      </sheetData>
      <sheetData sheetId="81"/>
      <sheetData sheetId="82">
        <row r="4">
          <cell r="IU4">
            <v>90</v>
          </cell>
        </row>
        <row r="5">
          <cell r="IU5">
            <v>90</v>
          </cell>
        </row>
        <row r="19">
          <cell r="IF19">
            <v>180</v>
          </cell>
          <cell r="IG19">
            <v>186</v>
          </cell>
          <cell r="IT19">
            <v>186</v>
          </cell>
          <cell r="IU19">
            <v>180</v>
          </cell>
        </row>
        <row r="47">
          <cell r="IU47">
            <v>6674325</v>
          </cell>
        </row>
        <row r="52">
          <cell r="IU52">
            <v>5849829</v>
          </cell>
        </row>
        <row r="64">
          <cell r="IF64">
            <v>12282155</v>
          </cell>
          <cell r="IG64">
            <v>11101540</v>
          </cell>
          <cell r="IT64">
            <v>11831005</v>
          </cell>
          <cell r="IU64">
            <v>12524154</v>
          </cell>
        </row>
      </sheetData>
      <sheetData sheetId="83">
        <row r="4">
          <cell r="IU4">
            <v>21</v>
          </cell>
        </row>
        <row r="5">
          <cell r="IU5">
            <v>21</v>
          </cell>
        </row>
        <row r="19">
          <cell r="IF19">
            <v>36</v>
          </cell>
          <cell r="IG19">
            <v>38</v>
          </cell>
          <cell r="IT19">
            <v>42</v>
          </cell>
          <cell r="IU19">
            <v>42</v>
          </cell>
        </row>
        <row r="48">
          <cell r="IU48">
            <v>39854</v>
          </cell>
        </row>
        <row r="53">
          <cell r="IU53">
            <v>88725</v>
          </cell>
        </row>
        <row r="64">
          <cell r="IF64">
            <v>106638</v>
          </cell>
          <cell r="IG64">
            <v>152476</v>
          </cell>
          <cell r="IT64">
            <v>93453</v>
          </cell>
          <cell r="IU64">
            <v>128579</v>
          </cell>
        </row>
      </sheetData>
      <sheetData sheetId="84">
        <row r="4">
          <cell r="IU4">
            <v>16</v>
          </cell>
        </row>
        <row r="5">
          <cell r="IU5">
            <v>16</v>
          </cell>
        </row>
        <row r="19">
          <cell r="IF19">
            <v>22</v>
          </cell>
          <cell r="IG19">
            <v>24</v>
          </cell>
          <cell r="IT19">
            <v>30</v>
          </cell>
          <cell r="IU19">
            <v>32</v>
          </cell>
        </row>
        <row r="47">
          <cell r="IU47">
            <v>60580</v>
          </cell>
        </row>
        <row r="64">
          <cell r="IF64">
            <v>67333</v>
          </cell>
          <cell r="IG64">
            <v>44045</v>
          </cell>
          <cell r="IT64">
            <v>54567</v>
          </cell>
          <cell r="IU64">
            <v>60580</v>
          </cell>
        </row>
      </sheetData>
      <sheetData sheetId="85">
        <row r="4">
          <cell r="IU4">
            <v>86</v>
          </cell>
        </row>
        <row r="5">
          <cell r="IU5">
            <v>69</v>
          </cell>
        </row>
        <row r="16">
          <cell r="IU16">
            <v>17</v>
          </cell>
        </row>
        <row r="19">
          <cell r="IF19">
            <v>238</v>
          </cell>
          <cell r="IG19">
            <v>222</v>
          </cell>
          <cell r="IT19">
            <v>172</v>
          </cell>
          <cell r="IU19">
            <v>172</v>
          </cell>
        </row>
        <row r="47">
          <cell r="IU47">
            <v>4532318</v>
          </cell>
        </row>
        <row r="48">
          <cell r="IU48">
            <v>31022</v>
          </cell>
        </row>
        <row r="52">
          <cell r="IU52">
            <v>3588346</v>
          </cell>
        </row>
        <row r="53">
          <cell r="IU53">
            <v>58725</v>
          </cell>
        </row>
        <row r="64">
          <cell r="IF64">
            <v>10210625</v>
          </cell>
          <cell r="IG64">
            <v>9519178</v>
          </cell>
          <cell r="IT64">
            <v>8718855</v>
          </cell>
          <cell r="IU64">
            <v>8210411</v>
          </cell>
        </row>
      </sheetData>
      <sheetData sheetId="86"/>
      <sheetData sheetId="87"/>
      <sheetData sheetId="88"/>
      <sheetData sheetId="89">
        <row r="4">
          <cell r="IU4">
            <v>167</v>
          </cell>
        </row>
        <row r="5">
          <cell r="IU5">
            <v>167</v>
          </cell>
        </row>
        <row r="19">
          <cell r="IF19">
            <v>354</v>
          </cell>
          <cell r="IG19">
            <v>330</v>
          </cell>
          <cell r="IT19">
            <v>354</v>
          </cell>
          <cell r="IU19">
            <v>334</v>
          </cell>
        </row>
      </sheetData>
      <sheetData sheetId="90">
        <row r="19">
          <cell r="IF19">
            <v>0</v>
          </cell>
          <cell r="IG19">
            <v>0</v>
          </cell>
        </row>
        <row r="64">
          <cell r="IF64">
            <v>0</v>
          </cell>
          <cell r="IG64">
            <v>0</v>
          </cell>
        </row>
      </sheetData>
      <sheetData sheetId="91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92">
        <row r="4">
          <cell r="IU4">
            <v>31</v>
          </cell>
        </row>
        <row r="5">
          <cell r="IU5">
            <v>32</v>
          </cell>
        </row>
      </sheetData>
      <sheetData sheetId="93">
        <row r="4">
          <cell r="IU4">
            <v>613</v>
          </cell>
        </row>
        <row r="5">
          <cell r="IU5">
            <v>613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O17" sqref="O17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88">
        <v>45323</v>
      </c>
      <c r="B2" s="10"/>
      <c r="C2" s="10"/>
      <c r="D2" s="456" t="s">
        <v>237</v>
      </c>
      <c r="E2" s="456" t="s">
        <v>218</v>
      </c>
      <c r="F2" s="5"/>
      <c r="G2" s="5"/>
      <c r="H2" s="5"/>
      <c r="I2" s="5"/>
      <c r="J2" s="5"/>
    </row>
    <row r="3" spans="1:14" ht="13.5" thickBot="1" x14ac:dyDescent="0.25">
      <c r="A3" s="277"/>
      <c r="B3" s="5" t="s">
        <v>0</v>
      </c>
      <c r="C3" s="5" t="s">
        <v>1</v>
      </c>
      <c r="D3" s="457"/>
      <c r="E3" s="458"/>
      <c r="F3" s="5" t="s">
        <v>2</v>
      </c>
      <c r="G3" s="5" t="s">
        <v>238</v>
      </c>
      <c r="H3" s="5" t="s">
        <v>219</v>
      </c>
      <c r="I3" s="5" t="s">
        <v>2</v>
      </c>
    </row>
    <row r="4" spans="1:14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4" x14ac:dyDescent="0.2">
      <c r="A5" s="48" t="s">
        <v>4</v>
      </c>
      <c r="B5" s="209">
        <f>'Major Airline Stats'!K4</f>
        <v>1076039</v>
      </c>
      <c r="C5" s="10">
        <f>'Major Airline Stats'!K5</f>
        <v>1106704</v>
      </c>
      <c r="D5" s="2">
        <f>'Major Airline Stats'!K6</f>
        <v>2182743</v>
      </c>
      <c r="E5" s="2">
        <f>'[1]Monthly Summary'!D5</f>
        <v>1931328</v>
      </c>
      <c r="F5" s="3">
        <f>(D5-E5)/E5</f>
        <v>0.13017726662690129</v>
      </c>
      <c r="G5" s="2">
        <f>'[2]Monthly Summary'!G5+D5</f>
        <v>4301494</v>
      </c>
      <c r="H5" s="2">
        <f>'[1]Monthly Summary'!G5</f>
        <v>3941618</v>
      </c>
      <c r="I5" s="63">
        <f>(G5-H5)/H5</f>
        <v>9.1301592391753839E-2</v>
      </c>
      <c r="J5" s="2"/>
    </row>
    <row r="6" spans="1:14" x14ac:dyDescent="0.2">
      <c r="A6" s="48" t="s">
        <v>5</v>
      </c>
      <c r="B6" s="209">
        <f>'Regional Major'!M5</f>
        <v>155286</v>
      </c>
      <c r="C6" s="209">
        <f>'Regional Major'!M6</f>
        <v>167817</v>
      </c>
      <c r="D6" s="2">
        <f>B6+C6</f>
        <v>323103</v>
      </c>
      <c r="E6" s="2">
        <f>'[1]Monthly Summary'!D6</f>
        <v>258561</v>
      </c>
      <c r="F6" s="3">
        <f>(D6-E6)/E6</f>
        <v>0.24962001229883857</v>
      </c>
      <c r="G6" s="2">
        <f>'[2]Monthly Summary'!G6+D6</f>
        <v>671176</v>
      </c>
      <c r="H6" s="2">
        <f>'[1]Monthly Summary'!G6</f>
        <v>567164</v>
      </c>
      <c r="I6" s="63">
        <f>(G6-H6)/H6</f>
        <v>0.18338963685988532</v>
      </c>
      <c r="K6" s="2"/>
    </row>
    <row r="7" spans="1:14" x14ac:dyDescent="0.2">
      <c r="A7" s="48" t="s">
        <v>6</v>
      </c>
      <c r="B7" s="2">
        <f>Charter!H5</f>
        <v>240</v>
      </c>
      <c r="C7" s="209">
        <f>Charter!H6</f>
        <v>0</v>
      </c>
      <c r="D7" s="2">
        <f>B7+C7</f>
        <v>240</v>
      </c>
      <c r="E7" s="2">
        <f>'[1]Monthly Summary'!D7</f>
        <v>603</v>
      </c>
      <c r="F7" s="3">
        <f>(D7-E7)/E7</f>
        <v>-0.60199004975124382</v>
      </c>
      <c r="G7" s="2">
        <f>'[2]Monthly Summary'!G7+D7</f>
        <v>240</v>
      </c>
      <c r="H7" s="2">
        <f>'[1]Monthly Summary'!G7</f>
        <v>668</v>
      </c>
      <c r="I7" s="63">
        <f>(G7-H7)/H7</f>
        <v>-0.64071856287425155</v>
      </c>
      <c r="K7" s="2"/>
    </row>
    <row r="8" spans="1:14" x14ac:dyDescent="0.2">
      <c r="A8" s="50" t="s">
        <v>7</v>
      </c>
      <c r="B8" s="113">
        <f>SUM(B5:B7)</f>
        <v>1231565</v>
      </c>
      <c r="C8" s="113">
        <f>SUM(C5:C7)</f>
        <v>1274521</v>
      </c>
      <c r="D8" s="113">
        <f>SUM(D5:D7)</f>
        <v>2506086</v>
      </c>
      <c r="E8" s="113">
        <f>SUM(E5:E7)</f>
        <v>2190492</v>
      </c>
      <c r="F8" s="69">
        <f>(D8-E8)/E8</f>
        <v>0.14407448189721761</v>
      </c>
      <c r="G8" s="113">
        <f>SUM(G5:G7)</f>
        <v>4972910</v>
      </c>
      <c r="H8" s="113">
        <f>SUM(H5:H7)</f>
        <v>4509450</v>
      </c>
      <c r="I8" s="68">
        <f>(G8-H8)/H8</f>
        <v>0.10277528301677588</v>
      </c>
    </row>
    <row r="9" spans="1:14" x14ac:dyDescent="0.2">
      <c r="A9" s="48"/>
      <c r="B9" s="89"/>
      <c r="C9" s="89"/>
      <c r="D9" s="89"/>
      <c r="E9" s="89"/>
      <c r="F9" s="4"/>
      <c r="G9" s="89"/>
      <c r="H9" s="89"/>
      <c r="I9" s="63"/>
    </row>
    <row r="10" spans="1:14" x14ac:dyDescent="0.2">
      <c r="A10" s="48" t="s">
        <v>8</v>
      </c>
      <c r="B10" s="438">
        <f>'Major Airline Stats'!K9+'Regional Major'!M10</f>
        <v>38006</v>
      </c>
      <c r="C10" s="439">
        <f>'Major Airline Stats'!K10+'Regional Major'!M11</f>
        <v>39719</v>
      </c>
      <c r="D10" s="440">
        <f>SUM(B10:C10)</f>
        <v>77725</v>
      </c>
      <c r="E10" s="394">
        <f>'[1]Monthly Summary'!D10</f>
        <v>71141</v>
      </c>
      <c r="F10" s="441">
        <f>(D10-E10)/E10</f>
        <v>9.2548600666282455E-2</v>
      </c>
      <c r="G10" s="394">
        <f>'[2]Monthly Summary'!G10+D10</f>
        <v>154629</v>
      </c>
      <c r="H10" s="394">
        <f>'[1]Monthly Summary'!G10</f>
        <v>145113</v>
      </c>
      <c r="I10" s="442">
        <f>(G10-H10)/H10</f>
        <v>6.5576481776270901E-2</v>
      </c>
      <c r="J10" s="163"/>
    </row>
    <row r="11" spans="1:14" ht="15.75" thickBot="1" x14ac:dyDescent="0.3">
      <c r="A11" s="49" t="s">
        <v>13</v>
      </c>
      <c r="B11" s="189">
        <f>B10+B8</f>
        <v>1269571</v>
      </c>
      <c r="C11" s="189">
        <f>C10+C8</f>
        <v>1314240</v>
      </c>
      <c r="D11" s="189">
        <f>D10+D8</f>
        <v>2583811</v>
      </c>
      <c r="E11" s="189">
        <f>E10+E8</f>
        <v>2261633</v>
      </c>
      <c r="F11" s="70">
        <f>(D11-E11)/E11</f>
        <v>0.14245370491145115</v>
      </c>
      <c r="G11" s="189">
        <f>G8+G10</f>
        <v>5127539</v>
      </c>
      <c r="H11" s="189">
        <f>H8+H10</f>
        <v>4654563</v>
      </c>
      <c r="I11" s="72">
        <f>(G11-H11)/H11</f>
        <v>0.10161555445699198</v>
      </c>
      <c r="N11" s="428"/>
    </row>
    <row r="12" spans="1:14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</row>
    <row r="13" spans="1:14" ht="16.5" customHeight="1" x14ac:dyDescent="0.2">
      <c r="B13" s="10"/>
      <c r="C13" s="10"/>
      <c r="D13" s="456" t="s">
        <v>237</v>
      </c>
      <c r="E13" s="456" t="s">
        <v>218</v>
      </c>
      <c r="F13" s="5"/>
      <c r="G13" s="5"/>
      <c r="H13" s="5"/>
      <c r="I13" s="5"/>
    </row>
    <row r="14" spans="1:14" ht="13.5" thickBot="1" x14ac:dyDescent="0.25">
      <c r="A14" s="9"/>
      <c r="B14" s="5" t="s">
        <v>249</v>
      </c>
      <c r="C14" s="5" t="s">
        <v>250</v>
      </c>
      <c r="D14" s="457"/>
      <c r="E14" s="458"/>
      <c r="F14" s="5" t="s">
        <v>2</v>
      </c>
      <c r="G14" s="5" t="s">
        <v>238</v>
      </c>
      <c r="H14" s="5" t="s">
        <v>219</v>
      </c>
      <c r="I14" s="5" t="s">
        <v>2</v>
      </c>
      <c r="N14" s="332"/>
    </row>
    <row r="15" spans="1:14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</row>
    <row r="16" spans="1:14" x14ac:dyDescent="0.2">
      <c r="A16" s="48" t="s">
        <v>4</v>
      </c>
      <c r="B16" s="218">
        <f>'Major Airline Stats'!K15+'Major Airline Stats'!K19</f>
        <v>8035</v>
      </c>
      <c r="C16" s="218">
        <f>'Major Airline Stats'!K16+'Major Airline Stats'!K20</f>
        <v>8030</v>
      </c>
      <c r="D16" s="30">
        <f>SUM(B16:C16)</f>
        <v>16065</v>
      </c>
      <c r="E16" s="2">
        <f>'[1]Monthly Summary'!D16</f>
        <v>14737</v>
      </c>
      <c r="F16" s="71">
        <f t="shared" ref="F16:F22" si="0">(D16-E16)/E16</f>
        <v>9.0113320214426279E-2</v>
      </c>
      <c r="G16" s="2">
        <f>'[2]Monthly Summary'!G16+D16</f>
        <v>32389</v>
      </c>
      <c r="H16" s="2">
        <f>'[1]Monthly Summary'!G16</f>
        <v>30338</v>
      </c>
      <c r="I16" s="185">
        <f t="shared" ref="I16:I22" si="1">(G16-H16)/H16</f>
        <v>6.7604983848638667E-2</v>
      </c>
      <c r="N16" s="332"/>
    </row>
    <row r="17" spans="1:14" x14ac:dyDescent="0.2">
      <c r="A17" s="48" t="s">
        <v>5</v>
      </c>
      <c r="B17" s="30">
        <f>'Regional Major'!M15+'Regional Major'!M18</f>
        <v>3029</v>
      </c>
      <c r="C17" s="30">
        <f>'Regional Major'!M16+'Regional Major'!M19</f>
        <v>3029</v>
      </c>
      <c r="D17" s="30">
        <f>SUM(B17:C17)</f>
        <v>6058</v>
      </c>
      <c r="E17" s="2">
        <f>'[1]Monthly Summary'!D17</f>
        <v>5439</v>
      </c>
      <c r="F17" s="71">
        <f t="shared" si="0"/>
        <v>0.11380768523625666</v>
      </c>
      <c r="G17" s="2">
        <f>'[2]Monthly Summary'!G17+D17</f>
        <v>12679</v>
      </c>
      <c r="H17" s="2">
        <f>'[1]Monthly Summary'!G17</f>
        <v>11765</v>
      </c>
      <c r="I17" s="185">
        <f t="shared" si="1"/>
        <v>7.7688057798555032E-2</v>
      </c>
      <c r="L17" s="2"/>
      <c r="M17" s="2"/>
      <c r="N17" s="332"/>
    </row>
    <row r="18" spans="1:14" x14ac:dyDescent="0.2">
      <c r="A18" s="48" t="s">
        <v>10</v>
      </c>
      <c r="B18" s="30">
        <f>Charter!H10</f>
        <v>2</v>
      </c>
      <c r="C18" s="30">
        <f>Charter!H11</f>
        <v>0</v>
      </c>
      <c r="D18" s="30">
        <f t="shared" ref="D18:D21" si="2">SUM(B18:C18)</f>
        <v>2</v>
      </c>
      <c r="E18" s="2">
        <f>'[1]Monthly Summary'!D18</f>
        <v>11</v>
      </c>
      <c r="F18" s="71">
        <f t="shared" si="0"/>
        <v>-0.81818181818181823</v>
      </c>
      <c r="G18" s="2">
        <f>'[2]Monthly Summary'!G18+D18</f>
        <v>2</v>
      </c>
      <c r="H18" s="2">
        <f>'[1]Monthly Summary'!G18</f>
        <v>12</v>
      </c>
      <c r="I18" s="185">
        <f t="shared" si="1"/>
        <v>-0.83333333333333337</v>
      </c>
      <c r="N18" s="332"/>
    </row>
    <row r="19" spans="1:14" x14ac:dyDescent="0.2">
      <c r="A19" s="48" t="s">
        <v>11</v>
      </c>
      <c r="B19" s="30">
        <f>Cargo!S4+Cargo!S8</f>
        <v>556</v>
      </c>
      <c r="C19" s="30">
        <f>Cargo!S5+Cargo!S9</f>
        <v>556</v>
      </c>
      <c r="D19" s="30">
        <f t="shared" si="2"/>
        <v>1112</v>
      </c>
      <c r="E19" s="2">
        <f>'[1]Monthly Summary'!D19</f>
        <v>1073</v>
      </c>
      <c r="F19" s="71">
        <f t="shared" si="0"/>
        <v>3.6346691519105315E-2</v>
      </c>
      <c r="G19" s="2">
        <f>'[2]Monthly Summary'!G19+D19</f>
        <v>2244</v>
      </c>
      <c r="H19" s="2">
        <f>'[1]Monthly Summary'!G19</f>
        <v>2200</v>
      </c>
      <c r="I19" s="185">
        <f t="shared" si="1"/>
        <v>0.02</v>
      </c>
      <c r="N19" s="332"/>
    </row>
    <row r="20" spans="1:14" x14ac:dyDescent="0.2">
      <c r="A20" s="48" t="s">
        <v>146</v>
      </c>
      <c r="B20" s="30">
        <f>'[3]General Avation'!$IU$4</f>
        <v>613</v>
      </c>
      <c r="C20" s="30">
        <f>'[3]General Avation'!$IU$5</f>
        <v>613</v>
      </c>
      <c r="D20" s="30">
        <f t="shared" si="2"/>
        <v>1226</v>
      </c>
      <c r="E20" s="2">
        <f>'[1]Monthly Summary'!D20</f>
        <v>1168</v>
      </c>
      <c r="F20" s="71">
        <f t="shared" si="0"/>
        <v>4.965753424657534E-2</v>
      </c>
      <c r="G20" s="2">
        <f>'[2]Monthly Summary'!G20+D20</f>
        <v>2438</v>
      </c>
      <c r="H20" s="2">
        <f>'[1]Monthly Summary'!G20</f>
        <v>2465</v>
      </c>
      <c r="I20" s="185">
        <f t="shared" si="1"/>
        <v>-1.0953346855983773E-2</v>
      </c>
      <c r="M20" s="2"/>
      <c r="N20" s="332"/>
    </row>
    <row r="21" spans="1:14" ht="12.75" customHeight="1" x14ac:dyDescent="0.2">
      <c r="A21" s="48" t="s">
        <v>12</v>
      </c>
      <c r="B21" s="443">
        <f>'[3]Military '!$IU$4</f>
        <v>31</v>
      </c>
      <c r="C21" s="444">
        <f>'[3]Military '!$IU$5</f>
        <v>32</v>
      </c>
      <c r="D21" s="444">
        <f t="shared" si="2"/>
        <v>63</v>
      </c>
      <c r="E21" s="394">
        <f>'[1]Monthly Summary'!D21</f>
        <v>83</v>
      </c>
      <c r="F21" s="445">
        <f t="shared" si="0"/>
        <v>-0.24096385542168675</v>
      </c>
      <c r="G21" s="394">
        <f>'[2]Monthly Summary'!G21+D21</f>
        <v>137</v>
      </c>
      <c r="H21" s="394">
        <f>'[1]Monthly Summary'!G21</f>
        <v>169</v>
      </c>
      <c r="I21" s="446">
        <f t="shared" si="1"/>
        <v>-0.1893491124260355</v>
      </c>
      <c r="K21" s="89"/>
      <c r="N21" s="332"/>
    </row>
    <row r="22" spans="1:14" ht="15.75" thickBot="1" x14ac:dyDescent="0.3">
      <c r="A22" s="49" t="s">
        <v>28</v>
      </c>
      <c r="B22" s="190">
        <f>SUM(B16:B21)</f>
        <v>12266</v>
      </c>
      <c r="C22" s="190">
        <f>SUM(C16:C21)</f>
        <v>12260</v>
      </c>
      <c r="D22" s="190">
        <f>SUM(D16:D21)</f>
        <v>24526</v>
      </c>
      <c r="E22" s="190">
        <f>SUM(E16:E21)</f>
        <v>22511</v>
      </c>
      <c r="F22" s="187">
        <f t="shared" si="0"/>
        <v>8.9511794233930075E-2</v>
      </c>
      <c r="G22" s="190">
        <f>SUM(G16:G21)</f>
        <v>49889</v>
      </c>
      <c r="H22" s="190">
        <f>SUM(H16:H21)</f>
        <v>46949</v>
      </c>
      <c r="I22" s="188">
        <f t="shared" si="1"/>
        <v>6.2621142090353368E-2</v>
      </c>
      <c r="N22" s="325"/>
    </row>
    <row r="23" spans="1:14" x14ac:dyDescent="0.2">
      <c r="B23" s="89"/>
      <c r="C23" s="89"/>
      <c r="L23" s="2"/>
      <c r="N23" s="332"/>
    </row>
    <row r="24" spans="1:14" ht="12.75" customHeight="1" x14ac:dyDescent="0.2">
      <c r="B24" s="10"/>
      <c r="C24" s="10"/>
      <c r="D24" s="456" t="s">
        <v>237</v>
      </c>
      <c r="E24" s="456" t="s">
        <v>218</v>
      </c>
      <c r="F24" s="5"/>
      <c r="G24" s="5"/>
      <c r="H24" s="5"/>
      <c r="I24" s="5"/>
      <c r="N24" s="332"/>
    </row>
    <row r="25" spans="1:14" ht="13.5" thickBot="1" x14ac:dyDescent="0.25">
      <c r="B25" s="5" t="s">
        <v>0</v>
      </c>
      <c r="C25" s="5" t="s">
        <v>1</v>
      </c>
      <c r="D25" s="457"/>
      <c r="E25" s="458"/>
      <c r="F25" s="5" t="s">
        <v>2</v>
      </c>
      <c r="G25" s="5" t="s">
        <v>238</v>
      </c>
      <c r="H25" s="5" t="s">
        <v>219</v>
      </c>
      <c r="I25" s="5" t="s">
        <v>2</v>
      </c>
      <c r="N25" s="332"/>
    </row>
    <row r="26" spans="1:14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4" x14ac:dyDescent="0.2">
      <c r="A27" s="43" t="s">
        <v>15</v>
      </c>
      <c r="B27" s="12">
        <f>(Cargo!S16+'Major Airline Stats'!K28+'Regional Major'!M25)*0.00045359237</f>
        <v>8507.5349014932417</v>
      </c>
      <c r="C27" s="12">
        <f>(Cargo!S21+'Major Airline Stats'!K33+'Regional Major'!M30)*0.00045359237</f>
        <v>6890.768174763858</v>
      </c>
      <c r="D27" s="12">
        <f>SUM(B27:C27)</f>
        <v>15398.3030762571</v>
      </c>
      <c r="E27" s="2">
        <f>'[1]Monthly Summary'!D27</f>
        <v>14100.072589263429</v>
      </c>
      <c r="F27" s="73">
        <f>(D27-E27)/E27</f>
        <v>9.2072610178064951E-2</v>
      </c>
      <c r="G27" s="2">
        <f>'[2]Monthly Summary'!G27+D27</f>
        <v>30315.239505232836</v>
      </c>
      <c r="H27" s="2">
        <f>'[1]Monthly Summary'!G27</f>
        <v>29254.93976194174</v>
      </c>
      <c r="I27" s="74">
        <f>(G27-H27)/H27</f>
        <v>3.6243443053349179E-2</v>
      </c>
      <c r="N27" s="89"/>
    </row>
    <row r="28" spans="1:14" x14ac:dyDescent="0.2">
      <c r="A28" s="43" t="s">
        <v>16</v>
      </c>
      <c r="B28" s="449">
        <f>(Cargo!S17+'Major Airline Stats'!K29+'Regional Major'!M26)*0.00045359237</f>
        <v>132.99827240006999</v>
      </c>
      <c r="C28" s="450">
        <f>(Cargo!S22+'Major Airline Stats'!K34+'Regional Major'!M31)*0.00045359237</f>
        <v>176.03239491144998</v>
      </c>
      <c r="D28" s="450">
        <f>SUM(B28:C28)</f>
        <v>309.03066731152001</v>
      </c>
      <c r="E28" s="394">
        <f>'[1]Monthly Summary'!D28</f>
        <v>1145.5702100535</v>
      </c>
      <c r="F28" s="451">
        <f>(D28-E28)/E28</f>
        <v>-0.73023856189740843</v>
      </c>
      <c r="G28" s="394">
        <f>'[2]Monthly Summary'!G28+D28</f>
        <v>699.85447155855002</v>
      </c>
      <c r="H28" s="394">
        <f>'[1]Monthly Summary'!G28</f>
        <v>2590.3526269775002</v>
      </c>
      <c r="I28" s="452">
        <f>(G28-H28)/H28</f>
        <v>-0.72982270279735595</v>
      </c>
    </row>
    <row r="29" spans="1:14" ht="15.75" thickBot="1" x14ac:dyDescent="0.3">
      <c r="A29" s="44" t="s">
        <v>62</v>
      </c>
      <c r="B29" s="447">
        <f>SUM(B27:B28)</f>
        <v>8640.533173893311</v>
      </c>
      <c r="C29" s="447">
        <f>SUM(C27:C28)</f>
        <v>7066.800569675308</v>
      </c>
      <c r="D29" s="447">
        <f>SUM(D27:D28)</f>
        <v>15707.333743568619</v>
      </c>
      <c r="E29" s="447">
        <f>SUM(E27:E28)</f>
        <v>15245.642799316929</v>
      </c>
      <c r="F29" s="70">
        <f>(D29-E29)/E29</f>
        <v>3.0283468550921028E-2</v>
      </c>
      <c r="G29" s="447">
        <f>SUM(G27:G28)</f>
        <v>31015.093976791384</v>
      </c>
      <c r="H29" s="447">
        <f>SUM(H27:H28)</f>
        <v>31845.292388919239</v>
      </c>
      <c r="I29" s="448">
        <f>(G29-H29)/H29</f>
        <v>-2.6069737466650714E-2</v>
      </c>
    </row>
    <row r="30" spans="1:14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4" ht="13.5" thickBot="1" x14ac:dyDescent="0.25">
      <c r="B31" s="455" t="s">
        <v>142</v>
      </c>
      <c r="C31" s="454"/>
      <c r="D31" s="455" t="s">
        <v>149</v>
      </c>
      <c r="E31" s="454"/>
      <c r="F31" s="300"/>
      <c r="G31" s="301"/>
    </row>
    <row r="32" spans="1:14" x14ac:dyDescent="0.2">
      <c r="A32" s="282" t="s">
        <v>143</v>
      </c>
      <c r="B32" s="283">
        <f>C8-B33</f>
        <v>917272</v>
      </c>
      <c r="C32" s="284">
        <f>B32/C8</f>
        <v>0.71969940079449457</v>
      </c>
      <c r="D32" s="285">
        <f>+'[2]Monthly Summary'!D32+B32</f>
        <v>1793583</v>
      </c>
      <c r="E32" s="286">
        <f>+D32/D34</f>
        <v>0.71056403535739299</v>
      </c>
      <c r="G32" s="2"/>
      <c r="I32" s="299"/>
    </row>
    <row r="33" spans="1:14" ht="13.5" thickBot="1" x14ac:dyDescent="0.25">
      <c r="A33" s="287" t="s">
        <v>144</v>
      </c>
      <c r="B33" s="288">
        <f>'Major Airline Stats'!K51+'Regional Major'!M45</f>
        <v>357249</v>
      </c>
      <c r="C33" s="289">
        <f>+B33/C8</f>
        <v>0.28030059920550543</v>
      </c>
      <c r="D33" s="290">
        <f>+'[2]Monthly Summary'!D33+B33</f>
        <v>730585</v>
      </c>
      <c r="E33" s="291">
        <f>+D33/D34</f>
        <v>0.28943596464260701</v>
      </c>
      <c r="G33" s="222"/>
      <c r="H33" s="428"/>
      <c r="I33" s="299"/>
    </row>
    <row r="34" spans="1:14" ht="13.5" thickBot="1" x14ac:dyDescent="0.25">
      <c r="B34" s="222"/>
      <c r="D34" s="292">
        <f>SUM(D32:D33)</f>
        <v>2524168</v>
      </c>
    </row>
    <row r="35" spans="1:14" ht="13.5" thickBot="1" x14ac:dyDescent="0.25">
      <c r="B35" s="453" t="s">
        <v>251</v>
      </c>
      <c r="C35" s="454"/>
      <c r="D35" s="455" t="s">
        <v>239</v>
      </c>
      <c r="E35" s="454"/>
    </row>
    <row r="36" spans="1:14" x14ac:dyDescent="0.2">
      <c r="A36" s="282" t="s">
        <v>143</v>
      </c>
      <c r="B36" s="283">
        <f>'[1]Monthly Summary'!$B$32</f>
        <v>806837</v>
      </c>
      <c r="C36" s="284">
        <f>+B36/B38</f>
        <v>0.73045612484903577</v>
      </c>
      <c r="D36" s="285">
        <f>+'[1]Monthly Summary'!D32</f>
        <v>1653151</v>
      </c>
      <c r="E36" s="286">
        <f>+D36/D38</f>
        <v>0.72506559204772625</v>
      </c>
    </row>
    <row r="37" spans="1:14" ht="13.5" thickBot="1" x14ac:dyDescent="0.25">
      <c r="A37" s="287" t="s">
        <v>144</v>
      </c>
      <c r="B37" s="288">
        <f>'[1]Monthly Summary'!$B$33</f>
        <v>297729</v>
      </c>
      <c r="C37" s="291">
        <f>+B37/B38</f>
        <v>0.26954387515096428</v>
      </c>
      <c r="D37" s="290">
        <f>+'[1]Monthly Summary'!D33</f>
        <v>626851</v>
      </c>
      <c r="E37" s="291">
        <f>+D37/D38</f>
        <v>0.27493440795227375</v>
      </c>
      <c r="G37" s="222"/>
      <c r="M37" s="1"/>
    </row>
    <row r="38" spans="1:14" x14ac:dyDescent="0.2">
      <c r="B38" s="304">
        <f>+SUM(B36:B37)</f>
        <v>1104566</v>
      </c>
      <c r="D38" s="292">
        <f>SUM(D36:D37)</f>
        <v>2280002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="130" zoomScaleNormal="130" zoomScaleSheetLayoutView="100" workbookViewId="0">
      <selection activeCell="E20" sqref="E20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88">
        <v>45323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18" t="s">
        <v>20</v>
      </c>
      <c r="K1" s="317" t="s">
        <v>21</v>
      </c>
    </row>
    <row r="2" spans="1:20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9"/>
      <c r="K2" s="196"/>
    </row>
    <row r="3" spans="1:20" x14ac:dyDescent="0.2">
      <c r="A3" s="43" t="s">
        <v>29</v>
      </c>
      <c r="K3" s="37"/>
    </row>
    <row r="4" spans="1:20" x14ac:dyDescent="0.2">
      <c r="A4" s="43" t="s">
        <v>30</v>
      </c>
      <c r="B4" s="11">
        <f>[3]American!$IU$22</f>
        <v>43511</v>
      </c>
      <c r="C4" s="11">
        <f>[3]Delta!$IU$22+[3]Delta!$IU$32</f>
        <v>693278</v>
      </c>
      <c r="D4" s="11">
        <f>[3]United!$IU$22</f>
        <v>50689</v>
      </c>
      <c r="E4" s="11">
        <f>[3]Spirit!$IU$22</f>
        <v>12161</v>
      </c>
      <c r="F4" s="11">
        <f>[3]Condor!$IU$22+[3]Condor!$IU$32</f>
        <v>0</v>
      </c>
      <c r="G4" s="11">
        <f>'[3]Air France'!$IU$32</f>
        <v>0</v>
      </c>
      <c r="H4" s="11">
        <f>'[3]Jet Blue'!$IU$22</f>
        <v>2435</v>
      </c>
      <c r="I4" s="11">
        <f>[3]KLM!$IU$22+[3]KLM!$IU$32</f>
        <v>2513</v>
      </c>
      <c r="J4" s="11">
        <f>'Other Major Airline Stats'!K5</f>
        <v>271452</v>
      </c>
      <c r="K4" s="197">
        <f>SUM(B4:J4)</f>
        <v>1076039</v>
      </c>
    </row>
    <row r="5" spans="1:20" x14ac:dyDescent="0.2">
      <c r="A5" s="43" t="s">
        <v>31</v>
      </c>
      <c r="B5" s="7">
        <f>[3]American!$IU$23</f>
        <v>44172</v>
      </c>
      <c r="C5" s="7">
        <f>[3]Delta!$IU$23+[3]Delta!$IU$33</f>
        <v>709730</v>
      </c>
      <c r="D5" s="7">
        <f>[3]United!$IU$23</f>
        <v>50363</v>
      </c>
      <c r="E5" s="7">
        <f>[3]Spirit!$IU$23</f>
        <v>11694</v>
      </c>
      <c r="F5" s="7">
        <f>[3]Condor!$IU$23+[3]Condor!$IU$33</f>
        <v>0</v>
      </c>
      <c r="G5" s="7">
        <f>'[3]Air France'!$IU$33</f>
        <v>0</v>
      </c>
      <c r="H5" s="7">
        <f>'[3]Jet Blue'!$IU$23</f>
        <v>2076</v>
      </c>
      <c r="I5" s="7">
        <f>[3]KLM!$IU$23+[3]KLM!$IU$33</f>
        <v>1919</v>
      </c>
      <c r="J5" s="7">
        <f>'Other Major Airline Stats'!K6</f>
        <v>286750</v>
      </c>
      <c r="K5" s="198">
        <f>SUM(B5:J5)</f>
        <v>1106704</v>
      </c>
      <c r="M5" s="222"/>
      <c r="N5" s="222"/>
      <c r="O5" s="222"/>
      <c r="P5" s="222"/>
      <c r="Q5" s="222"/>
      <c r="R5" s="222"/>
      <c r="S5" s="222"/>
      <c r="T5" s="222"/>
    </row>
    <row r="6" spans="1:20" ht="15" x14ac:dyDescent="0.25">
      <c r="A6" s="41" t="s">
        <v>7</v>
      </c>
      <c r="B6" s="23">
        <f t="shared" ref="B6:E6" si="0">SUM(B4:B5)</f>
        <v>87683</v>
      </c>
      <c r="C6" s="23">
        <f t="shared" si="0"/>
        <v>1403008</v>
      </c>
      <c r="D6" s="23">
        <f t="shared" si="0"/>
        <v>101052</v>
      </c>
      <c r="E6" s="23">
        <f t="shared" si="0"/>
        <v>23855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4511</v>
      </c>
      <c r="I6" s="23">
        <f t="shared" si="1"/>
        <v>4432</v>
      </c>
      <c r="J6" s="23">
        <f>SUM(J4:J5)</f>
        <v>558202</v>
      </c>
      <c r="K6" s="199">
        <f>SUM(B6:J6)</f>
        <v>2182743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97">
        <f>SUM(B8:J8)</f>
        <v>0</v>
      </c>
    </row>
    <row r="9" spans="1:20" x14ac:dyDescent="0.2">
      <c r="A9" s="43" t="s">
        <v>30</v>
      </c>
      <c r="B9" s="11">
        <f>[3]American!$IU$27</f>
        <v>1215</v>
      </c>
      <c r="C9" s="11">
        <f>[3]Delta!$IU$27+[3]Delta!$IU$37</f>
        <v>25477</v>
      </c>
      <c r="D9" s="11">
        <f>[3]United!$IU$27</f>
        <v>1803</v>
      </c>
      <c r="E9" s="11">
        <f>[3]Spirit!$IU$27</f>
        <v>84</v>
      </c>
      <c r="F9" s="11">
        <f>[3]Condor!$IU$27+[3]Condor!$IU$37</f>
        <v>0</v>
      </c>
      <c r="G9" s="11">
        <f>'[3]Air France'!$IU$37</f>
        <v>0</v>
      </c>
      <c r="H9" s="11">
        <f>'[3]Jet Blue'!$IU$27</f>
        <v>40</v>
      </c>
      <c r="I9" s="11">
        <f>[3]KLM!$IU$27+[3]KLM!$IU$37</f>
        <v>7</v>
      </c>
      <c r="J9" s="11">
        <f>'Other Major Airline Stats'!K10</f>
        <v>4396</v>
      </c>
      <c r="K9" s="197">
        <f>SUM(B9:J9)</f>
        <v>33022</v>
      </c>
      <c r="N9" s="222"/>
    </row>
    <row r="10" spans="1:20" x14ac:dyDescent="0.2">
      <c r="A10" s="43" t="s">
        <v>33</v>
      </c>
      <c r="B10" s="7">
        <f>[3]American!$IU$28</f>
        <v>1467</v>
      </c>
      <c r="C10" s="7">
        <f>[3]Delta!$IU$28+[3]Delta!$IU$38</f>
        <v>25662</v>
      </c>
      <c r="D10" s="7">
        <f>[3]United!$IU$28</f>
        <v>1974</v>
      </c>
      <c r="E10" s="7">
        <f>[3]Spirit!$IU$28</f>
        <v>107</v>
      </c>
      <c r="F10" s="7">
        <f>[3]Condor!$IU$28+[3]Condor!$IU$38</f>
        <v>0</v>
      </c>
      <c r="G10" s="7">
        <f>'[3]Air France'!$IU$38</f>
        <v>0</v>
      </c>
      <c r="H10" s="7">
        <f>'[3]Jet Blue'!$IU$28</f>
        <v>46</v>
      </c>
      <c r="I10" s="7">
        <f>[3]KLM!$IU$28+[3]KLM!$IU$38</f>
        <v>0</v>
      </c>
      <c r="J10" s="7">
        <f>'Other Major Airline Stats'!K11</f>
        <v>4636</v>
      </c>
      <c r="K10" s="198">
        <f>SUM(B10:J10)</f>
        <v>33892</v>
      </c>
      <c r="N10" s="222"/>
    </row>
    <row r="11" spans="1:20" ht="15.75" thickBot="1" x14ac:dyDescent="0.3">
      <c r="A11" s="44" t="s">
        <v>34</v>
      </c>
      <c r="B11" s="200">
        <f t="shared" ref="B11:J11" si="3">SUM(B9:B10)</f>
        <v>2682</v>
      </c>
      <c r="C11" s="200">
        <f t="shared" si="3"/>
        <v>51139</v>
      </c>
      <c r="D11" s="200">
        <f t="shared" si="3"/>
        <v>3777</v>
      </c>
      <c r="E11" s="200">
        <f t="shared" si="3"/>
        <v>191</v>
      </c>
      <c r="F11" s="200">
        <f t="shared" ref="F11:I11" si="4">SUM(F9:F10)</f>
        <v>0</v>
      </c>
      <c r="G11" s="200">
        <f t="shared" si="4"/>
        <v>0</v>
      </c>
      <c r="H11" s="200">
        <f t="shared" ref="H11" si="5">SUM(H9:H10)</f>
        <v>86</v>
      </c>
      <c r="I11" s="200">
        <f t="shared" si="4"/>
        <v>7</v>
      </c>
      <c r="J11" s="200">
        <f t="shared" si="3"/>
        <v>9032</v>
      </c>
      <c r="K11" s="201">
        <f>SUM(B11:J11)</f>
        <v>66914</v>
      </c>
    </row>
    <row r="13" spans="1:20" ht="13.5" thickBot="1" x14ac:dyDescent="0.25"/>
    <row r="14" spans="1:20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20" x14ac:dyDescent="0.2">
      <c r="A15" s="43" t="s">
        <v>22</v>
      </c>
      <c r="B15" s="11">
        <f>[3]American!$IU$4</f>
        <v>285</v>
      </c>
      <c r="C15" s="11">
        <f>[3]Delta!$IU$4+[3]Delta!$IU$15</f>
        <v>5181</v>
      </c>
      <c r="D15" s="11">
        <f>[3]United!$IU$4</f>
        <v>384</v>
      </c>
      <c r="E15" s="11">
        <f>[3]Spirit!$IU$4</f>
        <v>95</v>
      </c>
      <c r="F15" s="11">
        <f>[3]Condor!$IU$15</f>
        <v>0</v>
      </c>
      <c r="G15" s="11">
        <f>'[3]Air France'!$IU$15</f>
        <v>0</v>
      </c>
      <c r="H15" s="11">
        <f>'[3]Jet Blue'!$IU$4</f>
        <v>28</v>
      </c>
      <c r="I15" s="11">
        <f>[3]KLM!$IU$4+[3]KLM!$IU$15</f>
        <v>14</v>
      </c>
      <c r="J15" s="11">
        <f>'Other Major Airline Stats'!K16</f>
        <v>1970</v>
      </c>
      <c r="K15" s="16">
        <f>SUM(B15:J15)</f>
        <v>7957</v>
      </c>
    </row>
    <row r="16" spans="1:20" x14ac:dyDescent="0.2">
      <c r="A16" s="43" t="s">
        <v>23</v>
      </c>
      <c r="B16" s="7">
        <f>[3]American!$IU$5</f>
        <v>285</v>
      </c>
      <c r="C16" s="7">
        <f>[3]Delta!$IU$5+[3]Delta!$IU$16</f>
        <v>5177</v>
      </c>
      <c r="D16" s="7">
        <f>[3]United!$IU$5</f>
        <v>381</v>
      </c>
      <c r="E16" s="7">
        <f>[3]Spirit!$IU$5</f>
        <v>95</v>
      </c>
      <c r="F16" s="7">
        <f>[3]Condor!$IU$5+[3]Condor!$IU$16</f>
        <v>0</v>
      </c>
      <c r="G16" s="7">
        <f>'[3]Air France'!$IU$16</f>
        <v>0</v>
      </c>
      <c r="H16" s="7">
        <f>'[3]Jet Blue'!$IU$5</f>
        <v>28</v>
      </c>
      <c r="I16" s="7">
        <f>[3]KLM!$IU$5+[3]KLM!$IU$16</f>
        <v>14</v>
      </c>
      <c r="J16" s="7">
        <f>'Other Major Airline Stats'!K17</f>
        <v>1973</v>
      </c>
      <c r="K16" s="22">
        <f>SUM(B16:J16)</f>
        <v>7953</v>
      </c>
    </row>
    <row r="17" spans="1:11" x14ac:dyDescent="0.2">
      <c r="A17" s="43" t="s">
        <v>24</v>
      </c>
      <c r="B17" s="204">
        <f t="shared" ref="B17:J17" si="6">SUM(B15:B16)</f>
        <v>570</v>
      </c>
      <c r="C17" s="202">
        <f t="shared" si="6"/>
        <v>10358</v>
      </c>
      <c r="D17" s="202">
        <f t="shared" si="6"/>
        <v>765</v>
      </c>
      <c r="E17" s="202">
        <f t="shared" si="6"/>
        <v>190</v>
      </c>
      <c r="F17" s="202">
        <f t="shared" ref="F17:I17" si="7">SUM(F15:F16)</f>
        <v>0</v>
      </c>
      <c r="G17" s="202">
        <f t="shared" si="7"/>
        <v>0</v>
      </c>
      <c r="H17" s="202">
        <f t="shared" ref="H17" si="8">SUM(H15:H16)</f>
        <v>56</v>
      </c>
      <c r="I17" s="202">
        <f t="shared" si="7"/>
        <v>28</v>
      </c>
      <c r="J17" s="202">
        <f t="shared" si="6"/>
        <v>3943</v>
      </c>
      <c r="K17" s="203">
        <f>SUM(B17:J17)</f>
        <v>15910</v>
      </c>
    </row>
    <row r="18" spans="1:11" x14ac:dyDescent="0.2">
      <c r="A18" s="43"/>
      <c r="B18" s="427"/>
      <c r="C18" s="11"/>
      <c r="D18" s="11"/>
      <c r="E18" s="11"/>
      <c r="F18" s="11"/>
      <c r="G18" s="11"/>
      <c r="H18" s="11"/>
      <c r="I18" s="11"/>
      <c r="J18" s="11"/>
      <c r="K18" s="16"/>
    </row>
    <row r="19" spans="1:11" x14ac:dyDescent="0.2">
      <c r="A19" s="43" t="s">
        <v>25</v>
      </c>
      <c r="B19" s="11">
        <f>[3]American!$IU$8</f>
        <v>0</v>
      </c>
      <c r="C19" s="11">
        <f>[3]Delta!$IU$8</f>
        <v>6</v>
      </c>
      <c r="D19" s="11">
        <f>[3]United!$IU$8</f>
        <v>1</v>
      </c>
      <c r="E19" s="11">
        <f>[3]Spirit!$IU$8</f>
        <v>0</v>
      </c>
      <c r="F19" s="11">
        <f>[3]Condor!$IU$8</f>
        <v>0</v>
      </c>
      <c r="G19" s="11">
        <f>'[3]Air France'!$IU$8</f>
        <v>0</v>
      </c>
      <c r="H19" s="11">
        <f>'[3]Jet Blue'!$IU$8</f>
        <v>1</v>
      </c>
      <c r="I19" s="11">
        <f>[3]KLM!$IU$8</f>
        <v>0</v>
      </c>
      <c r="J19" s="11">
        <f>'Other Major Airline Stats'!K20</f>
        <v>70</v>
      </c>
      <c r="K19" s="16">
        <f>SUM(B19:J19)</f>
        <v>78</v>
      </c>
    </row>
    <row r="20" spans="1:11" x14ac:dyDescent="0.2">
      <c r="A20" s="43" t="s">
        <v>26</v>
      </c>
      <c r="B20" s="7">
        <f>[3]American!$IU$9</f>
        <v>0</v>
      </c>
      <c r="C20" s="7">
        <f>[3]Delta!$IU$9</f>
        <v>9</v>
      </c>
      <c r="D20" s="7">
        <f>[3]United!$IU$9</f>
        <v>3</v>
      </c>
      <c r="E20" s="7">
        <f>[3]Spirit!$IU$9</f>
        <v>0</v>
      </c>
      <c r="F20" s="7">
        <f>[3]Condor!$IU$9</f>
        <v>0</v>
      </c>
      <c r="G20" s="7">
        <f>'[3]Air France'!$IU$9</f>
        <v>0</v>
      </c>
      <c r="H20" s="7">
        <f>'[3]Jet Blue'!$IU$9</f>
        <v>1</v>
      </c>
      <c r="I20" s="7">
        <f>[3]KLM!$IU$9</f>
        <v>0</v>
      </c>
      <c r="J20" s="7">
        <f>'Other Major Airline Stats'!K21</f>
        <v>64</v>
      </c>
      <c r="K20" s="22">
        <f>SUM(B20:J20)</f>
        <v>77</v>
      </c>
    </row>
    <row r="21" spans="1:11" x14ac:dyDescent="0.2">
      <c r="A21" s="43" t="s">
        <v>27</v>
      </c>
      <c r="B21" s="204">
        <f t="shared" ref="B21:J21" si="9">SUM(B19:B20)</f>
        <v>0</v>
      </c>
      <c r="C21" s="202">
        <f t="shared" si="9"/>
        <v>15</v>
      </c>
      <c r="D21" s="202">
        <f t="shared" si="9"/>
        <v>4</v>
      </c>
      <c r="E21" s="202">
        <f t="shared" si="9"/>
        <v>0</v>
      </c>
      <c r="F21" s="202">
        <f t="shared" ref="F21:I21" si="10">SUM(F19:F20)</f>
        <v>0</v>
      </c>
      <c r="G21" s="202">
        <f t="shared" si="10"/>
        <v>0</v>
      </c>
      <c r="H21" s="202">
        <f t="shared" ref="H21" si="11">SUM(H19:H20)</f>
        <v>2</v>
      </c>
      <c r="I21" s="202">
        <f t="shared" si="10"/>
        <v>0</v>
      </c>
      <c r="J21" s="202">
        <f t="shared" si="9"/>
        <v>134</v>
      </c>
      <c r="K21" s="139">
        <f>SUM(B21:J21)</f>
        <v>155</v>
      </c>
    </row>
    <row r="22" spans="1:11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6"/>
    </row>
    <row r="23" spans="1:11" ht="15.75" thickBot="1" x14ac:dyDescent="0.3">
      <c r="A23" s="44" t="s">
        <v>28</v>
      </c>
      <c r="B23" s="17">
        <f t="shared" ref="B23:J23" si="12">B17+B21</f>
        <v>570</v>
      </c>
      <c r="C23" s="17">
        <f t="shared" si="12"/>
        <v>10373</v>
      </c>
      <c r="D23" s="17">
        <f t="shared" si="12"/>
        <v>769</v>
      </c>
      <c r="E23" s="17">
        <f>E17+E21</f>
        <v>190</v>
      </c>
      <c r="F23" s="17">
        <f t="shared" ref="F23:I23" si="13">F17+F21</f>
        <v>0</v>
      </c>
      <c r="G23" s="17">
        <f t="shared" si="13"/>
        <v>0</v>
      </c>
      <c r="H23" s="17">
        <f t="shared" ref="H23" si="14">H17+H21</f>
        <v>58</v>
      </c>
      <c r="I23" s="17">
        <f t="shared" si="13"/>
        <v>28</v>
      </c>
      <c r="J23" s="17">
        <f t="shared" si="12"/>
        <v>4077</v>
      </c>
      <c r="K23" s="18">
        <f>SUM(B23:J23)</f>
        <v>16065</v>
      </c>
    </row>
    <row r="25" spans="1:11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</row>
    <row r="26" spans="1:11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9"/>
    </row>
    <row r="28" spans="1:11" x14ac:dyDescent="0.2">
      <c r="A28" s="43" t="s">
        <v>37</v>
      </c>
      <c r="B28" s="11">
        <f>[3]American!$IU$47</f>
        <v>22092</v>
      </c>
      <c r="C28" s="11">
        <f>[3]Delta!$IU$47</f>
        <v>3893282</v>
      </c>
      <c r="D28" s="11">
        <f>[3]United!$IU$47</f>
        <v>16407</v>
      </c>
      <c r="E28" s="11">
        <f>[3]Spirit!$IU$47</f>
        <v>0</v>
      </c>
      <c r="F28" s="11">
        <f>[3]Condor!$IU$47</f>
        <v>0</v>
      </c>
      <c r="G28" s="11">
        <f>'[3]Air France'!$IU$47</f>
        <v>0</v>
      </c>
      <c r="H28" s="11">
        <f>'[3]Jet Blue'!$IU$47</f>
        <v>0</v>
      </c>
      <c r="I28" s="11">
        <f>[3]KLM!$IU$47</f>
        <v>277588</v>
      </c>
      <c r="J28" s="11">
        <f>'Other Major Airline Stats'!K28</f>
        <v>197205</v>
      </c>
      <c r="K28" s="16">
        <f>SUM(B28:J28)</f>
        <v>4406574</v>
      </c>
    </row>
    <row r="29" spans="1:11" x14ac:dyDescent="0.2">
      <c r="A29" s="43" t="s">
        <v>38</v>
      </c>
      <c r="B29" s="7">
        <f>[3]American!$IU$48</f>
        <v>8600</v>
      </c>
      <c r="C29" s="7">
        <f>[3]Delta!$IU$48</f>
        <v>213735</v>
      </c>
      <c r="D29" s="7">
        <f>[3]United!$IU$48</f>
        <v>0</v>
      </c>
      <c r="E29" s="7">
        <f>[3]Spirit!$IU$48</f>
        <v>0</v>
      </c>
      <c r="F29" s="7">
        <f>[3]Condor!$IU$48</f>
        <v>0</v>
      </c>
      <c r="G29" s="7">
        <f>'[3]Air France'!$IU$48</f>
        <v>0</v>
      </c>
      <c r="H29" s="7">
        <f>'[3]Jet Blue'!$IU$48</f>
        <v>0</v>
      </c>
      <c r="I29" s="7">
        <f>[3]KLM!$IU$48</f>
        <v>0</v>
      </c>
      <c r="J29" s="7">
        <f>'Other Major Airline Stats'!K29</f>
        <v>0</v>
      </c>
      <c r="K29" s="22">
        <f>SUM(B29:J29)</f>
        <v>222335</v>
      </c>
    </row>
    <row r="30" spans="1:11" x14ac:dyDescent="0.2">
      <c r="A30" s="47" t="s">
        <v>39</v>
      </c>
      <c r="B30" s="204">
        <f t="shared" ref="B30:J30" si="15">SUM(B28:B29)</f>
        <v>30692</v>
      </c>
      <c r="C30" s="204">
        <f t="shared" si="15"/>
        <v>4107017</v>
      </c>
      <c r="D30" s="204">
        <f t="shared" si="15"/>
        <v>16407</v>
      </c>
      <c r="E30" s="204">
        <f t="shared" si="15"/>
        <v>0</v>
      </c>
      <c r="F30" s="204">
        <f t="shared" ref="F30:I30" si="16">SUM(F28:F29)</f>
        <v>0</v>
      </c>
      <c r="G30" s="204">
        <f t="shared" si="16"/>
        <v>0</v>
      </c>
      <c r="H30" s="204">
        <f t="shared" ref="H30" si="17">SUM(H28:H29)</f>
        <v>0</v>
      </c>
      <c r="I30" s="204">
        <f t="shared" si="16"/>
        <v>277588</v>
      </c>
      <c r="J30" s="204">
        <f t="shared" si="15"/>
        <v>197205</v>
      </c>
      <c r="K30" s="16">
        <f>SUM(B30:J30)</f>
        <v>4628909</v>
      </c>
    </row>
    <row r="31" spans="1:11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6"/>
    </row>
    <row r="32" spans="1:11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6">
        <f t="shared" ref="K32:K40" si="18">SUM(B32:J32)</f>
        <v>0</v>
      </c>
    </row>
    <row r="33" spans="1:11" x14ac:dyDescent="0.2">
      <c r="A33" s="43" t="s">
        <v>37</v>
      </c>
      <c r="B33" s="11">
        <f>[3]American!$IU$52</f>
        <v>5119</v>
      </c>
      <c r="C33" s="11">
        <f>[3]Delta!$IU$52</f>
        <v>2262971</v>
      </c>
      <c r="D33" s="11">
        <f>[3]United!$IU$52</f>
        <v>4901</v>
      </c>
      <c r="E33" s="11">
        <f>[3]Spirit!$IU$52</f>
        <v>0</v>
      </c>
      <c r="F33" s="11">
        <f>[3]Condor!$IU$52</f>
        <v>0</v>
      </c>
      <c r="G33" s="11">
        <f>'[3]Air France'!$IU$52</f>
        <v>0</v>
      </c>
      <c r="H33" s="11">
        <f>'[3]Jet Blue'!$IU$52</f>
        <v>0</v>
      </c>
      <c r="I33" s="11">
        <f>[3]KLM!$IU$52</f>
        <v>33111</v>
      </c>
      <c r="J33" s="11">
        <f>'Other Major Airline Stats'!K33</f>
        <v>39045</v>
      </c>
      <c r="K33" s="16">
        <f t="shared" si="18"/>
        <v>2345147</v>
      </c>
    </row>
    <row r="34" spans="1:11" x14ac:dyDescent="0.2">
      <c r="A34" s="43" t="s">
        <v>38</v>
      </c>
      <c r="B34" s="7">
        <f>[3]American!$IU$53</f>
        <v>7458</v>
      </c>
      <c r="C34" s="7">
        <f>[3]Delta!$IU$53</f>
        <v>233177</v>
      </c>
      <c r="D34" s="7">
        <f>[3]United!$IU$53</f>
        <v>0</v>
      </c>
      <c r="E34" s="7">
        <f>[3]Spirit!$IU$53</f>
        <v>0</v>
      </c>
      <c r="F34" s="7">
        <f>[3]Condor!$IU$53</f>
        <v>0</v>
      </c>
      <c r="G34" s="7">
        <f>'[3]Air France'!$IU$53</f>
        <v>0</v>
      </c>
      <c r="H34" s="7">
        <f>'[3]Jet Blue'!$IU$53</f>
        <v>0</v>
      </c>
      <c r="I34" s="7">
        <f>[3]KLM!$IU$53</f>
        <v>0</v>
      </c>
      <c r="J34" s="7">
        <f>'Other Major Airline Stats'!K34</f>
        <v>0</v>
      </c>
      <c r="K34" s="22">
        <f t="shared" si="18"/>
        <v>240635</v>
      </c>
    </row>
    <row r="35" spans="1:11" x14ac:dyDescent="0.2">
      <c r="A35" s="47" t="s">
        <v>41</v>
      </c>
      <c r="B35" s="204">
        <f t="shared" ref="B35:J35" si="19">SUM(B33:B34)</f>
        <v>12577</v>
      </c>
      <c r="C35" s="204">
        <f t="shared" si="19"/>
        <v>2496148</v>
      </c>
      <c r="D35" s="204">
        <f t="shared" si="19"/>
        <v>4901</v>
      </c>
      <c r="E35" s="204">
        <f t="shared" si="19"/>
        <v>0</v>
      </c>
      <c r="F35" s="204">
        <f t="shared" ref="F35:I35" si="20">SUM(F33:F34)</f>
        <v>0</v>
      </c>
      <c r="G35" s="204">
        <f t="shared" si="20"/>
        <v>0</v>
      </c>
      <c r="H35" s="204">
        <f t="shared" ref="H35" si="21">SUM(H33:H34)</f>
        <v>0</v>
      </c>
      <c r="I35" s="204">
        <f t="shared" si="20"/>
        <v>33111</v>
      </c>
      <c r="J35" s="204">
        <f t="shared" si="19"/>
        <v>39045</v>
      </c>
      <c r="K35" s="16">
        <f t="shared" si="18"/>
        <v>2585782</v>
      </c>
    </row>
    <row r="36" spans="1:11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6">
        <f t="shared" si="18"/>
        <v>0</v>
      </c>
    </row>
    <row r="37" spans="1:11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6">
        <f t="shared" si="18"/>
        <v>0</v>
      </c>
    </row>
    <row r="38" spans="1:11" hidden="1" x14ac:dyDescent="0.2">
      <c r="A38" s="43" t="s">
        <v>37</v>
      </c>
      <c r="B38" s="11">
        <f>[3]American!$IU$57</f>
        <v>0</v>
      </c>
      <c r="C38" s="11">
        <f>[3]Delta!$IU$57</f>
        <v>0</v>
      </c>
      <c r="D38" s="11">
        <f>[3]United!$IU$57</f>
        <v>0</v>
      </c>
      <c r="E38" s="11">
        <f>[3]Spirit!$IU$57</f>
        <v>0</v>
      </c>
      <c r="F38" s="11">
        <f>[3]Condor!$IU$57</f>
        <v>0</v>
      </c>
      <c r="G38" s="11">
        <f>'[3]Air France'!$IU$57</f>
        <v>0</v>
      </c>
      <c r="H38" s="11">
        <f>'[3]Jet Blue'!$IU$57</f>
        <v>0</v>
      </c>
      <c r="I38" s="11">
        <f>[3]KLM!$IU$57</f>
        <v>0</v>
      </c>
      <c r="J38" s="11">
        <f>'Other Major Airline Stats'!K38</f>
        <v>0</v>
      </c>
      <c r="K38" s="16">
        <f t="shared" si="18"/>
        <v>0</v>
      </c>
    </row>
    <row r="39" spans="1:11" hidden="1" x14ac:dyDescent="0.2">
      <c r="A39" s="43" t="s">
        <v>38</v>
      </c>
      <c r="B39" s="7">
        <f>[3]American!$IU$58</f>
        <v>0</v>
      </c>
      <c r="C39" s="7">
        <f>[3]Delta!$IU$58</f>
        <v>0</v>
      </c>
      <c r="D39" s="7">
        <f>[3]United!$IU$58</f>
        <v>0</v>
      </c>
      <c r="E39" s="7">
        <f>[3]Spirit!$IU$58</f>
        <v>0</v>
      </c>
      <c r="F39" s="7">
        <f>[3]Condor!$IU$58</f>
        <v>0</v>
      </c>
      <c r="G39" s="7">
        <f>'[3]Air France'!$IU$58</f>
        <v>0</v>
      </c>
      <c r="H39" s="7">
        <f>'[3]Jet Blue'!$IU$58</f>
        <v>0</v>
      </c>
      <c r="I39" s="7">
        <f>[3]KLM!$IU$58</f>
        <v>0</v>
      </c>
      <c r="J39" s="7">
        <f>'Other Major Airline Stats'!K39</f>
        <v>0</v>
      </c>
      <c r="K39" s="22">
        <f t="shared" si="18"/>
        <v>0</v>
      </c>
    </row>
    <row r="40" spans="1:11" hidden="1" x14ac:dyDescent="0.2">
      <c r="A40" s="47" t="s">
        <v>43</v>
      </c>
      <c r="B40" s="204">
        <f t="shared" ref="B40:J40" si="22">SUM(B38:B39)</f>
        <v>0</v>
      </c>
      <c r="C40" s="204">
        <f t="shared" si="22"/>
        <v>0</v>
      </c>
      <c r="D40" s="204">
        <f t="shared" si="22"/>
        <v>0</v>
      </c>
      <c r="E40" s="204">
        <f t="shared" si="22"/>
        <v>0</v>
      </c>
      <c r="F40" s="204">
        <f t="shared" ref="F40:I40" si="23">SUM(F38:F39)</f>
        <v>0</v>
      </c>
      <c r="G40" s="204">
        <f t="shared" si="23"/>
        <v>0</v>
      </c>
      <c r="H40" s="204">
        <f t="shared" ref="H40" si="24">SUM(H38:H39)</f>
        <v>0</v>
      </c>
      <c r="I40" s="204">
        <f t="shared" si="23"/>
        <v>0</v>
      </c>
      <c r="J40" s="204">
        <f t="shared" si="22"/>
        <v>0</v>
      </c>
      <c r="K40" s="16">
        <f t="shared" si="18"/>
        <v>0</v>
      </c>
    </row>
    <row r="41" spans="1:11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6"/>
    </row>
    <row r="42" spans="1:11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6">
        <f>SUM(B42:J42)</f>
        <v>0</v>
      </c>
    </row>
    <row r="43" spans="1:11" x14ac:dyDescent="0.2">
      <c r="A43" s="43" t="s">
        <v>45</v>
      </c>
      <c r="B43" s="11">
        <f t="shared" ref="B43:J44" si="25">B28+B33+B38</f>
        <v>27211</v>
      </c>
      <c r="C43" s="11">
        <f t="shared" si="25"/>
        <v>6156253</v>
      </c>
      <c r="D43" s="11">
        <f t="shared" si="25"/>
        <v>21308</v>
      </c>
      <c r="E43" s="11">
        <f>E28+E33+E38</f>
        <v>0</v>
      </c>
      <c r="F43" s="11">
        <f t="shared" ref="F43:I43" si="26">F28+F33+F38</f>
        <v>0</v>
      </c>
      <c r="G43" s="11">
        <f t="shared" si="26"/>
        <v>0</v>
      </c>
      <c r="H43" s="11">
        <f t="shared" ref="H43" si="27">H28+H33+H38</f>
        <v>0</v>
      </c>
      <c r="I43" s="11">
        <f t="shared" si="26"/>
        <v>310699</v>
      </c>
      <c r="J43" s="11">
        <f t="shared" si="25"/>
        <v>236250</v>
      </c>
      <c r="K43" s="16">
        <f>SUM(B43:J43)</f>
        <v>6751721</v>
      </c>
    </row>
    <row r="44" spans="1:11" x14ac:dyDescent="0.2">
      <c r="A44" s="43" t="s">
        <v>38</v>
      </c>
      <c r="B44" s="7">
        <f t="shared" si="25"/>
        <v>16058</v>
      </c>
      <c r="C44" s="7">
        <f t="shared" si="25"/>
        <v>446912</v>
      </c>
      <c r="D44" s="7">
        <f t="shared" si="25"/>
        <v>0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0</v>
      </c>
      <c r="K44" s="16">
        <f>SUM(B44:J44)</f>
        <v>462970</v>
      </c>
    </row>
    <row r="45" spans="1:11" ht="15.75" thickBot="1" x14ac:dyDescent="0.3">
      <c r="A45" s="44" t="s">
        <v>46</v>
      </c>
      <c r="B45" s="205">
        <f t="shared" ref="B45:J45" si="30">SUM(B43:B44)</f>
        <v>43269</v>
      </c>
      <c r="C45" s="205">
        <f t="shared" si="30"/>
        <v>6603165</v>
      </c>
      <c r="D45" s="205">
        <f t="shared" si="30"/>
        <v>21308</v>
      </c>
      <c r="E45" s="205">
        <f t="shared" si="30"/>
        <v>0</v>
      </c>
      <c r="F45" s="205">
        <f t="shared" ref="F45:I45" si="31">SUM(F43:F44)</f>
        <v>0</v>
      </c>
      <c r="G45" s="205">
        <f t="shared" si="31"/>
        <v>0</v>
      </c>
      <c r="H45" s="205">
        <f t="shared" ref="H45" si="32">SUM(H43:H44)</f>
        <v>0</v>
      </c>
      <c r="I45" s="205">
        <f t="shared" si="31"/>
        <v>310699</v>
      </c>
      <c r="J45" s="205">
        <f t="shared" si="30"/>
        <v>236250</v>
      </c>
      <c r="K45" s="206">
        <f>SUM(B45:J45)</f>
        <v>7214691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68" t="s">
        <v>120</v>
      </c>
      <c r="C47" s="231">
        <f>[3]Delta!$IU$70+[3]Delta!$IU$73</f>
        <v>453057</v>
      </c>
      <c r="D47" s="219"/>
      <c r="E47" s="219"/>
      <c r="F47" s="219"/>
      <c r="G47" s="219"/>
      <c r="H47" s="219"/>
      <c r="I47" s="219"/>
      <c r="J47" s="219"/>
      <c r="K47" s="220">
        <f>SUM(B47:J47)</f>
        <v>453057</v>
      </c>
    </row>
    <row r="48" spans="1:11" hidden="1" x14ac:dyDescent="0.2">
      <c r="A48" s="269" t="s">
        <v>121</v>
      </c>
      <c r="C48" s="231">
        <f>[3]Delta!$IU$71+[3]Delta!$IU$74</f>
        <v>256673</v>
      </c>
      <c r="D48" s="219"/>
      <c r="E48" s="219"/>
      <c r="F48" s="219"/>
      <c r="G48" s="219"/>
      <c r="H48" s="219"/>
      <c r="I48" s="219"/>
      <c r="J48" s="219"/>
      <c r="K48" s="220">
        <f>SUM(B48:J48)</f>
        <v>256673</v>
      </c>
    </row>
    <row r="49" spans="1:11" hidden="1" x14ac:dyDescent="0.2">
      <c r="A49" s="270" t="s">
        <v>122</v>
      </c>
      <c r="C49" s="232">
        <f>SUM(C47:C48)</f>
        <v>709730</v>
      </c>
      <c r="K49" s="220">
        <f>SUM(B49:J49)</f>
        <v>709730</v>
      </c>
    </row>
    <row r="50" spans="1:11" x14ac:dyDescent="0.2">
      <c r="A50" s="268" t="s">
        <v>120</v>
      </c>
      <c r="B50" s="279"/>
      <c r="C50" s="234">
        <f>[3]Delta!$IU$70+[3]Delta!$IU$73</f>
        <v>453057</v>
      </c>
      <c r="D50" s="279"/>
      <c r="E50" s="234">
        <f>[3]Spirit!$IU$70+[3]Spirit!$IU$73</f>
        <v>0</v>
      </c>
      <c r="F50" s="279"/>
      <c r="G50" s="279"/>
      <c r="H50" s="279"/>
      <c r="I50" s="279"/>
      <c r="J50" s="233">
        <f>'Other Major Airline Stats'!K48</f>
        <v>238847</v>
      </c>
      <c r="K50" s="223">
        <f>SUM(B50:J50)</f>
        <v>691904</v>
      </c>
    </row>
    <row r="51" spans="1:11" x14ac:dyDescent="0.2">
      <c r="A51" s="281" t="s">
        <v>121</v>
      </c>
      <c r="B51" s="279"/>
      <c r="C51" s="234">
        <f>[3]Delta!$IU$71+[3]Delta!$IU$74</f>
        <v>256673</v>
      </c>
      <c r="D51" s="279"/>
      <c r="E51" s="234">
        <f>[3]Spirit!$IU$71+[3]Spirit!$IU$74</f>
        <v>0</v>
      </c>
      <c r="F51" s="279"/>
      <c r="G51" s="279"/>
      <c r="H51" s="279"/>
      <c r="I51" s="279"/>
      <c r="J51" s="233">
        <f>+'Other Major Airline Stats'!K49</f>
        <v>465</v>
      </c>
      <c r="K51" s="223">
        <f>SUM(B51:J51)</f>
        <v>257138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N16" sqref="N1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45323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[3]Frontier!$IU$22+[3]Frontier!$IU$32</f>
        <v>26905</v>
      </c>
      <c r="C5" s="89">
        <f>'[3]Allegiant '!$IU$22</f>
        <v>7070</v>
      </c>
      <c r="D5" s="89">
        <f>'[3]Aer Lingus'!$IU$22+'[3]Aer Lingus'!$IU$32</f>
        <v>0</v>
      </c>
      <c r="E5" s="89">
        <f>'[3]Denver Air'!$IU$22+'[3]Denver Air'!$IU$32</f>
        <v>795</v>
      </c>
      <c r="F5" s="89">
        <f>[3]WestJet!$IU$22+[3]WestJet!$IU$32</f>
        <v>3551</v>
      </c>
      <c r="G5" s="89">
        <f>[3]Icelandair!$IU$32</f>
        <v>0</v>
      </c>
      <c r="H5" s="89">
        <f>[3]Southwest!$IU$22</f>
        <v>60398</v>
      </c>
      <c r="I5" s="89">
        <f>'[3]Sun Country'!$IU$22+'[3]Sun Country'!$IU$32</f>
        <v>166077</v>
      </c>
      <c r="J5" s="89">
        <f>[3]Alaska!$IU$22</f>
        <v>6656</v>
      </c>
      <c r="K5" s="112">
        <f>SUM(B5:J5)</f>
        <v>271452</v>
      </c>
      <c r="N5" s="89"/>
    </row>
    <row r="6" spans="1:14" x14ac:dyDescent="0.2">
      <c r="A6" s="43" t="s">
        <v>31</v>
      </c>
      <c r="B6" s="89">
        <f>[3]Frontier!$IU$23+[3]Frontier!$IU$33</f>
        <v>29179</v>
      </c>
      <c r="C6" s="89">
        <f>'[3]Allegiant '!$IU$23</f>
        <v>6478</v>
      </c>
      <c r="D6" s="89">
        <f>'[3]Aer Lingus'!$IU$23+'[3]Aer Lingus'!$IU$33</f>
        <v>0</v>
      </c>
      <c r="E6" s="89">
        <f>'[3]Denver Air'!$IU$23+'[3]Denver Air'!$IU$33</f>
        <v>763</v>
      </c>
      <c r="F6" s="89">
        <f>[3]WestJet!$IU$23+[3]WestJet!$IU$33</f>
        <v>3564</v>
      </c>
      <c r="G6" s="89">
        <f>[3]Icelandair!$IU$33</f>
        <v>0</v>
      </c>
      <c r="H6" s="89">
        <f>[3]Southwest!$IU$23</f>
        <v>63026</v>
      </c>
      <c r="I6" s="89">
        <f>'[3]Sun Country'!$IU$23+'[3]Sun Country'!$IU$33</f>
        <v>176286</v>
      </c>
      <c r="J6" s="89">
        <f>[3]Alaska!$IU$23</f>
        <v>7454</v>
      </c>
      <c r="K6" s="112">
        <f>SUM(B6:J6)</f>
        <v>286750</v>
      </c>
    </row>
    <row r="7" spans="1:14" ht="15" x14ac:dyDescent="0.25">
      <c r="A7" s="41" t="s">
        <v>7</v>
      </c>
      <c r="B7" s="120">
        <f>SUM(B5:B6)</f>
        <v>56084</v>
      </c>
      <c r="C7" s="120">
        <f t="shared" ref="C7:F7" si="0">SUM(C5:C6)</f>
        <v>13548</v>
      </c>
      <c r="D7" s="120">
        <f>SUM(D5:D6)</f>
        <v>0</v>
      </c>
      <c r="E7" s="120">
        <f>SUM(E5:E6)</f>
        <v>1558</v>
      </c>
      <c r="F7" s="120">
        <f t="shared" si="0"/>
        <v>7115</v>
      </c>
      <c r="G7" s="120">
        <f t="shared" ref="G7:J7" si="1">SUM(G5:G6)</f>
        <v>0</v>
      </c>
      <c r="H7" s="120">
        <f t="shared" si="1"/>
        <v>123424</v>
      </c>
      <c r="I7" s="120">
        <f>SUM(I5:I6)</f>
        <v>342363</v>
      </c>
      <c r="J7" s="120">
        <f t="shared" si="1"/>
        <v>14110</v>
      </c>
      <c r="K7" s="121">
        <f>SUM(B7:J7)</f>
        <v>558202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[3]Frontier!$IU$27+[3]Frontier!$IU$37</f>
        <v>166</v>
      </c>
      <c r="C10" s="119">
        <f>'[3]Allegiant '!$IU$27</f>
        <v>0</v>
      </c>
      <c r="D10" s="351">
        <f>'[3]Aer Lingus'!$IU$27+'[3]Aer Lingus'!$IU$37</f>
        <v>0</v>
      </c>
      <c r="E10" s="119">
        <f>'[3]Denver Air'!$IU$27+'[3]Denver Air'!$IU$37</f>
        <v>41</v>
      </c>
      <c r="F10" s="119">
        <f>[3]WestJet!$IU$27+[3]WestJet!$IU$37</f>
        <v>1</v>
      </c>
      <c r="G10" s="119">
        <f>[3]Icelandair!$IU$37</f>
        <v>0</v>
      </c>
      <c r="H10" s="119">
        <f>[3]Southwest!$IU$27</f>
        <v>1498</v>
      </c>
      <c r="I10" s="119">
        <f>'[3]Sun Country'!$IU$27+'[3]Sun Country'!$IU$37</f>
        <v>2372</v>
      </c>
      <c r="J10" s="119">
        <f>[3]Alaska!$IU$27</f>
        <v>318</v>
      </c>
      <c r="K10" s="112">
        <f>SUM(B10:J10)</f>
        <v>4396</v>
      </c>
    </row>
    <row r="11" spans="1:14" x14ac:dyDescent="0.2">
      <c r="A11" s="43" t="s">
        <v>33</v>
      </c>
      <c r="B11" s="122">
        <f>[3]Frontier!$IU$28+[3]Frontier!$IU$38</f>
        <v>127</v>
      </c>
      <c r="C11" s="122">
        <f>'[3]Allegiant '!$IU$28</f>
        <v>0</v>
      </c>
      <c r="D11" s="122">
        <f>'[3]Aer Lingus'!$IU$28+'[3]Aer Lingus'!$IU$38</f>
        <v>0</v>
      </c>
      <c r="E11" s="122">
        <f>'[3]Denver Air'!$IU$28+'[3]Denver Air'!$IU$38</f>
        <v>43</v>
      </c>
      <c r="F11" s="122">
        <f>[3]WestJet!$IU$28+[3]WestJet!$IU$38</f>
        <v>1</v>
      </c>
      <c r="G11" s="122">
        <f>[3]Icelandair!$IU$38</f>
        <v>0</v>
      </c>
      <c r="H11" s="122">
        <f>[3]Southwest!$IU$28</f>
        <v>1606</v>
      </c>
      <c r="I11" s="122">
        <f>'[3]Sun Country'!$IU$28+'[3]Sun Country'!$IU$38</f>
        <v>2459</v>
      </c>
      <c r="J11" s="122">
        <f>[3]Alaska!$IU$28</f>
        <v>400</v>
      </c>
      <c r="K11" s="112">
        <f>SUM(B11:J11)</f>
        <v>4636</v>
      </c>
    </row>
    <row r="12" spans="1:14" ht="15.75" thickBot="1" x14ac:dyDescent="0.3">
      <c r="A12" s="44" t="s">
        <v>34</v>
      </c>
      <c r="B12" s="115">
        <f>SUM(B10:B11)</f>
        <v>293</v>
      </c>
      <c r="C12" s="115">
        <f t="shared" ref="C12:F12" si="2">SUM(C10:C11)</f>
        <v>0</v>
      </c>
      <c r="D12" s="115">
        <f>SUM(D10:D11)</f>
        <v>0</v>
      </c>
      <c r="E12" s="115">
        <f>SUM(E10:E11)</f>
        <v>84</v>
      </c>
      <c r="F12" s="115">
        <f t="shared" si="2"/>
        <v>2</v>
      </c>
      <c r="G12" s="115">
        <f t="shared" ref="G12:J12" si="3">SUM(G10:G11)</f>
        <v>0</v>
      </c>
      <c r="H12" s="115">
        <f t="shared" si="3"/>
        <v>3104</v>
      </c>
      <c r="I12" s="115">
        <f>SUM(I10:I11)</f>
        <v>4831</v>
      </c>
      <c r="J12" s="115">
        <f t="shared" si="3"/>
        <v>718</v>
      </c>
      <c r="K12" s="123">
        <f>SUM(B12:J12)</f>
        <v>9032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[3]Frontier!$IU$4+[3]Frontier!$IU$15</f>
        <v>170</v>
      </c>
      <c r="C16" s="79">
        <f>'[3]Allegiant '!$IU$4</f>
        <v>46</v>
      </c>
      <c r="D16" s="89">
        <f>'[3]Aer Lingus'!$IU$4+'[3]Aer Lingus'!$IU$15</f>
        <v>0</v>
      </c>
      <c r="E16" s="89">
        <f>'[3]Denver Air'!$IU$4+'[3]Denver Air'!$IU$15</f>
        <v>80</v>
      </c>
      <c r="F16" s="79">
        <f>[3]WestJet!$IU$4+[3]WestJet!$IU$15</f>
        <v>33</v>
      </c>
      <c r="G16" s="89">
        <f>[3]Icelandair!$IU$15</f>
        <v>0</v>
      </c>
      <c r="H16" s="79">
        <f>[3]Southwest!$IU$4</f>
        <v>532</v>
      </c>
      <c r="I16" s="89">
        <f>'[3]Sun Country'!$IU$4+'[3]Sun Country'!$IU$15</f>
        <v>1056</v>
      </c>
      <c r="J16" s="89">
        <f>[3]Alaska!$IU$4</f>
        <v>53</v>
      </c>
      <c r="K16" s="112">
        <f>SUM(B16:J16)</f>
        <v>1970</v>
      </c>
    </row>
    <row r="17" spans="1:258" x14ac:dyDescent="0.2">
      <c r="A17" s="43" t="s">
        <v>23</v>
      </c>
      <c r="B17" s="89">
        <f>[3]Frontier!$IU$5+[3]Frontier!$IU$16</f>
        <v>170</v>
      </c>
      <c r="C17" s="79">
        <f>'[3]Allegiant '!$IU$5</f>
        <v>46</v>
      </c>
      <c r="D17" s="89">
        <f>'[3]Aer Lingus'!$IU$5+'[3]Aer Lingus'!$IU$16</f>
        <v>0</v>
      </c>
      <c r="E17" s="89">
        <f>'[3]Denver Air'!$IU$5+'[3]Denver Air'!$IU$16</f>
        <v>80</v>
      </c>
      <c r="F17" s="79">
        <f>[3]WestJet!$IU$5+[3]WestJet!$IU$16</f>
        <v>33</v>
      </c>
      <c r="G17" s="89">
        <f>[3]Icelandair!$IU$16</f>
        <v>0</v>
      </c>
      <c r="H17" s="79">
        <f>[3]Southwest!$IU$5</f>
        <v>531</v>
      </c>
      <c r="I17" s="89">
        <f>'[3]Sun Country'!$IU$5+'[3]Sun Country'!$IU$16</f>
        <v>1059</v>
      </c>
      <c r="J17" s="89">
        <f>[3]Alaska!$IU$5</f>
        <v>54</v>
      </c>
      <c r="K17" s="112">
        <f>SUM(B17:J17)</f>
        <v>1973</v>
      </c>
    </row>
    <row r="18" spans="1:258" x14ac:dyDescent="0.2">
      <c r="A18" s="47" t="s">
        <v>24</v>
      </c>
      <c r="B18" s="113">
        <f t="shared" ref="B18" si="4">SUM(B16:B17)</f>
        <v>340</v>
      </c>
      <c r="C18" s="113">
        <f t="shared" ref="C18:F18" si="5">SUM(C16:C17)</f>
        <v>92</v>
      </c>
      <c r="D18" s="113">
        <f t="shared" si="5"/>
        <v>0</v>
      </c>
      <c r="E18" s="113">
        <f t="shared" si="5"/>
        <v>160</v>
      </c>
      <c r="F18" s="113">
        <f t="shared" si="5"/>
        <v>66</v>
      </c>
      <c r="G18" s="113">
        <f t="shared" ref="G18:J18" si="6">SUM(G16:G17)</f>
        <v>0</v>
      </c>
      <c r="H18" s="113">
        <f t="shared" si="6"/>
        <v>1063</v>
      </c>
      <c r="I18" s="113">
        <f t="shared" si="6"/>
        <v>2115</v>
      </c>
      <c r="J18" s="113">
        <f t="shared" si="6"/>
        <v>107</v>
      </c>
      <c r="K18" s="114">
        <f>SUM(B18:J18)</f>
        <v>3943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[3]Frontier!$IU$8</f>
        <v>0</v>
      </c>
      <c r="C20" s="89">
        <f>'[3]Allegiant '!$IU$8</f>
        <v>0</v>
      </c>
      <c r="D20" s="89">
        <f>'[3]Aer Lingus'!$IU$8</f>
        <v>0</v>
      </c>
      <c r="E20" s="89">
        <f>'[3]Denver Air'!$IU$8</f>
        <v>1</v>
      </c>
      <c r="F20" s="89">
        <f>[3]WestJet!$IU$8</f>
        <v>0</v>
      </c>
      <c r="G20" s="89">
        <f>[3]Icelandair!$IU$8</f>
        <v>0</v>
      </c>
      <c r="H20" s="89">
        <f>[3]Southwest!$IU$8</f>
        <v>0</v>
      </c>
      <c r="I20" s="89">
        <f>'[3]Sun Country'!$IU$8</f>
        <v>69</v>
      </c>
      <c r="J20" s="89">
        <f>[3]Alaska!$IU$8</f>
        <v>0</v>
      </c>
      <c r="K20" s="112">
        <f>SUM(B20:J20)</f>
        <v>70</v>
      </c>
    </row>
    <row r="21" spans="1:258" x14ac:dyDescent="0.2">
      <c r="A21" s="43" t="s">
        <v>26</v>
      </c>
      <c r="B21" s="89">
        <f>[3]Frontier!$IU$9</f>
        <v>0</v>
      </c>
      <c r="C21" s="89">
        <f>'[3]Allegiant '!$IU$9</f>
        <v>0</v>
      </c>
      <c r="D21" s="89">
        <f>'[3]Aer Lingus'!$IU$9</f>
        <v>0</v>
      </c>
      <c r="E21" s="89">
        <f>'[3]Denver Air'!$IU$9</f>
        <v>1</v>
      </c>
      <c r="F21" s="89">
        <f>[3]WestJet!$IU$9</f>
        <v>0</v>
      </c>
      <c r="G21" s="89">
        <f>[3]Icelandair!$IU$9</f>
        <v>0</v>
      </c>
      <c r="H21" s="89">
        <f>[3]Southwest!$IU$9</f>
        <v>0</v>
      </c>
      <c r="I21" s="89">
        <f>'[3]Sun Country'!$IU$9</f>
        <v>63</v>
      </c>
      <c r="J21" s="89">
        <f>[3]Alaska!$IU$9</f>
        <v>0</v>
      </c>
      <c r="K21" s="112">
        <f>SUM(B21:J21)</f>
        <v>64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2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132</v>
      </c>
      <c r="J22" s="113">
        <f t="shared" si="9"/>
        <v>0</v>
      </c>
      <c r="K22" s="114">
        <f>SUM(B22:J22)</f>
        <v>134</v>
      </c>
    </row>
    <row r="23" spans="1:258" ht="15.75" thickBot="1" x14ac:dyDescent="0.3">
      <c r="A23" s="44" t="s">
        <v>28</v>
      </c>
      <c r="B23" s="115">
        <f t="shared" ref="B23" si="10">B22+B18</f>
        <v>340</v>
      </c>
      <c r="C23" s="115">
        <f t="shared" ref="C23:F23" si="11">C22+C18</f>
        <v>92</v>
      </c>
      <c r="D23" s="115">
        <f t="shared" si="11"/>
        <v>0</v>
      </c>
      <c r="E23" s="115">
        <f t="shared" si="11"/>
        <v>162</v>
      </c>
      <c r="F23" s="115">
        <f t="shared" si="11"/>
        <v>66</v>
      </c>
      <c r="G23" s="115">
        <f t="shared" ref="G23:J23" si="12">G22+G18</f>
        <v>0</v>
      </c>
      <c r="H23" s="115">
        <f t="shared" si="12"/>
        <v>1063</v>
      </c>
      <c r="I23" s="115">
        <f>I22+I18</f>
        <v>2247</v>
      </c>
      <c r="J23" s="115">
        <f t="shared" si="12"/>
        <v>107</v>
      </c>
      <c r="K23" s="116">
        <f>SUM(B23:J23)</f>
        <v>4077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[3]Frontier!$IU$47</f>
        <v>0</v>
      </c>
      <c r="C28" s="89">
        <f>'[3]Allegiant '!$IU$47</f>
        <v>0</v>
      </c>
      <c r="D28" s="89">
        <f>'[3]Aer Lingus'!$IU$47</f>
        <v>0</v>
      </c>
      <c r="E28" s="89">
        <f>'[3]Denver Air'!$IU$47</f>
        <v>0</v>
      </c>
      <c r="F28" s="89">
        <f>[3]WestJet!$IU$47</f>
        <v>0</v>
      </c>
      <c r="G28" s="89">
        <f>[3]Icelandair!$IU$47</f>
        <v>0</v>
      </c>
      <c r="H28" s="89">
        <f>[3]Southwest!$IU$47</f>
        <v>192617</v>
      </c>
      <c r="I28" s="89">
        <f>'[3]Sun Country'!$IU$47</f>
        <v>0</v>
      </c>
      <c r="J28" s="89">
        <f>[3]Alaska!$IU$47</f>
        <v>4588</v>
      </c>
      <c r="K28" s="112">
        <f>SUM(B28:J28)</f>
        <v>197205</v>
      </c>
    </row>
    <row r="29" spans="1:258" x14ac:dyDescent="0.2">
      <c r="A29" s="43" t="s">
        <v>38</v>
      </c>
      <c r="B29" s="89">
        <f>[3]Frontier!$IU$48</f>
        <v>0</v>
      </c>
      <c r="C29" s="89">
        <f>'[3]Allegiant '!$IU$48</f>
        <v>0</v>
      </c>
      <c r="D29" s="89">
        <f>'[3]Aer Lingus'!$IU$48</f>
        <v>0</v>
      </c>
      <c r="E29" s="89">
        <f>'[3]Denver Air'!$IU$48</f>
        <v>0</v>
      </c>
      <c r="F29" s="89">
        <f>[3]WestJet!$IU$48</f>
        <v>0</v>
      </c>
      <c r="G29" s="89">
        <f>[3]Icelandair!$IU$48</f>
        <v>0</v>
      </c>
      <c r="H29" s="89">
        <f>[3]Southwest!$IU$48</f>
        <v>0</v>
      </c>
      <c r="I29" s="89">
        <f>'[3]Sun Country'!$IU$48</f>
        <v>0</v>
      </c>
      <c r="J29" s="89">
        <f>[3]Alaska!$IU$48</f>
        <v>0</v>
      </c>
      <c r="K29" s="112">
        <f>SUM(B29:J29)</f>
        <v>0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0</v>
      </c>
      <c r="H30" s="127">
        <f t="shared" si="15"/>
        <v>192617</v>
      </c>
      <c r="I30" s="127">
        <f t="shared" si="15"/>
        <v>0</v>
      </c>
      <c r="J30" s="127">
        <f t="shared" si="15"/>
        <v>4588</v>
      </c>
      <c r="K30" s="129">
        <f>SUM(B30:J30)</f>
        <v>197205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[3]Frontier!$IU$52</f>
        <v>0</v>
      </c>
      <c r="C33" s="89">
        <f>'[3]Allegiant '!$IU$52</f>
        <v>0</v>
      </c>
      <c r="D33" s="89">
        <f>'[3]Aer Lingus'!$IU$52</f>
        <v>0</v>
      </c>
      <c r="E33" s="89">
        <f>'[3]Denver Air'!$IU$52</f>
        <v>0</v>
      </c>
      <c r="F33" s="89">
        <f>[3]WestJet!$IU$52</f>
        <v>0</v>
      </c>
      <c r="G33" s="89">
        <f>[3]Icelandair!$IU$52</f>
        <v>0</v>
      </c>
      <c r="H33" s="89">
        <f>[3]Southwest!$IU$52</f>
        <v>32243</v>
      </c>
      <c r="I33" s="89">
        <f>'[3]Sun Country'!$IU$52</f>
        <v>0</v>
      </c>
      <c r="J33" s="89">
        <f>[3]Alaska!$IU$52</f>
        <v>6802</v>
      </c>
      <c r="K33" s="112">
        <f>SUM(B33:J33)</f>
        <v>39045</v>
      </c>
    </row>
    <row r="34" spans="1:11" x14ac:dyDescent="0.2">
      <c r="A34" s="43" t="s">
        <v>38</v>
      </c>
      <c r="B34" s="89">
        <f>[3]Frontier!$IU$53</f>
        <v>0</v>
      </c>
      <c r="C34" s="89">
        <f>'[3]Allegiant '!$IU$53</f>
        <v>0</v>
      </c>
      <c r="D34" s="89">
        <f>'[3]Aer Lingus'!$IU$53</f>
        <v>0</v>
      </c>
      <c r="E34" s="89">
        <f>'[3]Denver Air'!$IU$53</f>
        <v>0</v>
      </c>
      <c r="F34" s="89">
        <f>[3]WestJet!$IU$53</f>
        <v>0</v>
      </c>
      <c r="G34" s="89">
        <f>[3]Icelandair!$IU$53</f>
        <v>0</v>
      </c>
      <c r="H34" s="89">
        <f>[3]Southwest!$IU$53</f>
        <v>0</v>
      </c>
      <c r="I34" s="89">
        <f>'[3]Sun Country'!$IU$53</f>
        <v>0</v>
      </c>
      <c r="J34" s="89">
        <f>[3]Alaska!$IU$53</f>
        <v>0</v>
      </c>
      <c r="K34" s="128">
        <f>SUM(B34:J34)</f>
        <v>0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32243</v>
      </c>
      <c r="I35" s="113">
        <f t="shared" si="18"/>
        <v>0</v>
      </c>
      <c r="J35" s="113">
        <f t="shared" si="18"/>
        <v>6802</v>
      </c>
      <c r="K35" s="129">
        <f>SUM(B35:J35)</f>
        <v>39045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[3]Frontier!$IU$57</f>
        <v>0</v>
      </c>
      <c r="C38" s="119">
        <f>'[3]Allegiant '!$IU$57</f>
        <v>0</v>
      </c>
      <c r="D38" s="351">
        <f>'[3]Aer Lingus'!$IU$57</f>
        <v>0</v>
      </c>
      <c r="E38" s="119">
        <f>'[3]Denver Air'!$IU$57</f>
        <v>0</v>
      </c>
      <c r="F38" s="119">
        <f>[3]WestJet!$IU$57</f>
        <v>0</v>
      </c>
      <c r="G38" s="119">
        <f>[3]Icelandair!$IU$57</f>
        <v>0</v>
      </c>
      <c r="H38" s="119">
        <f>[3]Southwest!$IU$57</f>
        <v>0</v>
      </c>
      <c r="I38" s="119">
        <f>'[3]Sun Country'!$IU$57</f>
        <v>0</v>
      </c>
      <c r="J38" s="119">
        <f>[3]Alaska!$IU$57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[3]Frontier!$IU$58</f>
        <v>0</v>
      </c>
      <c r="C39" s="122">
        <f>'[3]Allegiant '!$IU$58</f>
        <v>0</v>
      </c>
      <c r="D39" s="122">
        <f>'[3]Aer Lingus'!$IU$58</f>
        <v>0</v>
      </c>
      <c r="E39" s="122">
        <f>'[3]Denver Air'!$IU$58</f>
        <v>0</v>
      </c>
      <c r="F39" s="122">
        <f>[3]WestJet!$IU$58</f>
        <v>0</v>
      </c>
      <c r="G39" s="122">
        <f>[3]Icelandair!$IU$58</f>
        <v>0</v>
      </c>
      <c r="H39" s="122">
        <f>[3]Southwest!$IU$58</f>
        <v>0</v>
      </c>
      <c r="I39" s="122">
        <f>'[3]Sun Country'!$IU$58</f>
        <v>0</v>
      </c>
      <c r="J39" s="122">
        <f>[3]Alaska!$IU$58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0</v>
      </c>
      <c r="H43" s="119">
        <f t="shared" si="24"/>
        <v>224860</v>
      </c>
      <c r="I43" s="119">
        <f t="shared" si="24"/>
        <v>0</v>
      </c>
      <c r="J43" s="119">
        <f t="shared" si="24"/>
        <v>11390</v>
      </c>
      <c r="K43" s="112">
        <f>SUM(B43:J43)</f>
        <v>236250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0</v>
      </c>
      <c r="K44" s="112">
        <f>SUM(B44:J44)</f>
        <v>0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0</v>
      </c>
      <c r="H45" s="131">
        <f t="shared" si="30"/>
        <v>224860</v>
      </c>
      <c r="I45" s="131">
        <f t="shared" si="30"/>
        <v>0</v>
      </c>
      <c r="J45" s="131">
        <f t="shared" si="30"/>
        <v>11390</v>
      </c>
      <c r="K45" s="132">
        <f>SUM(B45:J45)</f>
        <v>236250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[3]Southwest!$IU$70+[3]Southwest!$IU$73</f>
        <v>62561</v>
      </c>
      <c r="I48" s="234">
        <f>'[3]Sun Country'!$IU$70+'[3]Sun Country'!$IU$73</f>
        <v>176286</v>
      </c>
      <c r="J48" s="279"/>
      <c r="K48" s="223">
        <f>SUM(B48:J48)</f>
        <v>238847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[3]Southwest!$IU$71+[3]Southwest!$IU$74</f>
        <v>465</v>
      </c>
      <c r="I49" s="234">
        <f>'[3]Sun Country'!$IU$71+'[3]Sun Country'!$IU$74</f>
        <v>0</v>
      </c>
      <c r="J49" s="279"/>
      <c r="K49" s="223">
        <f>SUM(B49:J49)</f>
        <v>465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February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D18" sqref="D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45323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[3]Pinnacle!$IU$22+[3]Pinnacle!$IU$32</f>
        <v>31823</v>
      </c>
      <c r="C5" s="81">
        <f>[3]MESA_UA!$IU$22</f>
        <v>3444</v>
      </c>
      <c r="D5" s="89">
        <f>'[3]Sky West'!$IU$22+'[3]Sky West'!$IU$32</f>
        <v>102014</v>
      </c>
      <c r="E5" s="89">
        <f>'[3]Sky West_UA'!$IU$22</f>
        <v>2541</v>
      </c>
      <c r="F5" s="89">
        <f>'[3]Sky West_AS'!$IU$22</f>
        <v>0</v>
      </c>
      <c r="G5" s="89">
        <f>'[3]Sky West_AA'!$IU$22</f>
        <v>0</v>
      </c>
      <c r="H5" s="89">
        <f>[3]Republic!$IU$22</f>
        <v>1856</v>
      </c>
      <c r="I5" s="89">
        <f>[3]Republic_UA!$IU$22</f>
        <v>2319</v>
      </c>
      <c r="J5" s="89">
        <f>'[3]Sky Regional'!$IU$32</f>
        <v>0</v>
      </c>
      <c r="K5" s="89">
        <f>'[3]American Eagle'!$IU$22</f>
        <v>2658</v>
      </c>
      <c r="L5" s="89">
        <f>'Other Regional'!L5</f>
        <v>8631</v>
      </c>
      <c r="M5" s="82">
        <f>SUM(B5:L5)</f>
        <v>155286</v>
      </c>
    </row>
    <row r="6" spans="1:16" s="6" customFormat="1" x14ac:dyDescent="0.2">
      <c r="A6" s="43" t="s">
        <v>31</v>
      </c>
      <c r="B6" s="81">
        <f>[3]Pinnacle!$IU$23+[3]Pinnacle!$IU$33</f>
        <v>30562</v>
      </c>
      <c r="C6" s="81">
        <f>[3]MESA_UA!$IU$23</f>
        <v>3222</v>
      </c>
      <c r="D6" s="89">
        <f>'[3]Sky West'!$IU$23+'[3]Sky West'!$IU$33</f>
        <v>116510</v>
      </c>
      <c r="E6" s="89">
        <f>'[3]Sky West_UA'!$IU$23</f>
        <v>2271</v>
      </c>
      <c r="F6" s="89">
        <f>'[3]Sky West_AS'!$IU$23</f>
        <v>0</v>
      </c>
      <c r="G6" s="89">
        <f>'[3]Sky West_AA'!$IU$23</f>
        <v>0</v>
      </c>
      <c r="H6" s="89">
        <f>[3]Republic!$IU$23</f>
        <v>2238</v>
      </c>
      <c r="I6" s="89">
        <f>[3]Republic_UA!$IU$23</f>
        <v>2198</v>
      </c>
      <c r="J6" s="89">
        <f>'[3]Sky Regional'!$IU$33</f>
        <v>0</v>
      </c>
      <c r="K6" s="89">
        <f>'[3]American Eagle'!$IU$23</f>
        <v>2520</v>
      </c>
      <c r="L6" s="89">
        <f>'Other Regional'!L6</f>
        <v>8296</v>
      </c>
      <c r="M6" s="86">
        <f>SUM(B6:L6)</f>
        <v>167817</v>
      </c>
    </row>
    <row r="7" spans="1:16" ht="15" thickBot="1" x14ac:dyDescent="0.25">
      <c r="A7" s="52" t="s">
        <v>7</v>
      </c>
      <c r="B7" s="99">
        <f>SUM(B5:B6)</f>
        <v>62385</v>
      </c>
      <c r="C7" s="99">
        <f t="shared" ref="C7:L7" si="0">SUM(C5:C6)</f>
        <v>6666</v>
      </c>
      <c r="D7" s="99">
        <f t="shared" si="0"/>
        <v>218524</v>
      </c>
      <c r="E7" s="99">
        <f t="shared" si="0"/>
        <v>4812</v>
      </c>
      <c r="F7" s="99">
        <f t="shared" ref="F7:G7" si="1">SUM(F5:F6)</f>
        <v>0</v>
      </c>
      <c r="G7" s="99">
        <f t="shared" si="1"/>
        <v>0</v>
      </c>
      <c r="H7" s="99">
        <f t="shared" si="0"/>
        <v>4094</v>
      </c>
      <c r="I7" s="99">
        <f t="shared" si="0"/>
        <v>4517</v>
      </c>
      <c r="J7" s="99">
        <f t="shared" si="0"/>
        <v>0</v>
      </c>
      <c r="K7" s="99">
        <f t="shared" si="0"/>
        <v>5178</v>
      </c>
      <c r="L7" s="99">
        <f t="shared" si="0"/>
        <v>16927</v>
      </c>
      <c r="M7" s="100">
        <f>SUM(B7:L7)</f>
        <v>323103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[3]Pinnacle!$IU$27+[3]Pinnacle!$IU$37</f>
        <v>1186</v>
      </c>
      <c r="C10" s="81">
        <f>[3]MESA_UA!$IU$27</f>
        <v>117</v>
      </c>
      <c r="D10" s="89">
        <f>'[3]Sky West'!$IU$27+'[3]Sky West'!$IU$37</f>
        <v>3064</v>
      </c>
      <c r="E10" s="89">
        <f>'[3]Sky West_UA'!$IU$27</f>
        <v>117</v>
      </c>
      <c r="F10" s="89">
        <f>'[3]Sky West_AS'!$IU$27</f>
        <v>0</v>
      </c>
      <c r="G10" s="89">
        <f>'[3]Sky West_AA'!$IU$27</f>
        <v>0</v>
      </c>
      <c r="H10" s="89">
        <f>[3]Republic!$IU$27</f>
        <v>119</v>
      </c>
      <c r="I10" s="89">
        <f>[3]Republic_UA!$IU$27</f>
        <v>75</v>
      </c>
      <c r="J10" s="89">
        <f>'[3]Sky Regional'!$IU$37</f>
        <v>0</v>
      </c>
      <c r="K10" s="89">
        <f>'[3]American Eagle'!$IU$27</f>
        <v>101</v>
      </c>
      <c r="L10" s="89">
        <f>'Other Regional'!L10</f>
        <v>205</v>
      </c>
      <c r="M10" s="82">
        <f>SUM(B10:L10)</f>
        <v>4984</v>
      </c>
    </row>
    <row r="11" spans="1:16" x14ac:dyDescent="0.2">
      <c r="A11" s="43" t="s">
        <v>33</v>
      </c>
      <c r="B11" s="81">
        <f>[3]Pinnacle!$IU$28+[3]Pinnacle!$IU$38</f>
        <v>1143</v>
      </c>
      <c r="C11" s="81">
        <f>[3]MESA_UA!$IU$28</f>
        <v>155</v>
      </c>
      <c r="D11" s="89">
        <f>'[3]Sky West'!$IU$28+'[3]Sky West'!$IU$38</f>
        <v>3886</v>
      </c>
      <c r="E11" s="89">
        <f>'[3]Sky West_UA'!$IU$28</f>
        <v>103</v>
      </c>
      <c r="F11" s="89">
        <f>'[3]Sky West_AS'!$IU$28</f>
        <v>0</v>
      </c>
      <c r="G11" s="89">
        <f>'[3]Sky West_AA'!$IU$28</f>
        <v>0</v>
      </c>
      <c r="H11" s="89">
        <f>[3]Republic!$IU$28</f>
        <v>154</v>
      </c>
      <c r="I11" s="89">
        <f>[3]Republic_UA!$IU$28</f>
        <v>96</v>
      </c>
      <c r="J11" s="89">
        <f>'[3]Sky Regional'!$IU$38</f>
        <v>0</v>
      </c>
      <c r="K11" s="89">
        <f>'[3]American Eagle'!$IU$28</f>
        <v>103</v>
      </c>
      <c r="L11" s="89">
        <f>'Other Regional'!L11</f>
        <v>187</v>
      </c>
      <c r="M11" s="86">
        <f>SUM(B11:L11)</f>
        <v>5827</v>
      </c>
    </row>
    <row r="12" spans="1:16" ht="15" thickBot="1" x14ac:dyDescent="0.25">
      <c r="A12" s="53" t="s">
        <v>34</v>
      </c>
      <c r="B12" s="102">
        <f t="shared" ref="B12:L12" si="2">SUM(B10:B11)</f>
        <v>2329</v>
      </c>
      <c r="C12" s="102">
        <f t="shared" si="2"/>
        <v>272</v>
      </c>
      <c r="D12" s="102">
        <f t="shared" si="2"/>
        <v>6950</v>
      </c>
      <c r="E12" s="102">
        <f t="shared" si="2"/>
        <v>220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273</v>
      </c>
      <c r="I12" s="102">
        <f t="shared" si="2"/>
        <v>171</v>
      </c>
      <c r="J12" s="102">
        <f t="shared" si="2"/>
        <v>0</v>
      </c>
      <c r="K12" s="102">
        <f t="shared" si="2"/>
        <v>204</v>
      </c>
      <c r="L12" s="102">
        <f t="shared" si="2"/>
        <v>392</v>
      </c>
      <c r="M12" s="103">
        <f>SUM(B12:L12)</f>
        <v>10811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9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[3]Pinnacle!$IU$4+[3]Pinnacle!$IU$15</f>
        <v>520</v>
      </c>
      <c r="C15" s="80">
        <f>[3]MESA_UA!$IU$4</f>
        <v>55</v>
      </c>
      <c r="D15" s="79">
        <f>'[3]Sky West'!$IU$4+'[3]Sky West'!$IU$15</f>
        <v>2112</v>
      </c>
      <c r="E15" s="79">
        <f>'[3]Sky West_UA'!$IU$4</f>
        <v>38</v>
      </c>
      <c r="F15" s="79">
        <f>'[3]Sky West_AS'!$IU$4</f>
        <v>0</v>
      </c>
      <c r="G15" s="79">
        <f>'[3]Sky West_AA'!$IU$4</f>
        <v>0</v>
      </c>
      <c r="H15" s="81">
        <f>[3]Republic!$IU$4</f>
        <v>49</v>
      </c>
      <c r="I15" s="325">
        <f>[3]Republic_UA!$IU$4</f>
        <v>37</v>
      </c>
      <c r="J15" s="325">
        <f>'[3]Sky Regional'!$IU$15</f>
        <v>0</v>
      </c>
      <c r="K15" s="81">
        <f>'[3]American Eagle'!$IU$4</f>
        <v>42</v>
      </c>
      <c r="L15" s="80">
        <f>'Other Regional'!L15</f>
        <v>175</v>
      </c>
      <c r="M15" s="82">
        <f t="shared" ref="M15:M20" si="5">SUM(B15:L15)</f>
        <v>3028</v>
      </c>
    </row>
    <row r="16" spans="1:16" x14ac:dyDescent="0.2">
      <c r="A16" s="43" t="s">
        <v>54</v>
      </c>
      <c r="B16" s="7">
        <f>[3]Pinnacle!$IU$5+[3]Pinnacle!$IU$16</f>
        <v>519</v>
      </c>
      <c r="C16" s="84">
        <f>[3]MESA_UA!$IU$5</f>
        <v>55</v>
      </c>
      <c r="D16" s="83">
        <f>'[3]Sky West'!$IU$5+'[3]Sky West'!$IU$16</f>
        <v>2103</v>
      </c>
      <c r="E16" s="83">
        <f>'[3]Sky West_UA'!$IU$5</f>
        <v>37</v>
      </c>
      <c r="F16" s="83">
        <f>'[3]Sky West_AS'!$IU$5</f>
        <v>0</v>
      </c>
      <c r="G16" s="83">
        <f>'[3]Sky West_AA'!$IU$5</f>
        <v>0</v>
      </c>
      <c r="H16" s="85">
        <f>[3]Republic!$IU$5</f>
        <v>49</v>
      </c>
      <c r="I16" s="210">
        <f>[3]Republic_UA!$IU$5</f>
        <v>36</v>
      </c>
      <c r="J16" s="210">
        <f>'[3]Sky Regional'!$IU$16</f>
        <v>0</v>
      </c>
      <c r="K16" s="85">
        <f>'[3]American Eagle'!$IU$5</f>
        <v>42</v>
      </c>
      <c r="L16" s="84">
        <f>'Other Regional'!L16</f>
        <v>178</v>
      </c>
      <c r="M16" s="86">
        <f t="shared" si="5"/>
        <v>3019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1039</v>
      </c>
      <c r="C17" s="87">
        <f t="shared" si="6"/>
        <v>110</v>
      </c>
      <c r="D17" s="87">
        <f t="shared" si="6"/>
        <v>4215</v>
      </c>
      <c r="E17" s="87">
        <f t="shared" si="6"/>
        <v>75</v>
      </c>
      <c r="F17" s="87">
        <f t="shared" ref="F17:G17" si="7">SUM(F15:F16)</f>
        <v>0</v>
      </c>
      <c r="G17" s="87">
        <f t="shared" si="7"/>
        <v>0</v>
      </c>
      <c r="H17" s="87">
        <f>SUM(H15:H16)</f>
        <v>98</v>
      </c>
      <c r="I17" s="87">
        <f t="shared" ref="I17:J17" si="8">SUM(I15:I16)</f>
        <v>73</v>
      </c>
      <c r="J17" s="87">
        <f t="shared" si="8"/>
        <v>0</v>
      </c>
      <c r="K17" s="87">
        <f>SUM(K15:K16)</f>
        <v>84</v>
      </c>
      <c r="L17" s="87">
        <f>SUM(L15:L16)</f>
        <v>353</v>
      </c>
      <c r="M17" s="88">
        <f t="shared" si="5"/>
        <v>6047</v>
      </c>
    </row>
    <row r="18" spans="1:13" x14ac:dyDescent="0.2">
      <c r="A18" s="43" t="s">
        <v>56</v>
      </c>
      <c r="B18" s="89">
        <f>[3]Pinnacle!$IU$8</f>
        <v>0</v>
      </c>
      <c r="C18" s="81">
        <f>[3]MESA_UA!$IU$8</f>
        <v>0</v>
      </c>
      <c r="D18" s="89">
        <f>'[3]Sky West'!$IU$8</f>
        <v>0</v>
      </c>
      <c r="E18" s="89">
        <f>'[3]Sky West_UA'!$IU$8</f>
        <v>1</v>
      </c>
      <c r="F18" s="89">
        <f>'[3]Sky West_AS'!$IU$8</f>
        <v>0</v>
      </c>
      <c r="G18" s="89">
        <f>'[3]Sky West_AA'!$IU$8</f>
        <v>0</v>
      </c>
      <c r="H18" s="89">
        <f>[3]Republic!$IU$8</f>
        <v>0</v>
      </c>
      <c r="I18" s="89">
        <f>[3]Republic_UA!$IU$8</f>
        <v>0</v>
      </c>
      <c r="J18" s="89">
        <f>'[3]Sky Regional'!$IU$8</f>
        <v>0</v>
      </c>
      <c r="K18" s="89">
        <f>'[3]American Eagle'!$IU$8</f>
        <v>0</v>
      </c>
      <c r="L18" s="89">
        <f>'Other Regional'!L18</f>
        <v>0</v>
      </c>
      <c r="M18" s="82">
        <f t="shared" si="5"/>
        <v>1</v>
      </c>
    </row>
    <row r="19" spans="1:13" x14ac:dyDescent="0.2">
      <c r="A19" s="43" t="s">
        <v>57</v>
      </c>
      <c r="B19" s="90">
        <f>[3]Pinnacle!$IU$9</f>
        <v>0</v>
      </c>
      <c r="C19" s="85">
        <f>[3]MESA_UA!$IU$9</f>
        <v>0</v>
      </c>
      <c r="D19" s="90">
        <f>'[3]Sky West'!$IU$9</f>
        <v>7</v>
      </c>
      <c r="E19" s="90">
        <f>'[3]Sky West_UA'!$IU$9</f>
        <v>2</v>
      </c>
      <c r="F19" s="90">
        <f>'[3]Sky West_AS'!$IU$9</f>
        <v>0</v>
      </c>
      <c r="G19" s="90">
        <f>'[3]Sky West_AA'!$IU$9</f>
        <v>0</v>
      </c>
      <c r="H19" s="90">
        <f>[3]Republic!$IU$9</f>
        <v>0</v>
      </c>
      <c r="I19" s="90">
        <f>[3]Republic_UA!$IU$9</f>
        <v>1</v>
      </c>
      <c r="J19" s="90">
        <f>'[3]Sky Regional'!$IU$9</f>
        <v>0</v>
      </c>
      <c r="K19" s="90">
        <f>'[3]American Eagle'!$IU$9</f>
        <v>0</v>
      </c>
      <c r="L19" s="90">
        <f>'Other Regional'!L19</f>
        <v>0</v>
      </c>
      <c r="M19" s="86">
        <f t="shared" si="5"/>
        <v>10</v>
      </c>
    </row>
    <row r="20" spans="1:13" x14ac:dyDescent="0.2">
      <c r="A20" s="47" t="s">
        <v>58</v>
      </c>
      <c r="B20" s="87">
        <f t="shared" ref="B20:L20" si="9">SUM(B18:B19)</f>
        <v>0</v>
      </c>
      <c r="C20" s="87">
        <f t="shared" si="9"/>
        <v>0</v>
      </c>
      <c r="D20" s="87">
        <f t="shared" si="9"/>
        <v>7</v>
      </c>
      <c r="E20" s="87">
        <f t="shared" si="9"/>
        <v>3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1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11</v>
      </c>
    </row>
    <row r="21" spans="1:13" ht="15.75" thickBot="1" x14ac:dyDescent="0.3">
      <c r="A21" s="51" t="s">
        <v>28</v>
      </c>
      <c r="B21" s="91">
        <f>SUM(B20,B17)</f>
        <v>1039</v>
      </c>
      <c r="C21" s="91">
        <f t="shared" ref="C21:K21" si="11">SUM(C20,C17)</f>
        <v>110</v>
      </c>
      <c r="D21" s="91">
        <f t="shared" si="11"/>
        <v>4222</v>
      </c>
      <c r="E21" s="91">
        <f t="shared" si="11"/>
        <v>78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98</v>
      </c>
      <c r="I21" s="91">
        <f t="shared" si="11"/>
        <v>74</v>
      </c>
      <c r="J21" s="91">
        <f t="shared" si="11"/>
        <v>0</v>
      </c>
      <c r="K21" s="91">
        <f t="shared" si="11"/>
        <v>84</v>
      </c>
      <c r="L21" s="91">
        <f>SUM(L20,L17)</f>
        <v>353</v>
      </c>
      <c r="M21" s="92">
        <f>SUM(B21:L21)</f>
        <v>6058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[3]Pinnacle!$IU$47</f>
        <v>0</v>
      </c>
      <c r="C25" s="81">
        <f>[3]MESA_UA!$IU$47</f>
        <v>0</v>
      </c>
      <c r="D25" s="89">
        <f>'[3]Sky West'!$IU$47</f>
        <v>0</v>
      </c>
      <c r="E25" s="89">
        <f>'[3]Sky West_UA'!$IU$47</f>
        <v>0</v>
      </c>
      <c r="F25" s="89">
        <f>'[3]Sky West_AS'!$IU$47</f>
        <v>0</v>
      </c>
      <c r="G25" s="89">
        <f>'[3]Sky West_AA'!$IU$47</f>
        <v>0</v>
      </c>
      <c r="H25" s="89">
        <f>[3]Republic!$IU$47</f>
        <v>2339</v>
      </c>
      <c r="I25" s="89">
        <f>[3]Republic_UA!$IU$47</f>
        <v>0</v>
      </c>
      <c r="J25" s="89">
        <f>'[3]Sky Regional'!$IU$47</f>
        <v>0</v>
      </c>
      <c r="K25" s="89">
        <f>'[3]American Eagle'!$IU$47</f>
        <v>578</v>
      </c>
      <c r="L25" s="89">
        <f>'Other Regional'!L25</f>
        <v>6161.9</v>
      </c>
      <c r="M25" s="82">
        <f>SUM(B25:L25)</f>
        <v>9078.9</v>
      </c>
    </row>
    <row r="26" spans="1:13" x14ac:dyDescent="0.2">
      <c r="A26" s="43" t="s">
        <v>38</v>
      </c>
      <c r="B26" s="89">
        <f>[3]Pinnacle!$IU$48</f>
        <v>0</v>
      </c>
      <c r="C26" s="81">
        <f>[3]MESA_UA!$IU$48</f>
        <v>0</v>
      </c>
      <c r="D26" s="89">
        <f>'[3]Sky West'!$IU$48</f>
        <v>0</v>
      </c>
      <c r="E26" s="89">
        <f>'[3]Sky West_UA'!$IU$48</f>
        <v>0</v>
      </c>
      <c r="F26" s="89">
        <f>'[3]Sky West_AS'!$IU$48</f>
        <v>0</v>
      </c>
      <c r="G26" s="89">
        <f>'[3]Sky West_AA'!$IU$48</f>
        <v>0</v>
      </c>
      <c r="H26" s="89">
        <f>[3]Republic!$IU$48</f>
        <v>0</v>
      </c>
      <c r="I26" s="89">
        <f>[3]Republic_UA!$IU$48</f>
        <v>0</v>
      </c>
      <c r="J26" s="89">
        <f>'[3]Sky Regional'!$IU$48</f>
        <v>0</v>
      </c>
      <c r="K26" s="89">
        <f>'[3]American Eagle'!$IU$48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2339</v>
      </c>
      <c r="I27" s="99">
        <f t="shared" si="13"/>
        <v>0</v>
      </c>
      <c r="J27" s="99">
        <f t="shared" si="13"/>
        <v>0</v>
      </c>
      <c r="K27" s="99">
        <f t="shared" si="13"/>
        <v>578</v>
      </c>
      <c r="L27" s="99">
        <f t="shared" si="13"/>
        <v>6161.9</v>
      </c>
      <c r="M27" s="100">
        <f>SUM(B27:L27)</f>
        <v>9078.9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[3]Pinnacle!$IU$52</f>
        <v>0</v>
      </c>
      <c r="C30" s="81">
        <f>[3]MESA_UA!$IU$52</f>
        <v>0</v>
      </c>
      <c r="D30" s="89">
        <f>'[3]Sky West'!$IU$52</f>
        <v>0</v>
      </c>
      <c r="E30" s="89">
        <f>'[3]Sky West_UA'!$IU$52</f>
        <v>0</v>
      </c>
      <c r="F30" s="89">
        <f>'[3]Sky West_AS'!$IU$52</f>
        <v>0</v>
      </c>
      <c r="G30" s="89">
        <f>'[3]Sky West_AA'!$IU$52</f>
        <v>0</v>
      </c>
      <c r="H30" s="89">
        <f>[3]Republic!$IU$52</f>
        <v>0</v>
      </c>
      <c r="I30" s="89">
        <f>[3]Republic_UA!$IU$52</f>
        <v>0</v>
      </c>
      <c r="J30" s="89">
        <f>'[3]Sky Regional'!$IU$52</f>
        <v>0</v>
      </c>
      <c r="K30" s="89">
        <f>'[3]American Eagle'!$IU$52</f>
        <v>150</v>
      </c>
      <c r="L30" s="89">
        <f>'Other Regional'!L30</f>
        <v>5846.4</v>
      </c>
      <c r="M30" s="82">
        <f t="shared" ref="M30:M37" si="15">SUM(B30:L30)</f>
        <v>5996.4</v>
      </c>
    </row>
    <row r="31" spans="1:13" x14ac:dyDescent="0.2">
      <c r="A31" s="43" t="s">
        <v>60</v>
      </c>
      <c r="B31" s="89">
        <f>[3]Pinnacle!$IU$53</f>
        <v>0</v>
      </c>
      <c r="C31" s="81">
        <f>[3]MESA_UA!$IU$53</f>
        <v>0</v>
      </c>
      <c r="D31" s="89">
        <f>'[3]Sky West'!$IU$53</f>
        <v>0</v>
      </c>
      <c r="E31" s="89">
        <f>'[3]Sky West_UA'!$IU$53</f>
        <v>0</v>
      </c>
      <c r="F31" s="89">
        <f>'[3]Sky West_AS'!$IU$53</f>
        <v>0</v>
      </c>
      <c r="G31" s="89">
        <f>'[3]Sky West_AA'!$IU$53</f>
        <v>0</v>
      </c>
      <c r="H31" s="89">
        <f>[3]Republic!$IU$53</f>
        <v>0</v>
      </c>
      <c r="I31" s="89">
        <f>[3]Republic_UA!$IU$53</f>
        <v>0</v>
      </c>
      <c r="J31" s="89">
        <f>'[3]Sky Regional'!$IU$53</f>
        <v>0</v>
      </c>
      <c r="K31" s="89">
        <f>'[3]American Eagle'!$IU$53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150</v>
      </c>
      <c r="L32" s="99">
        <f>SUM(L30:L31)</f>
        <v>5846.4</v>
      </c>
      <c r="M32" s="100">
        <f t="shared" si="15"/>
        <v>5996.4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[3]Pinnacle!$IU$57</f>
        <v>0</v>
      </c>
      <c r="C35" s="81">
        <f>[3]MESA_UA!$IU$57</f>
        <v>0</v>
      </c>
      <c r="D35" s="89">
        <f>'[3]Sky West'!$IU$57</f>
        <v>0</v>
      </c>
      <c r="E35" s="89">
        <f>'[3]Sky West_UA'!$IU$57</f>
        <v>0</v>
      </c>
      <c r="F35" s="89">
        <f>'[3]Sky West_AS'!$IU$57</f>
        <v>0</v>
      </c>
      <c r="G35" s="89">
        <f>'[3]Sky West_AA'!$IU$57</f>
        <v>0</v>
      </c>
      <c r="H35" s="89">
        <f>[3]Republic!$IU$57</f>
        <v>0</v>
      </c>
      <c r="I35" s="89">
        <f>[3]Republic!$IU$57</f>
        <v>0</v>
      </c>
      <c r="J35" s="89">
        <f>[3]Republic!$IU$57</f>
        <v>0</v>
      </c>
      <c r="K35" s="89">
        <f>'[3]American Eagle'!$IU$57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[3]Pinnacle!$IU$58</f>
        <v>0</v>
      </c>
      <c r="C36" s="81">
        <f>[3]MESA_UA!$IU$58</f>
        <v>0</v>
      </c>
      <c r="D36" s="89">
        <f>'[3]Sky West'!$IU$58</f>
        <v>0</v>
      </c>
      <c r="E36" s="89">
        <f>'[3]Sky West_UA'!$IU$58</f>
        <v>0</v>
      </c>
      <c r="F36" s="89">
        <f>'[3]Sky West_AS'!$IU$58</f>
        <v>0</v>
      </c>
      <c r="G36" s="89">
        <f>'[3]Sky West_AA'!$IU$58</f>
        <v>0</v>
      </c>
      <c r="H36" s="89">
        <f>[3]Republic!$IU$58</f>
        <v>0</v>
      </c>
      <c r="I36" s="89">
        <f>[3]Republic!$IU$58</f>
        <v>0</v>
      </c>
      <c r="J36" s="89">
        <f>[3]Republic!$IU$58</f>
        <v>0</v>
      </c>
      <c r="K36" s="89">
        <f>'[3]American Eagle'!$IU$58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2339</v>
      </c>
      <c r="I40" s="89">
        <f t="shared" si="20"/>
        <v>0</v>
      </c>
      <c r="J40" s="89">
        <f t="shared" si="20"/>
        <v>0</v>
      </c>
      <c r="K40" s="89">
        <f>SUM(K35,K30,K25)</f>
        <v>728</v>
      </c>
      <c r="L40" s="89">
        <f>L35+L30+L25</f>
        <v>12008.3</v>
      </c>
      <c r="M40" s="82">
        <f>SUM(B40:L40)</f>
        <v>15075.3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2339</v>
      </c>
      <c r="I42" s="102">
        <f t="shared" si="20"/>
        <v>0</v>
      </c>
      <c r="J42" s="102">
        <f t="shared" si="20"/>
        <v>0</v>
      </c>
      <c r="K42" s="102">
        <f>SUM(K37,K32,K27)</f>
        <v>728</v>
      </c>
      <c r="L42" s="102">
        <f>SUM(L37,L32,L27)</f>
        <v>12008.3</v>
      </c>
      <c r="M42" s="103">
        <f>SUM(B42:L42)</f>
        <v>15075.3</v>
      </c>
    </row>
    <row r="44" spans="1:13" x14ac:dyDescent="0.2">
      <c r="A44" s="268" t="s">
        <v>120</v>
      </c>
      <c r="B44" s="233">
        <f>[3]Pinnacle!$IU$70+[3]Pinnacle!$IU$73</f>
        <v>9733</v>
      </c>
      <c r="D44" s="234">
        <f>'[3]Sky West'!$IU$70+'[3]Sky West'!$IU$73</f>
        <v>37228</v>
      </c>
      <c r="E44" s="2"/>
      <c r="F44" s="2"/>
      <c r="G44" s="2"/>
      <c r="L44" s="234">
        <f>+'Other Regional'!L46</f>
        <v>0</v>
      </c>
      <c r="M44" s="223">
        <f>SUM(B44:L44)</f>
        <v>46961</v>
      </c>
    </row>
    <row r="45" spans="1:13" x14ac:dyDescent="0.2">
      <c r="A45" s="281" t="s">
        <v>121</v>
      </c>
      <c r="B45" s="233">
        <f>[3]Pinnacle!$IU$71+[3]Pinnacle!$IU$74</f>
        <v>20829</v>
      </c>
      <c r="D45" s="234">
        <f>'[3]Sky West'!$IU$71+'[3]Sky West'!$IU$74</f>
        <v>79282</v>
      </c>
      <c r="E45" s="2"/>
      <c r="F45" s="2"/>
      <c r="G45" s="2"/>
      <c r="L45" s="234">
        <f>+'Other Regional'!L47</f>
        <v>0</v>
      </c>
      <c r="M45" s="223">
        <f>SUM(B45:L45)</f>
        <v>100111</v>
      </c>
    </row>
    <row r="46" spans="1:13" x14ac:dyDescent="0.2">
      <c r="A46" s="224" t="s">
        <v>122</v>
      </c>
      <c r="B46" s="225">
        <f>SUM(B44:B45)</f>
        <v>30562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February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I4" sqref="I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45323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America'!$IU$22</f>
        <v>0</v>
      </c>
      <c r="C5" s="81">
        <f>'[3]Shuttle America_Delta'!$IU$22</f>
        <v>0</v>
      </c>
      <c r="D5" s="325">
        <f>[3]Horizon_AS!$IU$22+[3]Horizon_AS!$IU$32</f>
        <v>0</v>
      </c>
      <c r="E5" s="325">
        <f>'[3]Air Wisconsin'!$IU$22</f>
        <v>1474</v>
      </c>
      <c r="F5" s="325">
        <f>[3]Jazz_AC!$IU$22+[3]Jazz_AC!$IU$32</f>
        <v>3452</v>
      </c>
      <c r="G5" s="325">
        <f>[3]PSA!$IU$22</f>
        <v>3705</v>
      </c>
      <c r="H5" s="81">
        <f>'[3]Atlantic Southeast'!$IU$22+'[3]Atlantic Southeast'!$IU$32</f>
        <v>0</v>
      </c>
      <c r="I5" s="81">
        <f>'[3]Continental Express'!$IU$22</f>
        <v>0</v>
      </c>
      <c r="J5" s="89">
        <f>'[3]Go Jet_UA'!$IU$22</f>
        <v>0</v>
      </c>
      <c r="K5" s="11">
        <f>'[3]Go Jet'!$IU$22+'[3]Go Jet'!$IU$32</f>
        <v>0</v>
      </c>
      <c r="L5" s="82">
        <f>SUM(B5:K5)</f>
        <v>8631</v>
      </c>
    </row>
    <row r="6" spans="1:12" s="6" customFormat="1" x14ac:dyDescent="0.2">
      <c r="A6" s="43" t="s">
        <v>31</v>
      </c>
      <c r="B6" s="81">
        <f>'[3]Shuttle America'!$IU$23</f>
        <v>0</v>
      </c>
      <c r="C6" s="81">
        <f>'[3]Shuttle America_Delta'!$IU$23</f>
        <v>0</v>
      </c>
      <c r="D6" s="325">
        <f>[3]Horizon_AS!$IU$23+[3]Horizon_AS!$IU$33</f>
        <v>0</v>
      </c>
      <c r="E6" s="325">
        <f>'[3]Air Wisconsin'!$IU$23</f>
        <v>1474</v>
      </c>
      <c r="F6" s="325">
        <f>[3]Jazz_AC!$IU$23+[3]Jazz_AC!$IU$33</f>
        <v>3106</v>
      </c>
      <c r="G6" s="325">
        <f>[3]PSA!$IU$23</f>
        <v>3716</v>
      </c>
      <c r="H6" s="81">
        <f>'[3]Atlantic Southeast'!$IU$23+'[3]Atlantic Southeast'!$IU$33</f>
        <v>0</v>
      </c>
      <c r="I6" s="81">
        <f>'[3]Continental Express'!$IU$23</f>
        <v>0</v>
      </c>
      <c r="J6" s="89">
        <f>'[3]Go Jet_UA'!$IU$23</f>
        <v>0</v>
      </c>
      <c r="K6" s="7">
        <f>'[3]Go Jet'!$IU$23+'[3]Go Jet'!$IU$33</f>
        <v>0</v>
      </c>
      <c r="L6" s="86">
        <f>SUM(B6:K6)</f>
        <v>8296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2948</v>
      </c>
      <c r="F7" s="99">
        <f t="shared" si="1"/>
        <v>6558</v>
      </c>
      <c r="G7" s="99">
        <f t="shared" si="0"/>
        <v>7421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16927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America'!$IU$27</f>
        <v>0</v>
      </c>
      <c r="C10" s="81">
        <f>'[3]Shuttle America_Delta'!$IU$27</f>
        <v>0</v>
      </c>
      <c r="D10" s="325">
        <f>[3]Horizon_AS!$IU$27+[3]Horizon_AS!$IU$37</f>
        <v>0</v>
      </c>
      <c r="E10" s="325">
        <f>'[3]Air Wisconsin'!$IU$27</f>
        <v>41</v>
      </c>
      <c r="F10" s="325">
        <f>[3]Jazz_AC!$IU$27+[3]Jazz_AC!$IU$37</f>
        <v>67</v>
      </c>
      <c r="G10" s="325">
        <f>[3]PSA!$IU$27</f>
        <v>97</v>
      </c>
      <c r="H10" s="11">
        <f>'[3]Atlantic Southeast'!$IU$27+'[3]Atlantic Southeast'!$IU$37</f>
        <v>0</v>
      </c>
      <c r="I10" s="81">
        <f>'[3]Continental Express'!$IU$27</f>
        <v>0</v>
      </c>
      <c r="J10" s="89">
        <f>'[3]Go Jet_UA'!$IU$27</f>
        <v>0</v>
      </c>
      <c r="K10" s="11">
        <f>'[3]Go Jet'!$IU$27+'[3]Go Jet'!$IU$37</f>
        <v>0</v>
      </c>
      <c r="L10" s="82">
        <f>SUM(B10:K10)</f>
        <v>205</v>
      </c>
    </row>
    <row r="11" spans="1:12" x14ac:dyDescent="0.2">
      <c r="A11" s="43" t="s">
        <v>33</v>
      </c>
      <c r="B11" s="81">
        <f>'[3]Shuttle America'!$IU$28</f>
        <v>0</v>
      </c>
      <c r="C11" s="81">
        <f>'[3]Shuttle America_Delta'!$IU$28</f>
        <v>0</v>
      </c>
      <c r="D11" s="325">
        <f>[3]Horizon_AS!$IU$28+[3]Horizon_AS!$IU$38</f>
        <v>0</v>
      </c>
      <c r="E11" s="325">
        <f>'[3]Air Wisconsin'!$IU$28</f>
        <v>37</v>
      </c>
      <c r="F11" s="325">
        <f>[3]Jazz_AC!$IU$28+[3]Jazz_AC!$IU$38</f>
        <v>51</v>
      </c>
      <c r="G11" s="325">
        <f>[3]PSA!$IU$28</f>
        <v>99</v>
      </c>
      <c r="H11" s="7">
        <f>'[3]Atlantic Southeast'!$IU$28+'[3]Atlantic Southeast'!$IU$38</f>
        <v>0</v>
      </c>
      <c r="I11" s="81">
        <f>'[3]Continental Express'!$IU$28</f>
        <v>0</v>
      </c>
      <c r="J11" s="89">
        <f>'[3]Go Jet_UA'!$IU$28</f>
        <v>0</v>
      </c>
      <c r="K11" s="7">
        <f>'[3]Go Jet'!$IU$28+'[3]Go Jet'!$IU$38</f>
        <v>0</v>
      </c>
      <c r="L11" s="86">
        <f>SUM(B11:K11)</f>
        <v>187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78</v>
      </c>
      <c r="F12" s="102">
        <f t="shared" si="3"/>
        <v>118</v>
      </c>
      <c r="G12" s="102">
        <f t="shared" si="2"/>
        <v>196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392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America'!$IU$4</f>
        <v>0</v>
      </c>
      <c r="C15" s="79">
        <f>'[3]Shuttle America_Delta'!$IU$4</f>
        <v>0</v>
      </c>
      <c r="D15" s="326">
        <f>[3]Horizon_AS!$IU$4</f>
        <v>0</v>
      </c>
      <c r="E15" s="326">
        <f>'[3]Air Wisconsin'!$IU$4</f>
        <v>32</v>
      </c>
      <c r="F15" s="326">
        <f>[3]Jazz_AC!$IU$4+[3]Jazz_AC!$IU$15</f>
        <v>87</v>
      </c>
      <c r="G15" s="326">
        <f>[3]PSA!$IU$4</f>
        <v>56</v>
      </c>
      <c r="H15" s="80">
        <f>'[3]Atlantic Southeast'!$IU$4+'[3]Atlantic Southeast'!$IU$15</f>
        <v>0</v>
      </c>
      <c r="I15" s="80">
        <f>'[3]Continental Express'!$IU$4</f>
        <v>0</v>
      </c>
      <c r="J15" s="79">
        <f>'[3]Go Jet_UA'!$IU$4</f>
        <v>0</v>
      </c>
      <c r="K15" s="11">
        <f>'[3]Go Jet'!$IU$4+'[3]Go Jet'!$IU$15</f>
        <v>0</v>
      </c>
      <c r="L15" s="82">
        <f t="shared" ref="L15:L20" si="6">SUM(B15:K15)</f>
        <v>175</v>
      </c>
    </row>
    <row r="16" spans="1:12" x14ac:dyDescent="0.2">
      <c r="A16" s="43" t="s">
        <v>54</v>
      </c>
      <c r="B16" s="83">
        <f>'[3]Shuttle America'!$IU$5</f>
        <v>0</v>
      </c>
      <c r="C16" s="83">
        <f>'[3]Shuttle America_Delta'!$IU$5</f>
        <v>0</v>
      </c>
      <c r="D16" s="327">
        <f>[3]Horizon_AS!$IU$5</f>
        <v>0</v>
      </c>
      <c r="E16" s="327">
        <f>'[3]Air Wisconsin'!$IU$5</f>
        <v>32</v>
      </c>
      <c r="F16" s="327">
        <f>[3]Jazz_AC!$IU$5+[3]Jazz_AC!$IU$16</f>
        <v>90</v>
      </c>
      <c r="G16" s="327">
        <f>[3]PSA!$IU$5</f>
        <v>56</v>
      </c>
      <c r="H16" s="84">
        <f>'[3]Atlantic Southeast'!$IU$5+'[3]Atlantic Southeast'!$IU$16</f>
        <v>0</v>
      </c>
      <c r="I16" s="84">
        <f>'[3]Continental Express'!$IU$5</f>
        <v>0</v>
      </c>
      <c r="J16" s="83">
        <f>'[3]Go Jet_UA'!$IU$5</f>
        <v>0</v>
      </c>
      <c r="K16" s="7">
        <f>'[3]Go Jet'!$IU$5+'[3]Go Jet'!$IU$16</f>
        <v>0</v>
      </c>
      <c r="L16" s="86">
        <f t="shared" si="6"/>
        <v>178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64</v>
      </c>
      <c r="F17" s="87">
        <f t="shared" si="8"/>
        <v>177</v>
      </c>
      <c r="G17" s="87">
        <f t="shared" si="7"/>
        <v>112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353</v>
      </c>
    </row>
    <row r="18" spans="1:15" x14ac:dyDescent="0.2">
      <c r="A18" s="43" t="s">
        <v>56</v>
      </c>
      <c r="B18" s="89">
        <f>'[3]Shuttle America'!$IU$8</f>
        <v>0</v>
      </c>
      <c r="C18" s="89">
        <f>'[3]Shuttle America_Delta'!$IU$8</f>
        <v>0</v>
      </c>
      <c r="D18" s="89">
        <f>[3]Horizon_AS!$IU$8</f>
        <v>0</v>
      </c>
      <c r="E18" s="89">
        <f>'[3]Air Wisconsin'!$IU$8</f>
        <v>0</v>
      </c>
      <c r="F18" s="89">
        <f>[3]Jazz_AC!$IU$8</f>
        <v>0</v>
      </c>
      <c r="G18" s="89">
        <f>[3]PSA!$IU$8</f>
        <v>0</v>
      </c>
      <c r="H18" s="81">
        <f>'[3]Atlantic Southeast'!$IU$8</f>
        <v>0</v>
      </c>
      <c r="I18" s="81">
        <f>'[3]Continental Express'!$IU$8</f>
        <v>0</v>
      </c>
      <c r="J18" s="89">
        <f>'[3]Go Jet_UA'!$IU$8</f>
        <v>0</v>
      </c>
      <c r="K18" s="11">
        <f>'[3]Go Jet'!$IU$8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America'!$IU$9</f>
        <v>0</v>
      </c>
      <c r="C19" s="90">
        <f>'[3]Shuttle America_Delta'!$IU$9</f>
        <v>0</v>
      </c>
      <c r="D19" s="90">
        <f>[3]Horizon_AS!$IU$9</f>
        <v>0</v>
      </c>
      <c r="E19" s="90">
        <f>'[3]Air Wisconsin'!$IU$9</f>
        <v>0</v>
      </c>
      <c r="F19" s="90">
        <f>[3]Jazz_AC!$IU$9</f>
        <v>0</v>
      </c>
      <c r="G19" s="90">
        <f>[3]PSA!$IU$9</f>
        <v>0</v>
      </c>
      <c r="H19" s="85">
        <f>'[3]Atlantic Southeast'!$IU$9</f>
        <v>0</v>
      </c>
      <c r="I19" s="85">
        <f>'[3]Continental Express'!$IU$9</f>
        <v>0</v>
      </c>
      <c r="J19" s="90">
        <f>'[3]Go Jet_UA'!$IU$9</f>
        <v>0</v>
      </c>
      <c r="K19" s="7">
        <f>'[3]Go Jet'!$IU$9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64</v>
      </c>
      <c r="F21" s="91">
        <f t="shared" si="14"/>
        <v>177</v>
      </c>
      <c r="G21" s="91">
        <f t="shared" si="13"/>
        <v>112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353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America'!$IU$47</f>
        <v>0</v>
      </c>
      <c r="C25" s="89">
        <f>'[3]Shuttle America_Delta'!$IU$47</f>
        <v>0</v>
      </c>
      <c r="D25" s="89">
        <f>[3]Horizon_AS!$IU$47</f>
        <v>0</v>
      </c>
      <c r="E25" s="89">
        <f>'[3]Air Wisconsin'!$IU$47</f>
        <v>449</v>
      </c>
      <c r="F25" s="89">
        <f>[3]Jazz_AC!$IU$47</f>
        <v>5602.9</v>
      </c>
      <c r="G25" s="89">
        <f>[3]PSA!$IU$47</f>
        <v>110</v>
      </c>
      <c r="H25" s="81">
        <f>'[3]Atlantic Southeast'!$IU$47</f>
        <v>0</v>
      </c>
      <c r="I25" s="81">
        <f>'[3]Continental Express'!$IU$47</f>
        <v>0</v>
      </c>
      <c r="J25" s="89">
        <f>'[3]Go Jet_UA'!$IU$47</f>
        <v>0</v>
      </c>
      <c r="K25" s="89">
        <f>'[3]Go Jet'!$IU$47</f>
        <v>0</v>
      </c>
      <c r="L25" s="82">
        <f>SUM(B25:K25)</f>
        <v>6161.9</v>
      </c>
    </row>
    <row r="26" spans="1:15" x14ac:dyDescent="0.2">
      <c r="A26" s="43" t="s">
        <v>38</v>
      </c>
      <c r="B26" s="89">
        <f>'[3]Shuttle America'!$IU$48</f>
        <v>0</v>
      </c>
      <c r="C26" s="89">
        <f>'[3]Shuttle America_Delta'!$IU$48</f>
        <v>0</v>
      </c>
      <c r="D26" s="89">
        <f>[3]Horizon_AS!$IU$48</f>
        <v>0</v>
      </c>
      <c r="E26" s="89">
        <f>'[3]Air Wisconsin'!$IU$48</f>
        <v>0</v>
      </c>
      <c r="F26" s="89">
        <f>[3]Jazz_AC!$IU$48</f>
        <v>0</v>
      </c>
      <c r="G26" s="89">
        <f>[3]PSA!$IU$48</f>
        <v>0</v>
      </c>
      <c r="H26" s="81">
        <f>'[3]Atlantic Southeast'!$IU$48</f>
        <v>0</v>
      </c>
      <c r="I26" s="81">
        <f>'[3]Continental Express'!$IU$48</f>
        <v>0</v>
      </c>
      <c r="J26" s="89">
        <f>'[3]Go Jet_UA'!$IU$48</f>
        <v>0</v>
      </c>
      <c r="K26" s="89">
        <f>'[3]Go Jet'!$IU$48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449</v>
      </c>
      <c r="F27" s="99">
        <f t="shared" si="18"/>
        <v>5602.9</v>
      </c>
      <c r="G27" s="99">
        <f t="shared" si="17"/>
        <v>110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6161.9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America'!$IU$52</f>
        <v>0</v>
      </c>
      <c r="C30" s="89">
        <f>'[3]Shuttle America_Delta'!$IU$52</f>
        <v>0</v>
      </c>
      <c r="D30" s="89">
        <f>[3]Horizon_AS!$IU$52</f>
        <v>0</v>
      </c>
      <c r="E30" s="89">
        <f>'[3]Air Wisconsin'!$IU$52</f>
        <v>200</v>
      </c>
      <c r="F30" s="89">
        <f>[3]Jazz_AC!$IU$52</f>
        <v>5416.4</v>
      </c>
      <c r="G30" s="89">
        <f>[3]PSA!$IU$52</f>
        <v>230</v>
      </c>
      <c r="H30" s="81">
        <f>'[3]Atlantic Southeast'!$IU$52</f>
        <v>0</v>
      </c>
      <c r="I30" s="81">
        <f>'[3]Continental Express'!$IU$52</f>
        <v>0</v>
      </c>
      <c r="J30" s="89">
        <f>'[3]Go Jet_UA'!$IU$52</f>
        <v>0</v>
      </c>
      <c r="K30" s="89">
        <f>'[3]Go Jet'!$IU$52</f>
        <v>0</v>
      </c>
      <c r="L30" s="82">
        <f>SUM(B30:K30)</f>
        <v>5846.4</v>
      </c>
    </row>
    <row r="31" spans="1:15" x14ac:dyDescent="0.2">
      <c r="A31" s="43" t="s">
        <v>60</v>
      </c>
      <c r="B31" s="89">
        <f>'[3]Shuttle America'!$IU$53</f>
        <v>0</v>
      </c>
      <c r="C31" s="89">
        <f>'[3]Shuttle America_Delta'!$IU$53</f>
        <v>0</v>
      </c>
      <c r="D31" s="89">
        <f>[3]Horizon_AS!$IU$53</f>
        <v>0</v>
      </c>
      <c r="E31" s="89">
        <f>'[3]Air Wisconsin'!$IU$53</f>
        <v>0</v>
      </c>
      <c r="F31" s="89">
        <f>[3]Jazz_AC!$IU$53</f>
        <v>0</v>
      </c>
      <c r="G31" s="89">
        <f>[3]PSA!$IU$53</f>
        <v>0</v>
      </c>
      <c r="H31" s="81">
        <f>'[3]Atlantic Southeast'!$IU$53</f>
        <v>0</v>
      </c>
      <c r="I31" s="81">
        <f>'[3]Continental Express'!$IU$53</f>
        <v>0</v>
      </c>
      <c r="J31" s="89">
        <f>'[3]Go Jet_UA'!$IU$53</f>
        <v>0</v>
      </c>
      <c r="K31" s="89">
        <f>'[3]Go Jet'!$IU$53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200</v>
      </c>
      <c r="F32" s="99">
        <f t="shared" si="21"/>
        <v>5416.4</v>
      </c>
      <c r="G32" s="99">
        <f t="shared" si="20"/>
        <v>230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5846.4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America'!$IU$57</f>
        <v>0</v>
      </c>
      <c r="C35" s="89">
        <f>'[3]Shuttle America_Delta'!$IU$57</f>
        <v>0</v>
      </c>
      <c r="D35" s="89">
        <f>[3]Horizon_AS!$IU$57</f>
        <v>0</v>
      </c>
      <c r="E35" s="89">
        <f>'[3]Air Wisconsin'!$IU$57</f>
        <v>0</v>
      </c>
      <c r="F35" s="89">
        <f>[3]Jazz_AC!$IU$57</f>
        <v>0</v>
      </c>
      <c r="G35" s="89">
        <f>[3]PSA!$IU$57</f>
        <v>0</v>
      </c>
      <c r="H35" s="81">
        <f>'[3]Atlantic Southeast'!$IU$57</f>
        <v>0</v>
      </c>
      <c r="I35" s="81">
        <f>'[3]Continental Express'!$IU$57</f>
        <v>0</v>
      </c>
      <c r="J35" s="89">
        <f>'[3]Go Jet_UA'!$AJ$57</f>
        <v>0</v>
      </c>
      <c r="K35" s="89">
        <f>'[3]Go Jet'!$IU$57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649</v>
      </c>
      <c r="F40" s="89">
        <f t="shared" si="28"/>
        <v>11019.3</v>
      </c>
      <c r="G40" s="89">
        <f t="shared" si="27"/>
        <v>340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12008.3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649</v>
      </c>
      <c r="F42" s="102">
        <f t="shared" si="34"/>
        <v>11019.3</v>
      </c>
      <c r="G42" s="102">
        <f t="shared" si="33"/>
        <v>340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12008.3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America_Delta'!$IU$70+'[3]Shuttle America_Delta'!$IU$73</f>
        <v>0</v>
      </c>
      <c r="D46" s="2"/>
      <c r="E46" s="2"/>
      <c r="H46" s="234">
        <f>'[3]Atlantic Southeast'!$IU$70+'[3]Atlantic Southeast'!$IU$73</f>
        <v>0</v>
      </c>
      <c r="K46" s="234">
        <f>'[3]Go Jet'!$IU$70+'[3]Go Jet'!$IU$73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America_Delta'!$IU$71+'[3]Shuttle America_Delta'!$IU$74</f>
        <v>0</v>
      </c>
      <c r="D47" s="2"/>
      <c r="E47" s="2"/>
      <c r="H47" s="234">
        <f>'[3]Atlantic Southeast'!$IU$71+'[3]Atlantic Southeast'!$IU$74</f>
        <v>0</v>
      </c>
      <c r="K47" s="234">
        <f>'[3]Go Jet'!$IU$71+'[3]Go Jet'!$IU$74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February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Q18" sqref="Q18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45323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Misc'!$IU$22</f>
        <v>0</v>
      </c>
      <c r="C5" s="145">
        <f>[3]Ryan!$IU$22</f>
        <v>0</v>
      </c>
      <c r="D5" s="145">
        <f>'[3]Charter Misc'!$IU$32</f>
        <v>240</v>
      </c>
      <c r="E5" s="145">
        <f>[3]Omni!$IU$32+[3]Omni!$IU$22</f>
        <v>0</v>
      </c>
      <c r="F5" s="145">
        <f>'[3]Red Way'!$IU$32+'[3]Red Way'!$IU$22</f>
        <v>0</v>
      </c>
      <c r="G5" s="145">
        <f>[3]Xtra!$IU$32+[3]Xtra!$IU$22</f>
        <v>0</v>
      </c>
      <c r="H5" s="241">
        <f>SUM(B5:G5)</f>
        <v>240</v>
      </c>
    </row>
    <row r="6" spans="1:18" x14ac:dyDescent="0.2">
      <c r="A6" s="43" t="s">
        <v>31</v>
      </c>
      <c r="B6" s="306">
        <f>'[3]Charter Misc'!$IU$23</f>
        <v>0</v>
      </c>
      <c r="C6" s="148">
        <f>[3]Ryan!$IU$23</f>
        <v>0</v>
      </c>
      <c r="D6" s="148">
        <f>'[3]Charter Misc'!$IU$33</f>
        <v>0</v>
      </c>
      <c r="E6" s="148">
        <f>[3]Omni!$IU$33+[3]Omni!$IU$23</f>
        <v>0</v>
      </c>
      <c r="F6" s="148">
        <f>'[3]Red Way'!$IU$33+'[3]Red Way'!$IU$23</f>
        <v>0</v>
      </c>
      <c r="G6" s="148">
        <f>[3]Xtra!$IU$33+[3]Xtra!$IU$23</f>
        <v>0</v>
      </c>
      <c r="H6" s="241">
        <f>SUM(B6:G6)</f>
        <v>0</v>
      </c>
    </row>
    <row r="7" spans="1:18" ht="15.75" thickBot="1" x14ac:dyDescent="0.3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240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240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Misc'!$IU$4</f>
        <v>0</v>
      </c>
      <c r="C10" s="145">
        <f>[3]Ryan!$IU$4</f>
        <v>0</v>
      </c>
      <c r="D10" s="145">
        <f>'[3]Charter Misc'!$IU$15</f>
        <v>2</v>
      </c>
      <c r="E10" s="145">
        <f>[3]Omni!$IU$15+[3]Omni!$IU$4</f>
        <v>0</v>
      </c>
      <c r="F10" s="145">
        <f>'[3]Red Way'!$IU$15+'[3]Red Way'!$IU$4</f>
        <v>0</v>
      </c>
      <c r="G10" s="145">
        <f>[3]Xtra!$IU$15+[3]Xtra!$IU$4</f>
        <v>0</v>
      </c>
      <c r="H10" s="240">
        <f>SUM(B10:G10)</f>
        <v>2</v>
      </c>
    </row>
    <row r="11" spans="1:18" x14ac:dyDescent="0.2">
      <c r="A11" s="143" t="s">
        <v>80</v>
      </c>
      <c r="B11" s="305">
        <f>'[3]Charter Misc'!$IU$5</f>
        <v>0</v>
      </c>
      <c r="C11" s="145">
        <f>[3]Ryan!$IU$5</f>
        <v>0</v>
      </c>
      <c r="D11" s="145">
        <f>'[3]Charter Misc'!$IU$16</f>
        <v>0</v>
      </c>
      <c r="E11" s="145">
        <f>[3]Omni!$IU$16+[3]Omni!$IU$5</f>
        <v>0</v>
      </c>
      <c r="F11" s="145">
        <f>'[3]Red Way'!$IU$16+'[3]Red Way'!$IU$5</f>
        <v>0</v>
      </c>
      <c r="G11" s="145">
        <f>[3]Xtra!$IU$16+[3]Xtra!$IU$5</f>
        <v>0</v>
      </c>
      <c r="H11" s="240">
        <f>SUM(B11:G11)</f>
        <v>0</v>
      </c>
    </row>
    <row r="12" spans="1:18" ht="15.75" thickBot="1" x14ac:dyDescent="0.3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2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2</v>
      </c>
      <c r="R12" s="89"/>
    </row>
    <row r="17" spans="1:19" x14ac:dyDescent="0.2">
      <c r="B17" s="459" t="s">
        <v>148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1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2" t="s">
        <v>117</v>
      </c>
      <c r="C19" s="463"/>
      <c r="D19" s="463"/>
      <c r="E19" s="464"/>
      <c r="G19" s="462" t="s">
        <v>118</v>
      </c>
      <c r="H19" s="465"/>
      <c r="I19" s="465"/>
      <c r="J19" s="466"/>
      <c r="L19" s="467" t="s">
        <v>119</v>
      </c>
      <c r="M19" s="468"/>
      <c r="N19" s="468"/>
      <c r="O19" s="469"/>
      <c r="S19" s="383"/>
    </row>
    <row r="20" spans="1:19" ht="13.5" thickBot="1" x14ac:dyDescent="0.25">
      <c r="A20" s="169" t="s">
        <v>99</v>
      </c>
      <c r="B20" s="426" t="s">
        <v>100</v>
      </c>
      <c r="C20" s="426" t="s">
        <v>101</v>
      </c>
      <c r="D20" s="426" t="s">
        <v>240</v>
      </c>
      <c r="E20" s="426" t="s">
        <v>224</v>
      </c>
      <c r="F20" s="426" t="s">
        <v>96</v>
      </c>
      <c r="G20" s="426" t="s">
        <v>100</v>
      </c>
      <c r="H20" s="426" t="s">
        <v>101</v>
      </c>
      <c r="I20" s="426" t="s">
        <v>240</v>
      </c>
      <c r="J20" s="426" t="s">
        <v>224</v>
      </c>
      <c r="K20" s="426" t="s">
        <v>96</v>
      </c>
      <c r="L20" s="426" t="s">
        <v>100</v>
      </c>
      <c r="M20" s="426" t="s">
        <v>101</v>
      </c>
      <c r="N20" s="426" t="s">
        <v>240</v>
      </c>
      <c r="O20" s="426" t="s">
        <v>224</v>
      </c>
      <c r="P20" s="426" t="s">
        <v>96</v>
      </c>
      <c r="S20" s="383"/>
    </row>
    <row r="21" spans="1:19" ht="14.1" customHeight="1" x14ac:dyDescent="0.2">
      <c r="A21" s="174" t="s">
        <v>102</v>
      </c>
      <c r="B21" s="415">
        <f>+[2]Charter!B21</f>
        <v>155925</v>
      </c>
      <c r="C21" s="415">
        <f>+[2]Charter!C21</f>
        <v>152972</v>
      </c>
      <c r="D21" s="415">
        <f t="shared" ref="D21" si="2">SUM(B21:C21)</f>
        <v>308897</v>
      </c>
      <c r="E21" s="425">
        <f>[4]Charter!$D$21</f>
        <v>255954</v>
      </c>
      <c r="F21" s="416">
        <f t="shared" ref="F21:F32" si="3">(D21-E21)/E21</f>
        <v>0.20684576134774219</v>
      </c>
      <c r="G21" s="415">
        <f>+[2]Charter!G21</f>
        <v>1099558</v>
      </c>
      <c r="H21" s="415">
        <f>+[2]Charter!H21</f>
        <v>1135273</v>
      </c>
      <c r="I21" s="415">
        <f t="shared" ref="I21" si="4">SUM(G21:H21)</f>
        <v>2234831</v>
      </c>
      <c r="J21" s="425">
        <f>[4]Charter!I21</f>
        <v>2136976</v>
      </c>
      <c r="K21" s="422">
        <f t="shared" ref="K21:K32" si="5">(I21-J21)/J21</f>
        <v>4.579134253262554E-2</v>
      </c>
      <c r="L21" s="415">
        <f>+[2]Charter!L21</f>
        <v>1255483</v>
      </c>
      <c r="M21" s="415">
        <f>+[2]Charter!M21</f>
        <v>1288245</v>
      </c>
      <c r="N21" s="425">
        <f t="shared" ref="N21" si="6">SUM(L21:M21)</f>
        <v>2543728</v>
      </c>
      <c r="O21" s="425">
        <f>[4]Charter!N21</f>
        <v>2392930</v>
      </c>
      <c r="P21" s="421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+'Intl Detail'!$Q$4+'Intl Detail'!$Q$9</f>
        <v>161660</v>
      </c>
      <c r="C22" s="415">
        <f>+'Intl Detail'!$Q$5+'Intl Detail'!$Q$10</f>
        <v>168482</v>
      </c>
      <c r="D22" s="415">
        <f t="shared" ref="D22" si="7">SUM(B22:C22)</f>
        <v>330142</v>
      </c>
      <c r="E22" s="415">
        <f>[1]Charter!D22</f>
        <v>251121</v>
      </c>
      <c r="F22" s="417">
        <f t="shared" si="3"/>
        <v>0.31467300624001976</v>
      </c>
      <c r="G22" s="415">
        <f t="shared" ref="G22" si="8">L22-B22</f>
        <v>1107911</v>
      </c>
      <c r="H22" s="415">
        <f t="shared" ref="H22" si="9">M22-C22</f>
        <v>1145758</v>
      </c>
      <c r="I22" s="415">
        <f t="shared" ref="I22" si="10">SUM(G22:H22)</f>
        <v>2253669</v>
      </c>
      <c r="J22" s="415">
        <f>[1]Charter!I22</f>
        <v>2010512</v>
      </c>
      <c r="K22" s="423">
        <f t="shared" si="5"/>
        <v>0.12094282451435256</v>
      </c>
      <c r="L22" s="415">
        <f>+'Monthly Summary'!$B$11</f>
        <v>1269571</v>
      </c>
      <c r="M22" s="415">
        <f>+'Monthly Summary'!$C$11</f>
        <v>1314240</v>
      </c>
      <c r="N22" s="425">
        <f t="shared" ref="N22" si="11">SUM(L22:M22)</f>
        <v>2583811</v>
      </c>
      <c r="O22" s="415">
        <f>[1]Charter!N22</f>
        <v>2261633</v>
      </c>
      <c r="P22" s="412">
        <f t="shared" ref="P22:P32" si="12">(N22-O22)/O22</f>
        <v>0.14245370491145115</v>
      </c>
      <c r="S22" s="383"/>
    </row>
    <row r="23" spans="1:19" ht="14.1" customHeight="1" x14ac:dyDescent="0.2">
      <c r="A23" s="175" t="s">
        <v>104</v>
      </c>
      <c r="B23" s="425"/>
      <c r="C23" s="425"/>
      <c r="D23" s="415"/>
      <c r="E23" s="415"/>
      <c r="F23" s="418" t="e">
        <f t="shared" si="3"/>
        <v>#DIV/0!</v>
      </c>
      <c r="G23" s="415"/>
      <c r="H23" s="415"/>
      <c r="I23" s="415"/>
      <c r="J23" s="415"/>
      <c r="K23" s="423" t="e">
        <f t="shared" si="5"/>
        <v>#DIV/0!</v>
      </c>
      <c r="L23" s="425"/>
      <c r="M23" s="425"/>
      <c r="N23" s="425"/>
      <c r="O23" s="415"/>
      <c r="P23" s="412" t="e">
        <f t="shared" si="12"/>
        <v>#DIV/0!</v>
      </c>
      <c r="S23" s="383"/>
    </row>
    <row r="24" spans="1:19" ht="14.1" customHeight="1" x14ac:dyDescent="0.2">
      <c r="A24" s="175" t="s">
        <v>105</v>
      </c>
      <c r="B24" s="425"/>
      <c r="C24" s="425"/>
      <c r="D24" s="415"/>
      <c r="E24" s="415"/>
      <c r="F24" s="418" t="e">
        <f t="shared" si="3"/>
        <v>#DIV/0!</v>
      </c>
      <c r="G24" s="415"/>
      <c r="H24" s="415"/>
      <c r="I24" s="415"/>
      <c r="J24" s="415"/>
      <c r="K24" s="423" t="e">
        <f t="shared" si="5"/>
        <v>#DIV/0!</v>
      </c>
      <c r="L24" s="425"/>
      <c r="M24" s="425"/>
      <c r="N24" s="425"/>
      <c r="O24" s="415"/>
      <c r="P24" s="412" t="e">
        <f t="shared" si="12"/>
        <v>#DIV/0!</v>
      </c>
    </row>
    <row r="25" spans="1:19" ht="14.1" customHeight="1" x14ac:dyDescent="0.2">
      <c r="A25" s="168" t="s">
        <v>75</v>
      </c>
      <c r="B25" s="425"/>
      <c r="C25" s="425"/>
      <c r="D25" s="415"/>
      <c r="E25" s="415"/>
      <c r="F25" s="419" t="e">
        <f t="shared" si="3"/>
        <v>#DIV/0!</v>
      </c>
      <c r="G25" s="415"/>
      <c r="H25" s="415"/>
      <c r="I25" s="415"/>
      <c r="J25" s="415"/>
      <c r="K25" s="424" t="e">
        <f t="shared" si="5"/>
        <v>#DIV/0!</v>
      </c>
      <c r="L25" s="425"/>
      <c r="M25" s="425"/>
      <c r="N25" s="425"/>
      <c r="O25" s="415"/>
      <c r="P25" s="413" t="e">
        <f t="shared" si="12"/>
        <v>#DIV/0!</v>
      </c>
    </row>
    <row r="26" spans="1:19" ht="14.1" customHeight="1" x14ac:dyDescent="0.2">
      <c r="A26" s="175" t="s">
        <v>106</v>
      </c>
      <c r="B26" s="425"/>
      <c r="C26" s="425"/>
      <c r="D26" s="415"/>
      <c r="E26" s="415"/>
      <c r="F26" s="418" t="e">
        <f t="shared" si="3"/>
        <v>#DIV/0!</v>
      </c>
      <c r="G26" s="415"/>
      <c r="H26" s="415"/>
      <c r="I26" s="415"/>
      <c r="J26" s="415"/>
      <c r="K26" s="423" t="e">
        <f t="shared" si="5"/>
        <v>#DIV/0!</v>
      </c>
      <c r="L26" s="425"/>
      <c r="M26" s="425"/>
      <c r="N26" s="425"/>
      <c r="O26" s="415"/>
      <c r="P26" s="412" t="e">
        <f t="shared" si="12"/>
        <v>#DIV/0!</v>
      </c>
    </row>
    <row r="27" spans="1:19" ht="14.1" customHeight="1" x14ac:dyDescent="0.2">
      <c r="A27" s="168" t="s">
        <v>107</v>
      </c>
      <c r="B27" s="425"/>
      <c r="C27" s="425"/>
      <c r="D27" s="415"/>
      <c r="E27" s="415"/>
      <c r="F27" s="419" t="e">
        <f t="shared" si="3"/>
        <v>#DIV/0!</v>
      </c>
      <c r="G27" s="415"/>
      <c r="H27" s="415"/>
      <c r="I27" s="415"/>
      <c r="J27" s="415"/>
      <c r="K27" s="424" t="e">
        <f t="shared" si="5"/>
        <v>#DIV/0!</v>
      </c>
      <c r="L27" s="425"/>
      <c r="M27" s="425"/>
      <c r="N27" s="425"/>
      <c r="O27" s="415"/>
      <c r="P27" s="413" t="e">
        <f t="shared" si="12"/>
        <v>#DIV/0!</v>
      </c>
    </row>
    <row r="28" spans="1:19" ht="14.1" customHeight="1" x14ac:dyDescent="0.2">
      <c r="A28" s="175" t="s">
        <v>108</v>
      </c>
      <c r="B28" s="425"/>
      <c r="C28" s="425"/>
      <c r="D28" s="415"/>
      <c r="E28" s="415"/>
      <c r="F28" s="418" t="e">
        <f t="shared" si="3"/>
        <v>#DIV/0!</v>
      </c>
      <c r="G28" s="415"/>
      <c r="H28" s="415"/>
      <c r="I28" s="415"/>
      <c r="J28" s="415"/>
      <c r="K28" s="423" t="e">
        <f t="shared" si="5"/>
        <v>#DIV/0!</v>
      </c>
      <c r="L28" s="425"/>
      <c r="M28" s="425"/>
      <c r="N28" s="425"/>
      <c r="O28" s="415"/>
      <c r="P28" s="412" t="e">
        <f t="shared" si="12"/>
        <v>#DIV/0!</v>
      </c>
    </row>
    <row r="29" spans="1:19" ht="14.1" customHeight="1" x14ac:dyDescent="0.2">
      <c r="A29" s="168" t="s">
        <v>109</v>
      </c>
      <c r="B29" s="425"/>
      <c r="C29" s="425"/>
      <c r="D29" s="415"/>
      <c r="E29" s="415"/>
      <c r="F29" s="419" t="e">
        <f t="shared" si="3"/>
        <v>#DIV/0!</v>
      </c>
      <c r="G29" s="415"/>
      <c r="H29" s="415"/>
      <c r="I29" s="415"/>
      <c r="J29" s="415"/>
      <c r="K29" s="424" t="e">
        <f t="shared" si="5"/>
        <v>#DIV/0!</v>
      </c>
      <c r="L29" s="425"/>
      <c r="M29" s="425"/>
      <c r="N29" s="425"/>
      <c r="O29" s="415"/>
      <c r="P29" s="413" t="e">
        <f t="shared" si="12"/>
        <v>#DIV/0!</v>
      </c>
    </row>
    <row r="30" spans="1:19" ht="14.1" customHeight="1" x14ac:dyDescent="0.2">
      <c r="A30" s="175" t="s">
        <v>110</v>
      </c>
      <c r="B30" s="425"/>
      <c r="C30" s="425"/>
      <c r="D30" s="415"/>
      <c r="E30" s="415"/>
      <c r="F30" s="418" t="e">
        <f t="shared" si="3"/>
        <v>#DIV/0!</v>
      </c>
      <c r="G30" s="415"/>
      <c r="H30" s="415"/>
      <c r="I30" s="415"/>
      <c r="J30" s="415"/>
      <c r="K30" s="423" t="e">
        <f t="shared" si="5"/>
        <v>#DIV/0!</v>
      </c>
      <c r="L30" s="425"/>
      <c r="M30" s="425"/>
      <c r="N30" s="425"/>
      <c r="O30" s="415"/>
      <c r="P30" s="412" t="e">
        <f t="shared" si="12"/>
        <v>#DIV/0!</v>
      </c>
    </row>
    <row r="31" spans="1:19" ht="14.1" customHeight="1" x14ac:dyDescent="0.2">
      <c r="A31" s="168" t="s">
        <v>111</v>
      </c>
      <c r="B31" s="425"/>
      <c r="C31" s="425"/>
      <c r="D31" s="415"/>
      <c r="E31" s="415"/>
      <c r="F31" s="419" t="e">
        <f t="shared" si="3"/>
        <v>#DIV/0!</v>
      </c>
      <c r="G31" s="415"/>
      <c r="H31" s="415"/>
      <c r="I31" s="415"/>
      <c r="J31" s="415"/>
      <c r="K31" s="424" t="e">
        <f t="shared" si="5"/>
        <v>#DIV/0!</v>
      </c>
      <c r="L31" s="425"/>
      <c r="M31" s="425"/>
      <c r="N31" s="425"/>
      <c r="O31" s="415"/>
      <c r="P31" s="413" t="e">
        <f t="shared" si="12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20" t="e">
        <f t="shared" si="3"/>
        <v>#DIV/0!</v>
      </c>
      <c r="G32" s="415"/>
      <c r="H32" s="415"/>
      <c r="I32" s="415"/>
      <c r="J32" s="415"/>
      <c r="K32" s="420" t="e">
        <f t="shared" si="5"/>
        <v>#DIV/0!</v>
      </c>
      <c r="L32" s="415"/>
      <c r="M32" s="415"/>
      <c r="N32" s="425"/>
      <c r="O32" s="415"/>
      <c r="P32" s="414" t="e">
        <f t="shared" si="12"/>
        <v>#DIV/0!</v>
      </c>
    </row>
    <row r="33" spans="1:16" ht="13.5" thickBot="1" x14ac:dyDescent="0.25">
      <c r="A33" s="173" t="s">
        <v>76</v>
      </c>
      <c r="B33" s="179">
        <f>SUM(B21:B32)</f>
        <v>317585</v>
      </c>
      <c r="C33" s="180">
        <f>SUM(C21:C32)</f>
        <v>321454</v>
      </c>
      <c r="D33" s="180">
        <f>SUM(D21:D32)</f>
        <v>639039</v>
      </c>
      <c r="E33" s="181">
        <f>SUM(E21:E32)</f>
        <v>507075</v>
      </c>
      <c r="F33" s="171">
        <f>(D33-E33)/E33</f>
        <v>0.26024552580979143</v>
      </c>
      <c r="G33" s="182">
        <f>SUM(G21:G32)</f>
        <v>2207469</v>
      </c>
      <c r="H33" s="180">
        <f>SUM(H21:H32)</f>
        <v>2281031</v>
      </c>
      <c r="I33" s="180">
        <f>SUM(I21:I32)</f>
        <v>4488500</v>
      </c>
      <c r="J33" s="183">
        <f>SUM(J21:J32)</f>
        <v>4147488</v>
      </c>
      <c r="K33" s="172">
        <f>(I33-J33)/J33</f>
        <v>8.2221334938160154E-2</v>
      </c>
      <c r="L33" s="182">
        <f>SUM(L21:L32)</f>
        <v>2525054</v>
      </c>
      <c r="M33" s="180">
        <f>SUM(M21:M32)</f>
        <v>2602485</v>
      </c>
      <c r="N33" s="180">
        <f>SUM(N21:N32)</f>
        <v>5127539</v>
      </c>
      <c r="O33" s="181">
        <f>SUM(O21:O32)</f>
        <v>4654563</v>
      </c>
      <c r="P33" s="170">
        <f>(N33-O33)/O33</f>
        <v>0.10161555445699198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February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K8" sqref="K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0" t="s">
        <v>195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2"/>
    </row>
    <row r="2" spans="1:23" s="26" customFormat="1" ht="43.5" customHeight="1" thickBot="1" x14ac:dyDescent="0.25">
      <c r="A2" s="388">
        <v>45323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Air'!$IU$4</f>
        <v>4</v>
      </c>
      <c r="C4" s="126">
        <f>[3]DHL!$IU$8+[3]DHL!$IU$4</f>
        <v>0</v>
      </c>
      <c r="D4" s="126">
        <f>[3]Airborne!$IU$4+[3]Airborne!$IU$15</f>
        <v>0</v>
      </c>
      <c r="E4" s="89">
        <f>[3]DHL_Bemidji!$IU$4</f>
        <v>36</v>
      </c>
      <c r="F4" s="89">
        <f>[3]Bemidji!$IU$4</f>
        <v>167</v>
      </c>
      <c r="G4" s="126">
        <f>[3]DHL_Encore!$IU$4+[3]DHL_Encore!$IU$15</f>
        <v>0</v>
      </c>
      <c r="H4" s="126">
        <f>[3]DHL_Mesa!$IU$4+[3]DHL_Mesa!$IU$15</f>
        <v>0</v>
      </c>
      <c r="I4" s="126">
        <f>[3]Encore!$IU$4+[3]Encore!$IU$15</f>
        <v>0</v>
      </c>
      <c r="J4" s="126">
        <f>[3]FedEx!$IU$4+[3]FedEx!$IU$15</f>
        <v>90</v>
      </c>
      <c r="K4" s="126">
        <f>[3]IFL!$IU$4+[3]IFL!$IU$15</f>
        <v>16</v>
      </c>
      <c r="L4" s="126">
        <f>[3]DHL_Kalitta!$IU$4+[3]DHL_Kalitta!$IU$15</f>
        <v>21</v>
      </c>
      <c r="M4" s="89">
        <f>'[3]Mountain Cargo'!$IU$4</f>
        <v>21</v>
      </c>
      <c r="N4" s="126">
        <f>[3]DHL_Amerijet!$IU$4+[3]DHL_Amerijet!$IU$15</f>
        <v>0</v>
      </c>
      <c r="O4" s="126">
        <f>[3]DHL_Swift!$IU$4+[3]DHL_Swift!$IU$15</f>
        <v>0</v>
      </c>
      <c r="P4" s="126">
        <f>+'[3]Sun Country Cargo'!$IU$4+'[3]Sun Country Cargo'!$IU$8+'[3]Sun Country Cargo'!$IU$15</f>
        <v>115</v>
      </c>
      <c r="Q4" s="126">
        <f>[3]UPS!$IU$4+[3]UPS!$IU$15</f>
        <v>86</v>
      </c>
      <c r="R4" s="89">
        <f>'[3]Misc Cargo'!$IU$4</f>
        <v>0</v>
      </c>
      <c r="S4" s="360">
        <f>SUM(B4:R4)</f>
        <v>556</v>
      </c>
      <c r="U4" s="332"/>
      <c r="V4" s="332"/>
      <c r="W4" s="209"/>
    </row>
    <row r="5" spans="1:23" x14ac:dyDescent="0.2">
      <c r="A5" s="36" t="s">
        <v>54</v>
      </c>
      <c r="B5" s="361">
        <f>'[3]Atlas Air'!$IU$5</f>
        <v>4</v>
      </c>
      <c r="C5" s="150">
        <f>[3]DHL!$IU$9+[3]DHL!$IU$5</f>
        <v>0</v>
      </c>
      <c r="D5" s="150">
        <f>[3]Airborne!$IU$5</f>
        <v>0</v>
      </c>
      <c r="E5" s="90">
        <f>[3]DHL_Bemidji!$IU$5</f>
        <v>36</v>
      </c>
      <c r="F5" s="90">
        <f>[3]Bemidji!$IU$5</f>
        <v>167</v>
      </c>
      <c r="G5" s="150">
        <f>[3]DHL_Encore!$IU$5</f>
        <v>0</v>
      </c>
      <c r="H5" s="150">
        <f>[3]DHL_Mesa!$IU$5</f>
        <v>0</v>
      </c>
      <c r="I5" s="150">
        <f>[3]Encore!$IU$5</f>
        <v>0</v>
      </c>
      <c r="J5" s="150">
        <f>[3]FedEx!$IU$5</f>
        <v>90</v>
      </c>
      <c r="K5" s="150">
        <f>[3]IFL!$IU$5</f>
        <v>16</v>
      </c>
      <c r="L5" s="150">
        <f>[3]DHL_Kalitta!$IU$5+[3]DHL_Kalitta!$IU$16</f>
        <v>21</v>
      </c>
      <c r="M5" s="90">
        <f>'[3]Mountain Cargo'!$IU$5</f>
        <v>21</v>
      </c>
      <c r="N5" s="150">
        <f>[3]DHL_Amerijet!$IU$5</f>
        <v>0</v>
      </c>
      <c r="O5" s="150">
        <f>[3]DHL_Swift!$IU$5</f>
        <v>0</v>
      </c>
      <c r="P5" s="150">
        <f>+'[3]Sun Country Cargo'!$IU$5+'[3]Sun Country Cargo'!$IU$9+'[3]Sun Country Cargo'!$IU$16</f>
        <v>115</v>
      </c>
      <c r="Q5" s="150">
        <f>[3]UPS!$IU$5+[3]UPS!$IU$16</f>
        <v>86</v>
      </c>
      <c r="R5" s="90">
        <f>'[3]Misc Cargo'!$IU$5</f>
        <v>0</v>
      </c>
      <c r="S5" s="360">
        <f>SUM(B5:R5)</f>
        <v>556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8</v>
      </c>
      <c r="C6" s="363">
        <f t="shared" si="0"/>
        <v>0</v>
      </c>
      <c r="D6" s="363">
        <f t="shared" ref="D6:E6" si="1">SUM(D4:D5)</f>
        <v>0</v>
      </c>
      <c r="E6" s="87">
        <f t="shared" si="1"/>
        <v>72</v>
      </c>
      <c r="F6" s="87">
        <f t="shared" si="0"/>
        <v>334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180</v>
      </c>
      <c r="K6" s="363">
        <f t="shared" si="0"/>
        <v>32</v>
      </c>
      <c r="L6" s="363">
        <f t="shared" si="0"/>
        <v>42</v>
      </c>
      <c r="M6" s="87">
        <f t="shared" si="0"/>
        <v>42</v>
      </c>
      <c r="N6" s="363">
        <f t="shared" si="0"/>
        <v>0</v>
      </c>
      <c r="O6" s="363">
        <f t="shared" si="0"/>
        <v>0</v>
      </c>
      <c r="P6" s="363">
        <f t="shared" si="0"/>
        <v>230</v>
      </c>
      <c r="Q6" s="363">
        <f t="shared" si="0"/>
        <v>172</v>
      </c>
      <c r="R6" s="87">
        <f t="shared" si="0"/>
        <v>0</v>
      </c>
      <c r="S6" s="360">
        <f t="shared" ref="S6:S10" si="3">SUM(B6:R6)</f>
        <v>1112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Cargo'!$IU$8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Cargo'!$IU$9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8</v>
      </c>
      <c r="C12" s="155">
        <f t="shared" si="7"/>
        <v>0</v>
      </c>
      <c r="D12" s="155">
        <f t="shared" ref="D12:E12" si="8">D6+D10</f>
        <v>0</v>
      </c>
      <c r="E12" s="156">
        <f t="shared" si="8"/>
        <v>72</v>
      </c>
      <c r="F12" s="156">
        <f t="shared" si="7"/>
        <v>334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180</v>
      </c>
      <c r="K12" s="155">
        <f t="shared" si="7"/>
        <v>32</v>
      </c>
      <c r="L12" s="155">
        <f t="shared" si="7"/>
        <v>42</v>
      </c>
      <c r="M12" s="156">
        <f t="shared" si="7"/>
        <v>42</v>
      </c>
      <c r="N12" s="155">
        <f t="shared" si="7"/>
        <v>0</v>
      </c>
      <c r="O12" s="155">
        <f t="shared" si="7"/>
        <v>0</v>
      </c>
      <c r="P12" s="155">
        <f t="shared" si="7"/>
        <v>230</v>
      </c>
      <c r="Q12" s="155">
        <f t="shared" si="7"/>
        <v>172</v>
      </c>
      <c r="R12" s="156">
        <f t="shared" si="7"/>
        <v>0</v>
      </c>
      <c r="S12" s="366">
        <f>SUM(B12:R12)</f>
        <v>1112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Air'!$IU$47</f>
        <v>44676</v>
      </c>
      <c r="C16" s="126">
        <f>[3]DHL!$IU$47</f>
        <v>0</v>
      </c>
      <c r="D16" s="126">
        <f>[3]Airborne!$IU$47</f>
        <v>0</v>
      </c>
      <c r="E16" s="126">
        <f>[3]DHL_Bemidji!$IU$47</f>
        <v>48338</v>
      </c>
      <c r="F16" s="473" t="s">
        <v>86</v>
      </c>
      <c r="G16" s="126">
        <f>[3]DHL_Encore!$IU$47</f>
        <v>0</v>
      </c>
      <c r="H16" s="126">
        <f>[3]DHL_Mesa!$IU$47</f>
        <v>0</v>
      </c>
      <c r="I16" s="126">
        <f>[3]Encore!$IU$47</f>
        <v>0</v>
      </c>
      <c r="J16" s="126">
        <f>[3]FedEx!$IU$47</f>
        <v>6674325</v>
      </c>
      <c r="K16" s="126">
        <f>[3]IFL!$IU$47</f>
        <v>60580</v>
      </c>
      <c r="L16" s="126">
        <f>[3]DHL_Kalitta!$IU$47</f>
        <v>561196</v>
      </c>
      <c r="M16" s="89">
        <f>'[3]Mountain Cargo'!$IU$47</f>
        <v>0</v>
      </c>
      <c r="N16" s="126">
        <f>[3]DHL_Amerijet!$IU$47</f>
        <v>0</v>
      </c>
      <c r="O16" s="126">
        <f>[3]DHL_Swift!$IU$47</f>
        <v>0</v>
      </c>
      <c r="P16" s="126">
        <f>+'[3]Sun Country Cargo'!$IU$47</f>
        <v>2418818</v>
      </c>
      <c r="Q16" s="126">
        <f>[3]UPS!$IU$47</f>
        <v>4532318</v>
      </c>
      <c r="R16" s="89">
        <f>'[3]Misc Cargo'!$IU$47</f>
        <v>0</v>
      </c>
      <c r="S16" s="360">
        <f>SUM(B16:E16)+SUM(G16:R16)</f>
        <v>14340251</v>
      </c>
      <c r="U16" s="332"/>
      <c r="V16" s="332"/>
      <c r="W16" s="209"/>
    </row>
    <row r="17" spans="1:23" x14ac:dyDescent="0.2">
      <c r="A17" s="36" t="s">
        <v>38</v>
      </c>
      <c r="B17" s="177">
        <f>'[3]Atlas Air'!$IU$48</f>
        <v>0</v>
      </c>
      <c r="C17" s="126">
        <f>[3]DHL!$IU$48</f>
        <v>0</v>
      </c>
      <c r="D17" s="126">
        <f>[3]Airborne!$IU$48</f>
        <v>0</v>
      </c>
      <c r="E17" s="126">
        <f>[3]DHL_Bemidji!$IU$48</f>
        <v>0</v>
      </c>
      <c r="F17" s="474"/>
      <c r="G17" s="126">
        <f>[3]DHL_Encore!$IU$48</f>
        <v>0</v>
      </c>
      <c r="H17" s="126">
        <f>[3]DHL_Mesa!$IU$48</f>
        <v>0</v>
      </c>
      <c r="I17" s="126">
        <f>[3]Encore!$IU$48</f>
        <v>0</v>
      </c>
      <c r="J17" s="126">
        <f>[3]FedEx!$IU$48</f>
        <v>0</v>
      </c>
      <c r="K17" s="126">
        <f>[3]IFL!$IU$48</f>
        <v>0</v>
      </c>
      <c r="L17" s="126">
        <f>[3]DHL_Kalitta!$IU$48</f>
        <v>0</v>
      </c>
      <c r="M17" s="89">
        <f>'[3]Mountain Cargo'!$IU$48</f>
        <v>39854</v>
      </c>
      <c r="N17" s="126">
        <f>[3]DHL_Amerijet!$IU$48</f>
        <v>0</v>
      </c>
      <c r="O17" s="126">
        <f>[3]DHL_Swift!$IU$48</f>
        <v>0</v>
      </c>
      <c r="P17" s="126">
        <f>+'[3]Sun Country Cargo'!$IU$48</f>
        <v>0</v>
      </c>
      <c r="Q17" s="126">
        <f>[3]UPS!$IU$48</f>
        <v>31022</v>
      </c>
      <c r="R17" s="89">
        <f>'[3]Misc Cargo'!$IU$48</f>
        <v>0</v>
      </c>
      <c r="S17" s="360">
        <f>SUM(B17:E17)+SUM(G17:R17)</f>
        <v>70876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44676</v>
      </c>
      <c r="C18" s="215">
        <f>SUM(C16:C17)</f>
        <v>0</v>
      </c>
      <c r="D18" s="215">
        <f>SUM(D16:D17)</f>
        <v>0</v>
      </c>
      <c r="E18" s="215">
        <f>SUM(E16:E17)</f>
        <v>48338</v>
      </c>
      <c r="F18" s="474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6674325</v>
      </c>
      <c r="K18" s="215">
        <f>SUM(K16:K17)</f>
        <v>60580</v>
      </c>
      <c r="L18" s="215">
        <f t="shared" ref="L18:R18" si="10">SUM(L16:L17)</f>
        <v>561196</v>
      </c>
      <c r="M18" s="216">
        <f t="shared" si="10"/>
        <v>39854</v>
      </c>
      <c r="N18" s="215">
        <f t="shared" si="10"/>
        <v>0</v>
      </c>
      <c r="O18" s="215">
        <f t="shared" si="10"/>
        <v>0</v>
      </c>
      <c r="P18" s="215">
        <f t="shared" si="10"/>
        <v>2418818</v>
      </c>
      <c r="Q18" s="215">
        <f t="shared" si="10"/>
        <v>4563340</v>
      </c>
      <c r="R18" s="216">
        <f t="shared" si="10"/>
        <v>0</v>
      </c>
      <c r="S18" s="372">
        <f>SUM(B18:D18)+SUM(G18:R18)</f>
        <v>14362789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4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4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Air'!$IU$52</f>
        <v>47076</v>
      </c>
      <c r="C21" s="126">
        <f>[3]DHL!$IU$52</f>
        <v>0</v>
      </c>
      <c r="D21" s="126">
        <f>[3]Airborne!$IU$52</f>
        <v>0</v>
      </c>
      <c r="E21" s="126">
        <f>[3]DHL_Bemidji!$IU$52</f>
        <v>47281</v>
      </c>
      <c r="F21" s="474"/>
      <c r="G21" s="126">
        <f>[3]DHL_Encore!$IU$52</f>
        <v>0</v>
      </c>
      <c r="H21" s="126">
        <f>[3]DHL_Mesa!$IU$52</f>
        <v>0</v>
      </c>
      <c r="I21" s="126">
        <f>[3]Encore!$IU$52</f>
        <v>0</v>
      </c>
      <c r="J21" s="126">
        <f>[3]FedEx!$IU$52</f>
        <v>5849829</v>
      </c>
      <c r="K21" s="126">
        <f>[3]IFL!$IU$52</f>
        <v>0</v>
      </c>
      <c r="L21" s="126">
        <f>[3]DHL_Kalitta!$IU$52</f>
        <v>550532</v>
      </c>
      <c r="M21" s="89">
        <f>'[3]Mountain Cargo'!$IU$52</f>
        <v>0</v>
      </c>
      <c r="N21" s="126">
        <f>[3]DHL_Amerijet!$IU$52</f>
        <v>0</v>
      </c>
      <c r="O21" s="126">
        <f>[3]DHL_Swift!$IU$52</f>
        <v>0</v>
      </c>
      <c r="P21" s="126">
        <f>+'[3]Sun Country Cargo'!$IU$52</f>
        <v>2757336</v>
      </c>
      <c r="Q21" s="126">
        <f>[3]UPS!$IU$52</f>
        <v>3588346</v>
      </c>
      <c r="R21" s="89">
        <f>'[3]Misc Cargo'!$IU$52</f>
        <v>0</v>
      </c>
      <c r="S21" s="360">
        <f>SUM(B21:E21)+SUM(G21:R21)</f>
        <v>12840400</v>
      </c>
      <c r="U21" s="332"/>
      <c r="V21" s="332"/>
      <c r="W21" s="209"/>
    </row>
    <row r="22" spans="1:23" x14ac:dyDescent="0.2">
      <c r="A22" s="36" t="s">
        <v>60</v>
      </c>
      <c r="B22" s="177">
        <f>'[3]Atlas Air'!$IU$53</f>
        <v>0</v>
      </c>
      <c r="C22" s="126">
        <f>[3]DHL!$IU$53</f>
        <v>0</v>
      </c>
      <c r="D22" s="126">
        <f>[3]Airborne!$IU$53</f>
        <v>0</v>
      </c>
      <c r="E22" s="126">
        <f>[3]DHL_Bemidji!$IU$53</f>
        <v>0</v>
      </c>
      <c r="F22" s="474"/>
      <c r="G22" s="126">
        <f>[3]DHL_Encore!$IU$53</f>
        <v>0</v>
      </c>
      <c r="H22" s="126">
        <f>[3]DHL_Mesa!$IU$53</f>
        <v>0</v>
      </c>
      <c r="I22" s="126">
        <f>[3]Encore!$IU$53</f>
        <v>0</v>
      </c>
      <c r="J22" s="126">
        <f>[3]FedEx!$IU$53</f>
        <v>0</v>
      </c>
      <c r="K22" s="126">
        <f>[3]IFL!$IU$53</f>
        <v>0</v>
      </c>
      <c r="L22" s="126">
        <f>[3]DHL_Kalitta!$IU$53</f>
        <v>0</v>
      </c>
      <c r="M22" s="89">
        <f>'[3]Mountain Cargo'!$IU$53</f>
        <v>88725</v>
      </c>
      <c r="N22" s="126">
        <f>[3]DHL_Amerijet!$IU$53</f>
        <v>0</v>
      </c>
      <c r="O22" s="126">
        <f>[3]DHL_Swift!$IU$53</f>
        <v>0</v>
      </c>
      <c r="P22" s="126">
        <f>+'[3]Sun Country Cargo'!$IU$53</f>
        <v>0</v>
      </c>
      <c r="Q22" s="126">
        <f>[3]UPS!$IU$53</f>
        <v>58725</v>
      </c>
      <c r="R22" s="89">
        <f>'[3]Misc Cargo'!$IU$53</f>
        <v>0</v>
      </c>
      <c r="S22" s="360">
        <f>SUM(B22:E22)+SUM(G22:R22)</f>
        <v>147450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47076</v>
      </c>
      <c r="C23" s="215">
        <f>SUM(C21:C22)</f>
        <v>0</v>
      </c>
      <c r="D23" s="215">
        <f t="shared" ref="D23:E23" si="11">SUM(D21:D22)</f>
        <v>0</v>
      </c>
      <c r="E23" s="215">
        <f t="shared" si="11"/>
        <v>47281</v>
      </c>
      <c r="F23" s="474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5849829</v>
      </c>
      <c r="K23" s="215">
        <f t="shared" si="12"/>
        <v>0</v>
      </c>
      <c r="L23" s="215">
        <f t="shared" si="12"/>
        <v>550532</v>
      </c>
      <c r="M23" s="216">
        <f t="shared" si="12"/>
        <v>88725</v>
      </c>
      <c r="N23" s="215">
        <f t="shared" si="12"/>
        <v>0</v>
      </c>
      <c r="O23" s="215">
        <f t="shared" si="12"/>
        <v>0</v>
      </c>
      <c r="P23" s="215">
        <f t="shared" si="12"/>
        <v>2757336</v>
      </c>
      <c r="Q23" s="215">
        <f t="shared" si="12"/>
        <v>3647071</v>
      </c>
      <c r="R23" s="216">
        <f t="shared" si="12"/>
        <v>0</v>
      </c>
      <c r="S23" s="372">
        <f>SUM(B23:D23)+SUM(G23:R23)</f>
        <v>12940569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4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4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Air'!$IU$57</f>
        <v>0</v>
      </c>
      <c r="C26" s="126">
        <f>[3]DHL!$IU$57</f>
        <v>0</v>
      </c>
      <c r="D26" s="126">
        <f>[3]Airborne!$IU$57</f>
        <v>0</v>
      </c>
      <c r="E26" s="126">
        <f>[3]DHL_Bemidji!$IU$57</f>
        <v>0</v>
      </c>
      <c r="F26" s="474"/>
      <c r="G26" s="126">
        <f>[3]DHL_Encore!$IU$57</f>
        <v>0</v>
      </c>
      <c r="H26" s="126">
        <f>[3]DHL_Mesa!$IU$57</f>
        <v>0</v>
      </c>
      <c r="I26" s="126">
        <f>[3]Encore!$IU$57</f>
        <v>0</v>
      </c>
      <c r="J26" s="126">
        <f>[3]FedEx!$IU$57</f>
        <v>0</v>
      </c>
      <c r="K26" s="126">
        <f>[3]IFL!$IU$57</f>
        <v>0</v>
      </c>
      <c r="L26" s="126">
        <f>[3]DHL_Kalitta!$IU$57</f>
        <v>0</v>
      </c>
      <c r="M26" s="89">
        <f>'[3]Mountain Cargo'!$IU$57</f>
        <v>0</v>
      </c>
      <c r="N26" s="126">
        <f>[3]DHL_Amerijet!$IU$57</f>
        <v>0</v>
      </c>
      <c r="O26" s="126">
        <f>[3]DHL_Swift!$IU$57</f>
        <v>0</v>
      </c>
      <c r="P26" s="126">
        <f>+'[3]Sun Country Cargo'!$IU$57</f>
        <v>0</v>
      </c>
      <c r="Q26" s="126">
        <f>[3]UPS!$IU$57</f>
        <v>0</v>
      </c>
      <c r="R26" s="89">
        <f>'[3]Misc Cargo'!$IU$57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Air'!$IU$58</f>
        <v>0</v>
      </c>
      <c r="C27" s="126">
        <f>[3]DHL!$IU$58</f>
        <v>0</v>
      </c>
      <c r="D27" s="126">
        <f>[3]Airborne!$IU$58</f>
        <v>0</v>
      </c>
      <c r="E27" s="126">
        <f>[3]DHL_Bemidji!$IU$58</f>
        <v>0</v>
      </c>
      <c r="F27" s="474"/>
      <c r="G27" s="126">
        <f>[3]DHL_Encore!$IU$58</f>
        <v>0</v>
      </c>
      <c r="H27" s="126">
        <f>[3]DHL_Mesa!$IU$58</f>
        <v>0</v>
      </c>
      <c r="I27" s="126">
        <f>[3]Encore!$IU$58</f>
        <v>0</v>
      </c>
      <c r="J27" s="126">
        <f>[3]FedEx!$IU$58</f>
        <v>0</v>
      </c>
      <c r="K27" s="126">
        <f>[3]IFL!$IU$58</f>
        <v>0</v>
      </c>
      <c r="L27" s="126">
        <f>[3]DHL_Kalitta!$IU$58</f>
        <v>0</v>
      </c>
      <c r="M27" s="89">
        <f>'[3]Mountain Cargo'!$IU$58</f>
        <v>0</v>
      </c>
      <c r="N27" s="126">
        <f>[3]DHL_Amerijet!$IU$58</f>
        <v>0</v>
      </c>
      <c r="O27" s="126">
        <f>[3]DHL_Swift!$IU$58</f>
        <v>0</v>
      </c>
      <c r="P27" s="126">
        <f>+'[3]Sun Country Cargo'!$IU$58</f>
        <v>0</v>
      </c>
      <c r="Q27" s="126">
        <f>[3]UPS!$IU$58</f>
        <v>0</v>
      </c>
      <c r="R27" s="89">
        <f>'[3]Misc Cargo'!$IU$58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4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4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4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91752</v>
      </c>
      <c r="C31" s="126">
        <f t="shared" ref="C31:R33" si="17">C26+C21+C16</f>
        <v>0</v>
      </c>
      <c r="D31" s="126">
        <f t="shared" si="17"/>
        <v>0</v>
      </c>
      <c r="E31" s="126">
        <f t="shared" si="17"/>
        <v>95619</v>
      </c>
      <c r="F31" s="474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12524154</v>
      </c>
      <c r="K31" s="126">
        <f t="shared" si="18"/>
        <v>60580</v>
      </c>
      <c r="L31" s="126">
        <f t="shared" si="18"/>
        <v>1111728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5176154</v>
      </c>
      <c r="Q31" s="126">
        <f t="shared" si="17"/>
        <v>8120664</v>
      </c>
      <c r="R31" s="89">
        <f>R26+R21+R16</f>
        <v>0</v>
      </c>
      <c r="S31" s="360">
        <f>SUM(B31:E31)+SUM(G31:R31)</f>
        <v>27180651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5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128579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89747</v>
      </c>
      <c r="R32" s="89">
        <f>R27+R22+R17</f>
        <v>0</v>
      </c>
      <c r="S32" s="360">
        <f>SUM(B32:E32)+SUM(G32:R32)</f>
        <v>218326</v>
      </c>
    </row>
    <row r="33" spans="1:19" ht="18" customHeight="1" thickBot="1" x14ac:dyDescent="0.25">
      <c r="A33" s="154" t="s">
        <v>46</v>
      </c>
      <c r="B33" s="365">
        <f>B28+B23+B18</f>
        <v>91752</v>
      </c>
      <c r="C33" s="155">
        <f t="shared" ref="C33:I33" si="21">C28+C23+C18</f>
        <v>0</v>
      </c>
      <c r="D33" s="155">
        <f t="shared" si="21"/>
        <v>0</v>
      </c>
      <c r="E33" s="155">
        <f t="shared" si="21"/>
        <v>95619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12524154</v>
      </c>
      <c r="K33" s="155">
        <f t="shared" si="18"/>
        <v>60580</v>
      </c>
      <c r="L33" s="155">
        <f t="shared" si="18"/>
        <v>1111728</v>
      </c>
      <c r="M33" s="156">
        <f>M28+M23+M18</f>
        <v>128579</v>
      </c>
      <c r="N33" s="155">
        <f t="shared" si="18"/>
        <v>0</v>
      </c>
      <c r="O33" s="155">
        <f t="shared" si="18"/>
        <v>0</v>
      </c>
      <c r="P33" s="155">
        <f t="shared" si="17"/>
        <v>5176154</v>
      </c>
      <c r="Q33" s="155">
        <f t="shared" si="17"/>
        <v>8210411</v>
      </c>
      <c r="R33" s="156">
        <f t="shared" si="17"/>
        <v>0</v>
      </c>
      <c r="S33" s="366">
        <f>SUM(B33:E33)+SUM(G33:R33)</f>
        <v>27398977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February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I35" sqref="I3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45323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Stats'!K28</f>
        <v>4406574</v>
      </c>
      <c r="C5" s="89">
        <f>'Regional Major'!M25</f>
        <v>9078.9</v>
      </c>
      <c r="D5" s="89">
        <f>Cargo!S16</f>
        <v>14340251</v>
      </c>
      <c r="E5" s="89">
        <f>SUM(B5:D5)</f>
        <v>18755903.899999999</v>
      </c>
      <c r="F5" s="89">
        <f>E5*0.00045359237</f>
        <v>8507.5349014932417</v>
      </c>
      <c r="G5" s="89">
        <f>'[1]Cargo Summary'!F5</f>
        <v>7663.42902978653</v>
      </c>
      <c r="H5" s="73">
        <f>(F5-G5)/G5</f>
        <v>0.1101472811225636</v>
      </c>
      <c r="I5" s="89">
        <f>+F5+'[2]Cargo Summary'!I5</f>
        <v>16703.516209553789</v>
      </c>
      <c r="J5" s="89">
        <f>+'[1]Cargo Summary'!I5</f>
        <v>15746.455949403411</v>
      </c>
      <c r="K5" s="63">
        <f>(I5-J5)/J5</f>
        <v>6.0779407329853048E-2</v>
      </c>
      <c r="M5" s="12"/>
      <c r="O5" s="392"/>
    </row>
    <row r="6" spans="1:18" x14ac:dyDescent="0.2">
      <c r="A6" s="43" t="s">
        <v>16</v>
      </c>
      <c r="B6" s="133">
        <f>'Major Airline Stats'!K29</f>
        <v>222335</v>
      </c>
      <c r="C6" s="89">
        <f>'Regional Major'!M26</f>
        <v>0</v>
      </c>
      <c r="D6" s="89">
        <f>Cargo!S17</f>
        <v>70876</v>
      </c>
      <c r="E6" s="89">
        <f>SUM(B6:D6)</f>
        <v>293211</v>
      </c>
      <c r="F6" s="89">
        <f>E6*0.00045359237</f>
        <v>132.99827240006999</v>
      </c>
      <c r="G6" s="89">
        <f>'[1]Cargo Summary'!F6</f>
        <v>572.24487651408003</v>
      </c>
      <c r="H6" s="3">
        <f>(F6-G6)/G6</f>
        <v>-0.76758503595479965</v>
      </c>
      <c r="I6" s="89">
        <f>+F6+'[2]Cargo Summary'!I6</f>
        <v>328.73834860327997</v>
      </c>
      <c r="J6" s="89">
        <f>+'[1]Cargo Summary'!I6</f>
        <v>1369.6815818154701</v>
      </c>
      <c r="K6" s="63">
        <f>(I6-J6)/J6</f>
        <v>-0.75998921722554846</v>
      </c>
      <c r="M6" s="12"/>
    </row>
    <row r="7" spans="1:18" ht="18" customHeight="1" thickBot="1" x14ac:dyDescent="0.25">
      <c r="A7" s="52" t="s">
        <v>71</v>
      </c>
      <c r="B7" s="135">
        <f>SUM(B5:B6)</f>
        <v>4628909</v>
      </c>
      <c r="C7" s="99">
        <f t="shared" ref="C7:J7" si="0">SUM(C5:C6)</f>
        <v>9078.9</v>
      </c>
      <c r="D7" s="99">
        <f t="shared" si="0"/>
        <v>14411127</v>
      </c>
      <c r="E7" s="99">
        <f t="shared" si="0"/>
        <v>19049114.899999999</v>
      </c>
      <c r="F7" s="99">
        <f t="shared" si="0"/>
        <v>8640.533173893311</v>
      </c>
      <c r="G7" s="99">
        <f t="shared" si="0"/>
        <v>8235.6739063006098</v>
      </c>
      <c r="H7" s="27">
        <f>(F7-G7)/G7</f>
        <v>4.9159215408342977E-2</v>
      </c>
      <c r="I7" s="99">
        <f t="shared" si="0"/>
        <v>17032.25455815707</v>
      </c>
      <c r="J7" s="99">
        <f t="shared" si="0"/>
        <v>17116.137531218883</v>
      </c>
      <c r="K7" s="230">
        <f>(I7-J7)/J7</f>
        <v>-4.9008120499624865E-3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Stats'!K33</f>
        <v>2345147</v>
      </c>
      <c r="C10" s="89">
        <f>'Regional Major'!M30</f>
        <v>5996.4</v>
      </c>
      <c r="D10" s="89">
        <f>Cargo!S21</f>
        <v>12840400</v>
      </c>
      <c r="E10" s="89">
        <f>SUM(B10:D10)</f>
        <v>15191543.4</v>
      </c>
      <c r="F10" s="89">
        <f>E10*0.00045359237</f>
        <v>6890.768174763858</v>
      </c>
      <c r="G10" s="89">
        <f>'[1]Cargo Summary'!F10</f>
        <v>6436.6435594769</v>
      </c>
      <c r="H10" s="3">
        <f>(F10-G10)/G10</f>
        <v>7.0553015883306786E-2</v>
      </c>
      <c r="I10" s="89">
        <f>+F10+'[2]Cargo Summary'!I10</f>
        <v>13611.723295679047</v>
      </c>
      <c r="J10" s="89">
        <f>+'[1]Cargo Summary'!I10</f>
        <v>13508.483812538328</v>
      </c>
      <c r="K10" s="63">
        <f>(I10-J10)/J10</f>
        <v>7.6425662993276277E-3</v>
      </c>
      <c r="M10" s="12"/>
      <c r="O10" s="392"/>
    </row>
    <row r="11" spans="1:18" x14ac:dyDescent="0.2">
      <c r="A11" s="43" t="s">
        <v>16</v>
      </c>
      <c r="B11" s="133">
        <f>'Major Airline Stats'!K34</f>
        <v>240635</v>
      </c>
      <c r="C11" s="89">
        <f>'Regional Major'!M31</f>
        <v>0</v>
      </c>
      <c r="D11" s="89">
        <f>Cargo!S22</f>
        <v>147450</v>
      </c>
      <c r="E11" s="89">
        <f>SUM(B11:D11)</f>
        <v>388085</v>
      </c>
      <c r="F11" s="89">
        <f>E11*0.00045359237</f>
        <v>176.03239491144998</v>
      </c>
      <c r="G11" s="89">
        <f>'[1]Cargo Summary'!F11</f>
        <v>573.32533353941994</v>
      </c>
      <c r="H11" s="24">
        <f>(F11-G11)/G11</f>
        <v>-0.69296246892717051</v>
      </c>
      <c r="I11" s="89">
        <f>+F11+'[2]Cargo Summary'!I11</f>
        <v>371.11612295526999</v>
      </c>
      <c r="J11" s="89">
        <f>+'[1]Cargo Summary'!I11</f>
        <v>1220.6710451620299</v>
      </c>
      <c r="K11" s="63">
        <f>(I11-J11)/J11</f>
        <v>-0.69597368232322687</v>
      </c>
      <c r="M11" s="12"/>
    </row>
    <row r="12" spans="1:18" ht="18" customHeight="1" thickBot="1" x14ac:dyDescent="0.25">
      <c r="A12" s="52" t="s">
        <v>72</v>
      </c>
      <c r="B12" s="135">
        <f>SUM(B10:B11)</f>
        <v>2585782</v>
      </c>
      <c r="C12" s="99">
        <f t="shared" ref="C12:J12" si="1">SUM(C10:C11)</f>
        <v>5996.4</v>
      </c>
      <c r="D12" s="99">
        <f t="shared" si="1"/>
        <v>12987850</v>
      </c>
      <c r="E12" s="99">
        <f t="shared" si="1"/>
        <v>15579628.4</v>
      </c>
      <c r="F12" s="99">
        <f t="shared" si="1"/>
        <v>7066.800569675308</v>
      </c>
      <c r="G12" s="99">
        <f t="shared" si="1"/>
        <v>7009.9688930163202</v>
      </c>
      <c r="H12" s="27">
        <f>(F12-G12)/G12</f>
        <v>8.10726517140559E-3</v>
      </c>
      <c r="I12" s="99">
        <f>SUM(I10:I11)</f>
        <v>13982.839418634318</v>
      </c>
      <c r="J12" s="99">
        <f t="shared" si="1"/>
        <v>14729.154857700358</v>
      </c>
      <c r="K12" s="230">
        <f>(I12-J12)/J12</f>
        <v>-5.0669264209403618E-2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Stats'!K38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Stats'!K39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6751721</v>
      </c>
      <c r="C20" s="89">
        <f t="shared" si="3"/>
        <v>15075.3</v>
      </c>
      <c r="D20" s="89">
        <f t="shared" si="3"/>
        <v>27180651</v>
      </c>
      <c r="E20" s="89">
        <f>SUM(B20:D20)</f>
        <v>33947447.299999997</v>
      </c>
      <c r="F20" s="89">
        <f>E20*0.00045359237</f>
        <v>15398.3030762571</v>
      </c>
      <c r="G20" s="89">
        <f>'[1]Cargo Summary'!F20</f>
        <v>14100.072589263429</v>
      </c>
      <c r="H20" s="3">
        <f>(F20-G20)/G20</f>
        <v>9.2072610178064951E-2</v>
      </c>
      <c r="I20" s="89">
        <f>+F20+'[2]Cargo Summary'!I20</f>
        <v>30315.239505232836</v>
      </c>
      <c r="J20" s="89">
        <f>+'[1]Cargo Summary'!I20</f>
        <v>29254.93976194174</v>
      </c>
      <c r="K20" s="63">
        <f>(I20-J20)/J20</f>
        <v>3.6243443053349179E-2</v>
      </c>
      <c r="M20" s="12"/>
    </row>
    <row r="21" spans="1:13" x14ac:dyDescent="0.2">
      <c r="A21" s="43" t="s">
        <v>16</v>
      </c>
      <c r="B21" s="133">
        <f t="shared" si="3"/>
        <v>462970</v>
      </c>
      <c r="C21" s="90">
        <f t="shared" si="3"/>
        <v>0</v>
      </c>
      <c r="D21" s="90">
        <f t="shared" si="3"/>
        <v>218326</v>
      </c>
      <c r="E21" s="89">
        <f>SUM(B21:D21)</f>
        <v>681296</v>
      </c>
      <c r="F21" s="89">
        <f>E21*0.00045359237</f>
        <v>309.03066731152001</v>
      </c>
      <c r="G21" s="89">
        <f>'[1]Cargo Summary'!F21</f>
        <v>1145.5702100535</v>
      </c>
      <c r="H21" s="3">
        <f>(F21-G21)/G21</f>
        <v>-0.73023856189740843</v>
      </c>
      <c r="I21" s="89">
        <f>+F21+'[2]Cargo Summary'!I21</f>
        <v>699.85447155855002</v>
      </c>
      <c r="J21" s="89">
        <f>+'[1]Cargo Summary'!I21</f>
        <v>2590.3526269775002</v>
      </c>
      <c r="K21" s="63">
        <f>(I21-J21)/J21</f>
        <v>-0.72982270279735595</v>
      </c>
      <c r="M21" s="12"/>
    </row>
    <row r="22" spans="1:13" ht="18" customHeight="1" thickBot="1" x14ac:dyDescent="0.25">
      <c r="A22" s="65" t="s">
        <v>62</v>
      </c>
      <c r="B22" s="136">
        <f>SUM(B20:B21)</f>
        <v>7214691</v>
      </c>
      <c r="C22" s="137">
        <f t="shared" ref="C22:J22" si="4">SUM(C20:C21)</f>
        <v>15075.3</v>
      </c>
      <c r="D22" s="137">
        <f t="shared" si="4"/>
        <v>27398977</v>
      </c>
      <c r="E22" s="137">
        <f t="shared" si="4"/>
        <v>34628743.299999997</v>
      </c>
      <c r="F22" s="137">
        <f t="shared" si="4"/>
        <v>15707.333743568619</v>
      </c>
      <c r="G22" s="137">
        <f t="shared" si="4"/>
        <v>15245.642799316929</v>
      </c>
      <c r="H22" s="236">
        <f>(F22-G22)/G22</f>
        <v>3.0283468550921028E-2</v>
      </c>
      <c r="I22" s="137">
        <f>SUM(I20:I21)</f>
        <v>31015.093976791384</v>
      </c>
      <c r="J22" s="137">
        <f t="shared" si="4"/>
        <v>31845.292388919239</v>
      </c>
      <c r="K22" s="237">
        <f>(I22-J22)/J22</f>
        <v>-2.6069737466650714E-2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February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30" zoomScaleNormal="130" workbookViewId="0">
      <selection activeCell="O20" sqref="O20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9.28515625" bestFit="1" customWidth="1"/>
    <col min="15" max="16" width="11.140625" bestFit="1" customWidth="1"/>
    <col min="17" max="17" width="9.2851562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2" t="s">
        <v>182</v>
      </c>
      <c r="B2" s="483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82" t="s">
        <v>178</v>
      </c>
      <c r="K2" s="483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4">
        <v>45323</v>
      </c>
      <c r="B3" s="485"/>
      <c r="C3" s="486" t="s">
        <v>9</v>
      </c>
      <c r="D3" s="487"/>
      <c r="E3" s="487"/>
      <c r="F3" s="487"/>
      <c r="G3" s="487"/>
      <c r="H3" s="488"/>
      <c r="I3" s="357"/>
      <c r="J3" s="484">
        <f>+A3</f>
        <v>45323</v>
      </c>
      <c r="K3" s="485"/>
      <c r="L3" s="479" t="s">
        <v>179</v>
      </c>
      <c r="M3" s="480"/>
      <c r="N3" s="480"/>
      <c r="O3" s="480"/>
      <c r="P3" s="480"/>
      <c r="Q3" s="480"/>
      <c r="R3" s="481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238</v>
      </c>
      <c r="D5" s="374">
        <f>SUM(D6:D7)</f>
        <v>163</v>
      </c>
      <c r="E5" s="375">
        <f>(C5-D5)/D5</f>
        <v>0.46012269938650308</v>
      </c>
      <c r="F5" s="374">
        <f>SUM(F6:F7)</f>
        <v>468</v>
      </c>
      <c r="G5" s="374">
        <f>SUM(G6:G7)</f>
        <v>344</v>
      </c>
      <c r="H5" s="376">
        <f>(F5-G5)/G5</f>
        <v>0.36046511627906974</v>
      </c>
      <c r="I5" s="375">
        <f>+F5/$F$34</f>
        <v>0.20855614973262032</v>
      </c>
      <c r="J5" s="250" t="s">
        <v>200</v>
      </c>
      <c r="K5" s="37"/>
      <c r="L5" s="374">
        <f>SUM(L6:L7)</f>
        <v>5267906</v>
      </c>
      <c r="M5" s="374">
        <f>SUM(M6:M7)</f>
        <v>5389922</v>
      </c>
      <c r="N5" s="375">
        <f>(L5-M5)/M5</f>
        <v>-2.2637804406074893E-2</v>
      </c>
      <c r="O5" s="374">
        <f>SUM(O6:O7)</f>
        <v>10517786</v>
      </c>
      <c r="P5" s="374">
        <f>SUM(P6:P7)</f>
        <v>10959746</v>
      </c>
      <c r="Q5" s="376">
        <f>(O5-P5)/P5</f>
        <v>-4.0325752074911222E-2</v>
      </c>
      <c r="R5" s="375">
        <f>O5/$O$34</f>
        <v>0.19167635334131594</v>
      </c>
      <c r="T5" s="383"/>
    </row>
    <row r="6" spans="1:20" ht="14.1" customHeight="1" x14ac:dyDescent="0.2">
      <c r="A6" s="36"/>
      <c r="B6" s="310" t="s">
        <v>201</v>
      </c>
      <c r="C6" s="314">
        <f>+'[3]Atlas Air'!$IU$19</f>
        <v>8</v>
      </c>
      <c r="D6" s="209">
        <f>+'[3]Atlas Air'!$IG$19</f>
        <v>56</v>
      </c>
      <c r="E6" s="316">
        <f>(C6-D6)/D6</f>
        <v>-0.8571428571428571</v>
      </c>
      <c r="F6" s="314">
        <f>+SUM('[3]Atlas Air'!$IT$19:$IU$19)</f>
        <v>8</v>
      </c>
      <c r="G6" s="209">
        <f>+SUM('[3]Atlas Air'!$IF$19:$IG$19)</f>
        <v>120</v>
      </c>
      <c r="H6" s="315">
        <f>(F6-G6)/G6</f>
        <v>-0.93333333333333335</v>
      </c>
      <c r="I6" s="316">
        <f>+F6/$F$34</f>
        <v>3.5650623885918001E-3</v>
      </c>
      <c r="J6" s="36"/>
      <c r="K6" s="310" t="s">
        <v>201</v>
      </c>
      <c r="L6" s="314">
        <f>+'[3]Atlas Air'!$IU$64</f>
        <v>91752</v>
      </c>
      <c r="M6" s="209">
        <f>+'[3]Atlas Air'!$IG$64</f>
        <v>2621020</v>
      </c>
      <c r="N6" s="316">
        <f>(L6-M6)/M6</f>
        <v>-0.96499378104707323</v>
      </c>
      <c r="O6" s="209">
        <f>+SUM('[3]Atlas Air'!$IT$64:$IU$64)</f>
        <v>91752</v>
      </c>
      <c r="P6" s="209">
        <f>+SUM('[3]Atlas Air'!$IF$64:$IG$64)</f>
        <v>5564134</v>
      </c>
      <c r="Q6" s="315">
        <f>(O6-P6)/P6</f>
        <v>-0.9835101023807119</v>
      </c>
      <c r="R6" s="316">
        <f>O6/$O$34</f>
        <v>1.6720903783146396E-3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Cargo'!$IU$19</f>
        <v>230</v>
      </c>
      <c r="D7" s="209">
        <f>+'[3]Sun Country Cargo'!$IG$19</f>
        <v>107</v>
      </c>
      <c r="E7" s="316">
        <f>(C7-D7)/D7</f>
        <v>1.1495327102803738</v>
      </c>
      <c r="F7" s="314">
        <f>+SUM('[3]Sun Country Cargo'!$IT$19:$IU$19)</f>
        <v>460</v>
      </c>
      <c r="G7" s="209">
        <f>+SUM('[3]Sun Country Cargo'!$IF$19:$IG$19)</f>
        <v>224</v>
      </c>
      <c r="H7" s="315">
        <f>(F7-G7)/G7</f>
        <v>1.0535714285714286</v>
      </c>
      <c r="I7" s="316">
        <f>+F7/$F$34</f>
        <v>0.20499108734402852</v>
      </c>
      <c r="J7" s="36"/>
      <c r="K7" s="310" t="s">
        <v>49</v>
      </c>
      <c r="L7" s="314">
        <f>+'[3]Sun Country Cargo'!$IU$64</f>
        <v>5176154</v>
      </c>
      <c r="M7" s="209">
        <f>+'[3]Sun Country Cargo'!$IG$64</f>
        <v>2768902</v>
      </c>
      <c r="N7" s="316">
        <f>(L7-M7)/M7</f>
        <v>0.86938866019815797</v>
      </c>
      <c r="O7" s="209">
        <f>+SUM('[3]Sun Country Cargo'!$IT$64:$IU$64)</f>
        <v>10426034</v>
      </c>
      <c r="P7" s="209">
        <f>+SUM('[3]Sun Country Cargo'!$IF$64:$IG$64)</f>
        <v>5395612</v>
      </c>
      <c r="Q7" s="315">
        <f>(O7-P7)/P7</f>
        <v>0.93231722369955439</v>
      </c>
      <c r="R7" s="316">
        <f>O7/$O$34</f>
        <v>0.1900042629630013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114</v>
      </c>
      <c r="D9" s="374">
        <f>SUM(D10:D18)</f>
        <v>110</v>
      </c>
      <c r="E9" s="375">
        <f>(C9-D9)/D9</f>
        <v>3.6363636363636362E-2</v>
      </c>
      <c r="F9" s="374">
        <f>SUM(F10:F18)</f>
        <v>232</v>
      </c>
      <c r="G9" s="374">
        <f>SUM(G10:G18)</f>
        <v>226</v>
      </c>
      <c r="H9" s="376">
        <f>(F9-G9)/G9</f>
        <v>2.6548672566371681E-2</v>
      </c>
      <c r="I9" s="375">
        <f t="shared" ref="I9:I18" si="0">+F9/$F$34</f>
        <v>0.10338680926916222</v>
      </c>
      <c r="J9" s="250" t="s">
        <v>202</v>
      </c>
      <c r="K9" s="37"/>
      <c r="L9" s="374">
        <f>SUM(L10:L18)</f>
        <v>1207347</v>
      </c>
      <c r="M9" s="374">
        <f>SUM(M10:M18)</f>
        <v>1190947</v>
      </c>
      <c r="N9" s="375">
        <f t="shared" ref="N9:N18" si="1">(L9-M9)/M9</f>
        <v>1.3770554021295659E-2</v>
      </c>
      <c r="O9" s="374">
        <f>SUM(O10:O18)</f>
        <v>2733242</v>
      </c>
      <c r="P9" s="374">
        <f>SUM(P10:P18)</f>
        <v>2531189</v>
      </c>
      <c r="Q9" s="376">
        <f t="shared" ref="Q9:Q18" si="2">(O9-P9)/P9</f>
        <v>7.9825331099337107E-2</v>
      </c>
      <c r="R9" s="375">
        <f t="shared" ref="R9:R18" si="3">O9/$O$34</f>
        <v>4.9810659711019514E-2</v>
      </c>
      <c r="T9" s="383"/>
    </row>
    <row r="10" spans="1:20" ht="14.1" customHeight="1" x14ac:dyDescent="0.2">
      <c r="A10" s="250"/>
      <c r="B10" s="310" t="s">
        <v>203</v>
      </c>
      <c r="C10" s="314">
        <f>+[3]Airborne!$IU$19</f>
        <v>0</v>
      </c>
      <c r="D10" s="209">
        <f>+[3]Airborne!$IG$19</f>
        <v>10</v>
      </c>
      <c r="E10" s="316">
        <f>(C10-D10)/D10</f>
        <v>-1</v>
      </c>
      <c r="F10" s="314">
        <f>+SUM([3]Airborne!$IT$19:$IU$19)</f>
        <v>20</v>
      </c>
      <c r="G10" s="209">
        <f>+SUM([3]Airborne!$IF$19:$IG$19)</f>
        <v>12</v>
      </c>
      <c r="H10" s="315">
        <f>(F10-G10)/G10</f>
        <v>0.66666666666666663</v>
      </c>
      <c r="I10" s="316">
        <f t="shared" si="0"/>
        <v>8.9126559714795012E-3</v>
      </c>
      <c r="J10" s="250"/>
      <c r="K10" s="310" t="s">
        <v>203</v>
      </c>
      <c r="L10" s="314">
        <f>+[3]Airborne!$IU$64</f>
        <v>0</v>
      </c>
      <c r="M10" s="209">
        <f>+[3]Airborne!$IG$64</f>
        <v>237698</v>
      </c>
      <c r="N10" s="316">
        <f t="shared" si="1"/>
        <v>-1</v>
      </c>
      <c r="O10" s="314">
        <f>+SUM([3]Airborne!$IT$64:$IU$64)</f>
        <v>766443</v>
      </c>
      <c r="P10" s="209">
        <f>+SUM([3]Airborne!$IF$64:$IG$64)</f>
        <v>273646</v>
      </c>
      <c r="Q10" s="315">
        <f t="shared" si="2"/>
        <v>1.8008558502590939</v>
      </c>
      <c r="R10" s="316">
        <f t="shared" si="3"/>
        <v>1.3967673356729089E-2</v>
      </c>
      <c r="T10" s="383"/>
    </row>
    <row r="11" spans="1:20" ht="14.1" customHeight="1" x14ac:dyDescent="0.2">
      <c r="A11" s="250"/>
      <c r="B11" s="37" t="s">
        <v>201</v>
      </c>
      <c r="C11" s="314">
        <f>+[3]DHL_Atlas!$IU$19</f>
        <v>0</v>
      </c>
      <c r="D11" s="209">
        <f>+[3]DHL_Atlas!$IG$19</f>
        <v>0</v>
      </c>
      <c r="E11" s="316" t="e">
        <f t="shared" ref="E11:E18" si="4">(C11-D11)/D11</f>
        <v>#DIV/0!</v>
      </c>
      <c r="F11" s="314">
        <f>+SUM([3]DHL_Atlas!$IT$19:$IU$19)</f>
        <v>0</v>
      </c>
      <c r="G11" s="209">
        <f>+SUM([3]DHL_Atlas!$IF$19:$IG$19)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+[3]DHL_Atlas!$IU$64</f>
        <v>0</v>
      </c>
      <c r="M11" s="209">
        <f>+[3]DHL_Atlas!$IG$64</f>
        <v>0</v>
      </c>
      <c r="N11" s="316" t="e">
        <f t="shared" si="1"/>
        <v>#DIV/0!</v>
      </c>
      <c r="O11" s="314">
        <f>+SUM([3]DHL_Atlas!$IT$64:$IU$64)</f>
        <v>0</v>
      </c>
      <c r="P11" s="209">
        <f>+SUM([3]DHL_Atlas!$IF$64:$IG$64)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204</v>
      </c>
      <c r="C12" s="314">
        <f>+[3]DHL!$IU$19</f>
        <v>0</v>
      </c>
      <c r="D12" s="209">
        <f>+[3]DHL!$IG$19</f>
        <v>2</v>
      </c>
      <c r="E12" s="316">
        <f t="shared" si="4"/>
        <v>-1</v>
      </c>
      <c r="F12" s="314">
        <f>+SUM([3]DHL!$IT$19:$IU$19)</f>
        <v>0</v>
      </c>
      <c r="G12" s="209">
        <f>+SUM([3]DHL!$IF$19:$IG$19)</f>
        <v>2</v>
      </c>
      <c r="H12" s="315">
        <f t="shared" si="5"/>
        <v>-1</v>
      </c>
      <c r="I12" s="316">
        <f t="shared" si="0"/>
        <v>0</v>
      </c>
      <c r="J12" s="250"/>
      <c r="K12" s="37" t="s">
        <v>204</v>
      </c>
      <c r="L12" s="314">
        <f>+[3]DHL!$IU$64</f>
        <v>0</v>
      </c>
      <c r="M12" s="209">
        <f>+[3]DHL!$IG$64</f>
        <v>51951</v>
      </c>
      <c r="N12" s="316">
        <f t="shared" si="1"/>
        <v>-1</v>
      </c>
      <c r="O12" s="314">
        <f>+SUM([3]DHL!$IT$64:$IU$64)</f>
        <v>0</v>
      </c>
      <c r="P12" s="209">
        <f>+SUM([3]DHL!$IF$64:$IG$64)</f>
        <v>51951</v>
      </c>
      <c r="Q12" s="315">
        <f t="shared" si="2"/>
        <v>-1</v>
      </c>
      <c r="R12" s="316">
        <f t="shared" si="3"/>
        <v>0</v>
      </c>
      <c r="T12" s="383"/>
    </row>
    <row r="13" spans="1:20" ht="14.1" customHeight="1" x14ac:dyDescent="0.2">
      <c r="A13" s="250"/>
      <c r="B13" s="310" t="s">
        <v>83</v>
      </c>
      <c r="C13" s="314">
        <f>+[3]DHL_Bemidji!$IU$19</f>
        <v>72</v>
      </c>
      <c r="D13" s="209">
        <f>+[3]DHL_Bemidji!$IG$19</f>
        <v>66</v>
      </c>
      <c r="E13" s="316">
        <f>(C13-D13)/D13</f>
        <v>9.0909090909090912E-2</v>
      </c>
      <c r="F13" s="314">
        <f>+SUM([3]DHL_Bemidji!$IT$19:$IU$19)</f>
        <v>142</v>
      </c>
      <c r="G13" s="209">
        <f>+SUM([3]DHL_Bemidji!$IF$19:$IG$19)</f>
        <v>122</v>
      </c>
      <c r="H13" s="315">
        <f t="shared" si="5"/>
        <v>0.16393442622950818</v>
      </c>
      <c r="I13" s="316">
        <f t="shared" si="0"/>
        <v>6.3279857397504455E-2</v>
      </c>
      <c r="J13" s="250"/>
      <c r="K13" s="310" t="s">
        <v>83</v>
      </c>
      <c r="L13" s="314">
        <f>+[3]DHL_Bemidji!$IU$64</f>
        <v>95619</v>
      </c>
      <c r="M13" s="209">
        <f>+[3]DHL_Bemidji!$IG$64</f>
        <v>92106</v>
      </c>
      <c r="N13" s="316">
        <f t="shared" ref="N13" si="6">(L13-M13)/M13</f>
        <v>3.8140837730441017E-2</v>
      </c>
      <c r="O13" s="314">
        <f>+SUM([3]DHL_Bemidji!$IT$64:$IU$64)</f>
        <v>181859</v>
      </c>
      <c r="P13" s="209">
        <f>+SUM([3]DHL_Bemidji!$IF$64:$IG$64)</f>
        <v>166124</v>
      </c>
      <c r="Q13" s="315">
        <f t="shared" ref="Q13" si="7">(O13-P13)/P13</f>
        <v>9.471840312056054E-2</v>
      </c>
      <c r="R13" s="316">
        <f t="shared" si="3"/>
        <v>3.3142022420211228E-3</v>
      </c>
      <c r="T13" s="383"/>
    </row>
    <row r="14" spans="1:20" ht="14.1" customHeight="1" x14ac:dyDescent="0.2">
      <c r="A14" s="250"/>
      <c r="B14" s="37" t="s">
        <v>192</v>
      </c>
      <c r="C14" s="314">
        <f>+[3]Encore!$IU$19+[3]DHL_Encore!$IU$12</f>
        <v>0</v>
      </c>
      <c r="D14" s="209">
        <f>+[3]Encore!$IG$19+[3]DHL_Encore!$IG$19</f>
        <v>0</v>
      </c>
      <c r="E14" s="316" t="e">
        <f t="shared" si="4"/>
        <v>#DIV/0!</v>
      </c>
      <c r="F14" s="314">
        <f>+SUM([3]Encore!$IT$19:$IU$19)+SUM([3]DHL_Encore!$IT$19:$IU$19)</f>
        <v>0</v>
      </c>
      <c r="G14" s="209">
        <f>+SUM([3]Encore!$IF$19:$IG$19)+SUM([3]DHL_Encore!$IF$19:$IG$19)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+[3]Encore!$IU$64+[3]DHL_Encore!$IU$64</f>
        <v>0</v>
      </c>
      <c r="M14" s="209">
        <f>+[3]Encore!$IG$64+[3]DHL_Encore!$IG$64</f>
        <v>0</v>
      </c>
      <c r="N14" s="316" t="e">
        <f t="shared" si="1"/>
        <v>#DIV/0!</v>
      </c>
      <c r="O14" s="314">
        <f>+SUM([3]Encore!$IT$64:$IU$64)+SUM([3]DHL_Encore!$IT$64:$IU$64)</f>
        <v>0</v>
      </c>
      <c r="P14" s="209">
        <f>+SUM([3]Encore!$IF$64:$IG$64)+SUM([3]DHL_Encore!$IF$64:$IG$64)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205</v>
      </c>
      <c r="C15" s="314">
        <f>+[3]DHL_Kalitta!$IU$19</f>
        <v>42</v>
      </c>
      <c r="D15" s="209">
        <f>+[3]DHL_Kalitta!$IG$19</f>
        <v>0</v>
      </c>
      <c r="E15" s="316" t="e">
        <f t="shared" si="4"/>
        <v>#DIV/0!</v>
      </c>
      <c r="F15" s="314">
        <f>+SUM([3]DHL_Kalitta!$IT$19:$IU$19)</f>
        <v>66</v>
      </c>
      <c r="G15" s="209">
        <f>+SUM([3]DHL_Kalitta!$IF$19:$IG$19)</f>
        <v>0</v>
      </c>
      <c r="H15" s="315" t="e">
        <f t="shared" si="5"/>
        <v>#DIV/0!</v>
      </c>
      <c r="I15" s="316">
        <f t="shared" si="0"/>
        <v>2.9411764705882353E-2</v>
      </c>
      <c r="J15" s="250"/>
      <c r="K15" s="37" t="s">
        <v>205</v>
      </c>
      <c r="L15" s="314">
        <f>+[3]DHL_Kalitta!$IU$64</f>
        <v>1111728</v>
      </c>
      <c r="M15" s="209">
        <f>+[3]DHL_Kalitta!$IG$64</f>
        <v>0</v>
      </c>
      <c r="N15" s="316" t="e">
        <f t="shared" si="1"/>
        <v>#DIV/0!</v>
      </c>
      <c r="O15" s="314">
        <f>+SUM([3]DHL_Kalitta!$IT$64:$IU$64)</f>
        <v>1708793</v>
      </c>
      <c r="P15" s="209">
        <f>+SUM([3]DHL_Kalitta!$IF$64:$IG$64)</f>
        <v>0</v>
      </c>
      <c r="Q15" s="315" t="e">
        <f t="shared" si="2"/>
        <v>#DIV/0!</v>
      </c>
      <c r="R15" s="316">
        <f t="shared" si="3"/>
        <v>3.1141079582258785E-2</v>
      </c>
      <c r="T15" s="383"/>
    </row>
    <row r="16" spans="1:20" ht="14.1" customHeight="1" x14ac:dyDescent="0.2">
      <c r="A16" s="250"/>
      <c r="B16" s="37" t="s">
        <v>51</v>
      </c>
      <c r="C16" s="314">
        <f>+[3]DHL_Mesa!$IU$19</f>
        <v>0</v>
      </c>
      <c r="D16" s="209">
        <f>+[3]DHL_Mesa!$IG$19</f>
        <v>6</v>
      </c>
      <c r="E16" s="316">
        <f t="shared" ref="E16" si="8">(C16-D16)/D16</f>
        <v>-1</v>
      </c>
      <c r="F16" s="314">
        <f>+SUM([3]DHL_Mesa!$IT$19:$IU$19)</f>
        <v>2</v>
      </c>
      <c r="G16" s="209">
        <f>+SUM([3]DHL_Mesa!$IF$19:$IG$19)</f>
        <v>18</v>
      </c>
      <c r="H16" s="315">
        <f t="shared" ref="H16" si="9">(F16-G16)/G16</f>
        <v>-0.88888888888888884</v>
      </c>
      <c r="I16" s="316">
        <f t="shared" ref="I16" si="10">+F16/$F$34</f>
        <v>8.9126559714795004E-4</v>
      </c>
      <c r="J16" s="250"/>
      <c r="K16" s="37" t="s">
        <v>51</v>
      </c>
      <c r="L16" s="314">
        <f>+[3]DHL_Mesa!$IU$64</f>
        <v>0</v>
      </c>
      <c r="M16" s="209">
        <f>+[3]DHL_Mesa!$IG$64</f>
        <v>87207</v>
      </c>
      <c r="N16" s="316">
        <f t="shared" ref="N16" si="11">(L16-M16)/M16</f>
        <v>-1</v>
      </c>
      <c r="O16" s="314">
        <f>+SUM([3]DHL_Mesa!$IT$64:$IU$64)</f>
        <v>22802</v>
      </c>
      <c r="P16" s="209">
        <f>+SUM([3]DHL_Mesa!$IF$64:$IG$64)</f>
        <v>308591</v>
      </c>
      <c r="Q16" s="315">
        <f t="shared" ref="Q16" si="12">(O16-P16)/P16</f>
        <v>-0.92610931621466597</v>
      </c>
      <c r="R16" s="316">
        <f t="shared" ref="R16" si="13">O16/$O$34</f>
        <v>4.1554412771743846E-4</v>
      </c>
      <c r="T16" s="383"/>
    </row>
    <row r="17" spans="1:20" x14ac:dyDescent="0.2">
      <c r="A17" s="250"/>
      <c r="B17" s="37" t="s">
        <v>227</v>
      </c>
      <c r="C17" s="314">
        <f>+[3]DHL_Amerijet!$IU$19</f>
        <v>0</v>
      </c>
      <c r="D17" s="209">
        <f>+[3]DHL_Amerijet!$IG$19</f>
        <v>22</v>
      </c>
      <c r="E17" s="316">
        <f t="shared" si="4"/>
        <v>-1</v>
      </c>
      <c r="F17" s="314">
        <f>+SUM([3]DHL_Amerijet!$IT$19:$IU$19)</f>
        <v>0</v>
      </c>
      <c r="G17" s="209">
        <f>+SUM([3]DHL_Amerijet!$IF$19:$IG$19)</f>
        <v>54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+[3]DHL_Amerijet!$IU$64</f>
        <v>0</v>
      </c>
      <c r="M17" s="209">
        <f>+[3]DHL_Amerijet!$IG$64</f>
        <v>644220</v>
      </c>
      <c r="N17" s="316">
        <f t="shared" si="1"/>
        <v>-1</v>
      </c>
      <c r="O17" s="314">
        <f>+SUM([3]DHL_Amerijet!$IT$64:$IU$64)</f>
        <v>0</v>
      </c>
      <c r="P17" s="209">
        <f>+SUM([3]DHL_Amerijet!$IF$64:$IG$64)</f>
        <v>1487861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206</v>
      </c>
      <c r="C18" s="314">
        <f>+[3]DHL_Swift!$IU$19</f>
        <v>0</v>
      </c>
      <c r="D18" s="209">
        <f>+[3]DHL_Swift!$IG$19</f>
        <v>4</v>
      </c>
      <c r="E18" s="316">
        <f t="shared" si="4"/>
        <v>-1</v>
      </c>
      <c r="F18" s="314">
        <f>+SUM([3]DHL_Swift!$IT$19:$IU$19)</f>
        <v>2</v>
      </c>
      <c r="G18" s="209">
        <f>+SUM([3]DHL_Swift!$IF$19:$IG$19)</f>
        <v>18</v>
      </c>
      <c r="H18" s="315">
        <f t="shared" si="5"/>
        <v>-0.88888888888888884</v>
      </c>
      <c r="I18" s="316">
        <f t="shared" si="0"/>
        <v>8.9126559714795004E-4</v>
      </c>
      <c r="J18" s="250"/>
      <c r="K18" s="37" t="s">
        <v>206</v>
      </c>
      <c r="L18" s="314">
        <f>+[3]DHL_Swift!$IU$64</f>
        <v>0</v>
      </c>
      <c r="M18" s="209">
        <f>+[3]DHL_Swift!$IG$64</f>
        <v>77765</v>
      </c>
      <c r="N18" s="316">
        <f t="shared" si="1"/>
        <v>-1</v>
      </c>
      <c r="O18" s="314">
        <f>+SUM([3]DHL_Swift!$IT$64:$IU$64)</f>
        <v>53345</v>
      </c>
      <c r="P18" s="209">
        <f>+SUM([3]DHL_Swift!$IF$64:$IG$64)</f>
        <v>243016</v>
      </c>
      <c r="Q18" s="315">
        <f t="shared" si="2"/>
        <v>-0.78048770451328309</v>
      </c>
      <c r="R18" s="316">
        <f t="shared" si="3"/>
        <v>9.7216040229307756E-4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254</v>
      </c>
      <c r="D20" s="374">
        <f>SUM(D21:D24)</f>
        <v>248</v>
      </c>
      <c r="E20" s="375">
        <f>(C20-D20)/D20</f>
        <v>2.4193548387096774E-2</v>
      </c>
      <c r="F20" s="378">
        <f>SUM(F21:F24)</f>
        <v>512</v>
      </c>
      <c r="G20" s="374">
        <f>SUM(G21:G24)</f>
        <v>486</v>
      </c>
      <c r="H20" s="376">
        <f t="shared" ref="H20:H21" si="14">(F20-G20)/G20</f>
        <v>5.3497942386831275E-2</v>
      </c>
      <c r="I20" s="375">
        <f>+F20/$F$34</f>
        <v>0.22816399286987521</v>
      </c>
      <c r="J20" s="250" t="s">
        <v>180</v>
      </c>
      <c r="K20" s="37"/>
      <c r="L20" s="378">
        <f>SUM(L21:L24)</f>
        <v>12713313</v>
      </c>
      <c r="M20" s="374">
        <f>SUM(M21:M24)</f>
        <v>11298061</v>
      </c>
      <c r="N20" s="375">
        <f>(L20-M20)/M20</f>
        <v>0.12526503441608255</v>
      </c>
      <c r="O20" s="378">
        <f>SUM(O21:O24)</f>
        <v>24692338</v>
      </c>
      <c r="P20" s="374">
        <f>SUM(P21:P24)</f>
        <v>23754187</v>
      </c>
      <c r="Q20" s="376">
        <f t="shared" ref="Q20:Q22" si="15">(O20-P20)/P20</f>
        <v>3.949413212921158E-2</v>
      </c>
      <c r="R20" s="375">
        <f>O20/$O$34</f>
        <v>0.44999368719911231</v>
      </c>
      <c r="T20" s="383"/>
    </row>
    <row r="21" spans="1:20" ht="14.1" customHeight="1" x14ac:dyDescent="0.2">
      <c r="A21" s="36"/>
      <c r="B21" s="310" t="s">
        <v>180</v>
      </c>
      <c r="C21" s="314">
        <f>+[3]FedEx!$IU$19</f>
        <v>180</v>
      </c>
      <c r="D21" s="209">
        <f>+[3]FedEx!$IG$19</f>
        <v>186</v>
      </c>
      <c r="E21" s="316">
        <f>(C21-D21)/D21</f>
        <v>-3.2258064516129031E-2</v>
      </c>
      <c r="F21" s="314">
        <f>+SUM([3]FedEx!$IT$19:$IU$19)</f>
        <v>366</v>
      </c>
      <c r="G21" s="209">
        <f>+SUM([3]FedEx!$IF$19:$IG$19)</f>
        <v>366</v>
      </c>
      <c r="H21" s="315">
        <f t="shared" si="14"/>
        <v>0</v>
      </c>
      <c r="I21" s="316">
        <f>+F21/$F$34</f>
        <v>0.16310160427807488</v>
      </c>
      <c r="J21" s="250"/>
      <c r="K21" s="310" t="s">
        <v>180</v>
      </c>
      <c r="L21" s="314">
        <f>+[3]FedEx!$IU$64</f>
        <v>12524154</v>
      </c>
      <c r="M21" s="209">
        <f>+[3]FedEx!$IG$64</f>
        <v>11101540</v>
      </c>
      <c r="N21" s="316">
        <f>(L21-M21)/M21</f>
        <v>0.12814564465830866</v>
      </c>
      <c r="O21" s="314">
        <f>+SUM([3]FedEx!$IT$64:$IU$64)</f>
        <v>24355159</v>
      </c>
      <c r="P21" s="209">
        <f>+SUM([3]FedEx!$IF$64:$IG$64)</f>
        <v>23383695</v>
      </c>
      <c r="Q21" s="315">
        <f t="shared" si="15"/>
        <v>4.1544503552582261E-2</v>
      </c>
      <c r="R21" s="316">
        <f>O21/$O$34</f>
        <v>0.44384893000940795</v>
      </c>
      <c r="T21" s="383"/>
    </row>
    <row r="22" spans="1:20" ht="14.1" customHeight="1" x14ac:dyDescent="0.2">
      <c r="A22" s="36"/>
      <c r="B22" s="310" t="s">
        <v>207</v>
      </c>
      <c r="C22" s="314">
        <f>+'[3]Mountain Cargo'!$IU$19</f>
        <v>42</v>
      </c>
      <c r="D22" s="209">
        <f>+'[3]Mountain Cargo'!$IG$19</f>
        <v>38</v>
      </c>
      <c r="E22" s="316">
        <f>(C22-D22)/D22</f>
        <v>0.10526315789473684</v>
      </c>
      <c r="F22" s="314">
        <f>+SUM('[3]Mountain Cargo'!$IT$19:$IU$19)</f>
        <v>84</v>
      </c>
      <c r="G22" s="209">
        <f>+SUM('[3]Mountain Cargo'!$IF$19:$IG$19)</f>
        <v>74</v>
      </c>
      <c r="H22" s="315">
        <f>(F22-G22)/G22</f>
        <v>0.13513513513513514</v>
      </c>
      <c r="I22" s="316">
        <f>+F22/$F$34</f>
        <v>3.7433155080213901E-2</v>
      </c>
      <c r="J22" s="355"/>
      <c r="K22" s="310" t="s">
        <v>207</v>
      </c>
      <c r="L22" s="314">
        <f>+'[3]Mountain Cargo'!$IU$64</f>
        <v>128579</v>
      </c>
      <c r="M22" s="209">
        <f>+'[3]Mountain Cargo'!$IG$64</f>
        <v>152476</v>
      </c>
      <c r="N22" s="316">
        <f>(L22-M22)/M22</f>
        <v>-0.15672630446758834</v>
      </c>
      <c r="O22" s="314">
        <f>+SUM('[3]Mountain Cargo'!$IT$64:$IU$64)</f>
        <v>222032</v>
      </c>
      <c r="P22" s="209">
        <f>+SUM('[3]Mountain Cargo'!$IF$64:$IG$64)</f>
        <v>259114</v>
      </c>
      <c r="Q22" s="315">
        <f t="shared" si="15"/>
        <v>-0.14311075433978868</v>
      </c>
      <c r="R22" s="316">
        <f>O22/$O$34</f>
        <v>4.0463158391964866E-3</v>
      </c>
      <c r="T22" s="383"/>
    </row>
    <row r="23" spans="1:20" ht="14.1" customHeight="1" x14ac:dyDescent="0.2">
      <c r="A23" s="36"/>
      <c r="B23" s="310" t="s">
        <v>174</v>
      </c>
      <c r="C23" s="314">
        <f>+[3]IFL!$IU$19</f>
        <v>32</v>
      </c>
      <c r="D23" s="209">
        <f>+[3]IFL!$IG$19</f>
        <v>24</v>
      </c>
      <c r="E23" s="316">
        <f>(C23-D23)/D23</f>
        <v>0.33333333333333331</v>
      </c>
      <c r="F23" s="314">
        <f>+SUM([3]IFL!$IT$19:$IU$19)</f>
        <v>62</v>
      </c>
      <c r="G23" s="209">
        <f>+SUM([3]IFL!$IF$19:$IG$19)</f>
        <v>46</v>
      </c>
      <c r="H23" s="315">
        <f>(F23-G23)/G23</f>
        <v>0.34782608695652173</v>
      </c>
      <c r="I23" s="316">
        <f>+F23/$F$34</f>
        <v>2.7629233511586453E-2</v>
      </c>
      <c r="J23" s="355"/>
      <c r="K23" s="310" t="s">
        <v>174</v>
      </c>
      <c r="L23" s="314">
        <f>+[3]IFL!$IU$64</f>
        <v>60580</v>
      </c>
      <c r="M23" s="209">
        <f>+[3]IFL!$IG$64</f>
        <v>44045</v>
      </c>
      <c r="N23" s="316">
        <f>(L23-M23)/M23</f>
        <v>0.37541151095470543</v>
      </c>
      <c r="O23" s="314">
        <f>+SUM([3]IFL!$IT$64:$IU$64)</f>
        <v>115147</v>
      </c>
      <c r="P23" s="209">
        <f>+SUM([3]IFL!$IF$64:$IG$64)</f>
        <v>111378</v>
      </c>
      <c r="Q23" s="315">
        <f>(O23-P23)/P23</f>
        <v>3.383971699976656E-2</v>
      </c>
      <c r="R23" s="316">
        <f>O23/$O$34</f>
        <v>2.0984413505078453E-3</v>
      </c>
      <c r="T23" s="383"/>
    </row>
    <row r="24" spans="1:20" ht="14.1" customHeight="1" x14ac:dyDescent="0.2">
      <c r="A24" s="250"/>
      <c r="B24" s="310" t="s">
        <v>84</v>
      </c>
      <c r="C24" s="314">
        <f>+'[3]CSA Air'!$IU$19</f>
        <v>0</v>
      </c>
      <c r="D24" s="209">
        <f>+'[3]CSA Air'!$IG$19</f>
        <v>0</v>
      </c>
      <c r="E24" s="316" t="e">
        <f>(C24-D24)/D24</f>
        <v>#DIV/0!</v>
      </c>
      <c r="F24" s="314">
        <f>+SUM('[3]CSA Air'!$IT$19:$IU$19)</f>
        <v>0</v>
      </c>
      <c r="G24" s="209">
        <f>+SUM('[3]CSA Air'!$IF$19:$IG$19)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Air'!$IU$64</f>
        <v>0</v>
      </c>
      <c r="M24" s="209">
        <f>+'[3]CSA Air'!$IG$64</f>
        <v>0</v>
      </c>
      <c r="N24" s="316" t="e">
        <f>(L24-M24)/M24</f>
        <v>#DIV/0!</v>
      </c>
      <c r="O24" s="314">
        <f>+SUM('[3]CSA Air'!$IT$64:$IU$64)</f>
        <v>0</v>
      </c>
      <c r="P24" s="209">
        <f>+SUM('[3]CSA Air'!$IF$64:$IG$64)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506</v>
      </c>
      <c r="D26" s="374">
        <f>SUM(D27:D28)</f>
        <v>552</v>
      </c>
      <c r="E26" s="375">
        <f>(C26-D26)/D26</f>
        <v>-8.3333333333333329E-2</v>
      </c>
      <c r="F26" s="374">
        <f>SUM(F27:F28)</f>
        <v>1032</v>
      </c>
      <c r="G26" s="374">
        <f>SUM(G27:G28)</f>
        <v>1144</v>
      </c>
      <c r="H26" s="376">
        <f>(F26-G26)/G26</f>
        <v>-9.7902097902097904E-2</v>
      </c>
      <c r="I26" s="375">
        <f>+F26/$F$34</f>
        <v>0.45989304812834225</v>
      </c>
      <c r="J26" s="250" t="s">
        <v>82</v>
      </c>
      <c r="K26" s="37"/>
      <c r="L26" s="374">
        <f>SUM(L27:L28)</f>
        <v>8210411</v>
      </c>
      <c r="M26" s="374">
        <f>SUM(M27:M28)</f>
        <v>9519178</v>
      </c>
      <c r="N26" s="375">
        <f>(L26-M26)/M26</f>
        <v>-0.13748739649578987</v>
      </c>
      <c r="O26" s="374">
        <f>SUM(O27:O28)</f>
        <v>16929266</v>
      </c>
      <c r="P26" s="374">
        <f>SUM(P27:P28)</f>
        <v>19729803</v>
      </c>
      <c r="Q26" s="376">
        <f>(O26-P26)/P26</f>
        <v>-0.14194449888830618</v>
      </c>
      <c r="R26" s="375">
        <f>O26/$O$34</f>
        <v>0.30851929974855224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+[3]UPS!$IU$19</f>
        <v>172</v>
      </c>
      <c r="D27" s="209">
        <f>+[3]UPS!$IG$19</f>
        <v>222</v>
      </c>
      <c r="E27" s="316">
        <f>(C27-D27)/D27</f>
        <v>-0.22522522522522523</v>
      </c>
      <c r="F27" s="314">
        <f>+SUM([3]UPS!$IT$19:$IU$19)</f>
        <v>344</v>
      </c>
      <c r="G27" s="209">
        <f>+SUM([3]UPS!$IF$19:$IG$19)</f>
        <v>460</v>
      </c>
      <c r="H27" s="315">
        <f>(F27-G27)/G27</f>
        <v>-0.25217391304347825</v>
      </c>
      <c r="I27" s="316">
        <f>+F27/$F$34</f>
        <v>0.15329768270944741</v>
      </c>
      <c r="J27" s="250"/>
      <c r="K27" s="310" t="s">
        <v>82</v>
      </c>
      <c r="L27" s="314">
        <f>+[3]UPS!$IU$64</f>
        <v>8210411</v>
      </c>
      <c r="M27" s="209">
        <f>+[3]UPS!$IG$64</f>
        <v>9519178</v>
      </c>
      <c r="N27" s="316">
        <f>(L27-M27)/M27</f>
        <v>-0.13748739649578987</v>
      </c>
      <c r="O27" s="314">
        <f>+SUM([3]UPS!$IT$64:$IU$64)</f>
        <v>16929266</v>
      </c>
      <c r="P27" s="209">
        <f>+SUM([3]UPS!$IF$64:$IG$64)</f>
        <v>19729803</v>
      </c>
      <c r="Q27" s="315">
        <f>(O27-P27)/P27</f>
        <v>-0.14194449888830618</v>
      </c>
      <c r="R27" s="316">
        <f>O27/$O$34</f>
        <v>0.30851929974855224</v>
      </c>
      <c r="S27" s="332"/>
      <c r="T27" s="385"/>
    </row>
    <row r="28" spans="1:20" x14ac:dyDescent="0.2">
      <c r="A28" s="250"/>
      <c r="B28" s="310" t="s">
        <v>83</v>
      </c>
      <c r="C28" s="314">
        <f>+[3]Bemidji!$IU$19</f>
        <v>334</v>
      </c>
      <c r="D28" s="209">
        <f>+[3]Bemidji!$IG$19</f>
        <v>330</v>
      </c>
      <c r="E28" s="316">
        <f>(C28-D28)/D28</f>
        <v>1.2121212121212121E-2</v>
      </c>
      <c r="F28" s="314">
        <f>+SUM([3]Bemidji!$IT$19:$IU$19)</f>
        <v>688</v>
      </c>
      <c r="G28" s="209">
        <f>+SUM([3]Bemidji!$IF$19:$IG$19)</f>
        <v>684</v>
      </c>
      <c r="H28" s="315">
        <f t="shared" ref="H28" si="18">(F28-G28)/G28</f>
        <v>5.8479532163742687E-3</v>
      </c>
      <c r="I28" s="316">
        <f>+F28/$F$34</f>
        <v>0.30659536541889482</v>
      </c>
      <c r="J28" s="250"/>
      <c r="K28" s="310" t="s">
        <v>83</v>
      </c>
      <c r="L28" s="476" t="s">
        <v>183</v>
      </c>
      <c r="M28" s="477"/>
      <c r="N28" s="477"/>
      <c r="O28" s="477"/>
      <c r="P28" s="477"/>
      <c r="Q28" s="477"/>
      <c r="R28" s="478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Cargo'!$IU$19</f>
        <v>0</v>
      </c>
      <c r="D30" s="374">
        <f>+'[3]Misc Cargo'!$IG$19</f>
        <v>0</v>
      </c>
      <c r="E30" s="375" t="e">
        <f>(C30-D30)/D30</f>
        <v>#DIV/0!</v>
      </c>
      <c r="F30" s="378">
        <f>+SUM('[3]Misc Cargo'!$IT$19:$IU$19)</f>
        <v>0</v>
      </c>
      <c r="G30" s="374">
        <f>+SUM('[3]Misc Cargo'!$IF$19:$IG$19)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Cargo'!$IU$64</f>
        <v>0</v>
      </c>
      <c r="M30" s="374">
        <f>+'[3]Misc Cargo'!$IG$64</f>
        <v>0</v>
      </c>
      <c r="N30" s="375" t="e">
        <f>(L30-M30)/M30</f>
        <v>#DIV/0!</v>
      </c>
      <c r="O30" s="378">
        <f>+SUM('[3]Misc Cargo'!$IT$64:$IU$64)</f>
        <v>0</v>
      </c>
      <c r="P30" s="374">
        <f>+SUM('[3]Misc Cargo'!$IF$64:$IG$64)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1112</v>
      </c>
      <c r="D34" s="336">
        <f>+D30+D26+D20+D9+D5</f>
        <v>1073</v>
      </c>
      <c r="E34" s="337">
        <f>(C34-D34)/D34</f>
        <v>3.6346691519105315E-2</v>
      </c>
      <c r="F34" s="336">
        <f>+F30+F26+F20+F9+F5</f>
        <v>2244</v>
      </c>
      <c r="G34" s="336">
        <f>+G30+G26+G20+G9+G5</f>
        <v>2200</v>
      </c>
      <c r="H34" s="338">
        <f>(F34-G34)/G34</f>
        <v>0.02</v>
      </c>
      <c r="I34" s="344"/>
      <c r="K34" s="335" t="s">
        <v>181</v>
      </c>
      <c r="L34" s="336">
        <f>+L30+L26+L20+L9+L5</f>
        <v>27398977</v>
      </c>
      <c r="M34" s="336">
        <f>+M30+M26+M20+M9+M5</f>
        <v>27398108</v>
      </c>
      <c r="N34" s="339">
        <f>(L34-M34)/M34</f>
        <v>3.1717518596539587E-5</v>
      </c>
      <c r="O34" s="336">
        <f>+O30+O26+O20+O9+O5</f>
        <v>54872632</v>
      </c>
      <c r="P34" s="336">
        <f>+P30+P26+P20+P9+P5</f>
        <v>56974925</v>
      </c>
      <c r="Q34" s="338">
        <f t="shared" ref="Q34" si="19">(O34-P34)/P34</f>
        <v>-3.6898565465421848E-2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February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topLeftCell="A3" zoomScaleNormal="100" zoomScaleSheetLayoutView="100" workbookViewId="0">
      <selection activeCell="F33" sqref="F3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388">
        <v>45323</v>
      </c>
      <c r="B1" s="318" t="s">
        <v>18</v>
      </c>
      <c r="C1" s="317" t="s">
        <v>186</v>
      </c>
      <c r="D1" s="356" t="s">
        <v>155</v>
      </c>
      <c r="E1" s="317" t="s">
        <v>161</v>
      </c>
      <c r="F1" s="317" t="s">
        <v>232</v>
      </c>
      <c r="G1" s="317" t="s">
        <v>49</v>
      </c>
      <c r="H1" s="317" t="s">
        <v>113</v>
      </c>
      <c r="I1" s="317" t="s">
        <v>185</v>
      </c>
      <c r="J1" s="317" t="s">
        <v>236</v>
      </c>
      <c r="K1" s="317" t="s">
        <v>187</v>
      </c>
      <c r="L1" s="317" t="s">
        <v>159</v>
      </c>
      <c r="M1" s="317" t="s">
        <v>194</v>
      </c>
      <c r="N1" s="317" t="s">
        <v>154</v>
      </c>
      <c r="O1" s="317" t="s">
        <v>47</v>
      </c>
      <c r="P1" s="317" t="s">
        <v>137</v>
      </c>
      <c r="Q1" s="317" t="s">
        <v>21</v>
      </c>
    </row>
    <row r="2" spans="1:19" ht="15" x14ac:dyDescent="0.25">
      <c r="A2" s="489" t="s">
        <v>138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1"/>
    </row>
    <row r="3" spans="1:19" x14ac:dyDescent="0.2">
      <c r="A3" s="43" t="s">
        <v>29</v>
      </c>
      <c r="Q3" s="37"/>
    </row>
    <row r="4" spans="1:19" x14ac:dyDescent="0.2">
      <c r="A4" s="43" t="s">
        <v>30</v>
      </c>
      <c r="B4" s="11">
        <f>[3]Delta!$IU$32</f>
        <v>95439</v>
      </c>
      <c r="C4" s="11">
        <f>'[3]Atlantic Southeast'!$IU$32</f>
        <v>0</v>
      </c>
      <c r="D4" s="11">
        <f>[3]Pinnacle!$IU$32</f>
        <v>1370</v>
      </c>
      <c r="E4" s="11">
        <f>'[3]Sky West'!$IU$32</f>
        <v>7115</v>
      </c>
      <c r="F4" s="11">
        <f>[3]WestJet!$IU$32</f>
        <v>3551</v>
      </c>
      <c r="G4" s="11">
        <f>'[3]Sun Country'!$IU$32</f>
        <v>39552</v>
      </c>
      <c r="H4" s="11">
        <f>[3]Icelandair!$IU$32</f>
        <v>0</v>
      </c>
      <c r="I4" s="11">
        <f>[3]KLM!$IU$32</f>
        <v>2513</v>
      </c>
      <c r="J4" s="11">
        <f>[3]Jazz_AC!$IU$32</f>
        <v>3452</v>
      </c>
      <c r="K4" s="11">
        <f>'[3]Sky Regional'!$IU$32</f>
        <v>0</v>
      </c>
      <c r="L4" s="11">
        <f>[3]Condor!$IU$32</f>
        <v>0</v>
      </c>
      <c r="M4" s="11">
        <f>'[3]Aer Lingus'!$IU$32</f>
        <v>0</v>
      </c>
      <c r="N4" s="11">
        <f>'[3]Air France'!$IU$32</f>
        <v>0</v>
      </c>
      <c r="O4" s="11">
        <f>[3]Frontier!$IU$32</f>
        <v>4650</v>
      </c>
      <c r="P4" s="11">
        <f>'[3]Charter Misc'!$IU$32+[3]Ryan!$IU$32+[3]Omni!$IU$32</f>
        <v>240</v>
      </c>
      <c r="Q4" s="197">
        <f>SUM(B4:P4)</f>
        <v>157882</v>
      </c>
    </row>
    <row r="5" spans="1:19" x14ac:dyDescent="0.2">
      <c r="A5" s="43" t="s">
        <v>31</v>
      </c>
      <c r="B5" s="7">
        <f>[3]Delta!$IU$33</f>
        <v>100982</v>
      </c>
      <c r="C5" s="7">
        <f>'[3]Atlantic Southeast'!$IU$33</f>
        <v>0</v>
      </c>
      <c r="D5" s="7">
        <f>[3]Pinnacle!$IU$33</f>
        <v>1225</v>
      </c>
      <c r="E5" s="7">
        <f>'[3]Sky West'!$IU$33</f>
        <v>7144</v>
      </c>
      <c r="F5" s="7">
        <f>[3]WestJet!$IU$33</f>
        <v>3564</v>
      </c>
      <c r="G5" s="7">
        <f>'[3]Sun Country'!$IU$33</f>
        <v>41585</v>
      </c>
      <c r="H5" s="7">
        <f>[3]Icelandair!$IU$33</f>
        <v>0</v>
      </c>
      <c r="I5" s="7">
        <f>[3]KLM!$IU$33</f>
        <v>1919</v>
      </c>
      <c r="J5" s="7">
        <f>[3]Jazz_AC!$IU$33</f>
        <v>3106</v>
      </c>
      <c r="K5" s="7">
        <f>'[3]Sky Regional'!$IU$33</f>
        <v>0</v>
      </c>
      <c r="L5" s="7">
        <f>[3]Condor!$IU$33</f>
        <v>0</v>
      </c>
      <c r="M5" s="7">
        <f>'[3]Aer Lingus'!$IU$33</f>
        <v>0</v>
      </c>
      <c r="N5" s="7">
        <f>'[3]Air France'!$IU$33</f>
        <v>0</v>
      </c>
      <c r="O5" s="7">
        <f>[3]Frontier!$IU$33</f>
        <v>5072</v>
      </c>
      <c r="P5" s="7">
        <f>'[3]Charter Misc'!$IU$33++[3]Ryan!$IU$33+[3]Omni!$IU$33</f>
        <v>0</v>
      </c>
      <c r="Q5" s="198">
        <f>SUM(B5:P5)</f>
        <v>164597</v>
      </c>
    </row>
    <row r="6" spans="1:19" ht="15" x14ac:dyDescent="0.25">
      <c r="A6" s="41" t="s">
        <v>7</v>
      </c>
      <c r="B6" s="23">
        <f t="shared" ref="B6:P6" si="0">SUM(B4:B5)</f>
        <v>196421</v>
      </c>
      <c r="C6" s="23">
        <f t="shared" si="0"/>
        <v>0</v>
      </c>
      <c r="D6" s="23">
        <f t="shared" si="0"/>
        <v>2595</v>
      </c>
      <c r="E6" s="23">
        <f t="shared" si="0"/>
        <v>14259</v>
      </c>
      <c r="F6" s="23">
        <f t="shared" ref="F6" si="1">SUM(F4:F5)</f>
        <v>7115</v>
      </c>
      <c r="G6" s="23">
        <f t="shared" si="0"/>
        <v>81137</v>
      </c>
      <c r="H6" s="23">
        <f t="shared" si="0"/>
        <v>0</v>
      </c>
      <c r="I6" s="23">
        <f t="shared" ref="I6" si="2">SUM(I4:I5)</f>
        <v>4432</v>
      </c>
      <c r="J6" s="23">
        <f t="shared" si="0"/>
        <v>6558</v>
      </c>
      <c r="K6" s="23">
        <f t="shared" ref="K6" si="3">SUM(K4:K5)</f>
        <v>0</v>
      </c>
      <c r="L6" s="23">
        <f t="shared" ref="L6:M6" si="4">SUM(L4:L5)</f>
        <v>0</v>
      </c>
      <c r="M6" s="23">
        <f t="shared" si="4"/>
        <v>0</v>
      </c>
      <c r="N6" s="23">
        <f t="shared" si="0"/>
        <v>0</v>
      </c>
      <c r="O6" s="23">
        <f t="shared" si="0"/>
        <v>9722</v>
      </c>
      <c r="P6" s="23">
        <f t="shared" si="0"/>
        <v>240</v>
      </c>
      <c r="Q6" s="199">
        <f>SUM(B6:P6)</f>
        <v>322479</v>
      </c>
    </row>
    <row r="7" spans="1:19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97"/>
    </row>
    <row r="8" spans="1:19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97">
        <f>SUM(B8:P8)</f>
        <v>0</v>
      </c>
    </row>
    <row r="9" spans="1:19" x14ac:dyDescent="0.2">
      <c r="A9" s="43" t="s">
        <v>30</v>
      </c>
      <c r="B9" s="11">
        <f>[3]Delta!$IU$37</f>
        <v>3069</v>
      </c>
      <c r="C9" s="11">
        <f>'[3]Atlantic Southeast'!$IU$37</f>
        <v>0</v>
      </c>
      <c r="D9" s="11">
        <f>[3]Pinnacle!$IU$37</f>
        <v>31</v>
      </c>
      <c r="E9" s="11">
        <f>'[3]Sky West'!$IU$37</f>
        <v>99</v>
      </c>
      <c r="F9" s="11">
        <f>[3]WestJet!$IU$37</f>
        <v>1</v>
      </c>
      <c r="G9" s="11">
        <f>'[3]Sun Country'!$IU$37</f>
        <v>499</v>
      </c>
      <c r="H9" s="11">
        <f>[3]Icelandair!$IU$37</f>
        <v>0</v>
      </c>
      <c r="I9" s="11">
        <f>[3]KLM!$IU$37</f>
        <v>7</v>
      </c>
      <c r="J9" s="11">
        <f>[3]Jazz_AC!$IU$37</f>
        <v>67</v>
      </c>
      <c r="K9" s="11">
        <f>'[3]Sky Regional'!$IU$37</f>
        <v>0</v>
      </c>
      <c r="L9" s="11">
        <f>[3]Condor!$IU$37</f>
        <v>0</v>
      </c>
      <c r="M9" s="11">
        <f>'[3]Aer Lingus'!$IU$37</f>
        <v>0</v>
      </c>
      <c r="N9" s="11">
        <f>'[3]Air France'!$IU$37</f>
        <v>0</v>
      </c>
      <c r="O9" s="11">
        <f>[3]Frontier!$IU$37</f>
        <v>5</v>
      </c>
      <c r="P9" s="11">
        <f>'[3]Charter Misc'!$IU$37+[3]Ryan!$IU$37+[3]Omni!$IU$37</f>
        <v>0</v>
      </c>
      <c r="Q9" s="197">
        <f>SUM(B9:P9)</f>
        <v>3778</v>
      </c>
    </row>
    <row r="10" spans="1:19" x14ac:dyDescent="0.2">
      <c r="A10" s="43" t="s">
        <v>33</v>
      </c>
      <c r="B10" s="7">
        <f>[3]Delta!$IU$38</f>
        <v>3192</v>
      </c>
      <c r="C10" s="7">
        <f>'[3]Atlantic Southeast'!$IU$38</f>
        <v>0</v>
      </c>
      <c r="D10" s="7">
        <f>[3]Pinnacle!$IU$38</f>
        <v>22</v>
      </c>
      <c r="E10" s="7">
        <f>'[3]Sky West'!$IU$38</f>
        <v>90</v>
      </c>
      <c r="F10" s="7">
        <f>[3]WestJet!$IU$38</f>
        <v>1</v>
      </c>
      <c r="G10" s="7">
        <f>'[3]Sun Country'!$IU$38</f>
        <v>527</v>
      </c>
      <c r="H10" s="7">
        <f>[3]Icelandair!$IU$38</f>
        <v>0</v>
      </c>
      <c r="I10" s="7">
        <f>[3]KLM!$IU$38</f>
        <v>0</v>
      </c>
      <c r="J10" s="7">
        <f>[3]Jazz_AC!$IU$38</f>
        <v>51</v>
      </c>
      <c r="K10" s="7">
        <f>'[3]Sky Regional'!$IU$38</f>
        <v>0</v>
      </c>
      <c r="L10" s="7">
        <f>[3]Condor!$IU$38</f>
        <v>0</v>
      </c>
      <c r="M10" s="7">
        <f>'[3]Aer Lingus'!$IU$38</f>
        <v>0</v>
      </c>
      <c r="N10" s="7">
        <f>'[3]Air France'!$IU$38</f>
        <v>0</v>
      </c>
      <c r="O10" s="7">
        <f>[3]Frontier!$IU$38</f>
        <v>2</v>
      </c>
      <c r="P10" s="7">
        <f>'[3]Charter Misc'!$IU$38+[3]Ryan!$IU$38+[3]Omni!$IU$38</f>
        <v>0</v>
      </c>
      <c r="Q10" s="198">
        <f>SUM(B10:P10)</f>
        <v>3885</v>
      </c>
    </row>
    <row r="11" spans="1:19" ht="15.75" thickBot="1" x14ac:dyDescent="0.3">
      <c r="A11" s="44" t="s">
        <v>34</v>
      </c>
      <c r="B11" s="200">
        <f t="shared" ref="B11:G11" si="5">SUM(B9:B10)</f>
        <v>6261</v>
      </c>
      <c r="C11" s="200">
        <f t="shared" si="5"/>
        <v>0</v>
      </c>
      <c r="D11" s="200">
        <f t="shared" si="5"/>
        <v>53</v>
      </c>
      <c r="E11" s="200">
        <f t="shared" si="5"/>
        <v>189</v>
      </c>
      <c r="F11" s="200">
        <f t="shared" ref="F11" si="6">SUM(F9:F10)</f>
        <v>2</v>
      </c>
      <c r="G11" s="200">
        <f t="shared" si="5"/>
        <v>1026</v>
      </c>
      <c r="H11" s="200">
        <f t="shared" ref="H11:P11" si="7">SUM(H9:H10)</f>
        <v>0</v>
      </c>
      <c r="I11" s="200">
        <f t="shared" ref="I11" si="8">SUM(I9:I10)</f>
        <v>7</v>
      </c>
      <c r="J11" s="200">
        <f t="shared" si="7"/>
        <v>118</v>
      </c>
      <c r="K11" s="200">
        <f t="shared" ref="K11" si="9">SUM(K9:K10)</f>
        <v>0</v>
      </c>
      <c r="L11" s="200">
        <f t="shared" si="7"/>
        <v>0</v>
      </c>
      <c r="M11" s="200">
        <f t="shared" ref="M11" si="10">SUM(M9:M10)</f>
        <v>0</v>
      </c>
      <c r="N11" s="200">
        <f t="shared" si="7"/>
        <v>0</v>
      </c>
      <c r="O11" s="200">
        <f t="shared" si="7"/>
        <v>7</v>
      </c>
      <c r="P11" s="200">
        <f t="shared" si="7"/>
        <v>0</v>
      </c>
      <c r="Q11" s="201">
        <f>SUM(B11:P11)</f>
        <v>7663</v>
      </c>
      <c r="S11" s="222"/>
    </row>
    <row r="12" spans="1:19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3"/>
    </row>
    <row r="13" spans="1:19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232</v>
      </c>
      <c r="G13" s="317" t="s">
        <v>49</v>
      </c>
      <c r="H13" s="317" t="s">
        <v>113</v>
      </c>
      <c r="I13" s="317" t="s">
        <v>185</v>
      </c>
      <c r="J13" s="317" t="s">
        <v>236</v>
      </c>
      <c r="K13" s="317" t="s">
        <v>187</v>
      </c>
      <c r="L13" s="317" t="s">
        <v>159</v>
      </c>
      <c r="M13" s="317" t="s">
        <v>194</v>
      </c>
      <c r="N13" s="317" t="s">
        <v>154</v>
      </c>
      <c r="O13" s="317" t="s">
        <v>47</v>
      </c>
      <c r="P13" s="317" t="s">
        <v>137</v>
      </c>
      <c r="Q13" s="317" t="s">
        <v>21</v>
      </c>
    </row>
    <row r="14" spans="1:19" ht="15" x14ac:dyDescent="0.25">
      <c r="A14" s="492" t="s">
        <v>139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4"/>
    </row>
    <row r="15" spans="1:19" x14ac:dyDescent="0.2">
      <c r="A15" s="43" t="s">
        <v>29</v>
      </c>
      <c r="Q15" s="37"/>
    </row>
    <row r="16" spans="1:19" x14ac:dyDescent="0.2">
      <c r="A16" s="43"/>
      <c r="Q16" s="37"/>
    </row>
    <row r="17" spans="1:20" x14ac:dyDescent="0.2">
      <c r="A17" s="43" t="s">
        <v>30</v>
      </c>
      <c r="B17" s="11">
        <f>SUM([3]Delta!$IT$32:$IU$32)</f>
        <v>197042</v>
      </c>
      <c r="C17" s="11">
        <f>SUM('[3]Atlantic Southeast'!$IT$32:$IU$32)</f>
        <v>0</v>
      </c>
      <c r="D17" s="11">
        <f>SUM([3]Pinnacle!$IT$32:$IU$32)</f>
        <v>2420</v>
      </c>
      <c r="E17" s="11">
        <f>SUM('[3]Sky West'!$IT$32:$IU$32)</f>
        <v>14476</v>
      </c>
      <c r="F17" s="11">
        <f>SUM([3]WestJet!$IT$32:$IU$32)</f>
        <v>7351</v>
      </c>
      <c r="G17" s="11">
        <f>SUM('[3]Sun Country'!$IT$32:$IU$32)</f>
        <v>65836</v>
      </c>
      <c r="H17" s="11">
        <f>SUM([3]Icelandair!$IT$32:$IU$32)</f>
        <v>718</v>
      </c>
      <c r="I17" s="11">
        <f>SUM([3]KLM!$IT$32:$IU$32)</f>
        <v>5595</v>
      </c>
      <c r="J17" s="11">
        <f>SUM([3]Jazz_AC!$IT$32:$IU$32)</f>
        <v>7426</v>
      </c>
      <c r="K17" s="11">
        <f>SUM('[3]Sky Regional'!$IT$32:$IU$32)</f>
        <v>0</v>
      </c>
      <c r="L17" s="11">
        <f>SUM([3]Condor!$IT$32:$IU$32)</f>
        <v>0</v>
      </c>
      <c r="M17" s="11">
        <f>SUM('[3]Aer Lingus'!$IT$32:$IU$32)</f>
        <v>0</v>
      </c>
      <c r="N17" s="11">
        <f>SUM('[3]Air France'!$IT$32:$IU$32)</f>
        <v>0</v>
      </c>
      <c r="O17" s="11">
        <f>SUM([3]Frontier!$IT$32:$IU$32)</f>
        <v>9070</v>
      </c>
      <c r="P17" s="11">
        <f>SUM('[3]Charter Misc'!$IT$32:$IU$32)+SUM([3]Ryan!$IT$32:$IU$32)+SUM([3]Omni!$IT$32:$IU$32)</f>
        <v>240</v>
      </c>
      <c r="Q17" s="197">
        <f>SUM(B17:P17)</f>
        <v>310174</v>
      </c>
    </row>
    <row r="18" spans="1:20" x14ac:dyDescent="0.2">
      <c r="A18" s="43" t="s">
        <v>31</v>
      </c>
      <c r="B18" s="7">
        <f>SUM([3]Delta!$IT$33:$IU$33)</f>
        <v>200346</v>
      </c>
      <c r="C18" s="7">
        <f>SUM('[3]Atlantic Southeast'!$IT$33:$IU$33)</f>
        <v>0</v>
      </c>
      <c r="D18" s="7">
        <f>SUM([3]Pinnacle!$IT$33:$IU$33)</f>
        <v>2159</v>
      </c>
      <c r="E18" s="7">
        <f>SUM('[3]Sky West'!$IT$33:$IU$33)</f>
        <v>14867</v>
      </c>
      <c r="F18" s="7">
        <f>SUM([3]WestJet!$IT$33:$IU$33)</f>
        <v>7182</v>
      </c>
      <c r="G18" s="7">
        <f>SUM('[3]Sun Country'!$IT$33:$IU$33)</f>
        <v>69381</v>
      </c>
      <c r="H18" s="7">
        <f>SUM([3]Icelandair!$IT$33:$IU$33)</f>
        <v>430</v>
      </c>
      <c r="I18" s="7">
        <f>SUM([3]KLM!$IT$33:$IU$33)</f>
        <v>4163</v>
      </c>
      <c r="J18" s="7">
        <f>SUM([3]Jazz_AC!$IT$33:$IU$33)</f>
        <v>6659</v>
      </c>
      <c r="K18" s="7">
        <f>SUM('[3]Sky Regional'!$IT$33:$IU$33)</f>
        <v>0</v>
      </c>
      <c r="L18" s="7">
        <f>SUM([3]Condor!$IT$33:$IU$33)</f>
        <v>0</v>
      </c>
      <c r="M18" s="7">
        <f>SUM('[3]Aer Lingus'!$IT$33:$IU$33)</f>
        <v>0</v>
      </c>
      <c r="N18" s="7">
        <f>SUM('[3]Air France'!$IT$33:$IU$33)</f>
        <v>0</v>
      </c>
      <c r="O18" s="7">
        <f>SUM([3]Frontier!$IT$33:$IU$33)</f>
        <v>9053</v>
      </c>
      <c r="P18" s="7">
        <f>SUM('[3]Charter Misc'!$IT$33:$IU$33)++SUM([3]Ryan!$IT$33:$IU$33)+SUM([3]Omni!$IT$33:$IU$33)</f>
        <v>0</v>
      </c>
      <c r="Q18" s="198">
        <f>SUM(B18:P18)</f>
        <v>314240</v>
      </c>
    </row>
    <row r="19" spans="1:20" ht="15" x14ac:dyDescent="0.25">
      <c r="A19" s="41" t="s">
        <v>7</v>
      </c>
      <c r="B19" s="23">
        <f t="shared" ref="B19:P19" si="11">SUM(B17:B18)</f>
        <v>397388</v>
      </c>
      <c r="C19" s="23">
        <f t="shared" si="11"/>
        <v>0</v>
      </c>
      <c r="D19" s="23">
        <f t="shared" si="11"/>
        <v>4579</v>
      </c>
      <c r="E19" s="23">
        <f t="shared" si="11"/>
        <v>29343</v>
      </c>
      <c r="F19" s="23">
        <f t="shared" ref="F19" si="12">SUM(F17:F18)</f>
        <v>14533</v>
      </c>
      <c r="G19" s="23">
        <f t="shared" si="11"/>
        <v>135217</v>
      </c>
      <c r="H19" s="23">
        <f t="shared" si="11"/>
        <v>1148</v>
      </c>
      <c r="I19" s="23">
        <f t="shared" ref="I19" si="13">SUM(I17:I18)</f>
        <v>9758</v>
      </c>
      <c r="J19" s="23">
        <f t="shared" si="11"/>
        <v>14085</v>
      </c>
      <c r="K19" s="23">
        <f t="shared" ref="K19" si="14">SUM(K17:K18)</f>
        <v>0</v>
      </c>
      <c r="L19" s="23">
        <f t="shared" ref="L19:M19" si="15">SUM(L17:L18)</f>
        <v>0</v>
      </c>
      <c r="M19" s="23">
        <f t="shared" si="15"/>
        <v>0</v>
      </c>
      <c r="N19" s="23">
        <f t="shared" si="11"/>
        <v>0</v>
      </c>
      <c r="O19" s="23">
        <f t="shared" si="11"/>
        <v>18123</v>
      </c>
      <c r="P19" s="23">
        <f t="shared" si="11"/>
        <v>240</v>
      </c>
      <c r="Q19" s="199">
        <f>SUM(B19:P19)</f>
        <v>624414</v>
      </c>
      <c r="T19" s="222"/>
    </row>
    <row r="20" spans="1:20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97"/>
      <c r="T20" s="89"/>
    </row>
    <row r="21" spans="1:20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97">
        <f>SUM(B21:P21)</f>
        <v>0</v>
      </c>
    </row>
    <row r="22" spans="1:20" x14ac:dyDescent="0.2">
      <c r="A22" s="43" t="s">
        <v>30</v>
      </c>
      <c r="B22" s="11">
        <f>SUM([3]Delta!$IT$37:$IU$37)</f>
        <v>6013</v>
      </c>
      <c r="C22" s="11">
        <f>SUM('[3]Atlantic Southeast'!$IT$37:$IU$37)</f>
        <v>0</v>
      </c>
      <c r="D22" s="11">
        <f>SUM([3]Pinnacle!$IT$37:$IU$37)</f>
        <v>50</v>
      </c>
      <c r="E22" s="11">
        <f>SUM('[3]Sky West'!$IT$37:$IU$37)</f>
        <v>222</v>
      </c>
      <c r="F22" s="11">
        <f>SUM([3]WestJet!$IT$37:$IU$37)</f>
        <v>1</v>
      </c>
      <c r="G22" s="11">
        <f>SUM('[3]Sun Country'!$IT$37:$IU$37)</f>
        <v>976</v>
      </c>
      <c r="H22" s="11">
        <f>SUM([3]Icelandair!$IT$37:$IU$37)</f>
        <v>14</v>
      </c>
      <c r="I22" s="11">
        <f>SUM([3]KLM!$IT$37:$IU$37)</f>
        <v>13</v>
      </c>
      <c r="J22" s="11">
        <f>SUM([3]Jazz_AC!$IT$37:$IU$37)</f>
        <v>113</v>
      </c>
      <c r="K22" s="11">
        <f>SUM('[3]Sky Regional'!$IT$37:$IU$37)</f>
        <v>0</v>
      </c>
      <c r="L22" s="11">
        <f>SUM([3]Condor!$IT$37:$IU$37)</f>
        <v>0</v>
      </c>
      <c r="M22" s="11">
        <f>SUM('[3]Aer Lingus'!$IT$37:$IU$37)</f>
        <v>0</v>
      </c>
      <c r="N22" s="11">
        <f>SUM('[3]Air France'!$IT$37:$IU$37)</f>
        <v>0</v>
      </c>
      <c r="O22" s="11">
        <f>SUM([3]Frontier!$IT$37:$IU$37)</f>
        <v>9</v>
      </c>
      <c r="P22" s="11">
        <f>SUM('[3]Charter Misc'!$IT$37:$IU$37)++SUM([3]Ryan!$IT$37:$IU$37)+SUM([3]Omni!$IT$37:$IU$37)</f>
        <v>0</v>
      </c>
      <c r="Q22" s="197">
        <f>SUM(B22:P22)</f>
        <v>7411</v>
      </c>
    </row>
    <row r="23" spans="1:20" x14ac:dyDescent="0.2">
      <c r="A23" s="43" t="s">
        <v>33</v>
      </c>
      <c r="B23" s="7">
        <f>SUM([3]Delta!$IT$38:$IU$38)</f>
        <v>5845</v>
      </c>
      <c r="C23" s="7">
        <f>SUM('[3]Atlantic Southeast'!$IT$38:$IU$38)</f>
        <v>0</v>
      </c>
      <c r="D23" s="7">
        <f>SUM([3]Pinnacle!$IT$38:$IU$38)</f>
        <v>36</v>
      </c>
      <c r="E23" s="7">
        <f>SUM('[3]Sky West'!$IT$38:$IU$38)</f>
        <v>186</v>
      </c>
      <c r="F23" s="7">
        <f>SUM([3]WestJet!$IT$38:$IU$38)</f>
        <v>2</v>
      </c>
      <c r="G23" s="7">
        <f>SUM('[3]Sun Country'!$IT$38:$IU$38)</f>
        <v>1030</v>
      </c>
      <c r="H23" s="7">
        <f>SUM([3]Icelandair!$IT$38:$IU$38)</f>
        <v>12</v>
      </c>
      <c r="I23" s="7">
        <f>SUM([3]KLM!$IT$38:$IU$38)</f>
        <v>0</v>
      </c>
      <c r="J23" s="7">
        <f>SUM([3]Jazz_AC!$IT$38:$IU$38)</f>
        <v>97</v>
      </c>
      <c r="K23" s="7">
        <f>SUM('[3]Sky Regional'!$IT$38:$IU$38)</f>
        <v>0</v>
      </c>
      <c r="L23" s="7">
        <f>SUM([3]Condor!$IT$38:$IU$38)</f>
        <v>0</v>
      </c>
      <c r="M23" s="7">
        <f>SUM('[3]Aer Lingus'!$IT$38:$IU$38)</f>
        <v>0</v>
      </c>
      <c r="N23" s="7">
        <f>SUM('[3]Air France'!$IT$38:$IU$38)</f>
        <v>0</v>
      </c>
      <c r="O23" s="7">
        <f>SUM([3]Frontier!$IT$38:$IU$38)</f>
        <v>6</v>
      </c>
      <c r="P23" s="7">
        <f>SUM('[3]Charter Misc'!$IT$38:$IU$38)++SUM([3]Ryan!$IT$38:$IU$38)+SUM([3]Omni!$IT$38:$IU$38)</f>
        <v>0</v>
      </c>
      <c r="Q23" s="198">
        <f>SUM(B23:P23)</f>
        <v>7214</v>
      </c>
    </row>
    <row r="24" spans="1:20" ht="15.75" thickBot="1" x14ac:dyDescent="0.3">
      <c r="A24" s="44" t="s">
        <v>34</v>
      </c>
      <c r="B24" s="200">
        <f t="shared" ref="B24:P24" si="16">SUM(B22:B23)</f>
        <v>11858</v>
      </c>
      <c r="C24" s="200">
        <f t="shared" si="16"/>
        <v>0</v>
      </c>
      <c r="D24" s="200">
        <f t="shared" si="16"/>
        <v>86</v>
      </c>
      <c r="E24" s="200">
        <f t="shared" si="16"/>
        <v>408</v>
      </c>
      <c r="F24" s="200">
        <f t="shared" ref="F24" si="17">SUM(F22:F23)</f>
        <v>3</v>
      </c>
      <c r="G24" s="200">
        <f t="shared" si="16"/>
        <v>2006</v>
      </c>
      <c r="H24" s="200">
        <f t="shared" si="16"/>
        <v>26</v>
      </c>
      <c r="I24" s="200">
        <f t="shared" ref="I24" si="18">SUM(I22:I23)</f>
        <v>13</v>
      </c>
      <c r="J24" s="200">
        <f t="shared" si="16"/>
        <v>210</v>
      </c>
      <c r="K24" s="200">
        <f t="shared" ref="K24" si="19">SUM(K22:K23)</f>
        <v>0</v>
      </c>
      <c r="L24" s="200">
        <f t="shared" ref="L24:M24" si="20">SUM(L22:L23)</f>
        <v>0</v>
      </c>
      <c r="M24" s="200">
        <f t="shared" si="20"/>
        <v>0</v>
      </c>
      <c r="N24" s="200">
        <f t="shared" si="16"/>
        <v>0</v>
      </c>
      <c r="O24" s="200">
        <f t="shared" si="16"/>
        <v>15</v>
      </c>
      <c r="P24" s="200">
        <f t="shared" si="16"/>
        <v>0</v>
      </c>
      <c r="Q24" s="201">
        <f>SUM(B24:P24)</f>
        <v>14625</v>
      </c>
    </row>
    <row r="26" spans="1:20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232</v>
      </c>
      <c r="G26" s="317" t="s">
        <v>49</v>
      </c>
      <c r="H26" s="317" t="s">
        <v>113</v>
      </c>
      <c r="I26" s="317" t="s">
        <v>185</v>
      </c>
      <c r="J26" s="317" t="s">
        <v>236</v>
      </c>
      <c r="K26" s="317" t="s">
        <v>187</v>
      </c>
      <c r="L26" s="317" t="s">
        <v>159</v>
      </c>
      <c r="M26" s="317" t="s">
        <v>194</v>
      </c>
      <c r="N26" s="317" t="s">
        <v>154</v>
      </c>
      <c r="O26" s="317" t="s">
        <v>47</v>
      </c>
      <c r="P26" s="317" t="s">
        <v>137</v>
      </c>
      <c r="Q26" s="317" t="s">
        <v>21</v>
      </c>
    </row>
    <row r="27" spans="1:20" ht="15" x14ac:dyDescent="0.25">
      <c r="A27" s="495" t="s">
        <v>140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7"/>
    </row>
    <row r="28" spans="1:20" x14ac:dyDescent="0.2">
      <c r="A28" s="43" t="s">
        <v>22</v>
      </c>
      <c r="B28" s="11">
        <f>[3]Delta!$IU$15</f>
        <v>624</v>
      </c>
      <c r="C28" s="11">
        <f>'[3]Atlantic Southeast'!$IU$15</f>
        <v>0</v>
      </c>
      <c r="D28" s="11">
        <f>[3]Pinnacle!$IU$15</f>
        <v>27</v>
      </c>
      <c r="E28" s="11">
        <f>'[3]Sky West'!$IU$15</f>
        <v>111</v>
      </c>
      <c r="F28" s="11">
        <f>[3]WestJet!$IU$15</f>
        <v>33</v>
      </c>
      <c r="G28" s="11">
        <f>'[3]Sun Country'!$IU$15</f>
        <v>268</v>
      </c>
      <c r="H28" s="11">
        <f>[3]Icelandair!$IU$15</f>
        <v>0</v>
      </c>
      <c r="I28" s="11">
        <f>[3]KLM!$IU$15</f>
        <v>14</v>
      </c>
      <c r="J28" s="11">
        <f>[3]Jazz_AC!$IU$15</f>
        <v>87</v>
      </c>
      <c r="K28" s="11">
        <f>'[3]Sky Regional'!$IU$15</f>
        <v>0</v>
      </c>
      <c r="L28" s="11">
        <f>[3]Condor!$IU$15</f>
        <v>0</v>
      </c>
      <c r="M28" s="11">
        <f>'[3]Aer Lingus'!$IU$15</f>
        <v>0</v>
      </c>
      <c r="N28" s="11">
        <f>'[3]Air France'!$IU$15</f>
        <v>0</v>
      </c>
      <c r="O28" s="11">
        <f>[3]Frontier!$IU$15</f>
        <v>29</v>
      </c>
      <c r="P28" s="11">
        <f>'[3]Charter Misc'!$IU$15+[3]Ryan!$IU$15+[3]Omni!$IU$15</f>
        <v>2</v>
      </c>
      <c r="Q28" s="197">
        <f>SUM(B28:P28)</f>
        <v>1195</v>
      </c>
    </row>
    <row r="29" spans="1:20" x14ac:dyDescent="0.2">
      <c r="A29" s="43" t="s">
        <v>23</v>
      </c>
      <c r="B29" s="11">
        <f>[3]Delta!$IU$16</f>
        <v>627</v>
      </c>
      <c r="C29" s="11">
        <f>'[3]Atlantic Southeast'!$IU$16</f>
        <v>0</v>
      </c>
      <c r="D29" s="11">
        <f>[3]Pinnacle!$IU$16</f>
        <v>28</v>
      </c>
      <c r="E29" s="11">
        <f>'[3]Sky West'!$IU$16</f>
        <v>109</v>
      </c>
      <c r="F29" s="11">
        <f>[3]WestJet!$IU$16</f>
        <v>33</v>
      </c>
      <c r="G29" s="11">
        <f>'[3]Sun Country'!$IU$16</f>
        <v>267</v>
      </c>
      <c r="H29" s="11">
        <f>[3]Icelandair!$IU$16</f>
        <v>0</v>
      </c>
      <c r="I29" s="11">
        <f>[3]KLM!$IU$16</f>
        <v>14</v>
      </c>
      <c r="J29" s="11">
        <f>[3]Jazz_AC!$IU$16</f>
        <v>90</v>
      </c>
      <c r="K29" s="11">
        <f>'[3]Sky Regional'!$IU$16</f>
        <v>0</v>
      </c>
      <c r="L29" s="11">
        <f>[3]Condor!$IU$16</f>
        <v>0</v>
      </c>
      <c r="M29" s="11">
        <f>'[3]Aer Lingus'!$IU$16</f>
        <v>0</v>
      </c>
      <c r="N29" s="11">
        <f>'[3]Air France'!$IU$16</f>
        <v>0</v>
      </c>
      <c r="O29" s="11">
        <f>[3]Frontier!$IU$16</f>
        <v>29</v>
      </c>
      <c r="P29" s="11">
        <f>'[3]Charter Misc'!$IU$16+[3]Ryan!$IU$16+[3]Omni!$IU$16</f>
        <v>0</v>
      </c>
      <c r="Q29" s="197">
        <f>SUM(B29:P29)</f>
        <v>1197</v>
      </c>
    </row>
    <row r="30" spans="1:20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97"/>
    </row>
    <row r="31" spans="1:20" ht="15.75" thickBot="1" x14ac:dyDescent="0.3">
      <c r="A31" s="44" t="s">
        <v>28</v>
      </c>
      <c r="B31" s="274">
        <f t="shared" ref="B31:J31" si="21">SUM(B28:B29)</f>
        <v>1251</v>
      </c>
      <c r="C31" s="274">
        <f t="shared" si="21"/>
        <v>0</v>
      </c>
      <c r="D31" s="274">
        <f t="shared" si="21"/>
        <v>55</v>
      </c>
      <c r="E31" s="274">
        <f>SUM(E28:E29)</f>
        <v>220</v>
      </c>
      <c r="F31" s="274">
        <f>SUM(F28:F29)</f>
        <v>66</v>
      </c>
      <c r="G31" s="274">
        <f t="shared" si="21"/>
        <v>535</v>
      </c>
      <c r="H31" s="274">
        <f t="shared" si="21"/>
        <v>0</v>
      </c>
      <c r="I31" s="274">
        <f t="shared" ref="I31" si="22">SUM(I28:I29)</f>
        <v>28</v>
      </c>
      <c r="J31" s="274">
        <f t="shared" si="21"/>
        <v>177</v>
      </c>
      <c r="K31" s="274">
        <f t="shared" ref="K31" si="23">SUM(K28:K29)</f>
        <v>0</v>
      </c>
      <c r="L31" s="274">
        <f>SUM(L28:L29)</f>
        <v>0</v>
      </c>
      <c r="M31" s="274">
        <f>SUM(M28:M29)</f>
        <v>0</v>
      </c>
      <c r="N31" s="274">
        <f>SUM(N28:N29)</f>
        <v>0</v>
      </c>
      <c r="O31" s="274">
        <f t="shared" ref="O31" si="24">SUM(O28:O29)</f>
        <v>58</v>
      </c>
      <c r="P31" s="274">
        <f>SUM(P28:P29)</f>
        <v>2</v>
      </c>
      <c r="Q31" s="275">
        <f>SUM(B31:P31)</f>
        <v>2392</v>
      </c>
    </row>
    <row r="32" spans="1:20" ht="15" x14ac:dyDescent="0.25">
      <c r="A32" s="276"/>
    </row>
    <row r="33" spans="1:17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232</v>
      </c>
      <c r="G33" s="317" t="s">
        <v>49</v>
      </c>
      <c r="H33" s="317" t="s">
        <v>113</v>
      </c>
      <c r="I33" s="317" t="s">
        <v>185</v>
      </c>
      <c r="J33" s="317" t="s">
        <v>236</v>
      </c>
      <c r="K33" s="317" t="s">
        <v>187</v>
      </c>
      <c r="L33" s="317" t="s">
        <v>159</v>
      </c>
      <c r="M33" s="317" t="s">
        <v>194</v>
      </c>
      <c r="N33" s="317" t="s">
        <v>154</v>
      </c>
      <c r="O33" s="317" t="s">
        <v>47</v>
      </c>
      <c r="P33" s="317" t="s">
        <v>137</v>
      </c>
      <c r="Q33" s="317" t="s">
        <v>21</v>
      </c>
    </row>
    <row r="34" spans="1:17" ht="15" x14ac:dyDescent="0.25">
      <c r="A34" s="498" t="s">
        <v>141</v>
      </c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500"/>
    </row>
    <row r="35" spans="1:17" x14ac:dyDescent="0.2">
      <c r="A35" s="43" t="s">
        <v>22</v>
      </c>
      <c r="B35" s="11">
        <f>SUM([3]Delta!$IT$15:$IU$15)</f>
        <v>1261</v>
      </c>
      <c r="C35" s="11">
        <f>SUM('[3]Atlantic Southeast'!$IT$15:$IU$15)</f>
        <v>0</v>
      </c>
      <c r="D35" s="11">
        <f>SUM([3]Pinnacle!$IT$15:$IU$15)</f>
        <v>43</v>
      </c>
      <c r="E35" s="11">
        <f>SUM('[3]Sky West'!$IT$15:$IU$15)</f>
        <v>235</v>
      </c>
      <c r="F35" s="11">
        <f>SUM([3]WestJet!$IT$15:$IU$15)</f>
        <v>69</v>
      </c>
      <c r="G35" s="11">
        <f>SUM('[3]Sun Country'!$IT$15:$IU$15)</f>
        <v>458</v>
      </c>
      <c r="H35" s="11">
        <f>SUM([3]Icelandair!$IT$15:$IU$15)</f>
        <v>5</v>
      </c>
      <c r="I35" s="11">
        <f>SUM([3]KLM!$IT$15:$IU$15)</f>
        <v>28</v>
      </c>
      <c r="J35" s="11">
        <f>SUM([3]Jazz_AC!$IT$15:$IU$15)</f>
        <v>180</v>
      </c>
      <c r="K35" s="11">
        <f>SUM('[3]Sky Regional'!$IT$15:$IU$15)</f>
        <v>0</v>
      </c>
      <c r="L35" s="11">
        <f>SUM([3]Condor!$IT$15:$IU$15)</f>
        <v>0</v>
      </c>
      <c r="M35" s="11">
        <f>SUM('[3]Aer Lingus'!$IT$15:$IU$15)</f>
        <v>0</v>
      </c>
      <c r="N35" s="11">
        <f>SUM('[3]Air France'!$IT$15:$IU$15)</f>
        <v>0</v>
      </c>
      <c r="O35" s="11">
        <f>SUM([3]Frontier!$IT$15:$IU$15)</f>
        <v>60</v>
      </c>
      <c r="P35" s="11">
        <f>SUM('[3]Charter Misc'!$IT$15:$IU$15)+SUM([3]Ryan!$IT$15:$IU$15)+SUM([3]Omni!$IT$15:$IU$15)</f>
        <v>2</v>
      </c>
      <c r="Q35" s="197">
        <f>SUM(B35:P35)</f>
        <v>2341</v>
      </c>
    </row>
    <row r="36" spans="1:17" x14ac:dyDescent="0.2">
      <c r="A36" s="43" t="s">
        <v>23</v>
      </c>
      <c r="B36" s="11">
        <f>SUM([3]Delta!$IT$16:$IU$16)</f>
        <v>1265</v>
      </c>
      <c r="C36" s="11">
        <f>SUM('[3]Atlantic Southeast'!$IT$16:$IU$16)</f>
        <v>0</v>
      </c>
      <c r="D36" s="11">
        <f>SUM([3]Pinnacle!$IT$16:$IU$16)</f>
        <v>42</v>
      </c>
      <c r="E36" s="11">
        <f>SUM('[3]Sky West'!$IT$16:$IU$16)</f>
        <v>236</v>
      </c>
      <c r="F36" s="11">
        <f>SUM([3]WestJet!$IT$16:$IU$16)</f>
        <v>69</v>
      </c>
      <c r="G36" s="11">
        <f>SUM('[3]Sun Country'!$IT$16:$IU$16)</f>
        <v>456</v>
      </c>
      <c r="H36" s="11">
        <f>SUM([3]Icelandair!$IT$16:$IU$16)</f>
        <v>5</v>
      </c>
      <c r="I36" s="11">
        <f>SUM([3]KLM!$IT$16:$IU$16)</f>
        <v>28</v>
      </c>
      <c r="J36" s="11">
        <f>SUM([3]Jazz_AC!$IT$16:$IU$16)</f>
        <v>183</v>
      </c>
      <c r="K36" s="11">
        <f>SUM('[3]Sky Regional'!$IT$16:$IU$16)</f>
        <v>0</v>
      </c>
      <c r="L36" s="11">
        <f>SUM([3]Condor!$IT$16:$IU$16)</f>
        <v>0</v>
      </c>
      <c r="M36" s="11">
        <f>SUM('[3]Aer Lingus'!$IT$16:$IU$16)</f>
        <v>0</v>
      </c>
      <c r="N36" s="11">
        <f>SUM('[3]Air France'!$IT$16:$IU$16)</f>
        <v>0</v>
      </c>
      <c r="O36" s="11">
        <f>SUM([3]Frontier!$IT$16:$IU$16)</f>
        <v>60</v>
      </c>
      <c r="P36" s="11">
        <f>SUM('[3]Charter Misc'!$IT$16:$IU$16)+SUM([3]Ryan!$IT$16:$IU$16)+SUM([3]Omni!$IT$16:$IU$16)</f>
        <v>0</v>
      </c>
      <c r="Q36" s="197">
        <f>SUM(B36:P36)</f>
        <v>2344</v>
      </c>
    </row>
    <row r="37" spans="1:17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97"/>
    </row>
    <row r="38" spans="1:17" ht="15.75" thickBot="1" x14ac:dyDescent="0.3">
      <c r="A38" s="44" t="s">
        <v>28</v>
      </c>
      <c r="B38" s="274">
        <f t="shared" ref="B38:J38" si="25">+SUM(B35:B36)</f>
        <v>2526</v>
      </c>
      <c r="C38" s="274">
        <f t="shared" si="25"/>
        <v>0</v>
      </c>
      <c r="D38" s="274">
        <f t="shared" si="25"/>
        <v>85</v>
      </c>
      <c r="E38" s="274">
        <f>+SUM(E35:E36)</f>
        <v>471</v>
      </c>
      <c r="F38" s="274">
        <f>+SUM(F35:F36)</f>
        <v>138</v>
      </c>
      <c r="G38" s="274">
        <f t="shared" si="25"/>
        <v>914</v>
      </c>
      <c r="H38" s="274">
        <f t="shared" si="25"/>
        <v>10</v>
      </c>
      <c r="I38" s="274">
        <f t="shared" ref="I38" si="26">+SUM(I35:I36)</f>
        <v>56</v>
      </c>
      <c r="J38" s="274">
        <f t="shared" si="25"/>
        <v>363</v>
      </c>
      <c r="K38" s="274">
        <f t="shared" ref="K38" si="27">+SUM(K35:K36)</f>
        <v>0</v>
      </c>
      <c r="L38" s="274">
        <f>+SUM(L35:L36)</f>
        <v>0</v>
      </c>
      <c r="M38" s="274">
        <f>+SUM(M35:M36)</f>
        <v>0</v>
      </c>
      <c r="N38" s="274">
        <f>+SUM(N35:N36)</f>
        <v>0</v>
      </c>
      <c r="O38" s="274">
        <f t="shared" ref="O38" si="28">+SUM(O35:O36)</f>
        <v>120</v>
      </c>
      <c r="P38" s="274">
        <f>+SUM(P35:P36)</f>
        <v>2</v>
      </c>
      <c r="Q38" s="275">
        <f>SUM(B38:P38)</f>
        <v>4685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&amp;"Arial,Bold"February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1"/>
  <sheetViews>
    <sheetView topLeftCell="N27" zoomScaleNormal="100" zoomScaleSheetLayoutView="85" workbookViewId="0">
      <selection activeCell="AF32" sqref="AF32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9" max="29" width="14.42578125" bestFit="1" customWidth="1"/>
    <col min="30" max="30" width="10.85546875" bestFit="1" customWidth="1"/>
    <col min="31" max="31" width="9.85546875" bestFit="1" customWidth="1"/>
    <col min="32" max="32" width="10.28515625" bestFit="1" customWidth="1"/>
    <col min="33" max="34" width="9.85546875" bestFit="1" customWidth="1"/>
    <col min="35" max="35" width="10.28515625" bestFit="1" customWidth="1"/>
  </cols>
  <sheetData>
    <row r="1" spans="1:36" s="9" customFormat="1" ht="39" thickBot="1" x14ac:dyDescent="0.25">
      <c r="A1" s="504" t="s">
        <v>130</v>
      </c>
      <c r="B1" s="505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08" t="s">
        <v>134</v>
      </c>
      <c r="K1" s="509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15" t="s">
        <v>208</v>
      </c>
      <c r="T1" s="516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10" t="s">
        <v>13</v>
      </c>
      <c r="AC1" s="511"/>
      <c r="AD1" s="433" t="s">
        <v>247</v>
      </c>
      <c r="AE1" s="433" t="s">
        <v>222</v>
      </c>
      <c r="AF1" s="434" t="s">
        <v>96</v>
      </c>
      <c r="AG1" s="435" t="s">
        <v>248</v>
      </c>
      <c r="AH1" s="435" t="s">
        <v>223</v>
      </c>
      <c r="AI1" s="436" t="s">
        <v>96</v>
      </c>
      <c r="AJ1" s="437" t="s">
        <v>246</v>
      </c>
    </row>
    <row r="2" spans="1:36" s="9" customFormat="1" ht="13.5" customHeight="1" thickBot="1" x14ac:dyDescent="0.25">
      <c r="A2" s="484">
        <v>45323</v>
      </c>
      <c r="B2" s="485"/>
      <c r="C2" s="506" t="s">
        <v>9</v>
      </c>
      <c r="D2" s="507"/>
      <c r="E2" s="507"/>
      <c r="F2" s="507"/>
      <c r="G2" s="507"/>
      <c r="H2" s="507"/>
      <c r="I2" s="324"/>
      <c r="J2" s="484">
        <f>+A2</f>
        <v>45323</v>
      </c>
      <c r="K2" s="485"/>
      <c r="L2" s="501" t="s">
        <v>136</v>
      </c>
      <c r="M2" s="502"/>
      <c r="N2" s="502"/>
      <c r="O2" s="502"/>
      <c r="P2" s="502"/>
      <c r="Q2" s="502"/>
      <c r="R2" s="503"/>
      <c r="S2" s="484">
        <f>+J2</f>
        <v>45323</v>
      </c>
      <c r="T2" s="485"/>
      <c r="U2" s="517" t="s">
        <v>209</v>
      </c>
      <c r="V2" s="518"/>
      <c r="W2" s="518"/>
      <c r="X2" s="518"/>
      <c r="Y2" s="518"/>
      <c r="Z2" s="518"/>
      <c r="AA2" s="519"/>
      <c r="AB2" s="484">
        <f>+S2</f>
        <v>45323</v>
      </c>
      <c r="AC2" s="485"/>
      <c r="AD2" s="512" t="s">
        <v>13</v>
      </c>
      <c r="AE2" s="513"/>
      <c r="AF2" s="513"/>
      <c r="AG2" s="513"/>
      <c r="AH2" s="513"/>
      <c r="AI2" s="513"/>
      <c r="AJ2" s="514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177</v>
      </c>
      <c r="D4" s="253">
        <f>SUM(D5:D7)</f>
        <v>150</v>
      </c>
      <c r="E4" s="254">
        <f>(C4-D4)/D4</f>
        <v>0.18</v>
      </c>
      <c r="F4" s="251">
        <f>SUM(F5:F7)</f>
        <v>363</v>
      </c>
      <c r="G4" s="253">
        <f>SUM(G5:G7)</f>
        <v>231</v>
      </c>
      <c r="H4" s="252">
        <f>(F4-G4)/G4</f>
        <v>0.5714285714285714</v>
      </c>
      <c r="I4" s="254">
        <f>F4/$F$62</f>
        <v>8.0544954291293155E-3</v>
      </c>
      <c r="J4" s="250" t="s">
        <v>98</v>
      </c>
      <c r="K4" s="37"/>
      <c r="L4" s="251">
        <f>SUM(L5:L7)</f>
        <v>6558</v>
      </c>
      <c r="M4" s="253">
        <f>SUM(M5:M7)</f>
        <v>5752</v>
      </c>
      <c r="N4" s="254">
        <f>(L4-M4)/M4</f>
        <v>0.14012517385257303</v>
      </c>
      <c r="O4" s="251">
        <f>SUM(O5:O7)</f>
        <v>14085</v>
      </c>
      <c r="P4" s="253">
        <f>SUM(P5:P7)</f>
        <v>12465</v>
      </c>
      <c r="Q4" s="252">
        <f>(O4-P4)/P4</f>
        <v>0.1299638989169675</v>
      </c>
      <c r="R4" s="254">
        <f>O4/$O$62</f>
        <v>2.8324823485169938E-3</v>
      </c>
      <c r="S4" s="250" t="s">
        <v>98</v>
      </c>
      <c r="T4" s="37"/>
      <c r="U4" s="251">
        <f>SUM(U5:U7)</f>
        <v>11019.3</v>
      </c>
      <c r="V4" s="253">
        <f>SUM(V5:V7)</f>
        <v>1750</v>
      </c>
      <c r="W4" s="254">
        <f>(U4-V4)/V4</f>
        <v>5.2967428571428563</v>
      </c>
      <c r="X4" s="251">
        <f>SUM(X5:X7)</f>
        <v>21977.8</v>
      </c>
      <c r="Y4" s="253">
        <f>SUM(Y5:Y7)</f>
        <v>4650</v>
      </c>
      <c r="Z4" s="252">
        <f>(X4-Y4)/Y4</f>
        <v>3.7264086021505376</v>
      </c>
      <c r="AA4" s="254">
        <f>X4/$X$62</f>
        <v>1.6275094942990662E-3</v>
      </c>
      <c r="AB4" s="250" t="s">
        <v>98</v>
      </c>
      <c r="AC4" s="37"/>
      <c r="AD4" s="251">
        <f>SUM(AD5:AD7)</f>
        <v>6676</v>
      </c>
      <c r="AE4" s="253">
        <f>SUM(AE5:AE7)</f>
        <v>5881</v>
      </c>
      <c r="AF4" s="254">
        <f>(AD4-AE4)/AE4</f>
        <v>0.13518109165107975</v>
      </c>
      <c r="AG4" s="251">
        <f>SUM(AG5:AG7)</f>
        <v>14295</v>
      </c>
      <c r="AH4" s="253">
        <f>SUM(AH5:AH7)</f>
        <v>12713</v>
      </c>
      <c r="AI4" s="252">
        <f>(AG4-AH4)/AH4</f>
        <v>0.12443955006686069</v>
      </c>
      <c r="AJ4" s="254">
        <f>AG4/$AG$62</f>
        <v>2.7880176287749165E-3</v>
      </c>
    </row>
    <row r="5" spans="1:36" ht="14.1" customHeight="1" x14ac:dyDescent="0.2">
      <c r="A5" s="250"/>
      <c r="B5" s="310" t="s">
        <v>98</v>
      </c>
      <c r="C5" s="255">
        <f>+[3]AirCanada!$IU$19</f>
        <v>0</v>
      </c>
      <c r="D5" s="2">
        <f>+[3]AirCanada!$IG$19</f>
        <v>0</v>
      </c>
      <c r="E5" s="63" t="e">
        <f>(C5-D5)/D5</f>
        <v>#DIV/0!</v>
      </c>
      <c r="F5" s="209">
        <f>SUM([3]AirCanada!$IT$19:$IU$19)</f>
        <v>0</v>
      </c>
      <c r="G5" s="209">
        <f>SUM([3]AirCanada!$IF$19:$IG$19)</f>
        <v>0</v>
      </c>
      <c r="H5" s="315" t="e">
        <f>(F5-G5)/G5</f>
        <v>#DIV/0!</v>
      </c>
      <c r="I5" s="63">
        <f>F5/$F$62</f>
        <v>0</v>
      </c>
      <c r="J5" s="250"/>
      <c r="K5" s="310" t="s">
        <v>98</v>
      </c>
      <c r="L5" s="314">
        <f>+[3]AirCanada!$IU$41</f>
        <v>0</v>
      </c>
      <c r="M5" s="209">
        <f>+[3]AirCanada!$IG$41</f>
        <v>0</v>
      </c>
      <c r="N5" s="316" t="e">
        <f>(L5-M5)/M5</f>
        <v>#DIV/0!</v>
      </c>
      <c r="O5" s="314">
        <f>SUM([3]AirCanada!$IT$41:$IU$41)</f>
        <v>0</v>
      </c>
      <c r="P5" s="209">
        <f>SUM([3]AirCanada!$IF$41:$IG$41)</f>
        <v>0</v>
      </c>
      <c r="Q5" s="315" t="e">
        <f>(O5-P5)/P5</f>
        <v>#DIV/0!</v>
      </c>
      <c r="R5" s="316">
        <f>O5/$O$62</f>
        <v>0</v>
      </c>
      <c r="S5" s="250"/>
      <c r="T5" s="310" t="s">
        <v>98</v>
      </c>
      <c r="U5" s="314">
        <f>+[3]AirCanada!$IU$64</f>
        <v>0</v>
      </c>
      <c r="V5" s="209">
        <f>+[3]AirCanada!$IG$64</f>
        <v>0</v>
      </c>
      <c r="W5" s="316" t="e">
        <f>(U5-V5)/V5</f>
        <v>#DIV/0!</v>
      </c>
      <c r="X5" s="314">
        <f>SUM([3]AirCanada!$IT$64:$IU$64)</f>
        <v>0</v>
      </c>
      <c r="Y5" s="209">
        <f>SUM([3]AirCanada!$IF$64:$IG$64)</f>
        <v>0</v>
      </c>
      <c r="Z5" s="315" t="e">
        <f>(X5-Y5)/Y5</f>
        <v>#DIV/0!</v>
      </c>
      <c r="AA5" s="316">
        <f>X5/$X$62</f>
        <v>0</v>
      </c>
      <c r="AB5" s="250"/>
      <c r="AC5" s="310" t="s">
        <v>98</v>
      </c>
      <c r="AD5" s="314">
        <f>+[3]AirCanada!$IU$43</f>
        <v>0</v>
      </c>
      <c r="AE5" s="209">
        <f>+[3]AirCanada!$IG$43</f>
        <v>0</v>
      </c>
      <c r="AF5" s="316" t="e">
        <f>(AD5-AE5)/AE5</f>
        <v>#DIV/0!</v>
      </c>
      <c r="AG5" s="314">
        <f>SUM([3]AirCanada!$IT$43:$IU$43)</f>
        <v>0</v>
      </c>
      <c r="AH5" s="209">
        <f>SUM([3]AirCanada!$IF$43:$IG$43)</f>
        <v>0</v>
      </c>
      <c r="AI5" s="315" t="e">
        <f>(AG5-AH5)/AH5</f>
        <v>#DIV/0!</v>
      </c>
      <c r="AJ5" s="63">
        <f>AG5/$AG$62</f>
        <v>0</v>
      </c>
    </row>
    <row r="6" spans="1:36" ht="14.1" customHeight="1" x14ac:dyDescent="0.2">
      <c r="A6" s="250"/>
      <c r="B6" s="310" t="s">
        <v>162</v>
      </c>
      <c r="C6" s="255">
        <f>'[3]Air Georgian'!$IU$19</f>
        <v>0</v>
      </c>
      <c r="D6" s="2">
        <f>'[3]Air Georgian'!$IG$19</f>
        <v>0</v>
      </c>
      <c r="E6" s="63" t="e">
        <f>(C6-D6)/D6</f>
        <v>#DIV/0!</v>
      </c>
      <c r="F6" s="209">
        <f>SUM('[3]Air Georgian'!$IT$19:$IU$19)</f>
        <v>0</v>
      </c>
      <c r="G6" s="209">
        <f>SUM('[3]Air Georgian'!$IF$19:$IG$19)</f>
        <v>0</v>
      </c>
      <c r="H6" s="315" t="e">
        <f>(F6-G6)/G6</f>
        <v>#DIV/0!</v>
      </c>
      <c r="I6" s="63">
        <f>F6/$F$62</f>
        <v>0</v>
      </c>
      <c r="J6" s="250"/>
      <c r="K6" s="310" t="s">
        <v>162</v>
      </c>
      <c r="L6" s="255">
        <f>'[3]Air Georgian'!$IU$41</f>
        <v>0</v>
      </c>
      <c r="M6" s="2">
        <f>'[3]Air Georgian'!$IG$41</f>
        <v>0</v>
      </c>
      <c r="N6" s="63" t="e">
        <f>(L6-M6)/M6</f>
        <v>#DIV/0!</v>
      </c>
      <c r="O6" s="255">
        <f>SUM('[3]Air Georgian'!$IT$41:$IU$41)</f>
        <v>0</v>
      </c>
      <c r="P6" s="2">
        <f>SUM('[3]Air Georgian'!$IF$41:$IG$41)</f>
        <v>0</v>
      </c>
      <c r="Q6" s="3" t="e">
        <f>(O6-P6)/P6</f>
        <v>#DIV/0!</v>
      </c>
      <c r="R6" s="63">
        <f>O6/$O$62</f>
        <v>0</v>
      </c>
      <c r="S6" s="250"/>
      <c r="T6" s="310" t="s">
        <v>162</v>
      </c>
      <c r="U6" s="255">
        <f>'[3]Air Georgian'!$IU$64</f>
        <v>0</v>
      </c>
      <c r="V6" s="2">
        <f>'[3]Air Georgian'!$IG$64</f>
        <v>0</v>
      </c>
      <c r="W6" s="63" t="e">
        <f>(U6-V6)/V6</f>
        <v>#DIV/0!</v>
      </c>
      <c r="X6" s="255">
        <f>SUM('[3]Air Georgian'!$IT$64:$IU$64)</f>
        <v>0</v>
      </c>
      <c r="Y6" s="2">
        <f>SUM('[3]Air Georgian'!$IF$64:$IG$64)</f>
        <v>0</v>
      </c>
      <c r="Z6" s="3" t="e">
        <f>(X6-Y6)/Y6</f>
        <v>#DIV/0!</v>
      </c>
      <c r="AA6" s="63">
        <f>X6/$X$62</f>
        <v>0</v>
      </c>
      <c r="AB6" s="250"/>
      <c r="AC6" s="310" t="s">
        <v>162</v>
      </c>
      <c r="AD6" s="255">
        <f>'[3]Air Georgian'!$IU$43</f>
        <v>0</v>
      </c>
      <c r="AE6" s="2">
        <f>'[3]Air Georgian'!$IG$43</f>
        <v>0</v>
      </c>
      <c r="AF6" s="63" t="e">
        <f>(AD6-AE6)/AE6</f>
        <v>#DIV/0!</v>
      </c>
      <c r="AG6" s="255">
        <f>SUM('[3]Air Georgian'!$IT$43:$IU$43)</f>
        <v>0</v>
      </c>
      <c r="AH6" s="2">
        <f>SUM('[3]Air Georgian'!$IF$43:$IG$43)</f>
        <v>0</v>
      </c>
      <c r="AI6" s="3" t="e">
        <f>(AG6-AH6)/AH6</f>
        <v>#DIV/0!</v>
      </c>
      <c r="AJ6" s="63">
        <f t="shared" ref="AJ6:AJ7" si="0">AG6/$AG$62</f>
        <v>0</v>
      </c>
    </row>
    <row r="7" spans="1:36" ht="14.1" customHeight="1" x14ac:dyDescent="0.2">
      <c r="A7" s="250"/>
      <c r="B7" s="310" t="s">
        <v>216</v>
      </c>
      <c r="C7" s="255">
        <f>[3]Jazz_AC!$IU$19</f>
        <v>177</v>
      </c>
      <c r="D7" s="2">
        <f>[3]Jazz_AC!$IG$19</f>
        <v>150</v>
      </c>
      <c r="E7" s="63">
        <f t="shared" ref="E7" si="1">(C7-D7)/D7</f>
        <v>0.18</v>
      </c>
      <c r="F7" s="2">
        <f>SUM([3]Jazz_AC!$IT$19:$IU$19)</f>
        <v>363</v>
      </c>
      <c r="G7" s="2">
        <f>SUM([3]Jazz_AC!$IF$19:$IG$19)</f>
        <v>231</v>
      </c>
      <c r="H7" s="3">
        <f t="shared" ref="H7" si="2">(F7-G7)/G7</f>
        <v>0.5714285714285714</v>
      </c>
      <c r="I7" s="63">
        <f>F7/$F$62</f>
        <v>8.0544954291293155E-3</v>
      </c>
      <c r="J7" s="250"/>
      <c r="K7" s="310" t="s">
        <v>216</v>
      </c>
      <c r="L7" s="255">
        <f>[3]Jazz_AC!$IU$41</f>
        <v>6558</v>
      </c>
      <c r="M7" s="2">
        <f>[3]Jazz_AC!$IG$41</f>
        <v>5752</v>
      </c>
      <c r="N7" s="63">
        <f t="shared" ref="N7" si="3">(L7-M7)/M7</f>
        <v>0.14012517385257303</v>
      </c>
      <c r="O7" s="255">
        <f>SUM([3]Jazz_AC!$IT$41:$IU$41)</f>
        <v>14085</v>
      </c>
      <c r="P7" s="2">
        <f>SUM([3]Jazz_AC!$IF$41:$IG$41)</f>
        <v>12465</v>
      </c>
      <c r="Q7" s="3">
        <f t="shared" ref="Q7" si="4">(O7-P7)/P7</f>
        <v>0.1299638989169675</v>
      </c>
      <c r="R7" s="63">
        <f>O7/$O$62</f>
        <v>2.8324823485169938E-3</v>
      </c>
      <c r="S7" s="250"/>
      <c r="T7" s="310" t="s">
        <v>216</v>
      </c>
      <c r="U7" s="255">
        <f>[3]Jazz_AC!$IU$64</f>
        <v>11019.3</v>
      </c>
      <c r="V7" s="2">
        <f>[3]Jazz_AC!$IG$64</f>
        <v>1750</v>
      </c>
      <c r="W7" s="63">
        <f t="shared" ref="W7" si="5">(U7-V7)/V7</f>
        <v>5.2967428571428563</v>
      </c>
      <c r="X7" s="255">
        <f>SUM([3]Jazz_AC!$IT$64:$IU$64)</f>
        <v>21977.8</v>
      </c>
      <c r="Y7" s="2">
        <f>SUM([3]Jazz_AC!$IF$64:$IG$64)</f>
        <v>4650</v>
      </c>
      <c r="Z7" s="3">
        <f t="shared" ref="Z7" si="6">(X7-Y7)/Y7</f>
        <v>3.7264086021505376</v>
      </c>
      <c r="AA7" s="63">
        <f>X7/$X$62</f>
        <v>1.6275094942990662E-3</v>
      </c>
      <c r="AB7" s="250"/>
      <c r="AC7" s="310" t="s">
        <v>216</v>
      </c>
      <c r="AD7" s="255">
        <f>[3]Jazz_AC!$IU$43</f>
        <v>6676</v>
      </c>
      <c r="AE7" s="2">
        <f>[3]Jazz_AC!$IG$43</f>
        <v>5881</v>
      </c>
      <c r="AF7" s="63">
        <f t="shared" ref="AF7" si="7">(AD7-AE7)/AE7</f>
        <v>0.13518109165107975</v>
      </c>
      <c r="AG7" s="255">
        <f>SUM([3]Jazz_AC!$IT$43:$IU$43)</f>
        <v>14295</v>
      </c>
      <c r="AH7" s="2">
        <f>SUM([3]Jazz_AC!$IF$43:$IG$43)</f>
        <v>12713</v>
      </c>
      <c r="AI7" s="3">
        <f t="shared" ref="AI7" si="8">(AG7-AH7)/AH7</f>
        <v>0.12443955006686069</v>
      </c>
      <c r="AJ7" s="63">
        <f t="shared" si="0"/>
        <v>2.7880176287749165E-3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France'!$IU$19</f>
        <v>0</v>
      </c>
      <c r="D9" s="253">
        <f>'[3]Air France'!$IG$19</f>
        <v>0</v>
      </c>
      <c r="E9" s="254" t="e">
        <f>(C9-D9)/D9</f>
        <v>#DIV/0!</v>
      </c>
      <c r="F9" s="253">
        <f>SUM('[3]Air France'!$IT$19:$IU$19)</f>
        <v>0</v>
      </c>
      <c r="G9" s="253">
        <f>SUM('[3]Air France'!$IF$19:$IG$19)</f>
        <v>0</v>
      </c>
      <c r="H9" s="252" t="e">
        <f>(F9-G9)/G9</f>
        <v>#DIV/0!</v>
      </c>
      <c r="I9" s="254">
        <f>F9/$F$62</f>
        <v>0</v>
      </c>
      <c r="J9" s="250" t="s">
        <v>154</v>
      </c>
      <c r="K9" s="37"/>
      <c r="L9" s="251">
        <f>'[3]Air France'!$IU$41</f>
        <v>0</v>
      </c>
      <c r="M9" s="253">
        <f>'[3]Air France'!$IG$41</f>
        <v>0</v>
      </c>
      <c r="N9" s="254" t="e">
        <f>(L9-M9)/M9</f>
        <v>#DIV/0!</v>
      </c>
      <c r="O9" s="251">
        <f>SUM('[3]Air France'!$IT$41:$IU$41)</f>
        <v>0</v>
      </c>
      <c r="P9" s="253">
        <f>SUM('[3]Air France'!$IF$41:$IG$41)</f>
        <v>0</v>
      </c>
      <c r="Q9" s="252" t="e">
        <f>(O9-P9)/P9</f>
        <v>#DIV/0!</v>
      </c>
      <c r="R9" s="254">
        <f>O9/$O$62</f>
        <v>0</v>
      </c>
      <c r="S9" s="250" t="s">
        <v>154</v>
      </c>
      <c r="T9" s="37"/>
      <c r="U9" s="251">
        <f>'[3]Air France'!$IU$64</f>
        <v>0</v>
      </c>
      <c r="V9" s="253">
        <f>'[3]Air France'!$IG$64</f>
        <v>0</v>
      </c>
      <c r="W9" s="254" t="e">
        <f>(U9-V9)/V9</f>
        <v>#DIV/0!</v>
      </c>
      <c r="X9" s="251">
        <f>SUM('[3]Air France'!$IT$64:$IU$64)</f>
        <v>0</v>
      </c>
      <c r="Y9" s="253">
        <f>SUM('[3]Air France'!$IF$64:$IG$64)</f>
        <v>0</v>
      </c>
      <c r="Z9" s="252" t="e">
        <f>(X9-Y9)/Y9</f>
        <v>#DIV/0!</v>
      </c>
      <c r="AA9" s="254">
        <f>X9/$X$62</f>
        <v>0</v>
      </c>
      <c r="AB9" s="250" t="s">
        <v>154</v>
      </c>
      <c r="AC9" s="37"/>
      <c r="AD9" s="251">
        <f>'[3]Air France'!$IU$43</f>
        <v>0</v>
      </c>
      <c r="AE9" s="253">
        <f>'[3]Air France'!$IG$43</f>
        <v>0</v>
      </c>
      <c r="AF9" s="254" t="e">
        <f>(AD9-AE9)/AE9</f>
        <v>#DIV/0!</v>
      </c>
      <c r="AG9" s="251">
        <f>SUM('[3]Air France'!$IT$43:$IU$43)</f>
        <v>0</v>
      </c>
      <c r="AH9" s="253">
        <f>SUM('[3]Air France'!$IF$43:$IG$43)</f>
        <v>0</v>
      </c>
      <c r="AI9" s="252" t="e">
        <f>(AG9-AH9)/AH9</f>
        <v>#DIV/0!</v>
      </c>
      <c r="AJ9" s="254">
        <f>AG9/$AG$62</f>
        <v>0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217</v>
      </c>
      <c r="B11" s="37"/>
      <c r="C11" s="255">
        <f>'[3]Allegiant '!$IU$19</f>
        <v>92</v>
      </c>
      <c r="D11" s="2">
        <f>'[3]Allegiant '!$IG$19</f>
        <v>88</v>
      </c>
      <c r="E11" s="254">
        <f t="shared" ref="E11" si="9">(C11-D11)/D11</f>
        <v>4.5454545454545456E-2</v>
      </c>
      <c r="F11" s="2">
        <f>SUM('[3]Allegiant '!$IT$19:$IU$19)</f>
        <v>160</v>
      </c>
      <c r="G11" s="2">
        <f>SUM('[3]Allegiant '!$IF$19:$IG$19)</f>
        <v>162</v>
      </c>
      <c r="H11" s="252">
        <f t="shared" ref="H11" si="10">(F11-G11)/G11</f>
        <v>-1.2345679012345678E-2</v>
      </c>
      <c r="I11" s="254">
        <f>F11/$F$62</f>
        <v>3.5501908227567234E-3</v>
      </c>
      <c r="J11" s="250" t="s">
        <v>217</v>
      </c>
      <c r="K11" s="37"/>
      <c r="L11" s="255">
        <f>'[3]Allegiant '!$IU$41</f>
        <v>13548</v>
      </c>
      <c r="M11" s="2">
        <f>'[3]Allegiant '!$IG$41</f>
        <v>13427</v>
      </c>
      <c r="N11" s="254">
        <f t="shared" ref="N11" si="11">(L11-M11)/M11</f>
        <v>9.0116928576748339E-3</v>
      </c>
      <c r="O11" s="255">
        <f>SUM('[3]Allegiant '!$IT$41:$IU$41)</f>
        <v>22858</v>
      </c>
      <c r="P11" s="2">
        <f>SUM('[3]Allegiant '!$IF$41:$IG$41)</f>
        <v>24904</v>
      </c>
      <c r="Q11" s="252">
        <f t="shared" ref="Q11" si="12">(O11-P11)/P11</f>
        <v>-8.2155477031802121E-2</v>
      </c>
      <c r="R11" s="254">
        <f>O11/$O$62</f>
        <v>4.5967257026909084E-3</v>
      </c>
      <c r="S11" s="250" t="s">
        <v>217</v>
      </c>
      <c r="T11" s="37"/>
      <c r="U11" s="255">
        <f>'[3]Allegiant '!$IU$64</f>
        <v>0</v>
      </c>
      <c r="V11" s="2">
        <f>'[3]Allegiant '!$IG$64</f>
        <v>0</v>
      </c>
      <c r="W11" s="254" t="e">
        <f t="shared" ref="W11" si="13">(U11-V11)/V11</f>
        <v>#DIV/0!</v>
      </c>
      <c r="X11" s="255">
        <f>SUM('[3]Allegiant '!$IT$64:$IU$64)</f>
        <v>0</v>
      </c>
      <c r="Y11" s="2">
        <f>SUM('[3]Allegiant '!$IF$64:$IG$64)</f>
        <v>0</v>
      </c>
      <c r="Z11" s="252" t="e">
        <f t="shared" ref="Z11" si="14">(X11-Y11)/Y11</f>
        <v>#DIV/0!</v>
      </c>
      <c r="AA11" s="254">
        <f>X11/$X$62</f>
        <v>0</v>
      </c>
      <c r="AB11" s="250" t="s">
        <v>217</v>
      </c>
      <c r="AC11" s="37"/>
      <c r="AD11" s="255">
        <f>'[3]Allegiant '!$IU$43</f>
        <v>13548</v>
      </c>
      <c r="AE11" s="2">
        <f>'[3]Allegiant '!$IG$43</f>
        <v>13427</v>
      </c>
      <c r="AF11" s="254">
        <f t="shared" ref="AF11" si="15">(AD11-AE11)/AE11</f>
        <v>9.0116928576748339E-3</v>
      </c>
      <c r="AG11" s="255">
        <f>SUM('[3]Allegiant '!$IT$43:$IU$43)</f>
        <v>22858</v>
      </c>
      <c r="AH11" s="2">
        <f>SUM('[3]Allegiant '!$IF$43:$IG$43)</f>
        <v>24904</v>
      </c>
      <c r="AI11" s="252">
        <f t="shared" ref="AI11" si="16">(AG11-AH11)/AH11</f>
        <v>-8.2155477031802121E-2</v>
      </c>
      <c r="AJ11" s="254">
        <f>AG11/$AG$62</f>
        <v>4.4580977235772678E-3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127</v>
      </c>
      <c r="B13" s="37"/>
      <c r="C13" s="251">
        <f>SUM(C14:C16)</f>
        <v>107</v>
      </c>
      <c r="D13" s="253">
        <f>SUM(D14:D16)</f>
        <v>92</v>
      </c>
      <c r="E13" s="254">
        <f>(C13-D13)/D13</f>
        <v>0.16304347826086957</v>
      </c>
      <c r="F13" s="253">
        <f>SUM(F14:F16)</f>
        <v>210</v>
      </c>
      <c r="G13" s="253">
        <f>SUM(G14:G16)</f>
        <v>190</v>
      </c>
      <c r="H13" s="252">
        <f>(F13-G13)/G13</f>
        <v>0.10526315789473684</v>
      </c>
      <c r="I13" s="254">
        <f>F13/$F$62</f>
        <v>4.6596254548681992E-3</v>
      </c>
      <c r="J13" s="250" t="s">
        <v>127</v>
      </c>
      <c r="K13" s="37"/>
      <c r="L13" s="251">
        <f>SUM(L14:L16)</f>
        <v>14110</v>
      </c>
      <c r="M13" s="253">
        <f>SUM(M14:M16)</f>
        <v>12396</v>
      </c>
      <c r="N13" s="254">
        <f>(L13-M13)/M13</f>
        <v>0.138270409809616</v>
      </c>
      <c r="O13" s="251">
        <f>SUM(O14:O16)</f>
        <v>26154</v>
      </c>
      <c r="P13" s="253">
        <f>SUM(P14:P16)</f>
        <v>25248</v>
      </c>
      <c r="Q13" s="252">
        <f>(O13-P13)/P13</f>
        <v>3.5884030418250952E-2</v>
      </c>
      <c r="R13" s="254">
        <f>O13/$O$62</f>
        <v>5.2595486931567952E-3</v>
      </c>
      <c r="S13" s="250" t="s">
        <v>127</v>
      </c>
      <c r="T13" s="37"/>
      <c r="U13" s="251">
        <f>SUM(U14:U16)</f>
        <v>11390</v>
      </c>
      <c r="V13" s="253">
        <f>SUM(V14:V16)</f>
        <v>15493</v>
      </c>
      <c r="W13" s="254">
        <f>(U13-V13)/V13</f>
        <v>-0.26482927773833342</v>
      </c>
      <c r="X13" s="251">
        <f>SUM(X14:X16)</f>
        <v>23141</v>
      </c>
      <c r="Y13" s="253">
        <f>SUM(Y14:Y16)</f>
        <v>34182</v>
      </c>
      <c r="Z13" s="252">
        <f>(X13-Y13)/Y13</f>
        <v>-0.32300626060499676</v>
      </c>
      <c r="AA13" s="254">
        <f>X13/$X$62</f>
        <v>1.7136472807821844E-3</v>
      </c>
      <c r="AB13" s="250" t="s">
        <v>127</v>
      </c>
      <c r="AC13" s="37"/>
      <c r="AD13" s="251">
        <f>SUM(AD14:AD16)</f>
        <v>14828</v>
      </c>
      <c r="AE13" s="253">
        <f>SUM(AE14:AE16)</f>
        <v>12984</v>
      </c>
      <c r="AF13" s="254">
        <f>(AD13-AE13)/AE13</f>
        <v>0.14202094886013555</v>
      </c>
      <c r="AG13" s="251">
        <f>SUM(AG14:AG16)</f>
        <v>27410</v>
      </c>
      <c r="AH13" s="253">
        <f>SUM(AH14:AH16)</f>
        <v>26374</v>
      </c>
      <c r="AI13" s="252">
        <f>(AG13-AH13)/AH13</f>
        <v>3.928111018427239E-2</v>
      </c>
      <c r="AJ13" s="254">
        <f>AG13/$AG$62</f>
        <v>5.3458945928450824E-3</v>
      </c>
    </row>
    <row r="14" spans="1:36" ht="14.1" customHeight="1" x14ac:dyDescent="0.2">
      <c r="A14" s="250"/>
      <c r="B14" s="310" t="s">
        <v>127</v>
      </c>
      <c r="C14" s="314">
        <f>[3]Alaska!$IU$19</f>
        <v>107</v>
      </c>
      <c r="D14" s="209">
        <f>[3]Alaska!$IG$19</f>
        <v>92</v>
      </c>
      <c r="E14" s="316">
        <f>(C14-D14)/D14</f>
        <v>0.16304347826086957</v>
      </c>
      <c r="F14" s="209">
        <f>SUM([3]Alaska!$IT$19:$IU$19)</f>
        <v>210</v>
      </c>
      <c r="G14" s="209">
        <f>SUM([3]Alaska!$IF$19:$IG$19)</f>
        <v>190</v>
      </c>
      <c r="H14" s="315">
        <f>(F14-G14)/G14</f>
        <v>0.10526315789473684</v>
      </c>
      <c r="I14" s="316">
        <f>F14/$F$62</f>
        <v>4.6596254548681992E-3</v>
      </c>
      <c r="J14" s="250"/>
      <c r="K14" s="310" t="s">
        <v>127</v>
      </c>
      <c r="L14" s="314">
        <f>[3]Alaska!$IU$41</f>
        <v>14110</v>
      </c>
      <c r="M14" s="209">
        <f>[3]Alaska!$IG$41</f>
        <v>12396</v>
      </c>
      <c r="N14" s="316">
        <f>(L14-M14)/M14</f>
        <v>0.138270409809616</v>
      </c>
      <c r="O14" s="314">
        <f>SUM([3]Alaska!$IT$41:$IU$41)</f>
        <v>26154</v>
      </c>
      <c r="P14" s="209">
        <f>SUM([3]Alaska!$IF$41:$IG$41)</f>
        <v>25248</v>
      </c>
      <c r="Q14" s="315">
        <f>(O14-P14)/P14</f>
        <v>3.5884030418250952E-2</v>
      </c>
      <c r="R14" s="316">
        <f>O14/$O$62</f>
        <v>5.2595486931567952E-3</v>
      </c>
      <c r="S14" s="250"/>
      <c r="T14" s="310" t="s">
        <v>127</v>
      </c>
      <c r="U14" s="314">
        <f>[3]Alaska!$IU$64</f>
        <v>11390</v>
      </c>
      <c r="V14" s="209">
        <f>[3]Alaska!$IG$64</f>
        <v>15493</v>
      </c>
      <c r="W14" s="316">
        <f>(U14-V14)/V14</f>
        <v>-0.26482927773833342</v>
      </c>
      <c r="X14" s="314">
        <f>SUM([3]Alaska!$IT$64:$IU$64)</f>
        <v>23141</v>
      </c>
      <c r="Y14" s="209">
        <f>SUM([3]Alaska!$IF$64:$IG$64)</f>
        <v>34182</v>
      </c>
      <c r="Z14" s="315">
        <f>(X14-Y14)/Y14</f>
        <v>-0.32300626060499676</v>
      </c>
      <c r="AA14" s="316">
        <f>X14/$X$62</f>
        <v>1.7136472807821844E-3</v>
      </c>
      <c r="AB14" s="250"/>
      <c r="AC14" s="310" t="s">
        <v>127</v>
      </c>
      <c r="AD14" s="314">
        <f>[3]Alaska!$IU$43</f>
        <v>14828</v>
      </c>
      <c r="AE14" s="209">
        <f>[3]Alaska!$IG$43</f>
        <v>12984</v>
      </c>
      <c r="AF14" s="316">
        <f>(AD14-AE14)/AE14</f>
        <v>0.14202094886013555</v>
      </c>
      <c r="AG14" s="314">
        <f>SUM([3]Alaska!$IT$43:$IU$43)</f>
        <v>27410</v>
      </c>
      <c r="AH14" s="209">
        <f>SUM([3]Alaska!$IF$43:$IG$43)</f>
        <v>26374</v>
      </c>
      <c r="AI14" s="315">
        <f>(AG14-AH14)/AH14</f>
        <v>3.928111018427239E-2</v>
      </c>
      <c r="AJ14" s="63">
        <f t="shared" ref="AJ14:AJ16" si="17">AG14/$AG$62</f>
        <v>5.3458945928450824E-3</v>
      </c>
    </row>
    <row r="15" spans="1:36" ht="14.1" customHeight="1" x14ac:dyDescent="0.2">
      <c r="A15" s="250"/>
      <c r="B15" s="310" t="s">
        <v>97</v>
      </c>
      <c r="C15" s="255">
        <f>'[3]Sky West_AS'!$IU$19</f>
        <v>0</v>
      </c>
      <c r="D15" s="2">
        <f>'[3]Sky West_AS'!$IG$19</f>
        <v>0</v>
      </c>
      <c r="E15" s="63" t="e">
        <f>(C15-D15)/D15</f>
        <v>#DIV/0!</v>
      </c>
      <c r="F15" s="2">
        <f>SUM('[3]Sky West_AS'!$IT$19:$IU$19)</f>
        <v>0</v>
      </c>
      <c r="G15" s="2">
        <f>SUM('[3]Sky West_AS'!$IF$19:$IG$19)</f>
        <v>0</v>
      </c>
      <c r="H15" s="3" t="e">
        <f>(F15-G15)/G15</f>
        <v>#DIV/0!</v>
      </c>
      <c r="I15" s="63">
        <f>F15/$F$62</f>
        <v>0</v>
      </c>
      <c r="J15" s="250"/>
      <c r="K15" s="310" t="s">
        <v>97</v>
      </c>
      <c r="L15" s="255">
        <f>'[3]Sky West_AS'!$IU$41</f>
        <v>0</v>
      </c>
      <c r="M15" s="2">
        <f>'[3]Sky West_AS'!$IG$41</f>
        <v>0</v>
      </c>
      <c r="N15" s="63" t="e">
        <f>(L15-M15)/M15</f>
        <v>#DIV/0!</v>
      </c>
      <c r="O15" s="255">
        <f>SUM('[3]Sky West_AS'!$IT$41:$IU$41)</f>
        <v>0</v>
      </c>
      <c r="P15" s="2">
        <f>SUM('[3]Sky West_AS'!$IF$41:$IG$41)</f>
        <v>0</v>
      </c>
      <c r="Q15" s="3" t="e">
        <f>(O15-P15)/P15</f>
        <v>#DIV/0!</v>
      </c>
      <c r="R15" s="316">
        <f>O15/$O$62</f>
        <v>0</v>
      </c>
      <c r="S15" s="250"/>
      <c r="T15" s="310" t="s">
        <v>97</v>
      </c>
      <c r="U15" s="255">
        <f>'[3]Sky West_AS'!$IU$64</f>
        <v>0</v>
      </c>
      <c r="V15" s="2">
        <f>'[3]Sky West_AS'!$IG$64</f>
        <v>0</v>
      </c>
      <c r="W15" s="63" t="e">
        <f>(U15-V15)/V15</f>
        <v>#DIV/0!</v>
      </c>
      <c r="X15" s="255">
        <f>SUM('[3]Sky West_AS'!$IT$64:$IU$64)</f>
        <v>0</v>
      </c>
      <c r="Y15" s="2">
        <f>SUM('[3]Sky West_AS'!$IF$64:$IG$64)</f>
        <v>0</v>
      </c>
      <c r="Z15" s="3" t="e">
        <f>(X15-Y15)/Y15</f>
        <v>#DIV/0!</v>
      </c>
      <c r="AA15" s="316">
        <f>X15/$X$62</f>
        <v>0</v>
      </c>
      <c r="AB15" s="250"/>
      <c r="AC15" s="310" t="s">
        <v>97</v>
      </c>
      <c r="AD15" s="255">
        <f>'[3]Sky West_AS'!$IU$43</f>
        <v>0</v>
      </c>
      <c r="AE15" s="2">
        <f>'[3]Sky West_AS'!$IG$43</f>
        <v>0</v>
      </c>
      <c r="AF15" s="63" t="e">
        <f>(AD15-AE15)/AE15</f>
        <v>#DIV/0!</v>
      </c>
      <c r="AG15" s="255">
        <f>SUM('[3]Sky West_AS'!$IT$43:$IU$43)</f>
        <v>0</v>
      </c>
      <c r="AH15" s="2">
        <f>SUM('[3]Sky West_AS'!$IF$43:$IG$43)</f>
        <v>0</v>
      </c>
      <c r="AI15" s="3" t="e">
        <f>(AG15-AH15)/AH15</f>
        <v>#DIV/0!</v>
      </c>
      <c r="AJ15" s="63">
        <f t="shared" si="17"/>
        <v>0</v>
      </c>
    </row>
    <row r="16" spans="1:36" ht="14.1" customHeight="1" x14ac:dyDescent="0.2">
      <c r="A16" s="250"/>
      <c r="B16" s="310" t="s">
        <v>184</v>
      </c>
      <c r="C16" s="255">
        <f>[3]Horizon_AS!$IU$19</f>
        <v>0</v>
      </c>
      <c r="D16" s="2">
        <f>[3]Horizon_AS!$IG$19</f>
        <v>0</v>
      </c>
      <c r="E16" s="63" t="e">
        <f>(C16-D16)/D16</f>
        <v>#DIV/0!</v>
      </c>
      <c r="F16" s="2">
        <f>SUM([3]Horizon_AS!$IT$19:$IU$19)</f>
        <v>0</v>
      </c>
      <c r="G16" s="2">
        <f>SUM([3]Horizon_AS!$IF$19:$IG$19)</f>
        <v>0</v>
      </c>
      <c r="H16" s="3" t="e">
        <f>(F16-G16)/G16</f>
        <v>#DIV/0!</v>
      </c>
      <c r="I16" s="63">
        <f>F16/$F$62</f>
        <v>0</v>
      </c>
      <c r="J16" s="250"/>
      <c r="K16" s="310" t="s">
        <v>184</v>
      </c>
      <c r="L16" s="255">
        <f>[3]Horizon_AS!$IU$41</f>
        <v>0</v>
      </c>
      <c r="M16" s="2">
        <f>[3]Horizon_AS!$IG$41</f>
        <v>0</v>
      </c>
      <c r="N16" s="63" t="e">
        <f>(L16-M16)/M16</f>
        <v>#DIV/0!</v>
      </c>
      <c r="O16" s="255">
        <f>SUM([3]Horizon_AS!$IT$41:$IU$41)</f>
        <v>0</v>
      </c>
      <c r="P16" s="2">
        <f>SUM([3]Horizon_AS!$IF$41:$IG$41)</f>
        <v>0</v>
      </c>
      <c r="Q16" s="3" t="e">
        <f>(O16-P16)/P16</f>
        <v>#DIV/0!</v>
      </c>
      <c r="R16" s="316">
        <f>O16/$O$62</f>
        <v>0</v>
      </c>
      <c r="S16" s="250"/>
      <c r="T16" s="310" t="s">
        <v>184</v>
      </c>
      <c r="U16" s="255">
        <f>[3]Horizon_AS!$IU$64</f>
        <v>0</v>
      </c>
      <c r="V16" s="2">
        <f>[3]Horizon_AS!$IG$64</f>
        <v>0</v>
      </c>
      <c r="W16" s="63" t="e">
        <f>(U16-V16)/V16</f>
        <v>#DIV/0!</v>
      </c>
      <c r="X16" s="255">
        <f>SUM([3]Horizon_AS!$IT$64:$IU$64)</f>
        <v>0</v>
      </c>
      <c r="Y16" s="2">
        <f>SUM([3]Horizon_AS!$IF$64:$IG$64)</f>
        <v>0</v>
      </c>
      <c r="Z16" s="3" t="e">
        <f>(X16-Y16)/Y16</f>
        <v>#DIV/0!</v>
      </c>
      <c r="AA16" s="316">
        <f>X16/$X$62</f>
        <v>0</v>
      </c>
      <c r="AB16" s="250"/>
      <c r="AC16" s="310" t="s">
        <v>184</v>
      </c>
      <c r="AD16" s="255">
        <f>[3]Horizon_AS!$IU$43</f>
        <v>0</v>
      </c>
      <c r="AE16" s="2">
        <f>[3]Horizon_AS!$IG$43</f>
        <v>0</v>
      </c>
      <c r="AF16" s="63" t="e">
        <f>(AD16-AE16)/AE16</f>
        <v>#DIV/0!</v>
      </c>
      <c r="AG16" s="255">
        <f>SUM([3]Horizon_AS!$IT$43:$IU$43)</f>
        <v>0</v>
      </c>
      <c r="AH16" s="2">
        <f>SUM([3]Horizon_AS!$IF$43:$IG$43)</f>
        <v>0</v>
      </c>
      <c r="AI16" s="3" t="e">
        <f>(AG16-AH16)/AH16</f>
        <v>#DIV/0!</v>
      </c>
      <c r="AJ16" s="63">
        <f t="shared" si="17"/>
        <v>0</v>
      </c>
    </row>
    <row r="17" spans="1:36" ht="14.1" customHeight="1" x14ac:dyDescent="0.2">
      <c r="A17" s="250"/>
      <c r="B17" s="37"/>
      <c r="C17" s="251"/>
      <c r="D17" s="256"/>
      <c r="E17" s="254"/>
      <c r="F17" s="256"/>
      <c r="G17" s="256"/>
      <c r="H17" s="252"/>
      <c r="I17" s="254"/>
      <c r="J17" s="250"/>
      <c r="K17" s="37"/>
      <c r="L17" s="133"/>
      <c r="M17" s="89"/>
      <c r="N17" s="63"/>
      <c r="O17" s="133"/>
      <c r="P17" s="89"/>
      <c r="Q17" s="3"/>
      <c r="R17" s="63"/>
      <c r="S17" s="250"/>
      <c r="T17" s="37"/>
      <c r="U17" s="133"/>
      <c r="V17" s="89"/>
      <c r="W17" s="63"/>
      <c r="X17" s="133"/>
      <c r="Y17" s="89"/>
      <c r="Z17" s="3"/>
      <c r="AA17" s="63"/>
      <c r="AB17" s="250"/>
      <c r="AC17" s="37"/>
      <c r="AD17" s="133"/>
      <c r="AE17" s="89"/>
      <c r="AF17" s="63"/>
      <c r="AG17" s="133"/>
      <c r="AH17" s="89"/>
      <c r="AI17" s="3"/>
      <c r="AJ17" s="63"/>
    </row>
    <row r="18" spans="1:36" ht="14.1" customHeight="1" x14ac:dyDescent="0.2">
      <c r="A18" s="250" t="s">
        <v>17</v>
      </c>
      <c r="B18" s="257"/>
      <c r="C18" s="251">
        <f>SUM(C19:C24)</f>
        <v>928</v>
      </c>
      <c r="D18" s="253">
        <f>SUM(D19:D24)</f>
        <v>926</v>
      </c>
      <c r="E18" s="254">
        <f t="shared" ref="E18:E24" si="18">(C18-D18)/D18</f>
        <v>2.1598272138228943E-3</v>
      </c>
      <c r="F18" s="251">
        <f>SUM(F19:F24)</f>
        <v>1926</v>
      </c>
      <c r="G18" s="253">
        <f>SUM(G19:G24)</f>
        <v>1924</v>
      </c>
      <c r="H18" s="252">
        <f t="shared" ref="H18:H24" si="19">(F18-G18)/G18</f>
        <v>1.0395010395010396E-3</v>
      </c>
      <c r="I18" s="254">
        <f t="shared" ref="I18:I24" si="20">F18/$F$62</f>
        <v>4.2735422028934059E-2</v>
      </c>
      <c r="J18" s="250" t="s">
        <v>17</v>
      </c>
      <c r="K18" s="257"/>
      <c r="L18" s="251">
        <f>SUM(L19:L24)</f>
        <v>107324</v>
      </c>
      <c r="M18" s="253">
        <f>SUM(M19:M24)</f>
        <v>102541</v>
      </c>
      <c r="N18" s="254">
        <f t="shared" ref="N18:N24" si="21">(L18-M18)/M18</f>
        <v>4.6644756731453761E-2</v>
      </c>
      <c r="O18" s="251">
        <f>SUM(O19:O24)</f>
        <v>217684</v>
      </c>
      <c r="P18" s="253">
        <f>SUM(P19:P24)</f>
        <v>207684</v>
      </c>
      <c r="Q18" s="252">
        <f t="shared" ref="Q18:Q24" si="22">(O18-P18)/P18</f>
        <v>4.8150074151114192E-2</v>
      </c>
      <c r="R18" s="254">
        <f t="shared" ref="R18:R24" si="23">O18/$O$62</f>
        <v>4.3776080053572829E-2</v>
      </c>
      <c r="S18" s="250" t="s">
        <v>17</v>
      </c>
      <c r="T18" s="257"/>
      <c r="U18" s="251">
        <f>SUM(U19:U24)</f>
        <v>47325</v>
      </c>
      <c r="V18" s="253">
        <f>SUM(V19:V24)</f>
        <v>44494</v>
      </c>
      <c r="W18" s="254">
        <f t="shared" ref="W18:W22" si="24">(U18-V18)/V18</f>
        <v>6.3626556389625569E-2</v>
      </c>
      <c r="X18" s="251">
        <f>SUM(X19:X24)</f>
        <v>102564</v>
      </c>
      <c r="Y18" s="253">
        <f>SUM(Y19:Y24)</f>
        <v>105402</v>
      </c>
      <c r="Z18" s="252">
        <f t="shared" ref="Z18:Z22" si="25">(X18-Y18)/Y18</f>
        <v>-2.6925485284909206E-2</v>
      </c>
      <c r="AA18" s="254">
        <f t="shared" ref="AA18:AA24" si="26">X18/$X$62</f>
        <v>7.5951134223302347E-3</v>
      </c>
      <c r="AB18" s="250" t="s">
        <v>17</v>
      </c>
      <c r="AC18" s="257"/>
      <c r="AD18" s="251">
        <f>SUM(AD19:AD24)</f>
        <v>110757</v>
      </c>
      <c r="AE18" s="253">
        <f>SUM(AE19:AE24)</f>
        <v>106069</v>
      </c>
      <c r="AF18" s="254">
        <f t="shared" ref="AF18:AF22" si="27">(AD18-AE18)/AE18</f>
        <v>4.4197644929244169E-2</v>
      </c>
      <c r="AG18" s="251">
        <f>SUM(AG19:AG24)</f>
        <v>224887</v>
      </c>
      <c r="AH18" s="253">
        <f>SUM(AH19:AH24)</f>
        <v>215111</v>
      </c>
      <c r="AI18" s="252">
        <f t="shared" ref="AI18:AI22" si="28">(AG18-AH18)/AH18</f>
        <v>4.5446304466066359E-2</v>
      </c>
      <c r="AJ18" s="254">
        <f>AG18/$AG$62</f>
        <v>4.3860714969031454E-2</v>
      </c>
    </row>
    <row r="19" spans="1:36" ht="14.1" customHeight="1" x14ac:dyDescent="0.2">
      <c r="A19" s="36"/>
      <c r="B19" s="37" t="s">
        <v>17</v>
      </c>
      <c r="C19" s="255">
        <f>[3]American!$IU$19</f>
        <v>570</v>
      </c>
      <c r="D19" s="2">
        <f>[3]American!$IG$19</f>
        <v>606</v>
      </c>
      <c r="E19" s="63">
        <f t="shared" si="18"/>
        <v>-5.9405940594059403E-2</v>
      </c>
      <c r="F19" s="2">
        <f>SUM([3]American!$IT$19:$IU$19)</f>
        <v>1200</v>
      </c>
      <c r="G19" s="2">
        <f>SUM([3]American!$IF$19:$IG$19)</f>
        <v>1225</v>
      </c>
      <c r="H19" s="3">
        <f t="shared" si="19"/>
        <v>-2.0408163265306121E-2</v>
      </c>
      <c r="I19" s="63">
        <f t="shared" si="20"/>
        <v>2.6626431170675424E-2</v>
      </c>
      <c r="J19" s="36"/>
      <c r="K19" s="37" t="s">
        <v>17</v>
      </c>
      <c r="L19" s="255">
        <f>[3]American!$IU$41</f>
        <v>87683</v>
      </c>
      <c r="M19" s="2">
        <f>[3]American!$IG$41</f>
        <v>86621</v>
      </c>
      <c r="N19" s="63">
        <f t="shared" si="21"/>
        <v>1.2260306392214359E-2</v>
      </c>
      <c r="O19" s="255">
        <f>SUM([3]American!$IT$41:$IU$41)</f>
        <v>179878</v>
      </c>
      <c r="P19" s="2">
        <f>SUM([3]American!$IF$41:$IG$41)</f>
        <v>174073</v>
      </c>
      <c r="Q19" s="3">
        <f t="shared" si="22"/>
        <v>3.3348078105162778E-2</v>
      </c>
      <c r="R19" s="63">
        <f t="shared" si="23"/>
        <v>3.617332338562583E-2</v>
      </c>
      <c r="S19" s="36"/>
      <c r="T19" s="37" t="s">
        <v>17</v>
      </c>
      <c r="U19" s="255">
        <f>[3]American!$IU$64</f>
        <v>43269</v>
      </c>
      <c r="V19" s="2">
        <f>[3]American!$IG$64</f>
        <v>41792</v>
      </c>
      <c r="W19" s="63">
        <f t="shared" si="24"/>
        <v>3.5341692189892804E-2</v>
      </c>
      <c r="X19" s="255">
        <f>SUM([3]American!$IT$64:$IU$64)</f>
        <v>95904</v>
      </c>
      <c r="Y19" s="2">
        <f>SUM([3]American!$IF$64:$IG$64)</f>
        <v>99212</v>
      </c>
      <c r="Z19" s="3">
        <f t="shared" si="25"/>
        <v>-3.3342740797484179E-2</v>
      </c>
      <c r="AA19" s="63">
        <f t="shared" si="26"/>
        <v>7.1019242390620374E-3</v>
      </c>
      <c r="AB19" s="36"/>
      <c r="AC19" s="37" t="s">
        <v>17</v>
      </c>
      <c r="AD19" s="255">
        <f>[3]American!$IU$43</f>
        <v>90365</v>
      </c>
      <c r="AE19" s="2">
        <f>[3]American!$IG$43</f>
        <v>89555</v>
      </c>
      <c r="AF19" s="63">
        <f t="shared" si="27"/>
        <v>9.0447211210987668E-3</v>
      </c>
      <c r="AG19" s="255">
        <f>SUM([3]American!$IT$43:$IU$43)</f>
        <v>185575</v>
      </c>
      <c r="AH19" s="2">
        <f>SUM([3]American!$IF$43:$IG$43)</f>
        <v>180231</v>
      </c>
      <c r="AI19" s="3">
        <f t="shared" si="28"/>
        <v>2.9650836981429389E-2</v>
      </c>
      <c r="AJ19" s="63">
        <f t="shared" ref="AJ19:AJ24" si="29">AG19/$AG$62</f>
        <v>3.6193520214054226E-2</v>
      </c>
    </row>
    <row r="20" spans="1:36" ht="14.1" customHeight="1" x14ac:dyDescent="0.2">
      <c r="A20" s="36"/>
      <c r="B20" s="310" t="s">
        <v>163</v>
      </c>
      <c r="C20" s="255">
        <f>'[3]American Eagle'!$IU$19</f>
        <v>84</v>
      </c>
      <c r="D20" s="2">
        <f>'[3]American Eagle'!$IG$19</f>
        <v>10</v>
      </c>
      <c r="E20" s="63">
        <f t="shared" si="18"/>
        <v>7.4</v>
      </c>
      <c r="F20" s="2">
        <f>SUM('[3]American Eagle'!$IT$19:$IU$19)</f>
        <v>118</v>
      </c>
      <c r="G20" s="2">
        <f>SUM('[3]American Eagle'!$IF$19:$IG$19)</f>
        <v>119</v>
      </c>
      <c r="H20" s="3">
        <f t="shared" si="19"/>
        <v>-8.4033613445378148E-3</v>
      </c>
      <c r="I20" s="63">
        <f t="shared" si="20"/>
        <v>2.6182657317830832E-3</v>
      </c>
      <c r="J20" s="36"/>
      <c r="K20" s="310" t="s">
        <v>163</v>
      </c>
      <c r="L20" s="255">
        <f>'[3]American Eagle'!$IU$41</f>
        <v>5178</v>
      </c>
      <c r="M20" s="2">
        <f>'[3]American Eagle'!$IG$41</f>
        <v>285</v>
      </c>
      <c r="N20" s="63">
        <f t="shared" si="21"/>
        <v>17.168421052631579</v>
      </c>
      <c r="O20" s="255">
        <f>SUM('[3]American Eagle'!$IT$41:$IU$41)</f>
        <v>6874</v>
      </c>
      <c r="P20" s="2">
        <f>SUM('[3]American Eagle'!$IF$41:$IG$41)</f>
        <v>5459</v>
      </c>
      <c r="Q20" s="3">
        <f t="shared" si="22"/>
        <v>0.25920498259754532</v>
      </c>
      <c r="R20" s="63">
        <f t="shared" si="23"/>
        <v>1.3823559576645946E-3</v>
      </c>
      <c r="S20" s="36"/>
      <c r="T20" s="310" t="s">
        <v>163</v>
      </c>
      <c r="U20" s="255">
        <f>'[3]American Eagle'!$IU$64</f>
        <v>728</v>
      </c>
      <c r="V20" s="2">
        <f>'[3]American Eagle'!$IG$64</f>
        <v>700</v>
      </c>
      <c r="W20" s="63">
        <f t="shared" si="24"/>
        <v>0.04</v>
      </c>
      <c r="X20" s="255">
        <f>SUM('[3]American Eagle'!$IT$64:$IU$64)</f>
        <v>728</v>
      </c>
      <c r="Y20" s="2">
        <f>SUM('[3]American Eagle'!$IF$64:$IG$64)</f>
        <v>2928</v>
      </c>
      <c r="Z20" s="3">
        <f t="shared" si="25"/>
        <v>-0.75136612021857918</v>
      </c>
      <c r="AA20" s="63">
        <f t="shared" si="26"/>
        <v>5.3910168981868988E-5</v>
      </c>
      <c r="AB20" s="36"/>
      <c r="AC20" s="310" t="s">
        <v>163</v>
      </c>
      <c r="AD20" s="255">
        <f>'[3]American Eagle'!$IU$43</f>
        <v>5382</v>
      </c>
      <c r="AE20" s="2">
        <f>'[3]American Eagle'!$IG$43</f>
        <v>293</v>
      </c>
      <c r="AF20" s="63">
        <f t="shared" si="27"/>
        <v>17.368600682593858</v>
      </c>
      <c r="AG20" s="255">
        <f>SUM('[3]American Eagle'!$IT$43:$IU$43)</f>
        <v>7160</v>
      </c>
      <c r="AH20" s="2">
        <f>SUM('[3]American Eagle'!$IF$43:$IG$43)</f>
        <v>5660</v>
      </c>
      <c r="AI20" s="3">
        <f t="shared" si="28"/>
        <v>0.26501766784452296</v>
      </c>
      <c r="AJ20" s="63">
        <f t="shared" si="29"/>
        <v>1.3964467451576357E-3</v>
      </c>
    </row>
    <row r="21" spans="1:36" ht="14.1" customHeight="1" x14ac:dyDescent="0.2">
      <c r="A21" s="36"/>
      <c r="B21" s="310" t="s">
        <v>52</v>
      </c>
      <c r="C21" s="255">
        <f>[3]Republic!$IU$19</f>
        <v>98</v>
      </c>
      <c r="D21" s="2">
        <f>[3]Republic!$IG$19</f>
        <v>164</v>
      </c>
      <c r="E21" s="63">
        <f t="shared" si="18"/>
        <v>-0.40243902439024393</v>
      </c>
      <c r="F21" s="2">
        <f>SUM([3]Republic!$IT$19:$IU$19)</f>
        <v>206</v>
      </c>
      <c r="G21" s="2">
        <f>SUM([3]Republic!$IF$19:$IG$19)</f>
        <v>322</v>
      </c>
      <c r="H21" s="3">
        <f t="shared" si="19"/>
        <v>-0.36024844720496896</v>
      </c>
      <c r="I21" s="63">
        <f t="shared" si="20"/>
        <v>4.5708706842992807E-3</v>
      </c>
      <c r="J21" s="36"/>
      <c r="K21" s="258" t="s">
        <v>52</v>
      </c>
      <c r="L21" s="255">
        <f>[3]Republic!$IU$41</f>
        <v>4094</v>
      </c>
      <c r="M21" s="2">
        <f>[3]Republic!$IG$41</f>
        <v>8539</v>
      </c>
      <c r="N21" s="63">
        <f t="shared" si="21"/>
        <v>-0.52055275793418432</v>
      </c>
      <c r="O21" s="255">
        <f>SUM([3]Republic!$IT$41:$IU$41)</f>
        <v>8596</v>
      </c>
      <c r="P21" s="2">
        <f>SUM([3]Republic!$IF$41:$IG$41)</f>
        <v>16031</v>
      </c>
      <c r="Q21" s="3">
        <f t="shared" si="22"/>
        <v>-0.46378890898883413</v>
      </c>
      <c r="R21" s="63">
        <f t="shared" si="23"/>
        <v>1.7286487943096967E-3</v>
      </c>
      <c r="S21" s="36"/>
      <c r="T21" s="258" t="s">
        <v>52</v>
      </c>
      <c r="U21" s="255">
        <f>[3]Republic!$IU$64</f>
        <v>2339</v>
      </c>
      <c r="V21" s="2">
        <f>[3]Republic!$IG$64</f>
        <v>1962</v>
      </c>
      <c r="W21" s="63">
        <f t="shared" si="24"/>
        <v>0.19215086646279306</v>
      </c>
      <c r="X21" s="255">
        <f>SUM([3]Republic!$IT$64:$IU$64)</f>
        <v>3535</v>
      </c>
      <c r="Y21" s="2">
        <f>SUM([3]Republic!$IF$64:$IG$64)</f>
        <v>3222</v>
      </c>
      <c r="Z21" s="3">
        <f t="shared" si="25"/>
        <v>9.7144630664183731E-2</v>
      </c>
      <c r="AA21" s="63">
        <f t="shared" si="26"/>
        <v>2.617753397677292E-4</v>
      </c>
      <c r="AB21" s="36"/>
      <c r="AC21" s="258" t="s">
        <v>52</v>
      </c>
      <c r="AD21" s="255">
        <f>[3]Republic!$IU$43</f>
        <v>4367</v>
      </c>
      <c r="AE21" s="2">
        <f>[3]Republic!$IG$43</f>
        <v>8882</v>
      </c>
      <c r="AF21" s="63">
        <f t="shared" si="27"/>
        <v>-0.50833145687908132</v>
      </c>
      <c r="AG21" s="255">
        <f>SUM([3]Republic!$IT$43:$IU$43)</f>
        <v>9188</v>
      </c>
      <c r="AH21" s="2">
        <f>SUM([3]Republic!$IF$43:$IG$43)</f>
        <v>16668</v>
      </c>
      <c r="AI21" s="3">
        <f t="shared" si="28"/>
        <v>-0.44876409887209023</v>
      </c>
      <c r="AJ21" s="63">
        <f>AG21/$AG$62</f>
        <v>1.7919766333112229E-3</v>
      </c>
    </row>
    <row r="22" spans="1:36" ht="14.1" customHeight="1" x14ac:dyDescent="0.2">
      <c r="A22" s="36"/>
      <c r="B22" s="310" t="s">
        <v>177</v>
      </c>
      <c r="C22" s="255">
        <f>[3]PSA!$IU$19</f>
        <v>112</v>
      </c>
      <c r="D22" s="2">
        <f>[3]PSA!$IG$19</f>
        <v>146</v>
      </c>
      <c r="E22" s="63">
        <f t="shared" si="18"/>
        <v>-0.23287671232876711</v>
      </c>
      <c r="F22" s="2">
        <f>SUM([3]PSA!$IT$19:$IU$19)</f>
        <v>238</v>
      </c>
      <c r="G22" s="2">
        <f>SUM([3]PSA!$IF$19:$IG$19)</f>
        <v>256</v>
      </c>
      <c r="H22" s="3">
        <f t="shared" si="19"/>
        <v>-7.03125E-2</v>
      </c>
      <c r="I22" s="63">
        <f t="shared" si="20"/>
        <v>5.280908848850626E-3</v>
      </c>
      <c r="J22" s="36"/>
      <c r="K22" s="310" t="s">
        <v>177</v>
      </c>
      <c r="L22" s="255">
        <f>[3]PSA!$IU$41</f>
        <v>7421</v>
      </c>
      <c r="M22" s="2">
        <f>[3]PSA!$IG$41</f>
        <v>7096</v>
      </c>
      <c r="N22" s="63">
        <f t="shared" si="21"/>
        <v>4.5800450958286359E-2</v>
      </c>
      <c r="O22" s="255">
        <f>SUM([3]PSA!$IT$41:$IU$41)</f>
        <v>15057</v>
      </c>
      <c r="P22" s="2">
        <f>SUM([3]PSA!$IF$41:$IG$41)</f>
        <v>12086</v>
      </c>
      <c r="Q22" s="3">
        <f t="shared" si="22"/>
        <v>0.24582161178222736</v>
      </c>
      <c r="R22" s="63">
        <f t="shared" si="23"/>
        <v>3.0279507789577834E-3</v>
      </c>
      <c r="S22" s="36"/>
      <c r="T22" s="310" t="s">
        <v>177</v>
      </c>
      <c r="U22" s="255">
        <f>[3]PSA!$IU$64</f>
        <v>340</v>
      </c>
      <c r="V22" s="2">
        <f>[3]PSA!$IG$64</f>
        <v>40</v>
      </c>
      <c r="W22" s="63">
        <f t="shared" si="24"/>
        <v>7.5</v>
      </c>
      <c r="X22" s="255">
        <f>SUM([3]PSA!$IT$64:$IU$64)</f>
        <v>641</v>
      </c>
      <c r="Y22" s="2">
        <f>SUM([3]PSA!$IF$64:$IG$64)</f>
        <v>40</v>
      </c>
      <c r="Z22" s="3">
        <f t="shared" si="25"/>
        <v>15.025</v>
      </c>
      <c r="AA22" s="63">
        <f t="shared" si="26"/>
        <v>4.7467607578815958E-5</v>
      </c>
      <c r="AB22" s="36"/>
      <c r="AC22" s="310" t="s">
        <v>177</v>
      </c>
      <c r="AD22" s="255">
        <f>[3]PSA!$IU$43</f>
        <v>7617</v>
      </c>
      <c r="AE22" s="2">
        <f>[3]PSA!$IG$43</f>
        <v>7339</v>
      </c>
      <c r="AF22" s="63">
        <f t="shared" si="27"/>
        <v>3.7879820138983514E-2</v>
      </c>
      <c r="AG22" s="255">
        <f>SUM([3]PSA!$IT$43:$IU$43)</f>
        <v>15473</v>
      </c>
      <c r="AH22" s="2">
        <f>SUM([3]PSA!$IF$43:$IG$43)</f>
        <v>12516</v>
      </c>
      <c r="AI22" s="3">
        <f t="shared" si="28"/>
        <v>0.23625759028443591</v>
      </c>
      <c r="AJ22" s="63">
        <f t="shared" si="29"/>
        <v>3.0177682245564382E-3</v>
      </c>
    </row>
    <row r="23" spans="1:36" ht="14.1" customHeight="1" x14ac:dyDescent="0.2">
      <c r="A23" s="36"/>
      <c r="B23" s="310" t="s">
        <v>97</v>
      </c>
      <c r="C23" s="255">
        <f>'[3]Sky West_AA'!$IU$19</f>
        <v>0</v>
      </c>
      <c r="D23" s="2">
        <f>'[3]Sky West_AA'!$IG$19</f>
        <v>0</v>
      </c>
      <c r="E23" s="63" t="e">
        <f>(C23-D23)/D23</f>
        <v>#DIV/0!</v>
      </c>
      <c r="F23" s="2">
        <f>SUM('[3]Sky West_AA'!$IT$19:$IU$19)</f>
        <v>0</v>
      </c>
      <c r="G23" s="2">
        <f>SUM('[3]Sky West_AA'!$IF$19:$IG$19)</f>
        <v>0</v>
      </c>
      <c r="H23" s="3" t="e">
        <f>(F23-G23)/G23</f>
        <v>#DIV/0!</v>
      </c>
      <c r="I23" s="63">
        <f t="shared" si="20"/>
        <v>0</v>
      </c>
      <c r="J23" s="36"/>
      <c r="K23" s="310" t="s">
        <v>97</v>
      </c>
      <c r="L23" s="255">
        <f>'[3]Sky West_AA'!$IU$41</f>
        <v>0</v>
      </c>
      <c r="M23" s="2">
        <f>'[3]Sky West_AA'!$IG$41</f>
        <v>0</v>
      </c>
      <c r="N23" s="63" t="e">
        <f>(L23-M23)/M23</f>
        <v>#DIV/0!</v>
      </c>
      <c r="O23" s="255">
        <f>SUM('[3]Sky West_AA'!$IT$41:$IU$41)</f>
        <v>0</v>
      </c>
      <c r="P23" s="2">
        <f>SUM('[3]Sky West_AA'!$IF$41:$IG$41)</f>
        <v>0</v>
      </c>
      <c r="Q23" s="3" t="e">
        <f>(O23-P23)/P23</f>
        <v>#DIV/0!</v>
      </c>
      <c r="R23" s="316">
        <f t="shared" si="23"/>
        <v>0</v>
      </c>
      <c r="S23" s="36"/>
      <c r="T23" s="310" t="s">
        <v>97</v>
      </c>
      <c r="U23" s="255">
        <f>'[3]Sky West_AA'!$IU$64</f>
        <v>0</v>
      </c>
      <c r="V23" s="2">
        <f>'[3]Sky West_AA'!$IG$64</f>
        <v>0</v>
      </c>
      <c r="W23" s="63" t="e">
        <f>(U23-V23)/V23</f>
        <v>#DIV/0!</v>
      </c>
      <c r="X23" s="255">
        <f>SUM('[3]Sky West_AA'!$IT$64:$IU$64)</f>
        <v>0</v>
      </c>
      <c r="Y23" s="2">
        <f>SUM('[3]Sky West_AA'!$IF$64:$IG$64)</f>
        <v>0</v>
      </c>
      <c r="Z23" s="3" t="e">
        <f>(X23-Y23)/Y23</f>
        <v>#DIV/0!</v>
      </c>
      <c r="AA23" s="316">
        <f t="shared" si="26"/>
        <v>0</v>
      </c>
      <c r="AB23" s="36"/>
      <c r="AC23" s="310" t="s">
        <v>97</v>
      </c>
      <c r="AD23" s="255">
        <f>'[3]Sky West_AA'!$IU$43</f>
        <v>0</v>
      </c>
      <c r="AE23" s="2">
        <f>'[3]Sky West_AA'!$IG$43</f>
        <v>0</v>
      </c>
      <c r="AF23" s="63" t="e">
        <f>(AD23-AE23)/AE23</f>
        <v>#DIV/0!</v>
      </c>
      <c r="AG23" s="255">
        <f>SUM('[3]Sky West_AA'!$IT$43:$IU$43)</f>
        <v>0</v>
      </c>
      <c r="AH23" s="2">
        <f>SUM('[3]Sky West_AA'!$IF$43:$IG$43)</f>
        <v>0</v>
      </c>
      <c r="AI23" s="3" t="e">
        <f>(AG23-AH23)/AH23</f>
        <v>#DIV/0!</v>
      </c>
      <c r="AJ23" s="63">
        <f t="shared" si="29"/>
        <v>0</v>
      </c>
    </row>
    <row r="24" spans="1:36" ht="14.1" customHeight="1" x14ac:dyDescent="0.2">
      <c r="A24" s="36"/>
      <c r="B24" s="310" t="s">
        <v>50</v>
      </c>
      <c r="C24" s="255">
        <f>'[3]Air Wisconsin'!$IU$19</f>
        <v>64</v>
      </c>
      <c r="D24" s="2">
        <f>'[3]Air Wisconsin'!$IG$19</f>
        <v>0</v>
      </c>
      <c r="E24" s="63" t="e">
        <f t="shared" si="18"/>
        <v>#DIV/0!</v>
      </c>
      <c r="F24" s="2">
        <f>SUM('[3]Air Wisconsin'!$IT$19:$IU$19)</f>
        <v>164</v>
      </c>
      <c r="G24" s="2">
        <f>SUM('[3]Air Wisconsin'!$IF$19:$IG$19)</f>
        <v>2</v>
      </c>
      <c r="H24" s="341">
        <f t="shared" si="19"/>
        <v>81</v>
      </c>
      <c r="I24" s="63">
        <f t="shared" si="20"/>
        <v>3.6389455933256414E-3</v>
      </c>
      <c r="J24" s="36"/>
      <c r="K24" s="258" t="s">
        <v>50</v>
      </c>
      <c r="L24" s="255">
        <f>'[3]Air Wisconsin'!$IU$41</f>
        <v>2948</v>
      </c>
      <c r="M24" s="2">
        <f>'[3]Air Wisconsin'!$IG$41</f>
        <v>0</v>
      </c>
      <c r="N24" s="63" t="e">
        <f t="shared" si="21"/>
        <v>#DIV/0!</v>
      </c>
      <c r="O24" s="255">
        <f>SUM('[3]Air Wisconsin'!$IT$41:$IU$41)</f>
        <v>7279</v>
      </c>
      <c r="P24" s="2">
        <f>SUM('[3]Air Wisconsin'!$IF$41:$IG$41)</f>
        <v>35</v>
      </c>
      <c r="Q24" s="3">
        <f t="shared" si="22"/>
        <v>206.97142857142856</v>
      </c>
      <c r="R24" s="63">
        <f t="shared" si="23"/>
        <v>1.4638011370149235E-3</v>
      </c>
      <c r="S24" s="36"/>
      <c r="T24" s="258" t="s">
        <v>50</v>
      </c>
      <c r="U24" s="255">
        <f>'[3]Air Wisconsin'!$IU$64</f>
        <v>649</v>
      </c>
      <c r="V24" s="2">
        <f>'[3]Air Wisconsin'!$IG$64</f>
        <v>0</v>
      </c>
      <c r="W24" s="63" t="e">
        <f t="shared" ref="W24" si="30">(U24-V24)/V24</f>
        <v>#DIV/0!</v>
      </c>
      <c r="X24" s="255">
        <f>SUM('[3]Air Wisconsin'!$IT$64:$IU$64)</f>
        <v>1756</v>
      </c>
      <c r="Y24" s="2">
        <f>SUM('[3]Air Wisconsin'!$IF$64:$IG$64)</f>
        <v>0</v>
      </c>
      <c r="Z24" s="3" t="e">
        <f t="shared" ref="Z24" si="31">(X24-Y24)/Y24</f>
        <v>#DIV/0!</v>
      </c>
      <c r="AA24" s="63">
        <f t="shared" si="26"/>
        <v>1.3003606693978289E-4</v>
      </c>
      <c r="AB24" s="36"/>
      <c r="AC24" s="258" t="s">
        <v>50</v>
      </c>
      <c r="AD24" s="255">
        <f>'[3]Air Wisconsin'!$IU$43</f>
        <v>3026</v>
      </c>
      <c r="AE24" s="2">
        <f>'[3]Air Wisconsin'!$IG$43</f>
        <v>0</v>
      </c>
      <c r="AF24" s="63" t="e">
        <f t="shared" ref="AF24" si="32">(AD24-AE24)/AE24</f>
        <v>#DIV/0!</v>
      </c>
      <c r="AG24" s="255">
        <f>SUM('[3]Air Wisconsin'!$IT$43:$IU$43)</f>
        <v>7491</v>
      </c>
      <c r="AH24" s="2">
        <f>SUM('[3]Air Wisconsin'!$IF$43:$IG$43)</f>
        <v>36</v>
      </c>
      <c r="AI24" s="3">
        <f t="shared" ref="AI24" si="33">(AG24-AH24)/AH24</f>
        <v>207.08333333333334</v>
      </c>
      <c r="AJ24" s="63">
        <f t="shared" si="29"/>
        <v>1.4610031519519341E-3</v>
      </c>
    </row>
    <row r="25" spans="1:36" ht="14.1" customHeight="1" x14ac:dyDescent="0.2">
      <c r="A25" s="36"/>
      <c r="B25" s="37"/>
      <c r="C25" s="255"/>
      <c r="E25" s="63"/>
      <c r="F25" s="2"/>
      <c r="I25" s="63"/>
      <c r="J25" s="36"/>
      <c r="K25" s="37"/>
      <c r="L25" s="255"/>
      <c r="N25" s="63"/>
      <c r="O25" s="255"/>
      <c r="P25" s="2"/>
      <c r="Q25" s="3"/>
      <c r="R25" s="63"/>
      <c r="S25" s="36"/>
      <c r="T25" s="37"/>
      <c r="U25" s="255"/>
      <c r="V25" s="2"/>
      <c r="W25" s="63"/>
      <c r="X25" s="255"/>
      <c r="Y25" s="2"/>
      <c r="Z25" s="3"/>
      <c r="AA25" s="63"/>
      <c r="AB25" s="36"/>
      <c r="AC25" s="37"/>
      <c r="AD25" s="255"/>
      <c r="AE25" s="2"/>
      <c r="AF25" s="63"/>
      <c r="AG25" s="255"/>
      <c r="AH25" s="2"/>
      <c r="AI25" s="3"/>
      <c r="AJ25" s="63"/>
    </row>
    <row r="26" spans="1:36" ht="14.1" customHeight="1" x14ac:dyDescent="0.2">
      <c r="A26" s="250" t="s">
        <v>159</v>
      </c>
      <c r="B26" s="37"/>
      <c r="C26" s="251">
        <f>[3]Condor!$IU$19</f>
        <v>0</v>
      </c>
      <c r="D26" s="253">
        <f>[3]Condor!$IG$19</f>
        <v>0</v>
      </c>
      <c r="E26" s="254" t="e">
        <f>(C26-D26)/D26</f>
        <v>#DIV/0!</v>
      </c>
      <c r="F26" s="253">
        <f>SUM([3]Condor!$IT$19:$IU$19)</f>
        <v>0</v>
      </c>
      <c r="G26" s="253">
        <f>SUM([3]Condor!$IF$19:$IG$19)</f>
        <v>0</v>
      </c>
      <c r="H26" s="252" t="e">
        <f>(F26-G26)/G26</f>
        <v>#DIV/0!</v>
      </c>
      <c r="I26" s="254">
        <f>F26/$F$62</f>
        <v>0</v>
      </c>
      <c r="J26" s="250" t="s">
        <v>159</v>
      </c>
      <c r="K26" s="37"/>
      <c r="L26" s="251">
        <f>[3]Condor!$IU$41</f>
        <v>0</v>
      </c>
      <c r="M26" s="253">
        <f>[3]Condor!$IG$41</f>
        <v>0</v>
      </c>
      <c r="N26" s="254" t="e">
        <f>(L26-M26)/M26</f>
        <v>#DIV/0!</v>
      </c>
      <c r="O26" s="251">
        <f>SUM([3]Condor!$IT$41:$IU$41)</f>
        <v>0</v>
      </c>
      <c r="P26" s="253">
        <f>SUM([3]Condor!$IF$41:$IG$41)</f>
        <v>0</v>
      </c>
      <c r="Q26" s="252" t="e">
        <f>(O26-P26)/P26</f>
        <v>#DIV/0!</v>
      </c>
      <c r="R26" s="254">
        <f>O26/$O$62</f>
        <v>0</v>
      </c>
      <c r="S26" s="250" t="s">
        <v>159</v>
      </c>
      <c r="T26" s="37"/>
      <c r="U26" s="251">
        <f>[3]Condor!$IU$64</f>
        <v>0</v>
      </c>
      <c r="V26" s="253">
        <f>[3]Condor!$IG$64</f>
        <v>0</v>
      </c>
      <c r="W26" s="254" t="e">
        <f>(U26-V26)/V26</f>
        <v>#DIV/0!</v>
      </c>
      <c r="X26" s="251">
        <f>SUM([3]Condor!$IT$64:$IU$64)</f>
        <v>0</v>
      </c>
      <c r="Y26" s="253">
        <f>SUM([3]Condor!$IF$64:$IG$64)</f>
        <v>0</v>
      </c>
      <c r="Z26" s="252" t="e">
        <f>(X26-Y26)/Y26</f>
        <v>#DIV/0!</v>
      </c>
      <c r="AA26" s="254">
        <f>X26/$X$62</f>
        <v>0</v>
      </c>
      <c r="AB26" s="250" t="s">
        <v>159</v>
      </c>
      <c r="AC26" s="37"/>
      <c r="AD26" s="251">
        <f>[3]Condor!$IU$43</f>
        <v>0</v>
      </c>
      <c r="AE26" s="253">
        <f>[3]Condor!$IG$43</f>
        <v>0</v>
      </c>
      <c r="AF26" s="254" t="e">
        <f>(AD26-AE26)/AE26</f>
        <v>#DIV/0!</v>
      </c>
      <c r="AG26" s="251">
        <f>SUM([3]Condor!$IT$43:$IU$43)</f>
        <v>0</v>
      </c>
      <c r="AH26" s="253">
        <f>SUM([3]Condor!$IF$43:$IG$43)</f>
        <v>0</v>
      </c>
      <c r="AI26" s="252" t="e">
        <f>(AG26-AH26)/AH26</f>
        <v>#DIV/0!</v>
      </c>
      <c r="AJ26" s="254">
        <f>AG26/$AG$62</f>
        <v>0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210</v>
      </c>
      <c r="B28" s="37"/>
      <c r="C28" s="251">
        <f>'[3]Denver Air'!$IU$19</f>
        <v>162</v>
      </c>
      <c r="D28" s="253">
        <f>'[3]Denver Air'!$IG$19</f>
        <v>136</v>
      </c>
      <c r="E28" s="254">
        <f>(C28-D28)/D28</f>
        <v>0.19117647058823528</v>
      </c>
      <c r="F28" s="253">
        <f>SUM('[3]Denver Air'!$IT$19:$IU$19)</f>
        <v>342</v>
      </c>
      <c r="G28" s="253">
        <f>SUM('[3]Denver Air'!$IF$19:$IG$19)</f>
        <v>296</v>
      </c>
      <c r="H28" s="252">
        <f>(F28-G28)/G28</f>
        <v>0.1554054054054054</v>
      </c>
      <c r="I28" s="254">
        <f>F28/$F$62</f>
        <v>7.5885328836424954E-3</v>
      </c>
      <c r="J28" s="250" t="s">
        <v>210</v>
      </c>
      <c r="K28" s="37"/>
      <c r="L28" s="251">
        <f>'[3]Denver Air'!$IU$41</f>
        <v>1558</v>
      </c>
      <c r="M28" s="253">
        <f>'[3]Denver Air'!$IG$41</f>
        <v>1203</v>
      </c>
      <c r="N28" s="254">
        <f>(L28-M28)/M28</f>
        <v>0.29509559434746468</v>
      </c>
      <c r="O28" s="251">
        <f>SUM('[3]Denver Air'!$IT$41:$IU$41)</f>
        <v>3204</v>
      </c>
      <c r="P28" s="253">
        <f>SUM('[3]Denver Air'!$IF$41:$IG$41)</f>
        <v>2686</v>
      </c>
      <c r="Q28" s="252">
        <f>(O28-P28)/P28</f>
        <v>0.1928518242740134</v>
      </c>
      <c r="R28" s="254">
        <f>O28/$O$62</f>
        <v>6.4432186330482422E-4</v>
      </c>
      <c r="S28" s="250" t="s">
        <v>210</v>
      </c>
      <c r="T28" s="37"/>
      <c r="U28" s="251">
        <f>'[3]Denver Air'!$IU$64</f>
        <v>0</v>
      </c>
      <c r="V28" s="253">
        <f>'[3]Denver Air'!$IG$64</f>
        <v>0</v>
      </c>
      <c r="W28" s="254" t="e">
        <f>(U28-V28)/V28</f>
        <v>#DIV/0!</v>
      </c>
      <c r="X28" s="251">
        <f>SUM('[3]Denver Air'!$IT$64:$IU$64)</f>
        <v>0</v>
      </c>
      <c r="Y28" s="253">
        <f>SUM('[3]Denver Air'!$IF$64:$IG$64)</f>
        <v>0</v>
      </c>
      <c r="Z28" s="252" t="e">
        <f>(X28-Y28)/Y28</f>
        <v>#DIV/0!</v>
      </c>
      <c r="AA28" s="254">
        <f>X28/$X$60</f>
        <v>0</v>
      </c>
      <c r="AB28" s="250" t="s">
        <v>210</v>
      </c>
      <c r="AC28" s="37"/>
      <c r="AD28" s="251">
        <f>'[3]Denver Air'!$IU$43</f>
        <v>1642</v>
      </c>
      <c r="AE28" s="253">
        <f>'[3]Denver Air'!$IG$43</f>
        <v>1240</v>
      </c>
      <c r="AF28" s="254">
        <f>(AD28-AE28)/AE28</f>
        <v>0.3241935483870968</v>
      </c>
      <c r="AG28" s="251">
        <f>SUM('[3]Denver Air'!$IT$43:$IU$43)</f>
        <v>3365</v>
      </c>
      <c r="AH28" s="253">
        <f>SUM('[3]Denver Air'!$IF$43:$IG$43)</f>
        <v>2775</v>
      </c>
      <c r="AI28" s="252">
        <f>(AG28-AH28)/AH28</f>
        <v>0.21261261261261261</v>
      </c>
      <c r="AJ28" s="254">
        <f>AG28/$AG$62</f>
        <v>6.5629096333176594E-4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18</v>
      </c>
      <c r="B30" s="257"/>
      <c r="C30" s="251">
        <f>SUM(C31:C34)</f>
        <v>15634</v>
      </c>
      <c r="D30" s="253">
        <f>SUM(D31:D34)</f>
        <v>14486</v>
      </c>
      <c r="E30" s="254">
        <f t="shared" ref="E30:E34" si="34">(C30-D30)/D30</f>
        <v>7.9248930001380641E-2</v>
      </c>
      <c r="F30" s="256">
        <f>SUM(F31:F34)</f>
        <v>32369</v>
      </c>
      <c r="G30" s="256">
        <f>SUM(G31:G34)</f>
        <v>30777</v>
      </c>
      <c r="H30" s="252">
        <f>(F30-G30)/G30</f>
        <v>5.1726938947915649E-2</v>
      </c>
      <c r="I30" s="254">
        <f>F30/$F$62</f>
        <v>0.71822579213632731</v>
      </c>
      <c r="J30" s="250" t="s">
        <v>18</v>
      </c>
      <c r="K30" s="257"/>
      <c r="L30" s="251">
        <f>SUM(L31:L34)</f>
        <v>1683917</v>
      </c>
      <c r="M30" s="253">
        <f>SUM(M31:M34)</f>
        <v>1489719</v>
      </c>
      <c r="N30" s="254">
        <f t="shared" ref="N30:N34" si="35">(L30-M30)/M30</f>
        <v>0.13035881263513455</v>
      </c>
      <c r="O30" s="251">
        <f>SUM(O31:O34)</f>
        <v>3425588</v>
      </c>
      <c r="P30" s="253">
        <f>SUM(P31:P34)</f>
        <v>3145795</v>
      </c>
      <c r="Q30" s="252">
        <f t="shared" ref="Q30:Q34" si="36">(O30-P30)/P30</f>
        <v>8.8941904987451498E-2</v>
      </c>
      <c r="R30" s="254">
        <f>O30/$O$62</f>
        <v>0.68888303466749257</v>
      </c>
      <c r="S30" s="250" t="s">
        <v>18</v>
      </c>
      <c r="T30" s="257"/>
      <c r="U30" s="251">
        <f>SUM(U31:U34)</f>
        <v>6603165</v>
      </c>
      <c r="V30" s="253">
        <f>SUM(V31:V34)</f>
        <v>5343852</v>
      </c>
      <c r="W30" s="254">
        <f t="shared" ref="W30:W34" si="37">(U30-V30)/V30</f>
        <v>0.23565641413721788</v>
      </c>
      <c r="X30" s="251">
        <f>SUM(X31:X34)</f>
        <v>12367113</v>
      </c>
      <c r="Y30" s="253">
        <f>SUM(Y31:Y34)</f>
        <v>11327938</v>
      </c>
      <c r="Z30" s="252">
        <f t="shared" ref="Z30:Z32" si="38">(X30-Y30)/Y30</f>
        <v>9.1735583298566778E-2</v>
      </c>
      <c r="AA30" s="254">
        <f>X30/$X$62</f>
        <v>0.91581476874707235</v>
      </c>
      <c r="AB30" s="250" t="s">
        <v>18</v>
      </c>
      <c r="AC30" s="257"/>
      <c r="AD30" s="251">
        <f>SUM(AD31:AD34)</f>
        <v>1744335</v>
      </c>
      <c r="AE30" s="253">
        <f>SUM(AE31:AE34)</f>
        <v>1545070</v>
      </c>
      <c r="AF30" s="254">
        <f t="shared" ref="AF30:AF34" si="39">(AD30-AE30)/AE30</f>
        <v>0.12896826680991799</v>
      </c>
      <c r="AG30" s="251">
        <f>SUM(AG31:AG34)</f>
        <v>3545846</v>
      </c>
      <c r="AH30" s="253">
        <f>SUM(AH31:AH34)</f>
        <v>3257919</v>
      </c>
      <c r="AI30" s="252">
        <f t="shared" ref="AI30:AI34" si="40">(AG30-AH30)/AH30</f>
        <v>8.8377580903638175E-2</v>
      </c>
      <c r="AJ30" s="254">
        <f>AG30/$AG$62</f>
        <v>0.69156216557684658</v>
      </c>
    </row>
    <row r="31" spans="1:36" ht="14.1" customHeight="1" x14ac:dyDescent="0.2">
      <c r="A31" s="36"/>
      <c r="B31" s="37" t="s">
        <v>18</v>
      </c>
      <c r="C31" s="255">
        <f>[3]Delta!$IU$19</f>
        <v>10373</v>
      </c>
      <c r="D31" s="2">
        <f>[3]Delta!$IG$19</f>
        <v>9647</v>
      </c>
      <c r="E31" s="63">
        <f t="shared" si="34"/>
        <v>7.5256556442417327E-2</v>
      </c>
      <c r="F31" s="2">
        <f>SUM([3]Delta!$IT$19:$IU$19)</f>
        <v>21313</v>
      </c>
      <c r="G31" s="2">
        <f>SUM([3]Delta!$IF$19:$IG$19)</f>
        <v>20178</v>
      </c>
      <c r="H31" s="3">
        <f t="shared" ref="H31:H34" si="41">(F31-G31)/G31</f>
        <v>5.6249380513430466E-2</v>
      </c>
      <c r="I31" s="63">
        <f>F31/$F$62</f>
        <v>0.47290760628383777</v>
      </c>
      <c r="J31" s="36"/>
      <c r="K31" s="37" t="s">
        <v>18</v>
      </c>
      <c r="L31" s="255">
        <f>[3]Delta!$IU$41</f>
        <v>1403008</v>
      </c>
      <c r="M31" s="2">
        <f>[3]Delta!$IG$41</f>
        <v>1260770</v>
      </c>
      <c r="N31" s="63">
        <f t="shared" si="35"/>
        <v>0.11281835703577972</v>
      </c>
      <c r="O31" s="255">
        <f>SUM([3]Delta!$IT$41:$IU$41)</f>
        <v>2839480</v>
      </c>
      <c r="P31" s="2">
        <f>SUM([3]Delta!$IF$41:$IG$41)</f>
        <v>2638701</v>
      </c>
      <c r="Q31" s="3">
        <f t="shared" si="36"/>
        <v>7.6090091298710999E-2</v>
      </c>
      <c r="R31" s="63">
        <f>O31/$O$62</f>
        <v>0.57101717990536272</v>
      </c>
      <c r="S31" s="36"/>
      <c r="T31" s="37" t="s">
        <v>18</v>
      </c>
      <c r="U31" s="255">
        <f>[3]Delta!$IU$64</f>
        <v>6603165</v>
      </c>
      <c r="V31" s="2">
        <f>[3]Delta!$IG$64</f>
        <v>5343852</v>
      </c>
      <c r="W31" s="63">
        <f t="shared" si="37"/>
        <v>0.23565641413721788</v>
      </c>
      <c r="X31" s="255">
        <f>SUM([3]Delta!$IT$64:$IU$64)</f>
        <v>12367113</v>
      </c>
      <c r="Y31" s="2">
        <f>SUM([3]Delta!$IF$64:$IG$64)</f>
        <v>11327938</v>
      </c>
      <c r="Z31" s="3">
        <f t="shared" si="38"/>
        <v>9.1735583298566778E-2</v>
      </c>
      <c r="AA31" s="63">
        <f>X31/$X$62</f>
        <v>0.91581476874707235</v>
      </c>
      <c r="AB31" s="36"/>
      <c r="AC31" s="37" t="s">
        <v>18</v>
      </c>
      <c r="AD31" s="255">
        <f>[3]Delta!$IU$43</f>
        <v>1454147</v>
      </c>
      <c r="AE31" s="2">
        <f>[3]Delta!$IG$43</f>
        <v>1307550</v>
      </c>
      <c r="AF31" s="63">
        <f t="shared" si="39"/>
        <v>0.11211578907116362</v>
      </c>
      <c r="AG31" s="255">
        <f>SUM([3]Delta!$IT$43:$IU$43)</f>
        <v>2939923</v>
      </c>
      <c r="AH31" s="2">
        <f>SUM([3]Delta!$IF$43:$IG$43)</f>
        <v>2732520</v>
      </c>
      <c r="AI31" s="3">
        <f>(AG31-AH31)/AH31</f>
        <v>7.5901731734808894E-2</v>
      </c>
      <c r="AJ31" s="63">
        <f>AG31/$AG$62</f>
        <v>0.57338629949218878</v>
      </c>
    </row>
    <row r="32" spans="1:36" ht="14.1" customHeight="1" x14ac:dyDescent="0.2">
      <c r="A32" s="36"/>
      <c r="B32" s="37" t="s">
        <v>156</v>
      </c>
      <c r="C32" s="255">
        <f>[3]Pinnacle!$IU$19</f>
        <v>1039</v>
      </c>
      <c r="D32" s="2">
        <f>[3]Pinnacle!$IG$19</f>
        <v>1048</v>
      </c>
      <c r="E32" s="63">
        <f t="shared" si="34"/>
        <v>-8.5877862595419852E-3</v>
      </c>
      <c r="F32" s="2">
        <f>SUM([3]Pinnacle!$IT$19:$IU$19)</f>
        <v>2471</v>
      </c>
      <c r="G32" s="2">
        <f>SUM([3]Pinnacle!$IF$19:$IG$19)</f>
        <v>2934</v>
      </c>
      <c r="H32" s="3">
        <f t="shared" si="41"/>
        <v>-0.15780504430811179</v>
      </c>
      <c r="I32" s="63">
        <f>F32/$F$62</f>
        <v>5.4828259518949145E-2</v>
      </c>
      <c r="J32" s="36"/>
      <c r="K32" s="37" t="s">
        <v>156</v>
      </c>
      <c r="L32" s="255">
        <f>[3]Pinnacle!$IU$41</f>
        <v>62385</v>
      </c>
      <c r="M32" s="2">
        <f>[3]Pinnacle!$IG$41</f>
        <v>56963</v>
      </c>
      <c r="N32" s="63">
        <f t="shared" si="35"/>
        <v>9.5184593508066642E-2</v>
      </c>
      <c r="O32" s="255">
        <f>SUM([3]Pinnacle!$IT$41:$IU$41)</f>
        <v>145484</v>
      </c>
      <c r="P32" s="2">
        <f>SUM([3]Pinnacle!$IF$41:$IG$41)</f>
        <v>161915</v>
      </c>
      <c r="Q32" s="3">
        <f t="shared" si="36"/>
        <v>-0.10147917117005836</v>
      </c>
      <c r="R32" s="63">
        <f>O32/$O$62</f>
        <v>2.925671721630432E-2</v>
      </c>
      <c r="S32" s="36"/>
      <c r="T32" s="37" t="s">
        <v>156</v>
      </c>
      <c r="U32" s="255">
        <f>[3]Pinnacle!$IU$64</f>
        <v>0</v>
      </c>
      <c r="V32" s="2">
        <f>[3]Pinnacle!$IG$64</f>
        <v>0</v>
      </c>
      <c r="W32" s="63" t="e">
        <f t="shared" si="37"/>
        <v>#DIV/0!</v>
      </c>
      <c r="X32" s="255">
        <f>SUM([3]Pinnacle!$IT$64:$IU$64)</f>
        <v>0</v>
      </c>
      <c r="Y32" s="2">
        <f>SUM([3]Pinnacle!$IF$64:$IG$64)</f>
        <v>0</v>
      </c>
      <c r="Z32" s="3" t="e">
        <f t="shared" si="38"/>
        <v>#DIV/0!</v>
      </c>
      <c r="AA32" s="63">
        <f>X32/$X$62</f>
        <v>0</v>
      </c>
      <c r="AB32" s="36"/>
      <c r="AC32" s="37" t="s">
        <v>156</v>
      </c>
      <c r="AD32" s="255">
        <f>[3]Pinnacle!$IU$43</f>
        <v>64714</v>
      </c>
      <c r="AE32" s="2">
        <f>[3]Pinnacle!$IG$43</f>
        <v>59584</v>
      </c>
      <c r="AF32" s="63">
        <f t="shared" si="39"/>
        <v>8.6096938775510209E-2</v>
      </c>
      <c r="AG32" s="255">
        <f>SUM([3]Pinnacle!$IT$43:$IU$43)</f>
        <v>150981</v>
      </c>
      <c r="AH32" s="2">
        <f>SUM([3]Pinnacle!$IF$43:$IG$43)</f>
        <v>168697</v>
      </c>
      <c r="AI32" s="3">
        <f t="shared" si="40"/>
        <v>-0.10501668672234835</v>
      </c>
      <c r="AJ32" s="63">
        <f t="shared" ref="AJ32:AJ34" si="42">AG32/$AG$62</f>
        <v>2.9446498048972765E-2</v>
      </c>
    </row>
    <row r="33" spans="1:36" ht="14.1" customHeight="1" x14ac:dyDescent="0.2">
      <c r="A33" s="36"/>
      <c r="B33" s="37" t="s">
        <v>97</v>
      </c>
      <c r="C33" s="255">
        <f>'[3]Sky West'!$IU$19</f>
        <v>4222</v>
      </c>
      <c r="D33" s="2">
        <f>'[3]Sky West'!$IG$19</f>
        <v>3791</v>
      </c>
      <c r="E33" s="63">
        <f t="shared" si="34"/>
        <v>0.11369031917699815</v>
      </c>
      <c r="F33" s="2">
        <f>SUM('[3]Sky West'!$IT$19:$IU$19)</f>
        <v>8585</v>
      </c>
      <c r="G33" s="2">
        <f>SUM('[3]Sky West'!$IF$19:$IG$19)</f>
        <v>7665</v>
      </c>
      <c r="H33" s="3">
        <f t="shared" si="41"/>
        <v>0.12002609262883235</v>
      </c>
      <c r="I33" s="63">
        <f>F33/$F$62</f>
        <v>0.19048992633354042</v>
      </c>
      <c r="J33" s="36"/>
      <c r="K33" s="37" t="s">
        <v>97</v>
      </c>
      <c r="L33" s="255">
        <f>'[3]Sky West'!$IU$41</f>
        <v>218524</v>
      </c>
      <c r="M33" s="2">
        <f>'[3]Sky West'!$IG$41</f>
        <v>171986</v>
      </c>
      <c r="N33" s="63">
        <f t="shared" si="35"/>
        <v>0.27059179235519171</v>
      </c>
      <c r="O33" s="255">
        <f>SUM('[3]Sky West'!$IT$41:$IU$41)</f>
        <v>440624</v>
      </c>
      <c r="P33" s="2">
        <f>SUM('[3]Sky West'!$IF$41:$IG$41)</f>
        <v>345179</v>
      </c>
      <c r="Q33" s="3">
        <f t="shared" si="36"/>
        <v>0.27650870997366583</v>
      </c>
      <c r="R33" s="63">
        <f>O33/$O$62</f>
        <v>8.8609137545825487E-2</v>
      </c>
      <c r="S33" s="36"/>
      <c r="T33" s="37" t="s">
        <v>97</v>
      </c>
      <c r="U33" s="255">
        <f>'[3]Sky West'!$IU$64</f>
        <v>0</v>
      </c>
      <c r="V33" s="2">
        <f>'[3]Sky West'!$IG$64</f>
        <v>0</v>
      </c>
      <c r="W33" s="63" t="e">
        <f t="shared" si="37"/>
        <v>#DIV/0!</v>
      </c>
      <c r="X33" s="255">
        <f>SUM('[3]Sky West'!$IT$64:$IU$64)</f>
        <v>0</v>
      </c>
      <c r="Y33" s="2">
        <f>SUM('[3]Sky West'!$IF$64:$IG$64)</f>
        <v>0</v>
      </c>
      <c r="Z33" s="3" t="e">
        <f t="shared" ref="Z33:Z34" si="43">(X33-Y33)/Y33</f>
        <v>#DIV/0!</v>
      </c>
      <c r="AA33" s="63">
        <f>X33/$X$62</f>
        <v>0</v>
      </c>
      <c r="AB33" s="36"/>
      <c r="AC33" s="37" t="s">
        <v>97</v>
      </c>
      <c r="AD33" s="255">
        <f>'[3]Sky West'!$IU$43</f>
        <v>225474</v>
      </c>
      <c r="AE33" s="2">
        <f>'[3]Sky West'!$IG$43</f>
        <v>177936</v>
      </c>
      <c r="AF33" s="63">
        <f t="shared" si="39"/>
        <v>0.26716347450768818</v>
      </c>
      <c r="AG33" s="255">
        <f>SUM('[3]Sky West'!$IT$43:$IU$43)</f>
        <v>454942</v>
      </c>
      <c r="AH33" s="2">
        <f>SUM('[3]Sky West'!$IF$43:$IG$43)</f>
        <v>356702</v>
      </c>
      <c r="AI33" s="3">
        <f t="shared" si="40"/>
        <v>0.27541196853395833</v>
      </c>
      <c r="AJ33" s="63">
        <f t="shared" si="42"/>
        <v>8.8729368035685069E-2</v>
      </c>
    </row>
    <row r="34" spans="1:36" ht="14.1" customHeight="1" x14ac:dyDescent="0.2">
      <c r="A34" s="36"/>
      <c r="B34" s="310" t="s">
        <v>164</v>
      </c>
      <c r="C34" s="255">
        <f>'[3]Atlantic Southeast'!$IU$19</f>
        <v>0</v>
      </c>
      <c r="D34" s="2">
        <f>'[3]Atlantic Southeast'!$IG$19</f>
        <v>0</v>
      </c>
      <c r="E34" s="63" t="e">
        <f t="shared" si="34"/>
        <v>#DIV/0!</v>
      </c>
      <c r="F34" s="2">
        <f>SUM('[3]Atlantic Southeast'!$IT$19:$IU$19)</f>
        <v>0</v>
      </c>
      <c r="G34" s="2">
        <f>SUM('[3]Atlantic Southeast'!$IF$19:$IG$19)</f>
        <v>0</v>
      </c>
      <c r="H34" s="3" t="e">
        <f t="shared" si="41"/>
        <v>#DIV/0!</v>
      </c>
      <c r="I34" s="63">
        <f>F34/$F$62</f>
        <v>0</v>
      </c>
      <c r="J34" s="36"/>
      <c r="K34" s="310" t="s">
        <v>164</v>
      </c>
      <c r="L34" s="255">
        <f>'[3]Atlantic Southeast'!$IU$41</f>
        <v>0</v>
      </c>
      <c r="M34" s="2">
        <f>'[3]Atlantic Southeast'!$IG$41</f>
        <v>0</v>
      </c>
      <c r="N34" s="63" t="e">
        <f t="shared" si="35"/>
        <v>#DIV/0!</v>
      </c>
      <c r="O34" s="255">
        <f>SUM('[3]Atlantic Southeast'!$IT$41:$IU$41)</f>
        <v>0</v>
      </c>
      <c r="P34" s="2">
        <f>SUM('[3]Atlantic Southeast'!$IF$41:$IG$41)</f>
        <v>0</v>
      </c>
      <c r="Q34" s="3" t="e">
        <f t="shared" si="36"/>
        <v>#DIV/0!</v>
      </c>
      <c r="R34" s="63">
        <f>O34/$O$62</f>
        <v>0</v>
      </c>
      <c r="S34" s="36"/>
      <c r="T34" s="310" t="s">
        <v>164</v>
      </c>
      <c r="U34" s="255">
        <f>'[3]Atlantic Southeast'!$IU$64</f>
        <v>0</v>
      </c>
      <c r="V34" s="2">
        <f>'[3]Atlantic Southeast'!$IG$64</f>
        <v>0</v>
      </c>
      <c r="W34" s="63" t="e">
        <f t="shared" si="37"/>
        <v>#DIV/0!</v>
      </c>
      <c r="X34" s="255">
        <f>SUM('[3]Atlantic Southeast'!$IT$64:$IU$64)</f>
        <v>0</v>
      </c>
      <c r="Y34" s="2">
        <f>SUM('[3]Atlantic Southeast'!$IF$64:$IG$64)</f>
        <v>0</v>
      </c>
      <c r="Z34" s="3" t="e">
        <f t="shared" si="43"/>
        <v>#DIV/0!</v>
      </c>
      <c r="AA34" s="63">
        <f>X34/$X$62</f>
        <v>0</v>
      </c>
      <c r="AB34" s="36"/>
      <c r="AC34" s="310" t="s">
        <v>164</v>
      </c>
      <c r="AD34" s="255">
        <f>'[3]Atlantic Southeast'!$IU$43</f>
        <v>0</v>
      </c>
      <c r="AE34" s="2">
        <f>'[3]Atlantic Southeast'!$IG$43</f>
        <v>0</v>
      </c>
      <c r="AF34" s="63" t="e">
        <f t="shared" si="39"/>
        <v>#DIV/0!</v>
      </c>
      <c r="AG34" s="255">
        <f>SUM('[3]Atlantic Southeast'!$IT$43:$IU$43)</f>
        <v>0</v>
      </c>
      <c r="AH34" s="2">
        <f>SUM('[3]Atlantic Southeast'!$IF$43:$IG$43)</f>
        <v>0</v>
      </c>
      <c r="AI34" s="3" t="e">
        <f t="shared" si="40"/>
        <v>#DIV/0!</v>
      </c>
      <c r="AJ34" s="63">
        <f t="shared" si="42"/>
        <v>0</v>
      </c>
    </row>
    <row r="35" spans="1:36" ht="14.1" customHeight="1" x14ac:dyDescent="0.2">
      <c r="A35" s="36"/>
      <c r="B35" s="310"/>
      <c r="C35" s="255"/>
      <c r="E35" s="63"/>
      <c r="F35" s="2"/>
      <c r="I35" s="63"/>
      <c r="J35" s="36"/>
      <c r="K35" s="310"/>
      <c r="L35" s="255"/>
      <c r="N35" s="63"/>
      <c r="O35" s="255"/>
      <c r="P35" s="2"/>
      <c r="Q35" s="3"/>
      <c r="R35" s="63"/>
      <c r="S35" s="36"/>
      <c r="T35" s="310"/>
      <c r="U35" s="255"/>
      <c r="V35" s="2"/>
      <c r="W35" s="63"/>
      <c r="X35" s="255"/>
      <c r="Y35" s="2"/>
      <c r="Z35" s="3"/>
      <c r="AA35" s="63"/>
      <c r="AB35" s="36"/>
      <c r="AC35" s="310"/>
      <c r="AD35" s="255"/>
      <c r="AE35" s="2"/>
      <c r="AF35" s="63"/>
      <c r="AG35" s="255"/>
      <c r="AH35" s="2"/>
      <c r="AI35" s="3"/>
      <c r="AJ35" s="63"/>
    </row>
    <row r="36" spans="1:36" ht="14.1" customHeight="1" x14ac:dyDescent="0.2">
      <c r="A36" s="250" t="s">
        <v>47</v>
      </c>
      <c r="B36" s="37"/>
      <c r="C36" s="251">
        <f>[3]Frontier!$IU$19</f>
        <v>340</v>
      </c>
      <c r="D36" s="253">
        <f>[3]Frontier!$IG$19</f>
        <v>94</v>
      </c>
      <c r="E36" s="254">
        <f>(C36-D36)/D36</f>
        <v>2.6170212765957448</v>
      </c>
      <c r="F36" s="253">
        <f>SUM([3]Frontier!$IT$19:$IU$19)</f>
        <v>612</v>
      </c>
      <c r="G36" s="253">
        <f>SUM([3]Frontier!$IF$19:$IG$19)</f>
        <v>188</v>
      </c>
      <c r="H36" s="252">
        <f>(F36-G36)/G36</f>
        <v>2.2553191489361701</v>
      </c>
      <c r="I36" s="254">
        <f>F36/$F$62</f>
        <v>1.3579479897044467E-2</v>
      </c>
      <c r="J36" s="250" t="s">
        <v>47</v>
      </c>
      <c r="K36" s="37"/>
      <c r="L36" s="251">
        <f>[3]Frontier!$IU$41</f>
        <v>56084</v>
      </c>
      <c r="M36" s="253">
        <f>[3]Frontier!$IG$41</f>
        <v>15078</v>
      </c>
      <c r="N36" s="254">
        <f>(L36-M36)/M36</f>
        <v>2.7195914577530176</v>
      </c>
      <c r="O36" s="251">
        <f>SUM([3]Frontier!$IT$41:$IU$41)</f>
        <v>98344</v>
      </c>
      <c r="P36" s="253">
        <f>SUM([3]Frontier!$IF$41:$IG$41)</f>
        <v>29588</v>
      </c>
      <c r="Q36" s="252">
        <f>(O36-P36)/P36</f>
        <v>2.3237799107746384</v>
      </c>
      <c r="R36" s="254">
        <f>O36/$O$62</f>
        <v>1.9776900538342579E-2</v>
      </c>
      <c r="S36" s="250" t="s">
        <v>47</v>
      </c>
      <c r="T36" s="37"/>
      <c r="U36" s="251">
        <f>[3]Frontier!$IU$64</f>
        <v>0</v>
      </c>
      <c r="V36" s="253">
        <f>[3]Frontier!$IG$64</f>
        <v>0</v>
      </c>
      <c r="W36" s="254" t="e">
        <f>(U36-V36)/V36</f>
        <v>#DIV/0!</v>
      </c>
      <c r="X36" s="251">
        <f>SUM([3]Frontier!$IT$64:$IU$64)</f>
        <v>0</v>
      </c>
      <c r="Y36" s="253">
        <f>SUM([3]Frontier!$IF$64:$IG$64)</f>
        <v>0</v>
      </c>
      <c r="Z36" s="252" t="e">
        <f>(X36-Y36)/Y36</f>
        <v>#DIV/0!</v>
      </c>
      <c r="AA36" s="254">
        <f>X36/$X$62</f>
        <v>0</v>
      </c>
      <c r="AB36" s="250" t="s">
        <v>47</v>
      </c>
      <c r="AC36" s="37"/>
      <c r="AD36" s="251">
        <f>[3]Frontier!$IU$43</f>
        <v>56377</v>
      </c>
      <c r="AE36" s="253">
        <f>[3]Frontier!$IG$43</f>
        <v>15189</v>
      </c>
      <c r="AF36" s="254">
        <f>(AD36-AE36)/AE36</f>
        <v>2.7116992560405557</v>
      </c>
      <c r="AG36" s="251">
        <f>SUM([3]Frontier!$IT$43:$IU$43)</f>
        <v>98884</v>
      </c>
      <c r="AH36" s="253">
        <f>SUM([3]Frontier!$IF$43:$IG$43)</f>
        <v>29782</v>
      </c>
      <c r="AI36" s="252">
        <f>(AG36-AH36)/AH36</f>
        <v>2.3202605600698409</v>
      </c>
      <c r="AJ36" s="254">
        <f>AG36/$AG$62</f>
        <v>1.9285787702258049E-2</v>
      </c>
    </row>
    <row r="37" spans="1:36" ht="14.1" customHeight="1" x14ac:dyDescent="0.2">
      <c r="A37" s="250"/>
      <c r="B37" s="37"/>
      <c r="C37" s="251"/>
      <c r="D37" s="253"/>
      <c r="E37" s="254"/>
      <c r="F37" s="253"/>
      <c r="G37" s="253"/>
      <c r="H37" s="252"/>
      <c r="I37" s="254"/>
      <c r="J37" s="250"/>
      <c r="K37" s="37"/>
      <c r="L37" s="255"/>
      <c r="N37" s="63"/>
      <c r="O37" s="255"/>
      <c r="P37" s="2"/>
      <c r="Q37" s="3"/>
      <c r="R37" s="63"/>
      <c r="S37" s="250"/>
      <c r="T37" s="37"/>
      <c r="U37" s="255"/>
      <c r="V37" s="2"/>
      <c r="W37" s="63"/>
      <c r="X37" s="255"/>
      <c r="Y37" s="2"/>
      <c r="Z37" s="3"/>
      <c r="AA37" s="63"/>
      <c r="AB37" s="250"/>
      <c r="AC37" s="37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48</v>
      </c>
      <c r="B38" s="37"/>
      <c r="C38" s="251">
        <f>[3]Icelandair!$IU$19</f>
        <v>0</v>
      </c>
      <c r="D38" s="253">
        <f>[3]Icelandair!$IG$19</f>
        <v>0</v>
      </c>
      <c r="E38" s="254" t="e">
        <f>(C38-D38)/D38</f>
        <v>#DIV/0!</v>
      </c>
      <c r="F38" s="253">
        <f>SUM([3]Icelandair!$IT$19:$IU$19)</f>
        <v>10</v>
      </c>
      <c r="G38" s="253">
        <f>SUM([3]Icelandair!$IF$19:$IG$19)</f>
        <v>6</v>
      </c>
      <c r="H38" s="252">
        <f>(F38-G38)/G38</f>
        <v>0.66666666666666663</v>
      </c>
      <c r="I38" s="254">
        <f>F38/$F$62</f>
        <v>2.2188692642229521E-4</v>
      </c>
      <c r="J38" s="250" t="s">
        <v>48</v>
      </c>
      <c r="K38" s="37"/>
      <c r="L38" s="251">
        <f>[3]Icelandair!$IU$41</f>
        <v>0</v>
      </c>
      <c r="M38" s="253">
        <f>[3]Icelandair!$IG$41</f>
        <v>0</v>
      </c>
      <c r="N38" s="254" t="e">
        <f>(L38-M38)/M38</f>
        <v>#DIV/0!</v>
      </c>
      <c r="O38" s="251">
        <f>SUM([3]Icelandair!$IT$41:$IU$41)</f>
        <v>1148</v>
      </c>
      <c r="P38" s="253">
        <f>SUM([3]Icelandair!$IF$41:$IG$41)</f>
        <v>731</v>
      </c>
      <c r="Q38" s="252">
        <f>(O38-P38)/P38</f>
        <v>0.57045143638850893</v>
      </c>
      <c r="R38" s="254">
        <f>O38/$O$62</f>
        <v>2.3086189109673474E-4</v>
      </c>
      <c r="S38" s="250" t="s">
        <v>48</v>
      </c>
      <c r="T38" s="37"/>
      <c r="U38" s="251">
        <f>[3]Icelandair!$IU$64</f>
        <v>0</v>
      </c>
      <c r="V38" s="253">
        <f>[3]Icelandair!$IG$64</f>
        <v>0</v>
      </c>
      <c r="W38" s="254" t="e">
        <f>(U38-V38)/V38</f>
        <v>#DIV/0!</v>
      </c>
      <c r="X38" s="251">
        <f>SUM([3]Icelandair!$IT$64:$IU$64)</f>
        <v>46</v>
      </c>
      <c r="Y38" s="253">
        <f>SUM([3]Icelandair!$IF$64:$IG$64)</f>
        <v>337</v>
      </c>
      <c r="Z38" s="252">
        <f>(X38-Y38)/Y38</f>
        <v>-0.86350148367952517</v>
      </c>
      <c r="AA38" s="254">
        <f>X38/$X$62</f>
        <v>3.4064117763268866E-6</v>
      </c>
      <c r="AB38" s="250" t="s">
        <v>48</v>
      </c>
      <c r="AC38" s="37"/>
      <c r="AD38" s="251">
        <f>[3]Icelandair!$IU$43</f>
        <v>0</v>
      </c>
      <c r="AE38" s="253">
        <f>[3]Icelandair!$IG$43</f>
        <v>0</v>
      </c>
      <c r="AF38" s="254" t="e">
        <f>(AD38-AE38)/AE38</f>
        <v>#DIV/0!</v>
      </c>
      <c r="AG38" s="251">
        <f>SUM([3]Icelandair!$IT$43:$IU$43)</f>
        <v>1174</v>
      </c>
      <c r="AH38" s="253">
        <f>SUM([3]Icelandair!$IF$43:$IG$43)</f>
        <v>741</v>
      </c>
      <c r="AI38" s="252">
        <f>(AG38-AH38)/AH38</f>
        <v>0.58434547908232115</v>
      </c>
      <c r="AJ38" s="254">
        <f>AG38/$AG$62</f>
        <v>2.2897045793506484E-4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190</v>
      </c>
      <c r="B40" s="37"/>
      <c r="C40" s="251">
        <f>'[3]Jet Blue'!$IU$19</f>
        <v>58</v>
      </c>
      <c r="D40" s="253">
        <f>'[3]Jet Blue'!$IG$19</f>
        <v>144</v>
      </c>
      <c r="E40" s="254">
        <f>(C40-D40)/D40</f>
        <v>-0.59722222222222221</v>
      </c>
      <c r="F40" s="253">
        <f>SUM('[3]Jet Blue'!$IT$19:$IU$19)</f>
        <v>118</v>
      </c>
      <c r="G40" s="253">
        <f>SUM('[3]Jet Blue'!$IF$19:$IG$19)</f>
        <v>268</v>
      </c>
      <c r="H40" s="252">
        <f>(F40-G40)/G40</f>
        <v>-0.55970149253731338</v>
      </c>
      <c r="I40" s="254">
        <f>F40/$F$62</f>
        <v>2.6182657317830832E-3</v>
      </c>
      <c r="J40" s="250" t="s">
        <v>190</v>
      </c>
      <c r="K40" s="37"/>
      <c r="L40" s="251">
        <f>'[3]Jet Blue'!$IU$41</f>
        <v>4511</v>
      </c>
      <c r="M40" s="253">
        <f>'[3]Jet Blue'!$IG$41</f>
        <v>9129</v>
      </c>
      <c r="N40" s="254">
        <f>(L40-M40)/M40</f>
        <v>-0.50586044473655389</v>
      </c>
      <c r="O40" s="251">
        <f>SUM('[3]Jet Blue'!$IT$41:$IU$41)</f>
        <v>9789</v>
      </c>
      <c r="P40" s="253">
        <f>SUM('[3]Jet Blue'!$IF$41:$IG$41)</f>
        <v>17944</v>
      </c>
      <c r="Q40" s="252">
        <f>(O40-P40)/P40</f>
        <v>-0.45446946054391441</v>
      </c>
      <c r="R40" s="254">
        <f>O40/$O$62</f>
        <v>1.9685601497786902E-3</v>
      </c>
      <c r="S40" s="250" t="s">
        <v>190</v>
      </c>
      <c r="T40" s="37"/>
      <c r="U40" s="251">
        <f>'[3]Jet Blue'!$IU$64</f>
        <v>0</v>
      </c>
      <c r="V40" s="253">
        <f>'[3]Jet Blue'!$IG$64</f>
        <v>0</v>
      </c>
      <c r="W40" s="254" t="e">
        <f>(U40-V40)/V40</f>
        <v>#DIV/0!</v>
      </c>
      <c r="X40" s="251">
        <f>SUM('[3]Jet Blue'!$IT$64:$IU$64)</f>
        <v>0</v>
      </c>
      <c r="Y40" s="253">
        <f>SUM('[3]Jet Blue'!$IF$64:$IG$64)</f>
        <v>0</v>
      </c>
      <c r="Z40" s="252" t="e">
        <f>(X40-Y40)/Y40</f>
        <v>#DIV/0!</v>
      </c>
      <c r="AA40" s="254">
        <f>X40/$X$62</f>
        <v>0</v>
      </c>
      <c r="AB40" s="250" t="s">
        <v>190</v>
      </c>
      <c r="AC40" s="37"/>
      <c r="AD40" s="251">
        <f>'[3]Jet Blue'!$IU$43</f>
        <v>4597</v>
      </c>
      <c r="AE40" s="253">
        <f>'[3]Jet Blue'!$IG$43</f>
        <v>9461</v>
      </c>
      <c r="AF40" s="254">
        <f>(AD40-AE40)/AE40</f>
        <v>-0.51411055913751191</v>
      </c>
      <c r="AG40" s="251">
        <f>SUM('[3]Jet Blue'!$IT$43:$IU$43)</f>
        <v>9998</v>
      </c>
      <c r="AH40" s="253">
        <f>SUM('[3]Jet Blue'!$IF$43:$IG$43)</f>
        <v>18635</v>
      </c>
      <c r="AI40" s="252">
        <f>(AG40-AH40)/AH40</f>
        <v>-0.463482693855648</v>
      </c>
      <c r="AJ40" s="254">
        <f>AG40/$AG$62</f>
        <v>1.9499545472187209E-3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185</v>
      </c>
      <c r="B42" s="37"/>
      <c r="C42" s="251">
        <f>[3]KLM!$IU$19</f>
        <v>28</v>
      </c>
      <c r="D42" s="253">
        <f>[3]KLM!$IG$19</f>
        <v>30</v>
      </c>
      <c r="E42" s="254">
        <f>(C42-D42)/D42</f>
        <v>-6.6666666666666666E-2</v>
      </c>
      <c r="F42" s="253">
        <f>SUM([3]KLM!$IT$19:$IU$19)</f>
        <v>56</v>
      </c>
      <c r="G42" s="253">
        <f>SUM([3]KLM!$IF$19:$IG$19)</f>
        <v>64</v>
      </c>
      <c r="H42" s="252">
        <f>(F42-G42)/G42</f>
        <v>-0.125</v>
      </c>
      <c r="I42" s="254">
        <f>F42/$F$62</f>
        <v>1.2425667879648532E-3</v>
      </c>
      <c r="J42" s="250" t="s">
        <v>185</v>
      </c>
      <c r="K42" s="37"/>
      <c r="L42" s="251">
        <f>[3]KLM!$IU$41</f>
        <v>4432</v>
      </c>
      <c r="M42" s="253">
        <f>[3]KLM!$IG$41</f>
        <v>4523</v>
      </c>
      <c r="N42" s="254">
        <f>(L42-M42)/M42</f>
        <v>-2.0119389785540572E-2</v>
      </c>
      <c r="O42" s="251">
        <f>SUM([3]KLM!$IT$41:$IU$41)</f>
        <v>9758</v>
      </c>
      <c r="P42" s="253">
        <f>SUM([3]KLM!$IF$41:$IG$41)</f>
        <v>11191</v>
      </c>
      <c r="Q42" s="252">
        <f>(O42-P42)/P42</f>
        <v>-0.12804932535072827</v>
      </c>
      <c r="R42" s="254">
        <f>O42/$O$62</f>
        <v>1.9623260743222453E-3</v>
      </c>
      <c r="S42" s="250" t="s">
        <v>185</v>
      </c>
      <c r="T42" s="37"/>
      <c r="U42" s="251">
        <f>[3]KLM!$IU$64</f>
        <v>310699</v>
      </c>
      <c r="V42" s="253">
        <f>[3]KLM!$IG$64</f>
        <v>550238</v>
      </c>
      <c r="W42" s="254">
        <f>(U42-V42)/V42</f>
        <v>-0.43533707232143182</v>
      </c>
      <c r="X42" s="251">
        <f>SUM([3]KLM!$IT$64:$IU$64)</f>
        <v>535134</v>
      </c>
      <c r="Y42" s="253">
        <f>SUM([3]KLM!$IF$64:$IG$64)</f>
        <v>1152908</v>
      </c>
      <c r="Z42" s="252">
        <f>(X42-Y42)/Y42</f>
        <v>-0.53583980681893095</v>
      </c>
      <c r="AA42" s="254">
        <f>X42/$X$62</f>
        <v>3.9627973032889389E-2</v>
      </c>
      <c r="AB42" s="250" t="s">
        <v>185</v>
      </c>
      <c r="AC42" s="37"/>
      <c r="AD42" s="251">
        <f>[3]KLM!$IU$43</f>
        <v>4439</v>
      </c>
      <c r="AE42" s="253">
        <f>[3]KLM!$IG$43</f>
        <v>4530</v>
      </c>
      <c r="AF42" s="254">
        <f>(AD42-AE42)/AE42</f>
        <v>-2.0088300220750553E-2</v>
      </c>
      <c r="AG42" s="251">
        <f>SUM([3]KLM!$IT$43:$IU$43)</f>
        <v>9771</v>
      </c>
      <c r="AH42" s="253">
        <f>SUM([3]KLM!$IF$43:$IG$43)</f>
        <v>11207</v>
      </c>
      <c r="AI42" s="252">
        <f>(AG42-AH42)/AH42</f>
        <v>-0.12813420183813687</v>
      </c>
      <c r="AJ42" s="254">
        <f>AG42/$AG$62</f>
        <v>1.9056817244322987E-3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128</v>
      </c>
      <c r="B44" s="37"/>
      <c r="C44" s="251">
        <f>[3]Southwest!$IU$19</f>
        <v>1063</v>
      </c>
      <c r="D44" s="253">
        <f>[3]Southwest!$IG$19</f>
        <v>809</v>
      </c>
      <c r="E44" s="254">
        <f>(C44-D44)/D44</f>
        <v>0.31396786155747836</v>
      </c>
      <c r="F44" s="253">
        <f>SUM([3]Southwest!$IT$19:$IU$19)</f>
        <v>2201</v>
      </c>
      <c r="G44" s="253">
        <f>SUM([3]Southwest!$IF$19:$IG$19)</f>
        <v>1717</v>
      </c>
      <c r="H44" s="252">
        <f>(F44-G44)/G44</f>
        <v>0.28188701223063484</v>
      </c>
      <c r="I44" s="254">
        <f>F44/$F$62</f>
        <v>4.8837312505547174E-2</v>
      </c>
      <c r="J44" s="250" t="s">
        <v>128</v>
      </c>
      <c r="K44" s="37"/>
      <c r="L44" s="251">
        <f>[3]Southwest!$IU$41</f>
        <v>123424</v>
      </c>
      <c r="M44" s="253">
        <f>[3]Southwest!$IG$41</f>
        <v>86175</v>
      </c>
      <c r="N44" s="254">
        <f>(L44-M44)/M44</f>
        <v>0.43224833188279665</v>
      </c>
      <c r="O44" s="251">
        <f>SUM([3]Southwest!$IT$41:$IU$41)</f>
        <v>238554</v>
      </c>
      <c r="P44" s="253">
        <f>SUM([3]Southwest!$IF$41:$IG$41)</f>
        <v>174799</v>
      </c>
      <c r="Q44" s="252">
        <f>(O44-P44)/P44</f>
        <v>0.3647332078558802</v>
      </c>
      <c r="R44" s="254">
        <f>O44/$O$62</f>
        <v>4.7973020530218173E-2</v>
      </c>
      <c r="S44" s="250" t="s">
        <v>128</v>
      </c>
      <c r="T44" s="37"/>
      <c r="U44" s="251">
        <f>[3]Southwest!$IU$64</f>
        <v>224860</v>
      </c>
      <c r="V44" s="253">
        <f>[3]Southwest!$IG$64</f>
        <v>163960</v>
      </c>
      <c r="W44" s="254">
        <f>(U44-V44)/V44</f>
        <v>0.37143205659917056</v>
      </c>
      <c r="X44" s="251">
        <f>SUM([3]Southwest!$IT$64:$IU$64)</f>
        <v>416433</v>
      </c>
      <c r="Y44" s="253">
        <f>SUM([3]Southwest!$IF$64:$IG$64)</f>
        <v>340607</v>
      </c>
      <c r="Z44" s="252">
        <f>(X44-Y44)/Y44</f>
        <v>0.22262020451722953</v>
      </c>
      <c r="AA44" s="254">
        <f>X44/$X$62</f>
        <v>3.0837875548937702E-2</v>
      </c>
      <c r="AB44" s="250" t="s">
        <v>128</v>
      </c>
      <c r="AC44" s="37"/>
      <c r="AD44" s="251">
        <f>[3]Southwest!$IU$43</f>
        <v>126528</v>
      </c>
      <c r="AE44" s="253">
        <f>[3]Southwest!$IG$43</f>
        <v>88493</v>
      </c>
      <c r="AF44" s="254">
        <f>(AD44-AE44)/AE44</f>
        <v>0.42980800741301572</v>
      </c>
      <c r="AG44" s="251">
        <f>SUM([3]Southwest!$IT$43:$IU$43)</f>
        <v>245076</v>
      </c>
      <c r="AH44" s="253">
        <f>SUM([3]Southwest!$IF$43:$IG$43)</f>
        <v>179604</v>
      </c>
      <c r="AI44" s="252">
        <f>(AG44-AH44)/AH44</f>
        <v>0.36453531101757197</v>
      </c>
      <c r="AJ44" s="254">
        <f>AG44/$AG$62</f>
        <v>4.7798265714560431E-2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153</v>
      </c>
      <c r="B46" s="37"/>
      <c r="C46" s="251">
        <f>[3]Spirit!$IU$19</f>
        <v>190</v>
      </c>
      <c r="D46" s="253">
        <f>[3]Spirit!$IG$19</f>
        <v>324</v>
      </c>
      <c r="E46" s="254">
        <f>(C46-D46)/D46</f>
        <v>-0.41358024691358025</v>
      </c>
      <c r="F46" s="253">
        <f>SUM([3]Spirit!$IT$19:$IU$19)</f>
        <v>404</v>
      </c>
      <c r="G46" s="253">
        <f>SUM([3]Spirit!$IF$19:$IG$19)</f>
        <v>705</v>
      </c>
      <c r="H46" s="252">
        <f>(F46-G46)/G46</f>
        <v>-0.42695035460992908</v>
      </c>
      <c r="I46" s="254">
        <f>F46/$F$62</f>
        <v>8.9642318274607263E-3</v>
      </c>
      <c r="J46" s="250" t="s">
        <v>153</v>
      </c>
      <c r="K46" s="37"/>
      <c r="L46" s="251">
        <f>[3]Spirit!$IU$41</f>
        <v>23855</v>
      </c>
      <c r="M46" s="253">
        <f>[3]Spirit!$IG$41</f>
        <v>43876</v>
      </c>
      <c r="N46" s="254">
        <f>(L46-M46)/M46</f>
        <v>-0.45630868812106845</v>
      </c>
      <c r="O46" s="251">
        <f>SUM([3]Spirit!$IT$41:$IU$41)</f>
        <v>52059</v>
      </c>
      <c r="P46" s="253">
        <f>SUM([3]Spirit!$IF$41:$IG$41)</f>
        <v>86815</v>
      </c>
      <c r="Q46" s="252">
        <f>(O46-P46)/P46</f>
        <v>-0.40034556240281055</v>
      </c>
      <c r="R46" s="254">
        <f>O46/$O$62</f>
        <v>1.0469023683453758E-2</v>
      </c>
      <c r="S46" s="250" t="s">
        <v>153</v>
      </c>
      <c r="T46" s="37"/>
      <c r="U46" s="251">
        <f>[3]Spirit!$IU$64</f>
        <v>0</v>
      </c>
      <c r="V46" s="253">
        <f>[3]Spirit!$IG$64</f>
        <v>0</v>
      </c>
      <c r="W46" s="254" t="e">
        <f>(U46-V46)/V46</f>
        <v>#DIV/0!</v>
      </c>
      <c r="X46" s="251">
        <f>SUM([3]Spirit!$IT$64:$IU$64)</f>
        <v>0</v>
      </c>
      <c r="Y46" s="253">
        <f>SUM([3]Spirit!$IF$64:$IG$64)</f>
        <v>0</v>
      </c>
      <c r="Z46" s="252" t="e">
        <f>(X46-Y46)/Y46</f>
        <v>#DIV/0!</v>
      </c>
      <c r="AA46" s="254">
        <f>X46/$X$62</f>
        <v>0</v>
      </c>
      <c r="AB46" s="250" t="s">
        <v>153</v>
      </c>
      <c r="AC46" s="37"/>
      <c r="AD46" s="251">
        <f>[3]Spirit!$IU$43</f>
        <v>24046</v>
      </c>
      <c r="AE46" s="253">
        <f>[3]Spirit!$IG$43</f>
        <v>44153</v>
      </c>
      <c r="AF46" s="254">
        <f>(AD46-AE46)/AE46</f>
        <v>-0.45539374447942382</v>
      </c>
      <c r="AG46" s="251">
        <f>SUM([3]Spirit!$IT$43:$IU$43)</f>
        <v>52521</v>
      </c>
      <c r="AH46" s="253">
        <f>SUM([3]Spirit!$IF$43:$IG$43)</f>
        <v>88760</v>
      </c>
      <c r="AI46" s="252">
        <f>(AG46-AH46)/AH46</f>
        <v>-0.40828075709779182</v>
      </c>
      <c r="AJ46" s="254">
        <f>AG46/$AG$62</f>
        <v>1.0243404958439131E-2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>
        <f>O47/$O$62</f>
        <v>0</v>
      </c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49</v>
      </c>
      <c r="B48" s="37"/>
      <c r="C48" s="251">
        <f>'[3]Sun Country'!$IU$19</f>
        <v>2247</v>
      </c>
      <c r="D48" s="253">
        <f>'[3]Sun Country'!$IG$19</f>
        <v>2040</v>
      </c>
      <c r="E48" s="254">
        <f>(C48-D48)/D48</f>
        <v>0.10147058823529412</v>
      </c>
      <c r="F48" s="253">
        <f>SUM('[3]Sun Country'!$IT$19:$IU$19)</f>
        <v>4134</v>
      </c>
      <c r="G48" s="253">
        <f>SUM('[3]Sun Country'!$IF$19:$IG$19)</f>
        <v>3832</v>
      </c>
      <c r="H48" s="252">
        <f>(F48-G48)/G48</f>
        <v>7.8810020876826717E-2</v>
      </c>
      <c r="I48" s="254">
        <f>F48/$F$62</f>
        <v>9.1728055382976834E-2</v>
      </c>
      <c r="J48" s="250" t="s">
        <v>49</v>
      </c>
      <c r="K48" s="37"/>
      <c r="L48" s="251">
        <f>'[3]Sun Country'!$IU$41</f>
        <v>342363</v>
      </c>
      <c r="M48" s="253">
        <f>'[3]Sun Country'!$IG$41</f>
        <v>304833</v>
      </c>
      <c r="N48" s="254">
        <f>(L48-M48)/M48</f>
        <v>0.12311659170759072</v>
      </c>
      <c r="O48" s="251">
        <f>SUM('[3]Sun Country'!$IT$41:$IU$41)</f>
        <v>613661</v>
      </c>
      <c r="P48" s="253">
        <f>SUM('[3]Sun Country'!$IF$41:$IG$41)</f>
        <v>558068</v>
      </c>
      <c r="Q48" s="252">
        <f>(O48-P48)/P48</f>
        <v>9.9616892565063758E-2</v>
      </c>
      <c r="R48" s="254">
        <f>O48/$O$62</f>
        <v>0.12340674124765971</v>
      </c>
      <c r="S48" s="250" t="s">
        <v>49</v>
      </c>
      <c r="T48" s="37"/>
      <c r="U48" s="251">
        <f>'[3]Sun Country'!$IU$64</f>
        <v>0</v>
      </c>
      <c r="V48" s="253">
        <f>'[3]Sun Country'!$IG$64</f>
        <v>20284</v>
      </c>
      <c r="W48" s="254">
        <f>(U48-V48)/V48</f>
        <v>-1</v>
      </c>
      <c r="X48" s="251">
        <f>SUM('[3]Sun Country'!$IT$64:$IU$64)</f>
        <v>0</v>
      </c>
      <c r="Y48" s="253">
        <f>SUM('[3]Sun Country'!$IF$64:$IG$64)</f>
        <v>60501</v>
      </c>
      <c r="Z48" s="252">
        <f>(X48-Y48)/Y48</f>
        <v>-1</v>
      </c>
      <c r="AA48" s="254">
        <f>X48/$X$62</f>
        <v>0</v>
      </c>
      <c r="AB48" s="250" t="s">
        <v>49</v>
      </c>
      <c r="AC48" s="37"/>
      <c r="AD48" s="251">
        <f>'[3]Sun Country'!$IU$43</f>
        <v>347194</v>
      </c>
      <c r="AE48" s="253">
        <f>'[3]Sun Country'!$IG$43</f>
        <v>309879</v>
      </c>
      <c r="AF48" s="254">
        <f>(AD48-AE48)/AE48</f>
        <v>0.12041796959458369</v>
      </c>
      <c r="AG48" s="251">
        <f>SUM('[3]Sun Country'!$IT$43:$IU$43)</f>
        <v>623167</v>
      </c>
      <c r="AH48" s="253">
        <f>SUM('[3]Sun Country'!$IF$43:$IG$43)</f>
        <v>567607</v>
      </c>
      <c r="AI48" s="252">
        <f>(AG48-AH48)/AH48</f>
        <v>9.7884627920374487E-2</v>
      </c>
      <c r="AJ48" s="254">
        <f>AG48/$AG$62</f>
        <v>0.12153904034073301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19</v>
      </c>
      <c r="B50" s="257"/>
      <c r="C50" s="251">
        <f>SUM(C51:C55)</f>
        <v>1031</v>
      </c>
      <c r="D50" s="253">
        <f>SUM(D51:D55)</f>
        <v>857</v>
      </c>
      <c r="E50" s="254">
        <f t="shared" ref="E50:E55" si="44">(C50-D50)/D50</f>
        <v>0.20303383897316218</v>
      </c>
      <c r="F50" s="253">
        <f>SUM(F51:F55)</f>
        <v>2025</v>
      </c>
      <c r="G50" s="253">
        <f>SUM(G51:G55)</f>
        <v>1743</v>
      </c>
      <c r="H50" s="252">
        <f t="shared" ref="H50:H55" si="45">(F50-G50)/G50</f>
        <v>0.16179001721170397</v>
      </c>
      <c r="I50" s="254">
        <f t="shared" ref="I50:I55" si="46">F50/$F$62</f>
        <v>4.4932102600514778E-2</v>
      </c>
      <c r="J50" s="250" t="s">
        <v>19</v>
      </c>
      <c r="K50" s="257"/>
      <c r="L50" s="251">
        <f>SUM(L51:L55)</f>
        <v>117047</v>
      </c>
      <c r="M50" s="253">
        <f>SUM(M51:M55)</f>
        <v>101237</v>
      </c>
      <c r="N50" s="254">
        <f t="shared" ref="N50:N55" si="47">(L50-M50)/M50</f>
        <v>0.15616819937374676</v>
      </c>
      <c r="O50" s="251">
        <f>SUM(O51:O55)</f>
        <v>225251</v>
      </c>
      <c r="P50" s="253">
        <f>SUM(P51:P55)</f>
        <v>210864</v>
      </c>
      <c r="Q50" s="252">
        <f t="shared" ref="Q50:Q55" si="48">(O50-P50)/P50</f>
        <v>6.8228810987176564E-2</v>
      </c>
      <c r="R50" s="254">
        <f t="shared" ref="R50:R55" si="49">O50/$O$62</f>
        <v>4.5297797762570209E-2</v>
      </c>
      <c r="S50" s="250" t="s">
        <v>19</v>
      </c>
      <c r="T50" s="257"/>
      <c r="U50" s="251">
        <f>SUM(U51:U55)</f>
        <v>21308</v>
      </c>
      <c r="V50" s="253">
        <f>SUM(V51:V55)</f>
        <v>72710</v>
      </c>
      <c r="W50" s="254">
        <f t="shared" ref="W50:W55" si="50">(U50-V50)/V50</f>
        <v>-0.706945399532389</v>
      </c>
      <c r="X50" s="251">
        <f>SUM(X51:X55)</f>
        <v>37537</v>
      </c>
      <c r="Y50" s="253">
        <f>SUM(Y51:Y55)</f>
        <v>205402</v>
      </c>
      <c r="Z50" s="252">
        <f t="shared" ref="Z50:Z55" si="51">(X50-Y50)/Y50</f>
        <v>-0.81725104916213087</v>
      </c>
      <c r="AA50" s="254">
        <f t="shared" ref="AA50:AA55" si="52">X50/$X$62</f>
        <v>2.7797060619126593E-3</v>
      </c>
      <c r="AB50" s="250" t="s">
        <v>19</v>
      </c>
      <c r="AC50" s="257"/>
      <c r="AD50" s="251">
        <f>SUM(AD51:AD55)</f>
        <v>121487</v>
      </c>
      <c r="AE50" s="253">
        <f>SUM(AE51:AE55)</f>
        <v>104654</v>
      </c>
      <c r="AF50" s="254">
        <f t="shared" ref="AF50:AF55" si="53">(AD50-AE50)/AE50</f>
        <v>0.16084430599881513</v>
      </c>
      <c r="AG50" s="251">
        <f>SUM(AG51:AG55)</f>
        <v>233511</v>
      </c>
      <c r="AH50" s="253">
        <f>SUM(AH51:AH55)</f>
        <v>217763</v>
      </c>
      <c r="AI50" s="252">
        <f t="shared" ref="AI50:AI55" si="54">(AG50-AH50)/AH50</f>
        <v>7.231715213328252E-2</v>
      </c>
      <c r="AJ50" s="254">
        <f>AG50/$AG$62</f>
        <v>4.5542692165992271E-2</v>
      </c>
    </row>
    <row r="51" spans="1:36" ht="14.1" customHeight="1" x14ac:dyDescent="0.2">
      <c r="A51" s="36"/>
      <c r="B51" s="310" t="s">
        <v>19</v>
      </c>
      <c r="C51" s="255">
        <f>[3]United!$IU$19</f>
        <v>769</v>
      </c>
      <c r="D51" s="2">
        <f>[3]United!$IG$19+[3]Continental!$IG$19</f>
        <v>727</v>
      </c>
      <c r="E51" s="63">
        <f t="shared" si="44"/>
        <v>5.7771664374140302E-2</v>
      </c>
      <c r="F51" s="2">
        <f>SUM([3]United!$IT$19:$IU$19)</f>
        <v>1491</v>
      </c>
      <c r="G51" s="2">
        <f>SUM([3]United!$IF$19:$IG$19)+SUM([3]Continental!$IF$19:$IG$19)</f>
        <v>1507</v>
      </c>
      <c r="H51" s="3">
        <f t="shared" si="45"/>
        <v>-1.0617120106171201E-2</v>
      </c>
      <c r="I51" s="63">
        <f t="shared" si="46"/>
        <v>3.3083340729564217E-2</v>
      </c>
      <c r="J51" s="36"/>
      <c r="K51" s="310" t="s">
        <v>19</v>
      </c>
      <c r="L51" s="255">
        <f>[3]United!$IU$41</f>
        <v>101052</v>
      </c>
      <c r="M51" s="2">
        <f>[3]United!$IG$41+[3]Continental!$IG$41</f>
        <v>93297</v>
      </c>
      <c r="N51" s="63">
        <f t="shared" si="47"/>
        <v>8.3121643782758284E-2</v>
      </c>
      <c r="O51" s="255">
        <f>SUM([3]United!$IT$41:$IU$41)</f>
        <v>192074</v>
      </c>
      <c r="P51" s="2">
        <f>SUM([3]United!$IF$41:$IG$41)+SUM([3]Continental!$IF$41:$IG$41)</f>
        <v>196870</v>
      </c>
      <c r="Q51" s="3">
        <f t="shared" si="48"/>
        <v>-2.4361253619139534E-2</v>
      </c>
      <c r="R51" s="63">
        <f t="shared" si="49"/>
        <v>3.862592932971623E-2</v>
      </c>
      <c r="S51" s="36"/>
      <c r="T51" s="310" t="s">
        <v>19</v>
      </c>
      <c r="U51" s="255">
        <f>[3]United!$IU$64</f>
        <v>21308</v>
      </c>
      <c r="V51" s="2">
        <f>[3]United!$IG$64+[3]Continental!$IG$64</f>
        <v>72710</v>
      </c>
      <c r="W51" s="63">
        <f t="shared" si="50"/>
        <v>-0.706945399532389</v>
      </c>
      <c r="X51" s="255">
        <f>SUM([3]United!$IT$64:$IU$64)</f>
        <v>37537</v>
      </c>
      <c r="Y51" s="2">
        <f>SUM([3]United!$IF$64:$IG$64)+SUM([3]Continental!$IF$64:$IG$64)</f>
        <v>205402</v>
      </c>
      <c r="Z51" s="3">
        <f t="shared" si="51"/>
        <v>-0.81725104916213087</v>
      </c>
      <c r="AA51" s="63">
        <f t="shared" si="52"/>
        <v>2.7797060619126593E-3</v>
      </c>
      <c r="AB51" s="36"/>
      <c r="AC51" s="310" t="s">
        <v>19</v>
      </c>
      <c r="AD51" s="255">
        <f>[3]United!$IU$43</f>
        <v>104829</v>
      </c>
      <c r="AE51" s="2">
        <f>[3]United!$IG$43+[3]Continental!$IG$43</f>
        <v>96457</v>
      </c>
      <c r="AF51" s="63">
        <f t="shared" si="53"/>
        <v>8.6795152244005094E-2</v>
      </c>
      <c r="AG51" s="255">
        <f>SUM([3]United!$IT$43:$IU$43)</f>
        <v>199067</v>
      </c>
      <c r="AH51" s="2">
        <f>SUM([3]United!$IF$43:$IG$43)+SUM([3]Continental!$IF$43:$IG$43)</f>
        <v>203249</v>
      </c>
      <c r="AI51" s="3">
        <f t="shared" si="54"/>
        <v>-2.0575746990145093E-2</v>
      </c>
      <c r="AJ51" s="63">
        <f t="shared" ref="AJ51:AJ55" si="55">AG51/$AG$62</f>
        <v>3.8824925170152944E-2</v>
      </c>
    </row>
    <row r="52" spans="1:36" ht="14.1" customHeight="1" x14ac:dyDescent="0.2">
      <c r="A52" s="36"/>
      <c r="B52" s="37" t="s">
        <v>152</v>
      </c>
      <c r="C52" s="255">
        <f>'[3]Go Jet_UA'!$IU$19</f>
        <v>0</v>
      </c>
      <c r="D52" s="2">
        <f>'[3]Go Jet_UA'!$IG$19</f>
        <v>0</v>
      </c>
      <c r="E52" s="63" t="e">
        <f t="shared" si="44"/>
        <v>#DIV/0!</v>
      </c>
      <c r="F52" s="2">
        <f>SUM('[3]Go Jet_UA'!$IT$19:$IU$19)</f>
        <v>0</v>
      </c>
      <c r="G52" s="2">
        <f>SUM('[3]Go Jet_UA'!$IF$19:$IG$19)</f>
        <v>0</v>
      </c>
      <c r="H52" s="3" t="e">
        <f t="shared" si="45"/>
        <v>#DIV/0!</v>
      </c>
      <c r="I52" s="63">
        <f t="shared" si="46"/>
        <v>0</v>
      </c>
      <c r="J52" s="36"/>
      <c r="K52" s="37" t="s">
        <v>152</v>
      </c>
      <c r="L52" s="255">
        <f>'[3]Go Jet_UA'!$IU$41</f>
        <v>0</v>
      </c>
      <c r="M52" s="2">
        <f>'[3]Go Jet_UA'!$IG$41</f>
        <v>0</v>
      </c>
      <c r="N52" s="63" t="e">
        <f t="shared" si="47"/>
        <v>#DIV/0!</v>
      </c>
      <c r="O52" s="255">
        <f>SUM('[3]Go Jet_UA'!$IT$41:$IU$41)</f>
        <v>0</v>
      </c>
      <c r="P52" s="2">
        <f>SUM('[3]Go Jet_UA'!$IF$41:$IG$41)</f>
        <v>0</v>
      </c>
      <c r="Q52" s="3" t="e">
        <f t="shared" si="48"/>
        <v>#DIV/0!</v>
      </c>
      <c r="R52" s="63">
        <f t="shared" si="49"/>
        <v>0</v>
      </c>
      <c r="S52" s="36"/>
      <c r="T52" s="37" t="s">
        <v>152</v>
      </c>
      <c r="U52" s="255">
        <f>'[3]Go Jet_UA'!$IU$64</f>
        <v>0</v>
      </c>
      <c r="V52" s="2">
        <f>'[3]Go Jet_UA'!$IG$64</f>
        <v>0</v>
      </c>
      <c r="W52" s="63" t="e">
        <f t="shared" si="50"/>
        <v>#DIV/0!</v>
      </c>
      <c r="X52" s="255">
        <f>SUM('[3]Go Jet_UA'!$IT$64:$IU$64)</f>
        <v>0</v>
      </c>
      <c r="Y52" s="2">
        <f>SUM('[3]Go Jet_UA'!$IF$64:$IG$64)</f>
        <v>0</v>
      </c>
      <c r="Z52" s="3" t="e">
        <f t="shared" si="51"/>
        <v>#DIV/0!</v>
      </c>
      <c r="AA52" s="63">
        <f t="shared" si="52"/>
        <v>0</v>
      </c>
      <c r="AB52" s="36"/>
      <c r="AC52" s="37" t="s">
        <v>152</v>
      </c>
      <c r="AD52" s="255">
        <f>'[3]Go Jet_UA'!$IU$43</f>
        <v>0</v>
      </c>
      <c r="AE52" s="2">
        <f>'[3]Go Jet_UA'!$IG$43</f>
        <v>0</v>
      </c>
      <c r="AF52" s="63" t="e">
        <f t="shared" si="53"/>
        <v>#DIV/0!</v>
      </c>
      <c r="AG52" s="255">
        <f>SUM('[3]Go Jet_UA'!$IT$43:$IU$43)</f>
        <v>0</v>
      </c>
      <c r="AH52" s="2">
        <f>SUM('[3]Go Jet_UA'!$IF$43:$IG$43)</f>
        <v>0</v>
      </c>
      <c r="AI52" s="3" t="e">
        <f t="shared" si="54"/>
        <v>#DIV/0!</v>
      </c>
      <c r="AJ52" s="63">
        <f t="shared" si="55"/>
        <v>0</v>
      </c>
    </row>
    <row r="53" spans="1:36" ht="14.1" customHeight="1" x14ac:dyDescent="0.2">
      <c r="A53" s="36"/>
      <c r="B53" s="37" t="s">
        <v>51</v>
      </c>
      <c r="C53" s="255">
        <f>[3]MESA_UA!$IU$19</f>
        <v>110</v>
      </c>
      <c r="D53" s="2">
        <f>[3]MESA_UA!$IG$19</f>
        <v>36</v>
      </c>
      <c r="E53" s="63">
        <f t="shared" si="44"/>
        <v>2.0555555555555554</v>
      </c>
      <c r="F53" s="2">
        <f>SUM([3]MESA_UA!$IT$19:$IU$19)</f>
        <v>226</v>
      </c>
      <c r="G53" s="2">
        <f>SUM([3]MESA_UA!$IF$19:$IG$19)</f>
        <v>42</v>
      </c>
      <c r="H53" s="3">
        <f>(F53-G53)/G53</f>
        <v>4.3809523809523814</v>
      </c>
      <c r="I53" s="63">
        <f t="shared" si="46"/>
        <v>5.0146445371438714E-3</v>
      </c>
      <c r="J53" s="36"/>
      <c r="K53" s="37" t="s">
        <v>51</v>
      </c>
      <c r="L53" s="255">
        <f>[3]MESA_UA!$IU$41</f>
        <v>6666</v>
      </c>
      <c r="M53" s="2">
        <f>[3]MESA_UA!$IG$41</f>
        <v>2198</v>
      </c>
      <c r="N53" s="63">
        <f t="shared" si="47"/>
        <v>2.0327570518653322</v>
      </c>
      <c r="O53" s="255">
        <f>SUM([3]MESA_UA!$IT$41:$IU$41)</f>
        <v>13937</v>
      </c>
      <c r="P53" s="2">
        <f>SUM([3]MESA_UA!$IF$41:$IG$41)</f>
        <v>2614</v>
      </c>
      <c r="Q53" s="3">
        <f t="shared" si="48"/>
        <v>4.3316755929609796</v>
      </c>
      <c r="R53" s="63">
        <f t="shared" si="49"/>
        <v>2.8027196656926763E-3</v>
      </c>
      <c r="S53" s="36"/>
      <c r="T53" s="37" t="s">
        <v>51</v>
      </c>
      <c r="U53" s="255">
        <f>[3]MESA_UA!$IU$64</f>
        <v>0</v>
      </c>
      <c r="V53" s="2">
        <f>[3]MESA_UA!$IG$64</f>
        <v>0</v>
      </c>
      <c r="W53" s="63" t="e">
        <f t="shared" si="50"/>
        <v>#DIV/0!</v>
      </c>
      <c r="X53" s="255">
        <f>SUM([3]MESA_UA!$IT$64:$IU$64)</f>
        <v>0</v>
      </c>
      <c r="Y53" s="2">
        <f>SUM([3]MESA_UA!$IF$64:$IG$64)</f>
        <v>0</v>
      </c>
      <c r="Z53" s="3" t="e">
        <f t="shared" si="51"/>
        <v>#DIV/0!</v>
      </c>
      <c r="AA53" s="63">
        <f t="shared" si="52"/>
        <v>0</v>
      </c>
      <c r="AB53" s="36"/>
      <c r="AC53" s="37" t="s">
        <v>51</v>
      </c>
      <c r="AD53" s="255">
        <f>[3]MESA_UA!$IU$43</f>
        <v>6938</v>
      </c>
      <c r="AE53" s="2">
        <f>[3]MESA_UA!$IG$43</f>
        <v>2262</v>
      </c>
      <c r="AF53" s="63">
        <f t="shared" si="53"/>
        <v>2.0671971706454464</v>
      </c>
      <c r="AG53" s="255">
        <f>SUM([3]MESA_UA!$IT$43:$IU$43)</f>
        <v>14426</v>
      </c>
      <c r="AH53" s="2">
        <f>SUM([3]MESA_UA!$IF$43:$IG$43)</f>
        <v>2685</v>
      </c>
      <c r="AI53" s="3">
        <f t="shared" si="54"/>
        <v>4.3728119180633147</v>
      </c>
      <c r="AJ53" s="63">
        <f t="shared" si="55"/>
        <v>2.813567143246376E-3</v>
      </c>
    </row>
    <row r="54" spans="1:36" ht="14.1" customHeight="1" x14ac:dyDescent="0.2">
      <c r="A54" s="36"/>
      <c r="B54" s="310" t="s">
        <v>52</v>
      </c>
      <c r="C54" s="255">
        <f>[3]Republic_UA!$IU$19</f>
        <v>74</v>
      </c>
      <c r="D54" s="2">
        <f>[3]Republic_UA!$IG$19</f>
        <v>84</v>
      </c>
      <c r="E54" s="63">
        <f t="shared" si="44"/>
        <v>-0.11904761904761904</v>
      </c>
      <c r="F54" s="2">
        <f>SUM([3]Republic_UA!$IT$19:$IU$19)</f>
        <v>138</v>
      </c>
      <c r="G54" s="2">
        <f>SUM([3]Republic_UA!$IF$19:$IG$19)</f>
        <v>168</v>
      </c>
      <c r="H54" s="3">
        <f t="shared" ref="H54" si="56">(F54-G54)/G54</f>
        <v>-0.17857142857142858</v>
      </c>
      <c r="I54" s="63">
        <f t="shared" si="46"/>
        <v>3.0620395846276739E-3</v>
      </c>
      <c r="J54" s="36"/>
      <c r="K54" s="310" t="s">
        <v>52</v>
      </c>
      <c r="L54" s="255">
        <f>[3]Republic_UA!$IU$41</f>
        <v>4517</v>
      </c>
      <c r="M54" s="2">
        <f>[3]Republic_UA!$IG$41</f>
        <v>5036</v>
      </c>
      <c r="N54" s="63">
        <f t="shared" si="47"/>
        <v>-0.10305798252581413</v>
      </c>
      <c r="O54" s="255">
        <f>SUM([3]Republic_UA!$IT$41:$IU$41)</f>
        <v>8526</v>
      </c>
      <c r="P54" s="2">
        <f>SUM([3]Republic_UA!$IF$41:$IG$41)</f>
        <v>10113</v>
      </c>
      <c r="Q54" s="3">
        <f t="shared" si="48"/>
        <v>-0.15692672797389498</v>
      </c>
      <c r="R54" s="63">
        <f t="shared" si="49"/>
        <v>1.7145718497306277E-3</v>
      </c>
      <c r="S54" s="36"/>
      <c r="T54" s="310" t="s">
        <v>52</v>
      </c>
      <c r="U54" s="255">
        <f>[3]Republic_UA!$IU$64</f>
        <v>0</v>
      </c>
      <c r="V54" s="2">
        <f>[3]Republic_UA!$IG$64</f>
        <v>0</v>
      </c>
      <c r="W54" s="63" t="e">
        <f t="shared" si="50"/>
        <v>#DIV/0!</v>
      </c>
      <c r="X54" s="255">
        <f>SUM([3]Republic_UA!$IT$64:$IU$64)</f>
        <v>0</v>
      </c>
      <c r="Y54" s="2">
        <f>SUM([3]Republic_UA!$IF$64:$IG$64)</f>
        <v>0</v>
      </c>
      <c r="Z54" s="3" t="e">
        <f t="shared" si="51"/>
        <v>#DIV/0!</v>
      </c>
      <c r="AA54" s="63">
        <f t="shared" si="52"/>
        <v>0</v>
      </c>
      <c r="AB54" s="36"/>
      <c r="AC54" s="310" t="s">
        <v>52</v>
      </c>
      <c r="AD54" s="255">
        <f>[3]Republic_UA!$IU$43</f>
        <v>4688</v>
      </c>
      <c r="AE54" s="2">
        <f>[3]Republic_UA!$IG$43</f>
        <v>5207</v>
      </c>
      <c r="AF54" s="63">
        <f t="shared" si="53"/>
        <v>-9.967351642020357E-2</v>
      </c>
      <c r="AG54" s="255">
        <f>SUM([3]Republic_UA!$IT$43:$IU$43)</f>
        <v>8828</v>
      </c>
      <c r="AH54" s="2">
        <f>SUM([3]Republic_UA!$IF$43:$IG$43)</f>
        <v>10527</v>
      </c>
      <c r="AI54" s="3">
        <f t="shared" si="54"/>
        <v>-0.16139450935689181</v>
      </c>
      <c r="AJ54" s="63">
        <f t="shared" si="55"/>
        <v>1.7217642271301127E-3</v>
      </c>
    </row>
    <row r="55" spans="1:36" ht="14.1" customHeight="1" x14ac:dyDescent="0.2">
      <c r="A55" s="36"/>
      <c r="B55" s="37" t="s">
        <v>97</v>
      </c>
      <c r="C55" s="255">
        <f>'[3]Sky West_UA'!$IU$19</f>
        <v>78</v>
      </c>
      <c r="D55" s="2">
        <f>'[3]Sky West_UA'!$IG$19+'[3]Sky West_CO'!$IG$19</f>
        <v>10</v>
      </c>
      <c r="E55" s="63">
        <f t="shared" si="44"/>
        <v>6.8</v>
      </c>
      <c r="F55" s="2">
        <f>SUM('[3]Sky West_UA'!$IT$19:$IU$19)</f>
        <v>170</v>
      </c>
      <c r="G55" s="2">
        <f>SUM('[3]Sky West_UA'!$IF$19:$IG$19)+SUM('[3]Sky West_CO'!$IF$19:$IG$19)</f>
        <v>26</v>
      </c>
      <c r="H55" s="3">
        <f t="shared" si="45"/>
        <v>5.5384615384615383</v>
      </c>
      <c r="I55" s="63">
        <f t="shared" si="46"/>
        <v>3.7720777491790183E-3</v>
      </c>
      <c r="J55" s="36"/>
      <c r="K55" s="37" t="s">
        <v>97</v>
      </c>
      <c r="L55" s="255">
        <f>'[3]Sky West_UA'!$IU$41</f>
        <v>4812</v>
      </c>
      <c r="M55" s="2">
        <f>'[3]Sky West_UA'!$IG$41+'[3]Sky West_CO'!$IG$41</f>
        <v>706</v>
      </c>
      <c r="N55" s="63">
        <f t="shared" si="47"/>
        <v>5.8158640226628897</v>
      </c>
      <c r="O55" s="255">
        <f>SUM('[3]Sky West_UA'!$IT$41:$IU$41)</f>
        <v>10714</v>
      </c>
      <c r="P55" s="2">
        <f>SUM('[3]Sky West_UA'!$IF$41:$IG$41)+SUM('[3]Sky West_CO'!$IF$41:$IG$41)</f>
        <v>1267</v>
      </c>
      <c r="Q55" s="3">
        <f t="shared" si="48"/>
        <v>7.4561957379636938</v>
      </c>
      <c r="R55" s="63">
        <f t="shared" si="49"/>
        <v>2.1545769174306762E-3</v>
      </c>
      <c r="S55" s="36"/>
      <c r="T55" s="37" t="s">
        <v>97</v>
      </c>
      <c r="U55" s="255">
        <f>'[3]Sky West_UA'!$IU$64</f>
        <v>0</v>
      </c>
      <c r="V55" s="2">
        <f>'[3]Sky West_UA'!$IG$64+'[3]Sky West_CO'!$IG$64</f>
        <v>0</v>
      </c>
      <c r="W55" s="63" t="e">
        <f t="shared" si="50"/>
        <v>#DIV/0!</v>
      </c>
      <c r="X55" s="255">
        <f>SUM('[3]Sky West_UA'!$IT$64:$IU$64)</f>
        <v>0</v>
      </c>
      <c r="Y55" s="2">
        <f>SUM('[3]Sky West_UA'!$IF$64:$IG$64)+SUM('[3]Sky West_CO'!$IF$64:$IG$64)</f>
        <v>0</v>
      </c>
      <c r="Z55" s="3" t="e">
        <f t="shared" si="51"/>
        <v>#DIV/0!</v>
      </c>
      <c r="AA55" s="63">
        <f t="shared" si="52"/>
        <v>0</v>
      </c>
      <c r="AB55" s="36"/>
      <c r="AC55" s="37" t="s">
        <v>97</v>
      </c>
      <c r="AD55" s="255">
        <f>'[3]Sky West_UA'!$IU$43</f>
        <v>5032</v>
      </c>
      <c r="AE55" s="2">
        <f>'[3]Sky West_UA'!$IG$43+'[3]Sky West_CO'!$IG$43</f>
        <v>728</v>
      </c>
      <c r="AF55" s="63">
        <f t="shared" si="53"/>
        <v>5.9120879120879124</v>
      </c>
      <c r="AG55" s="255">
        <f>SUM('[3]Sky West_UA'!$IT$43:$IU$43)</f>
        <v>11190</v>
      </c>
      <c r="AH55" s="2">
        <f>SUM('[3]Sky West_UA'!$IF$43:$IG$43)+SUM('[3]Sky West_CO'!$IF$43:$IG$43)</f>
        <v>1302</v>
      </c>
      <c r="AI55" s="3">
        <f t="shared" si="54"/>
        <v>7.5944700460829493</v>
      </c>
      <c r="AJ55" s="63">
        <f t="shared" si="55"/>
        <v>2.1824356254628412E-3</v>
      </c>
    </row>
    <row r="56" spans="1:36" ht="14.1" customHeight="1" x14ac:dyDescent="0.2">
      <c r="A56" s="36"/>
      <c r="B56" s="258"/>
      <c r="C56" s="255"/>
      <c r="E56" s="63"/>
      <c r="F56" s="2"/>
      <c r="I56" s="63"/>
      <c r="J56" s="36"/>
      <c r="K56" s="258"/>
      <c r="L56" s="255"/>
      <c r="N56" s="63"/>
      <c r="O56" s="255"/>
      <c r="P56" s="2"/>
      <c r="Q56" s="3"/>
      <c r="R56" s="63"/>
      <c r="S56" s="36"/>
      <c r="T56" s="258"/>
      <c r="U56" s="255"/>
      <c r="V56" s="2"/>
      <c r="W56" s="63"/>
      <c r="X56" s="255"/>
      <c r="Y56" s="2"/>
      <c r="Z56" s="3"/>
      <c r="AA56" s="63"/>
      <c r="AB56" s="36"/>
      <c r="AC56" s="258"/>
      <c r="AD56" s="255"/>
      <c r="AE56" s="2"/>
      <c r="AF56" s="63"/>
      <c r="AG56" s="255"/>
      <c r="AH56" s="2"/>
      <c r="AI56" s="3"/>
      <c r="AJ56" s="63"/>
    </row>
    <row r="57" spans="1:36" ht="14.1" customHeight="1" x14ac:dyDescent="0.2">
      <c r="A57" s="250" t="s">
        <v>232</v>
      </c>
      <c r="B57" s="258"/>
      <c r="C57" s="251">
        <f>[3]WestJet!$IU$19</f>
        <v>66</v>
      </c>
      <c r="D57" s="253">
        <f>[3]WestJet!$IG$19</f>
        <v>0</v>
      </c>
      <c r="E57" s="254" t="e">
        <f>(C57-D57)/D57</f>
        <v>#DIV/0!</v>
      </c>
      <c r="F57" s="253">
        <f>SUM([3]WestJet!$IT$19:$IU$19)</f>
        <v>138</v>
      </c>
      <c r="G57" s="253">
        <f>SUM([3]WestJet!$IF$19:$IG$19)</f>
        <v>0</v>
      </c>
      <c r="H57" s="252" t="e">
        <f>(F57-G57)/G57</f>
        <v>#DIV/0!</v>
      </c>
      <c r="I57" s="254">
        <f>F57/$F$62</f>
        <v>3.0620395846276739E-3</v>
      </c>
      <c r="J57" s="250" t="s">
        <v>232</v>
      </c>
      <c r="K57" s="37"/>
      <c r="L57" s="251">
        <f>[3]WestJet!$IU$41</f>
        <v>7115</v>
      </c>
      <c r="M57" s="253">
        <f>[3]WestJet!$IG$41</f>
        <v>0</v>
      </c>
      <c r="N57" s="254" t="e">
        <f>(L57-M57)/M57</f>
        <v>#DIV/0!</v>
      </c>
      <c r="O57" s="251">
        <f>SUM([3]WestJet!$IT$41:$IU$41)</f>
        <v>14533</v>
      </c>
      <c r="P57" s="253">
        <f>SUM([3]WestJet!$IF$41:$IG$41)</f>
        <v>0</v>
      </c>
      <c r="Q57" s="252" t="e">
        <f>(O57-P57)/P57</f>
        <v>#DIV/0!</v>
      </c>
      <c r="R57" s="254">
        <f>O57/$O$62</f>
        <v>2.9225747938230366E-3</v>
      </c>
      <c r="S57" s="250" t="s">
        <v>232</v>
      </c>
      <c r="T57" s="37"/>
      <c r="U57" s="251">
        <f>[3]WestJet!$IU$64</f>
        <v>0</v>
      </c>
      <c r="V57" s="253">
        <f>[3]WestJet!$IG$64</f>
        <v>0</v>
      </c>
      <c r="W57" s="254" t="e">
        <f>(U57-V57)/V57</f>
        <v>#DIV/0!</v>
      </c>
      <c r="X57" s="251">
        <f>SUM([3]WestJet!$IT$64:$IU$64)</f>
        <v>0</v>
      </c>
      <c r="Y57" s="253">
        <f>SUM([3]WestJet!$IF$64:$IG$64)</f>
        <v>0</v>
      </c>
      <c r="Z57" s="252" t="e">
        <f>(X57-Y57)/Y57</f>
        <v>#DIV/0!</v>
      </c>
      <c r="AA57" s="254">
        <f>X57/$X$62</f>
        <v>0</v>
      </c>
      <c r="AB57" s="250" t="s">
        <v>232</v>
      </c>
      <c r="AC57" s="37"/>
      <c r="AD57" s="251">
        <f>[3]WestJet!$IU$43</f>
        <v>7117</v>
      </c>
      <c r="AE57" s="253">
        <f>[3]WestJet!$IG$43</f>
        <v>0</v>
      </c>
      <c r="AF57" s="254" t="e">
        <f>(AD57-AE57)/AE57</f>
        <v>#DIV/0!</v>
      </c>
      <c r="AG57" s="251">
        <f>SUM([3]WestJet!$IT$43:$IU$43)</f>
        <v>14536</v>
      </c>
      <c r="AH57" s="253">
        <f>SUM([3]WestJet!$IF$43:$IG$43)</f>
        <v>0</v>
      </c>
      <c r="AI57" s="252" t="e">
        <f>(AG57-AH57)/AH57</f>
        <v>#DIV/0!</v>
      </c>
      <c r="AJ57" s="254">
        <f>AG57/$AG$62</f>
        <v>2.8350209340239373E-3</v>
      </c>
    </row>
    <row r="58" spans="1:36" ht="14.1" customHeight="1" thickBot="1" x14ac:dyDescent="0.25">
      <c r="A58" s="312"/>
      <c r="B58" s="313"/>
      <c r="C58" s="259"/>
      <c r="D58" s="261"/>
      <c r="E58" s="262"/>
      <c r="F58" s="261"/>
      <c r="G58" s="261"/>
      <c r="H58" s="260"/>
      <c r="I58" s="262"/>
      <c r="J58" s="312"/>
      <c r="K58" s="313"/>
      <c r="L58" s="259"/>
      <c r="M58" s="261"/>
      <c r="N58" s="262"/>
      <c r="O58" s="259"/>
      <c r="P58" s="261"/>
      <c r="Q58" s="260"/>
      <c r="R58" s="334"/>
      <c r="S58" s="312"/>
      <c r="T58" s="313"/>
      <c r="U58" s="259"/>
      <c r="V58" s="261"/>
      <c r="W58" s="262"/>
      <c r="X58" s="259"/>
      <c r="Y58" s="261"/>
      <c r="Z58" s="260"/>
      <c r="AA58" s="334"/>
      <c r="AB58" s="312"/>
      <c r="AC58" s="313"/>
      <c r="AD58" s="259"/>
      <c r="AE58" s="261"/>
      <c r="AF58" s="262"/>
      <c r="AG58" s="259"/>
      <c r="AH58" s="261"/>
      <c r="AI58" s="260"/>
      <c r="AJ58" s="334"/>
    </row>
    <row r="59" spans="1:36" s="164" customFormat="1" ht="14.1" customHeight="1" thickBot="1" x14ac:dyDescent="0.25">
      <c r="B59" s="163"/>
      <c r="C59" s="253"/>
      <c r="D59" s="253"/>
      <c r="E59" s="252"/>
      <c r="F59" s="311"/>
      <c r="G59" s="253"/>
      <c r="H59" s="252"/>
      <c r="I59" s="252"/>
      <c r="J59" s="263"/>
      <c r="K59" s="163"/>
      <c r="L59" s="264"/>
      <c r="M59" s="265"/>
      <c r="N59" s="263"/>
      <c r="S59" s="263"/>
      <c r="T59" s="163"/>
      <c r="U59" s="264"/>
      <c r="V59" s="265"/>
      <c r="W59" s="263"/>
      <c r="AB59" s="263"/>
      <c r="AC59" s="163"/>
      <c r="AD59" s="264"/>
      <c r="AE59" s="265"/>
      <c r="AF59" s="263"/>
    </row>
    <row r="60" spans="1:36" ht="14.1" customHeight="1" x14ac:dyDescent="0.2">
      <c r="B60" s="266" t="s">
        <v>131</v>
      </c>
      <c r="C60" s="319">
        <f>+C62-C61</f>
        <v>16065</v>
      </c>
      <c r="D60" s="430">
        <f>+D62-D61</f>
        <v>14737</v>
      </c>
      <c r="E60" s="320">
        <f>(C60-D60)/D60</f>
        <v>9.0113320214426279E-2</v>
      </c>
      <c r="F60" s="319">
        <f>+F62-F61</f>
        <v>32389</v>
      </c>
      <c r="G60" s="430">
        <f>+G62-G61</f>
        <v>30338</v>
      </c>
      <c r="H60" s="320">
        <f>(F60-G60)/G60</f>
        <v>6.7604983848638667E-2</v>
      </c>
      <c r="I60" s="345">
        <f>F60/$F$62</f>
        <v>0.71866956598917187</v>
      </c>
      <c r="K60" s="266" t="s">
        <v>131</v>
      </c>
      <c r="L60" s="319">
        <f>+L62-L61</f>
        <v>2182743</v>
      </c>
      <c r="M60" s="430">
        <f>+M62-M61</f>
        <v>1931328</v>
      </c>
      <c r="N60" s="320">
        <f>(L60-M60)/M60</f>
        <v>0.13017726662690129</v>
      </c>
      <c r="O60" s="319">
        <f>+O62-O61</f>
        <v>4301494</v>
      </c>
      <c r="P60" s="430">
        <f>+P62-P61</f>
        <v>3941618</v>
      </c>
      <c r="Q60" s="343">
        <f>(O60-P60)/P60</f>
        <v>9.1301592391753839E-2</v>
      </c>
      <c r="R60" s="390">
        <f>+O60/O62</f>
        <v>0.86502703778855228</v>
      </c>
      <c r="S60" s="3"/>
      <c r="T60" s="266" t="s">
        <v>131</v>
      </c>
      <c r="U60" s="319">
        <f>+U62-U61</f>
        <v>7214691</v>
      </c>
      <c r="V60" s="430">
        <f>+V62-V61</f>
        <v>6208329</v>
      </c>
      <c r="W60" s="320">
        <f>(U60-V60)/V60</f>
        <v>0.16209869032391808</v>
      </c>
      <c r="X60" s="319">
        <f>+X62-X61</f>
        <v>13475308</v>
      </c>
      <c r="Y60" s="430">
        <f>+Y62-Y61</f>
        <v>13221087</v>
      </c>
      <c r="Z60" s="343">
        <f>(X60-Y60)/Y60</f>
        <v>1.922844921903925E-2</v>
      </c>
      <c r="AA60" s="390">
        <f>+X60/X62</f>
        <v>0.99787930132243263</v>
      </c>
      <c r="AB60" s="3"/>
      <c r="AC60" s="266" t="s">
        <v>131</v>
      </c>
      <c r="AD60" s="319">
        <f>+AD62-AD61</f>
        <v>2249657</v>
      </c>
      <c r="AE60" s="430">
        <f>+AE62-AE61</f>
        <v>1992918</v>
      </c>
      <c r="AF60" s="320">
        <f>(AD60-AE60)/AE60</f>
        <v>0.12882567170350209</v>
      </c>
      <c r="AG60" s="319">
        <f>+AG62-AG61</f>
        <v>4433325</v>
      </c>
      <c r="AH60" s="430">
        <f>+AH62-AH61</f>
        <v>4066389</v>
      </c>
      <c r="AI60" s="343">
        <f>(AG60-AH60)/AH60</f>
        <v>9.0236325152364905E-2</v>
      </c>
      <c r="AJ60" s="390">
        <f>+AG60/AG62</f>
        <v>0.8646511545357507</v>
      </c>
    </row>
    <row r="61" spans="1:36" ht="14.1" customHeight="1" x14ac:dyDescent="0.2">
      <c r="B61" s="163" t="s">
        <v>132</v>
      </c>
      <c r="C61" s="321">
        <f>+C34+C33+C32+C20+C55+C52+C53+C24+C21+C15+C6+C54+C22+C23+C16+C7</f>
        <v>6058</v>
      </c>
      <c r="D61" s="431">
        <f>+D34+D33+D32+D20+D55+D52+D53+D24+D21+D15+D6+D54+D22+D23+D16+D7</f>
        <v>5439</v>
      </c>
      <c r="E61" s="267">
        <f>(C61-D61)/D61</f>
        <v>0.11380768523625666</v>
      </c>
      <c r="F61" s="321">
        <f>+F34+F33+F32+F20+F55+F52+F53+F24+F21+F15+F6+F54+F22+F23+F16+F7</f>
        <v>12679</v>
      </c>
      <c r="G61" s="431">
        <f>+G34+G33+G32+G20+G55+G52+G53+G24+G21+G15+G6+G54+G22+G23+G16+G7</f>
        <v>11765</v>
      </c>
      <c r="H61" s="267">
        <f>(F61-G61)/G61</f>
        <v>7.7688057798555032E-2</v>
      </c>
      <c r="I61" s="346">
        <f>F61/$F$62</f>
        <v>0.28133043401082808</v>
      </c>
      <c r="K61" s="163" t="s">
        <v>132</v>
      </c>
      <c r="L61" s="321">
        <f>+L34+L33+L32+L20+L55+L52+L53+L24+L21+L15+L6+L54+L22+L23+L16+L7</f>
        <v>323103</v>
      </c>
      <c r="M61" s="431">
        <f>+M34+M33+M32+M20+M55+M52+M53+M24+M21+M15+M6+M54+M22+M23+M16+M7</f>
        <v>258561</v>
      </c>
      <c r="N61" s="267">
        <f>(L61-M61)/M61</f>
        <v>0.24962001229883857</v>
      </c>
      <c r="O61" s="321">
        <f>+O34+O33+O32+O20+O55+O52+O53+O24+O21+O15+O6+O54+O22+O23+O16+O7</f>
        <v>671176</v>
      </c>
      <c r="P61" s="431">
        <f>+P34+P33+P32+P20+P55+P52+P53+P24+P21+P15+P6+P54+P22+P23+P16+P7</f>
        <v>567164</v>
      </c>
      <c r="Q61" s="342">
        <f>(O61-P61)/P61</f>
        <v>0.18338963685988532</v>
      </c>
      <c r="R61" s="391">
        <f>+O61/O62</f>
        <v>0.13497296221144778</v>
      </c>
      <c r="S61" s="3"/>
      <c r="T61" s="163" t="s">
        <v>132</v>
      </c>
      <c r="U61" s="321">
        <f>+U34+U33+U32+U20+U55+U52+U53+U24+U21+U15+U6+U54+U22+U23+U16+U7</f>
        <v>15075.3</v>
      </c>
      <c r="V61" s="431">
        <f>+V34+V33+V32+V20+V55+V52+V53+V24+V21+V15+V6+V54+V22+V23+V16+V7</f>
        <v>4452</v>
      </c>
      <c r="W61" s="267">
        <f>(U61-V61)/V61</f>
        <v>2.386185983827493</v>
      </c>
      <c r="X61" s="321">
        <f>+X34+X33+X32+X20+X55+X52+X53+X24+X21+X15+X6+X54+X22+X23+X16+X7</f>
        <v>28637.8</v>
      </c>
      <c r="Y61" s="431">
        <f>+Y34+Y33+Y32+Y20+Y55+Y52+Y53+Y24+Y21+Y15+Y6+Y54+Y22+Y23+Y16+Y7</f>
        <v>10840</v>
      </c>
      <c r="Z61" s="342">
        <f>(X61-Y61)/Y61</f>
        <v>1.6418634686346862</v>
      </c>
      <c r="AA61" s="391">
        <f>+X61/X62</f>
        <v>2.120698677567263E-3</v>
      </c>
      <c r="AB61" s="3"/>
      <c r="AC61" s="163" t="s">
        <v>132</v>
      </c>
      <c r="AD61" s="321">
        <f>+AD34+AD33+AD32+AD20+AD55+AD52+AD53+AD24+AD21+AD15+AD6+AD54+AD22+AD23+AD16+AD7</f>
        <v>333914</v>
      </c>
      <c r="AE61" s="431">
        <f>+AE34+AE33+AE32+AE20+AE55+AE52+AE53+AE24+AE21+AE15+AE6+AE54+AE22+AE23+AE16+AE7</f>
        <v>268112</v>
      </c>
      <c r="AF61" s="267">
        <f>(AD61-AE61)/AE61</f>
        <v>0.24542728412006923</v>
      </c>
      <c r="AG61" s="321">
        <f>+AG34+AG33+AG32+AG20+AG55+AG52+AG53+AG24+AG21+AG15+AG6+AG54+AG22+AG23+AG16+AG7</f>
        <v>693974</v>
      </c>
      <c r="AH61" s="431">
        <f>+AH34+AH33+AH32+AH20+AH55+AH52+AH53+AH24+AH21+AH15+AH6+AH54+AH22+AH23+AH16+AH7</f>
        <v>587506</v>
      </c>
      <c r="AI61" s="342">
        <f>(AG61-AH61)/AH61</f>
        <v>0.18122027689929976</v>
      </c>
      <c r="AJ61" s="391">
        <f>+AG61/AG62</f>
        <v>0.1353488454642493</v>
      </c>
    </row>
    <row r="62" spans="1:36" ht="14.1" customHeight="1" thickBot="1" x14ac:dyDescent="0.25">
      <c r="B62" s="163" t="s">
        <v>133</v>
      </c>
      <c r="C62" s="322">
        <f>C50+C48+C44+C38+C36+C30+C18+C13+C4+C46+C26+C42+C9+C40+C28+C11+C57</f>
        <v>22123</v>
      </c>
      <c r="D62" s="432">
        <f>D50+D48+D44+D38+D36+D30+D18+D13+D4+D46+D26+D42+D9+D40+D28+D11+D57</f>
        <v>20176</v>
      </c>
      <c r="E62" s="323">
        <f>(C62-D62)/D62</f>
        <v>9.6500793021411582E-2</v>
      </c>
      <c r="F62" s="322">
        <f>F50+F48+F44+F38+F36+F30+F18+F13+F4+F46+F26+F42+F9+F40+F28+F11+F57</f>
        <v>45068</v>
      </c>
      <c r="G62" s="432">
        <f>G50+G48+G44+G38+G36+G30+G18+G13+G4+G46+G26+G42+G9+G40+G28+G11+G57</f>
        <v>42103</v>
      </c>
      <c r="H62" s="323">
        <f>(F62-G62)/G62</f>
        <v>7.0422535211267609E-2</v>
      </c>
      <c r="I62" s="347">
        <f>+H62/H62</f>
        <v>1</v>
      </c>
      <c r="K62" s="163" t="s">
        <v>133</v>
      </c>
      <c r="L62" s="322">
        <f>L50+L48+L44+L38+L36+L30+L18+L13+L4+L46+L26+L42+L9+L40+L28+L11+L57</f>
        <v>2505846</v>
      </c>
      <c r="M62" s="432">
        <f>M50+M48+M44+M38+M36+M30+M18+M13+M4+M46+M26+M42+M9+M40+M28+M11+M57</f>
        <v>2189889</v>
      </c>
      <c r="N62" s="323">
        <f>(L62-M62)/M62</f>
        <v>0.14427991555736386</v>
      </c>
      <c r="O62" s="322">
        <f>O50+O48+O44+O38+O36+O30+O18+O13+O4+O46+O26+O42+O9+O40+O28+O11+O57</f>
        <v>4972670</v>
      </c>
      <c r="P62" s="432">
        <f>P50+P48+P44+P38+P36+P30+P18+P13+P4+P46+P26+P42+P9+P40+P28+P11+P57</f>
        <v>4508782</v>
      </c>
      <c r="Q62" s="389">
        <f>(O62-P62)/P62</f>
        <v>0.1028854355788326</v>
      </c>
      <c r="R62" s="347">
        <f>+Q62/Q62</f>
        <v>1</v>
      </c>
      <c r="S62" s="3"/>
      <c r="T62" s="163" t="s">
        <v>133</v>
      </c>
      <c r="U62" s="322">
        <f>U50+U48+U44+U38+U36+U30+U18+U13+U4+U46+U26+U42+U9+U40+U28+U11+U57</f>
        <v>7229766.2999999998</v>
      </c>
      <c r="V62" s="432">
        <f>V50+V48+V44+V38+V36+V30+V18+V13+V4+V46+V26+V42+V9+V40+V28+V11+V57</f>
        <v>6212781</v>
      </c>
      <c r="W62" s="323">
        <f>(U62-V62)/V62</f>
        <v>0.16369244304603683</v>
      </c>
      <c r="X62" s="322">
        <f>X50+X48+X44+X38+X36+X30+X18+X13+X4+X46+X26+X42+X9+X40+X28+X11+X57</f>
        <v>13503945.800000001</v>
      </c>
      <c r="Y62" s="432">
        <f>Y50+Y48+Y44+Y38+Y36+Y30+Y18+Y13+Y4+Y46+Y26+Y42+Y9+Y40+Y28+Y11+Y57</f>
        <v>13231927</v>
      </c>
      <c r="Z62" s="389">
        <f>(X62-Y62)/Y62</f>
        <v>2.055776154145959E-2</v>
      </c>
      <c r="AA62" s="347">
        <f>+Z62/Z62</f>
        <v>1</v>
      </c>
      <c r="AB62" s="3"/>
      <c r="AC62" s="163" t="s">
        <v>133</v>
      </c>
      <c r="AD62" s="322">
        <f>AD50+AD48+AD44+AD38+AD36+AD30+AD18+AD13+AD4+AD46+AD26+AD42+AD9+AD40+AD28+AD11+AD57</f>
        <v>2583571</v>
      </c>
      <c r="AE62" s="432">
        <f>AE50+AE48+AE44+AE38+AE36+AE30+AE18+AE13+AE4+AE46+AE26+AE42+AE9+AE40+AE28+AE11+AE57</f>
        <v>2261030</v>
      </c>
      <c r="AF62" s="323">
        <f>(AD62-AE62)/AE62</f>
        <v>0.14265224256201819</v>
      </c>
      <c r="AG62" s="322">
        <f>AG50+AG48+AG44+AG38+AG36+AG30+AG18+AG13+AG4+AG46+AG26+AG42+AG9+AG40+AG28+AG11+AG57</f>
        <v>5127299</v>
      </c>
      <c r="AH62" s="432">
        <f>AH50+AH48+AH44+AH38+AH36+AH30+AH18+AH13+AH4+AH46+AH26+AH42+AH9+AH40+AH28+AH11+AH57</f>
        <v>4653895</v>
      </c>
      <c r="AI62" s="389">
        <f>(AG62-AH62)/AH62</f>
        <v>0.10172210589194643</v>
      </c>
      <c r="AJ62" s="347">
        <f>+AI62/AI62</f>
        <v>1</v>
      </c>
    </row>
    <row r="63" spans="1:36" x14ac:dyDescent="0.2">
      <c r="D63" s="3"/>
      <c r="F63" s="2"/>
      <c r="G63"/>
      <c r="H63"/>
      <c r="I63"/>
      <c r="J63"/>
      <c r="K63"/>
      <c r="M63"/>
      <c r="N63"/>
    </row>
    <row r="64" spans="1:36" x14ac:dyDescent="0.2">
      <c r="B64" s="163"/>
      <c r="E64"/>
      <c r="F64" s="2"/>
      <c r="H64"/>
      <c r="I64"/>
      <c r="J64"/>
      <c r="K64"/>
      <c r="N64"/>
      <c r="O64" s="2"/>
      <c r="P64" s="2"/>
      <c r="U64" s="89"/>
      <c r="V64" s="89"/>
      <c r="W64" s="89"/>
    </row>
    <row r="65" spans="3:34" x14ac:dyDescent="0.2">
      <c r="E65"/>
      <c r="F65" s="2"/>
      <c r="H65"/>
      <c r="I65"/>
      <c r="J65"/>
      <c r="K65"/>
      <c r="N65"/>
      <c r="O65" s="2"/>
      <c r="P65" s="2"/>
      <c r="U65" s="89"/>
      <c r="V65" s="89"/>
      <c r="W65" s="89"/>
      <c r="AD65" s="2"/>
      <c r="AE65" s="2"/>
      <c r="AG65" s="2"/>
      <c r="AH65" s="2"/>
    </row>
    <row r="66" spans="3:34" x14ac:dyDescent="0.2">
      <c r="E66"/>
      <c r="F66" s="2"/>
      <c r="H66"/>
      <c r="I66"/>
      <c r="J66"/>
      <c r="K66"/>
      <c r="N66"/>
      <c r="O66" s="2"/>
      <c r="P66" s="2"/>
      <c r="U66" s="89"/>
      <c r="AD66" s="2"/>
      <c r="AE66" s="2"/>
      <c r="AG66" s="2">
        <f>+AG62-'Monthly Summary'!G11</f>
        <v>-240</v>
      </c>
      <c r="AH66" s="2">
        <f>+AH62-'Monthly Summary'!H11</f>
        <v>-668</v>
      </c>
    </row>
    <row r="67" spans="3:34" x14ac:dyDescent="0.2">
      <c r="E67"/>
      <c r="F67" s="2"/>
      <c r="H67"/>
      <c r="I67"/>
      <c r="J67"/>
      <c r="K67"/>
      <c r="N67"/>
      <c r="O67" s="2"/>
      <c r="P67" s="2"/>
      <c r="AD67" s="2"/>
      <c r="AE67" s="2"/>
      <c r="AG67" s="2"/>
      <c r="AH67" s="2"/>
    </row>
    <row r="68" spans="3:34" x14ac:dyDescent="0.2">
      <c r="C68"/>
      <c r="D68"/>
      <c r="E68"/>
      <c r="F68"/>
      <c r="G68"/>
      <c r="H68"/>
      <c r="I68"/>
      <c r="J68"/>
      <c r="K68"/>
      <c r="L68"/>
      <c r="M68"/>
      <c r="N68"/>
      <c r="AD68" s="89"/>
      <c r="AE68" s="89"/>
      <c r="AG68" s="89"/>
      <c r="AH68" s="89"/>
    </row>
    <row r="69" spans="3:34" x14ac:dyDescent="0.2">
      <c r="C69"/>
      <c r="D69"/>
      <c r="E69"/>
      <c r="F69"/>
      <c r="G69"/>
      <c r="H69"/>
      <c r="I69"/>
      <c r="J69"/>
      <c r="K69"/>
      <c r="L69"/>
      <c r="M69"/>
      <c r="N69"/>
      <c r="AD69" s="2"/>
      <c r="AE69" s="2"/>
      <c r="AG69" s="2"/>
      <c r="AH69" s="2"/>
    </row>
    <row r="70" spans="3:34" x14ac:dyDescent="0.2">
      <c r="D70" s="3"/>
      <c r="F70"/>
      <c r="G70"/>
      <c r="H70"/>
      <c r="I70"/>
      <c r="J70"/>
      <c r="K70"/>
      <c r="L70"/>
      <c r="M70"/>
      <c r="N70"/>
    </row>
    <row r="71" spans="3:34" x14ac:dyDescent="0.2">
      <c r="D71" s="3"/>
      <c r="F71"/>
      <c r="G71"/>
      <c r="H71"/>
      <c r="I71"/>
      <c r="J71"/>
      <c r="K71"/>
      <c r="L71"/>
      <c r="M71"/>
      <c r="N71"/>
      <c r="AD71" s="2"/>
      <c r="AE71" s="2"/>
      <c r="AG71" s="2"/>
      <c r="AH71" s="2"/>
    </row>
    <row r="72" spans="3:34" x14ac:dyDescent="0.2">
      <c r="D72" s="3"/>
      <c r="F72"/>
      <c r="G72"/>
      <c r="H72"/>
      <c r="I72"/>
      <c r="J72"/>
      <c r="K72"/>
      <c r="L72"/>
      <c r="M72"/>
      <c r="N72"/>
    </row>
    <row r="73" spans="3:34" x14ac:dyDescent="0.2">
      <c r="D73" s="3"/>
      <c r="F73"/>
      <c r="G73"/>
      <c r="H73"/>
      <c r="I73"/>
      <c r="J73"/>
      <c r="K73"/>
      <c r="L73"/>
      <c r="M73"/>
      <c r="N73"/>
    </row>
    <row r="74" spans="3:34" x14ac:dyDescent="0.2">
      <c r="D74" s="3"/>
      <c r="F74"/>
      <c r="G74"/>
      <c r="H74"/>
      <c r="I74"/>
      <c r="J74"/>
      <c r="K74"/>
      <c r="L74"/>
      <c r="M74"/>
      <c r="N74"/>
    </row>
    <row r="75" spans="3:34" x14ac:dyDescent="0.2">
      <c r="D75" s="3"/>
      <c r="F75"/>
      <c r="G75"/>
      <c r="H75"/>
      <c r="I75"/>
      <c r="J75"/>
      <c r="K75"/>
      <c r="L75"/>
      <c r="M75"/>
      <c r="N75"/>
    </row>
    <row r="76" spans="3:34" x14ac:dyDescent="0.2">
      <c r="D76" s="3"/>
      <c r="F76"/>
      <c r="G76"/>
      <c r="H76"/>
      <c r="I76"/>
      <c r="J76"/>
      <c r="K76"/>
      <c r="L76"/>
      <c r="M76"/>
      <c r="N76"/>
    </row>
    <row r="77" spans="3:34" x14ac:dyDescent="0.2">
      <c r="D77" s="3"/>
      <c r="F77"/>
      <c r="G77"/>
      <c r="H77"/>
      <c r="I77"/>
      <c r="J77"/>
      <c r="K77"/>
      <c r="L77"/>
      <c r="M77"/>
      <c r="N77"/>
    </row>
    <row r="78" spans="3:34" x14ac:dyDescent="0.2">
      <c r="D78" s="3"/>
      <c r="F78"/>
      <c r="G78"/>
      <c r="H78"/>
      <c r="I78"/>
      <c r="J78"/>
      <c r="K78"/>
      <c r="L78"/>
      <c r="M78"/>
      <c r="N78"/>
    </row>
    <row r="79" spans="3:34" x14ac:dyDescent="0.2">
      <c r="D79" s="3"/>
      <c r="F79"/>
      <c r="G79"/>
      <c r="H79"/>
      <c r="I79"/>
      <c r="J79"/>
      <c r="K79"/>
      <c r="L79"/>
      <c r="M79"/>
      <c r="N79"/>
    </row>
    <row r="80" spans="3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65"/>
      <c r="K134"/>
    </row>
    <row r="135" spans="4:14" x14ac:dyDescent="0.2">
      <c r="F135" s="165"/>
      <c r="K135"/>
    </row>
    <row r="136" spans="4:14" x14ac:dyDescent="0.2">
      <c r="F136" s="165"/>
      <c r="K136"/>
    </row>
    <row r="137" spans="4:14" x14ac:dyDescent="0.2">
      <c r="F137" s="165"/>
      <c r="K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February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2025-01-13T19:35:39Z</dcterms:modified>
</cp:coreProperties>
</file>