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7847826E-EE63-48C7-8194-B95CF916062B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Activity'!$A$1:$AJ$57</definedName>
    <definedName name="_xlnm.Print_Area" localSheetId="2">'Other Major Airline Stats'!$A$2:$K$50</definedName>
    <definedName name="_xlnm.Print_Area" localSheetId="4">'Other Regional'!$A$1:$H$48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7" l="1"/>
  <c r="R22" i="7" l="1"/>
  <c r="I22" i="7"/>
  <c r="H22" i="7"/>
  <c r="G22" i="7"/>
  <c r="C10" i="1"/>
  <c r="C11" i="1" s="1"/>
  <c r="B10" i="1"/>
  <c r="C61" i="9"/>
  <c r="B11" i="1"/>
  <c r="D10" i="1" l="1"/>
  <c r="G10" i="1" s="1"/>
  <c r="J9" i="2"/>
  <c r="L61" i="9"/>
  <c r="L60" i="9"/>
  <c r="C60" i="9"/>
  <c r="M36" i="16"/>
  <c r="M35" i="16"/>
  <c r="M29" i="16"/>
  <c r="M28" i="16"/>
  <c r="M23" i="16"/>
  <c r="M24" i="16" s="1"/>
  <c r="M22" i="16"/>
  <c r="M18" i="16"/>
  <c r="M17" i="16"/>
  <c r="M10" i="16"/>
  <c r="M9" i="16"/>
  <c r="M5" i="16"/>
  <c r="M6" i="16" s="1"/>
  <c r="M4" i="16"/>
  <c r="M11" i="16"/>
  <c r="M19" i="16"/>
  <c r="M31" i="16"/>
  <c r="M38" i="16"/>
  <c r="B10" i="16" l="1"/>
  <c r="G21" i="5"/>
  <c r="G20" i="5"/>
  <c r="G16" i="5"/>
  <c r="G15" i="5"/>
  <c r="G11" i="5"/>
  <c r="G10" i="5"/>
  <c r="G6" i="5"/>
  <c r="G5" i="5"/>
  <c r="J21" i="5"/>
  <c r="J20" i="5"/>
  <c r="J16" i="5"/>
  <c r="J15" i="5"/>
  <c r="J11" i="5"/>
  <c r="J10" i="5"/>
  <c r="J6" i="5"/>
  <c r="J5" i="5"/>
  <c r="D15" i="2"/>
  <c r="C20" i="1"/>
  <c r="B20" i="1"/>
  <c r="C21" i="1"/>
  <c r="B21" i="1"/>
  <c r="AH15" i="9" l="1"/>
  <c r="AE51" i="9" l="1"/>
  <c r="AE49" i="9"/>
  <c r="AE48" i="9"/>
  <c r="AE47" i="9"/>
  <c r="AE46" i="9"/>
  <c r="AE43" i="9"/>
  <c r="AE41" i="9"/>
  <c r="AE39" i="9"/>
  <c r="AE37" i="9"/>
  <c r="AE35" i="9"/>
  <c r="AE33" i="9"/>
  <c r="AE31" i="9"/>
  <c r="AE29" i="9"/>
  <c r="AE28" i="9"/>
  <c r="AE27" i="9"/>
  <c r="AE24" i="9"/>
  <c r="AE22" i="9"/>
  <c r="AE21" i="9"/>
  <c r="AE20" i="9"/>
  <c r="AE19" i="9"/>
  <c r="AE18" i="9"/>
  <c r="AE15" i="9"/>
  <c r="AE12" i="9"/>
  <c r="AE10" i="9"/>
  <c r="AE8" i="9"/>
  <c r="AE6" i="9"/>
  <c r="AE5" i="9"/>
  <c r="V51" i="9"/>
  <c r="V49" i="9"/>
  <c r="V48" i="9"/>
  <c r="V47" i="9"/>
  <c r="V46" i="9"/>
  <c r="V43" i="9"/>
  <c r="V41" i="9"/>
  <c r="V39" i="9"/>
  <c r="V37" i="9"/>
  <c r="V35" i="9"/>
  <c r="V33" i="9"/>
  <c r="V31" i="9"/>
  <c r="V29" i="9"/>
  <c r="V28" i="9"/>
  <c r="V27" i="9"/>
  <c r="V24" i="9"/>
  <c r="V22" i="9"/>
  <c r="V21" i="9"/>
  <c r="V20" i="9"/>
  <c r="V19" i="9"/>
  <c r="V18" i="9"/>
  <c r="V15" i="9"/>
  <c r="V12" i="9"/>
  <c r="V10" i="9"/>
  <c r="V8" i="9"/>
  <c r="V6" i="9"/>
  <c r="V5" i="9"/>
  <c r="M51" i="9"/>
  <c r="M49" i="9"/>
  <c r="M48" i="9"/>
  <c r="M47" i="9"/>
  <c r="M46" i="9"/>
  <c r="M43" i="9"/>
  <c r="M41" i="9"/>
  <c r="M39" i="9"/>
  <c r="M37" i="9"/>
  <c r="M35" i="9"/>
  <c r="M33" i="9"/>
  <c r="M31" i="9"/>
  <c r="M29" i="9"/>
  <c r="M28" i="9"/>
  <c r="M27" i="9"/>
  <c r="M24" i="9"/>
  <c r="M22" i="9"/>
  <c r="M21" i="9"/>
  <c r="M20" i="9"/>
  <c r="M19" i="9"/>
  <c r="M18" i="9"/>
  <c r="M15" i="9"/>
  <c r="M12" i="9"/>
  <c r="M10" i="9"/>
  <c r="M8" i="9"/>
  <c r="M6" i="9"/>
  <c r="M5" i="9"/>
  <c r="D51" i="9"/>
  <c r="D49" i="9"/>
  <c r="D48" i="9"/>
  <c r="D47" i="9"/>
  <c r="D46" i="9"/>
  <c r="D43" i="9"/>
  <c r="D41" i="9"/>
  <c r="D39" i="9"/>
  <c r="D37" i="9"/>
  <c r="D35" i="9"/>
  <c r="D33" i="9"/>
  <c r="D31" i="9"/>
  <c r="D29" i="9"/>
  <c r="D28" i="9"/>
  <c r="D27" i="9"/>
  <c r="D24" i="9"/>
  <c r="D22" i="9"/>
  <c r="D21" i="9"/>
  <c r="D20" i="9"/>
  <c r="D19" i="9"/>
  <c r="D18" i="9"/>
  <c r="D15" i="9"/>
  <c r="D12" i="9"/>
  <c r="D10" i="9"/>
  <c r="D8" i="9"/>
  <c r="D6" i="9"/>
  <c r="D5" i="9"/>
  <c r="C51" i="9"/>
  <c r="C49" i="9"/>
  <c r="C48" i="9"/>
  <c r="C47" i="9"/>
  <c r="C46" i="9"/>
  <c r="C43" i="9"/>
  <c r="C41" i="9"/>
  <c r="C39" i="9"/>
  <c r="C37" i="9"/>
  <c r="C35" i="9"/>
  <c r="C33" i="9"/>
  <c r="C31" i="9"/>
  <c r="C29" i="9"/>
  <c r="C28" i="9"/>
  <c r="C27" i="9"/>
  <c r="C24" i="9"/>
  <c r="C22" i="9"/>
  <c r="C21" i="9"/>
  <c r="C20" i="9"/>
  <c r="C19" i="9"/>
  <c r="C18" i="9"/>
  <c r="C15" i="9"/>
  <c r="C12" i="9"/>
  <c r="C10" i="9"/>
  <c r="C8" i="9"/>
  <c r="C6" i="9"/>
  <c r="C5" i="9"/>
  <c r="L51" i="9"/>
  <c r="L49" i="9"/>
  <c r="L48" i="9"/>
  <c r="L47" i="9"/>
  <c r="L46" i="9"/>
  <c r="L43" i="9"/>
  <c r="L41" i="9"/>
  <c r="L39" i="9"/>
  <c r="L37" i="9"/>
  <c r="L35" i="9"/>
  <c r="L33" i="9"/>
  <c r="L31" i="9"/>
  <c r="L29" i="9"/>
  <c r="L28" i="9"/>
  <c r="L27" i="9"/>
  <c r="L24" i="9"/>
  <c r="L22" i="9"/>
  <c r="L21" i="9"/>
  <c r="L20" i="9"/>
  <c r="L19" i="9"/>
  <c r="L18" i="9"/>
  <c r="L15" i="9"/>
  <c r="L12" i="9"/>
  <c r="L10" i="9"/>
  <c r="L8" i="9"/>
  <c r="L6" i="9"/>
  <c r="L5" i="9"/>
  <c r="U51" i="9"/>
  <c r="U49" i="9"/>
  <c r="U48" i="9"/>
  <c r="U47" i="9"/>
  <c r="U46" i="9"/>
  <c r="U43" i="9"/>
  <c r="U41" i="9"/>
  <c r="U39" i="9"/>
  <c r="U37" i="9"/>
  <c r="U35" i="9"/>
  <c r="U33" i="9"/>
  <c r="U31" i="9"/>
  <c r="U29" i="9"/>
  <c r="U28" i="9"/>
  <c r="U27" i="9"/>
  <c r="U24" i="9"/>
  <c r="U22" i="9"/>
  <c r="U21" i="9"/>
  <c r="U20" i="9"/>
  <c r="U19" i="9"/>
  <c r="U18" i="9"/>
  <c r="U15" i="9"/>
  <c r="U12" i="9"/>
  <c r="U10" i="9"/>
  <c r="U8" i="9"/>
  <c r="U6" i="9"/>
  <c r="U5" i="9"/>
  <c r="AD51" i="9"/>
  <c r="AD49" i="9"/>
  <c r="AD48" i="9"/>
  <c r="AD47" i="9"/>
  <c r="AD46" i="9"/>
  <c r="AD43" i="9"/>
  <c r="AD41" i="9"/>
  <c r="AD39" i="9"/>
  <c r="AD37" i="9"/>
  <c r="AD35" i="9"/>
  <c r="AD33" i="9"/>
  <c r="AD31" i="9"/>
  <c r="AD29" i="9"/>
  <c r="AD28" i="9"/>
  <c r="AD27" i="9"/>
  <c r="AD24" i="9"/>
  <c r="AD22" i="9"/>
  <c r="AD21" i="9"/>
  <c r="AD20" i="9"/>
  <c r="AD19" i="9"/>
  <c r="AD18" i="9"/>
  <c r="AD15" i="9"/>
  <c r="AD12" i="9"/>
  <c r="AD10" i="9"/>
  <c r="AD8" i="9"/>
  <c r="AD6" i="9"/>
  <c r="AD5" i="9"/>
  <c r="AH51" i="9"/>
  <c r="AH49" i="9"/>
  <c r="AH48" i="9"/>
  <c r="AH47" i="9"/>
  <c r="AH46" i="9"/>
  <c r="AH43" i="9"/>
  <c r="AH41" i="9"/>
  <c r="AH39" i="9"/>
  <c r="AH37" i="9"/>
  <c r="AH35" i="9"/>
  <c r="AH33" i="9"/>
  <c r="AH31" i="9"/>
  <c r="AH29" i="9"/>
  <c r="AH28" i="9"/>
  <c r="AH27" i="9"/>
  <c r="AH24" i="9"/>
  <c r="AH22" i="9"/>
  <c r="AH21" i="9"/>
  <c r="AH20" i="9"/>
  <c r="AH19" i="9"/>
  <c r="AH18" i="9"/>
  <c r="AH12" i="9"/>
  <c r="AH10" i="9"/>
  <c r="AH8" i="9"/>
  <c r="AH6" i="9"/>
  <c r="AH5" i="9"/>
  <c r="Y51" i="9"/>
  <c r="Y49" i="9"/>
  <c r="Y48" i="9"/>
  <c r="Y47" i="9"/>
  <c r="Y46" i="9"/>
  <c r="Y43" i="9"/>
  <c r="Y41" i="9"/>
  <c r="Y39" i="9"/>
  <c r="Y37" i="9"/>
  <c r="Y35" i="9"/>
  <c r="Y33" i="9"/>
  <c r="Y31" i="9"/>
  <c r="Y29" i="9"/>
  <c r="Y28" i="9"/>
  <c r="Y27" i="9"/>
  <c r="Y24" i="9"/>
  <c r="Y22" i="9"/>
  <c r="Y21" i="9"/>
  <c r="Y20" i="9"/>
  <c r="Y19" i="9"/>
  <c r="Y18" i="9"/>
  <c r="Y15" i="9"/>
  <c r="Y12" i="9"/>
  <c r="Y10" i="9"/>
  <c r="Y8" i="9"/>
  <c r="Y6" i="9"/>
  <c r="Y5" i="9"/>
  <c r="P51" i="9"/>
  <c r="P49" i="9"/>
  <c r="P48" i="9"/>
  <c r="P47" i="9"/>
  <c r="P46" i="9"/>
  <c r="P43" i="9"/>
  <c r="P41" i="9"/>
  <c r="P39" i="9"/>
  <c r="P37" i="9"/>
  <c r="P35" i="9"/>
  <c r="P33" i="9"/>
  <c r="P31" i="9"/>
  <c r="P29" i="9"/>
  <c r="P28" i="9"/>
  <c r="P27" i="9"/>
  <c r="P24" i="9"/>
  <c r="P22" i="9"/>
  <c r="P21" i="9"/>
  <c r="P20" i="9"/>
  <c r="P19" i="9"/>
  <c r="P18" i="9"/>
  <c r="P15" i="9"/>
  <c r="P12" i="9"/>
  <c r="P10" i="9"/>
  <c r="P8" i="9"/>
  <c r="P6" i="9"/>
  <c r="P5" i="9"/>
  <c r="G51" i="9"/>
  <c r="G49" i="9"/>
  <c r="G48" i="9"/>
  <c r="G47" i="9"/>
  <c r="G46" i="9"/>
  <c r="G43" i="9"/>
  <c r="G41" i="9"/>
  <c r="G39" i="9"/>
  <c r="G37" i="9"/>
  <c r="G35" i="9"/>
  <c r="G33" i="9"/>
  <c r="G31" i="9"/>
  <c r="G29" i="9"/>
  <c r="G28" i="9"/>
  <c r="G27" i="9"/>
  <c r="G24" i="9"/>
  <c r="G22" i="9"/>
  <c r="G21" i="9"/>
  <c r="G20" i="9"/>
  <c r="G19" i="9"/>
  <c r="G18" i="9"/>
  <c r="G15" i="9"/>
  <c r="G12" i="9"/>
  <c r="G10" i="9"/>
  <c r="G8" i="9"/>
  <c r="G6" i="9"/>
  <c r="G5" i="9"/>
  <c r="AG51" i="9"/>
  <c r="AG49" i="9"/>
  <c r="AG48" i="9"/>
  <c r="AG47" i="9"/>
  <c r="AG46" i="9"/>
  <c r="AG43" i="9"/>
  <c r="AG41" i="9"/>
  <c r="AG39" i="9"/>
  <c r="AG37" i="9"/>
  <c r="AG35" i="9"/>
  <c r="AG33" i="9"/>
  <c r="AG31" i="9"/>
  <c r="AG29" i="9"/>
  <c r="AG28" i="9"/>
  <c r="AG27" i="9"/>
  <c r="AG24" i="9"/>
  <c r="AG22" i="9"/>
  <c r="AG21" i="9"/>
  <c r="AG20" i="9"/>
  <c r="AG19" i="9"/>
  <c r="AG18" i="9"/>
  <c r="AG15" i="9"/>
  <c r="AG12" i="9"/>
  <c r="AG10" i="9"/>
  <c r="AG8" i="9"/>
  <c r="AG6" i="9"/>
  <c r="AG5" i="9"/>
  <c r="X51" i="9"/>
  <c r="X49" i="9"/>
  <c r="X48" i="9"/>
  <c r="X47" i="9"/>
  <c r="X46" i="9"/>
  <c r="X43" i="9"/>
  <c r="X41" i="9"/>
  <c r="X39" i="9"/>
  <c r="X37" i="9"/>
  <c r="X35" i="9"/>
  <c r="X33" i="9"/>
  <c r="X31" i="9"/>
  <c r="X29" i="9"/>
  <c r="X28" i="9"/>
  <c r="X27" i="9"/>
  <c r="X24" i="9"/>
  <c r="X22" i="9"/>
  <c r="X21" i="9"/>
  <c r="X20" i="9"/>
  <c r="X19" i="9"/>
  <c r="X18" i="9"/>
  <c r="X15" i="9"/>
  <c r="X12" i="9"/>
  <c r="X10" i="9"/>
  <c r="X8" i="9"/>
  <c r="X6" i="9"/>
  <c r="X5" i="9"/>
  <c r="O51" i="9"/>
  <c r="O49" i="9"/>
  <c r="O48" i="9"/>
  <c r="O47" i="9"/>
  <c r="O46" i="9"/>
  <c r="O43" i="9"/>
  <c r="O41" i="9"/>
  <c r="O39" i="9"/>
  <c r="O37" i="9"/>
  <c r="O35" i="9"/>
  <c r="O33" i="9"/>
  <c r="O31" i="9"/>
  <c r="O29" i="9"/>
  <c r="O28" i="9"/>
  <c r="O27" i="9"/>
  <c r="O24" i="9"/>
  <c r="O22" i="9"/>
  <c r="O21" i="9"/>
  <c r="O20" i="9"/>
  <c r="O19" i="9"/>
  <c r="O18" i="9"/>
  <c r="O15" i="9"/>
  <c r="O12" i="9"/>
  <c r="O10" i="9"/>
  <c r="O8" i="9"/>
  <c r="O6" i="9"/>
  <c r="O5" i="9"/>
  <c r="F51" i="9"/>
  <c r="F49" i="9"/>
  <c r="F48" i="9"/>
  <c r="F47" i="9"/>
  <c r="F46" i="9"/>
  <c r="F43" i="9"/>
  <c r="F41" i="9"/>
  <c r="F39" i="9"/>
  <c r="F37" i="9"/>
  <c r="F35" i="9"/>
  <c r="F33" i="9"/>
  <c r="F31" i="9"/>
  <c r="F29" i="9"/>
  <c r="F28" i="9"/>
  <c r="F27" i="9"/>
  <c r="F24" i="9"/>
  <c r="F22" i="9"/>
  <c r="F21" i="9"/>
  <c r="F20" i="9"/>
  <c r="F19" i="9"/>
  <c r="F18" i="9"/>
  <c r="F15" i="9"/>
  <c r="F12" i="9"/>
  <c r="F10" i="9"/>
  <c r="F8" i="9"/>
  <c r="F6" i="9"/>
  <c r="F5" i="9"/>
  <c r="P36" i="16"/>
  <c r="O36" i="16"/>
  <c r="N36" i="16"/>
  <c r="L36" i="16"/>
  <c r="K36" i="16"/>
  <c r="J36" i="16"/>
  <c r="I36" i="16"/>
  <c r="H36" i="16"/>
  <c r="G36" i="16"/>
  <c r="F36" i="16"/>
  <c r="E36" i="16"/>
  <c r="D36" i="16"/>
  <c r="C36" i="16"/>
  <c r="B36" i="16"/>
  <c r="P35" i="16"/>
  <c r="O35" i="16"/>
  <c r="N35" i="16"/>
  <c r="L35" i="16"/>
  <c r="K35" i="16"/>
  <c r="J35" i="16"/>
  <c r="I35" i="16"/>
  <c r="H35" i="16"/>
  <c r="G35" i="16"/>
  <c r="F35" i="16"/>
  <c r="E35" i="16"/>
  <c r="D35" i="16"/>
  <c r="C35" i="16"/>
  <c r="B35" i="16"/>
  <c r="P23" i="16"/>
  <c r="O23" i="16"/>
  <c r="N23" i="16"/>
  <c r="L23" i="16"/>
  <c r="K23" i="16"/>
  <c r="J23" i="16"/>
  <c r="I23" i="16"/>
  <c r="H23" i="16"/>
  <c r="G23" i="16"/>
  <c r="F23" i="16"/>
  <c r="E23" i="16"/>
  <c r="D23" i="16"/>
  <c r="C23" i="16"/>
  <c r="B23" i="16"/>
  <c r="P22" i="16"/>
  <c r="O22" i="16"/>
  <c r="N22" i="16"/>
  <c r="L22" i="16"/>
  <c r="K22" i="16"/>
  <c r="J22" i="16"/>
  <c r="I22" i="16"/>
  <c r="H22" i="16"/>
  <c r="G22" i="16"/>
  <c r="F22" i="16"/>
  <c r="E22" i="16"/>
  <c r="D22" i="16"/>
  <c r="C22" i="16"/>
  <c r="B22" i="16"/>
  <c r="P18" i="16"/>
  <c r="O18" i="16"/>
  <c r="N18" i="16"/>
  <c r="L18" i="16"/>
  <c r="K18" i="16"/>
  <c r="J18" i="16"/>
  <c r="I18" i="16"/>
  <c r="H18" i="16"/>
  <c r="G18" i="16"/>
  <c r="F18" i="16"/>
  <c r="E18" i="16"/>
  <c r="D18" i="16"/>
  <c r="C18" i="16"/>
  <c r="B18" i="16"/>
  <c r="P17" i="16"/>
  <c r="O17" i="16"/>
  <c r="N17" i="16"/>
  <c r="L17" i="16"/>
  <c r="K17" i="16"/>
  <c r="J17" i="16"/>
  <c r="I17" i="16"/>
  <c r="H17" i="16"/>
  <c r="G17" i="16"/>
  <c r="F17" i="16"/>
  <c r="E17" i="16"/>
  <c r="D17" i="16"/>
  <c r="C17" i="16"/>
  <c r="B17" i="16"/>
  <c r="P29" i="16"/>
  <c r="O29" i="16"/>
  <c r="N29" i="16"/>
  <c r="L29" i="16"/>
  <c r="K29" i="16"/>
  <c r="J29" i="16"/>
  <c r="I29" i="16"/>
  <c r="H29" i="16"/>
  <c r="G29" i="16"/>
  <c r="F29" i="16"/>
  <c r="E29" i="16"/>
  <c r="D29" i="16"/>
  <c r="C29" i="16"/>
  <c r="B29" i="16"/>
  <c r="P28" i="16"/>
  <c r="O28" i="16"/>
  <c r="N28" i="16"/>
  <c r="L28" i="16"/>
  <c r="K28" i="16"/>
  <c r="J28" i="16"/>
  <c r="I28" i="16"/>
  <c r="H28" i="16"/>
  <c r="G28" i="16"/>
  <c r="F28" i="16"/>
  <c r="E28" i="16"/>
  <c r="D28" i="16"/>
  <c r="C28" i="16"/>
  <c r="B28" i="16"/>
  <c r="P10" i="16"/>
  <c r="O10" i="16"/>
  <c r="N10" i="16"/>
  <c r="L10" i="16"/>
  <c r="K10" i="16"/>
  <c r="J10" i="16"/>
  <c r="I10" i="16"/>
  <c r="H10" i="16"/>
  <c r="G10" i="16"/>
  <c r="F10" i="16"/>
  <c r="E10" i="16"/>
  <c r="D10" i="16"/>
  <c r="C10" i="16"/>
  <c r="P9" i="16"/>
  <c r="O9" i="16"/>
  <c r="N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L4" i="16"/>
  <c r="K4" i="16"/>
  <c r="J4" i="16"/>
  <c r="I4" i="16"/>
  <c r="H4" i="16"/>
  <c r="G4" i="16"/>
  <c r="F4" i="16"/>
  <c r="E4" i="16"/>
  <c r="D4" i="16"/>
  <c r="C4" i="16"/>
  <c r="B4" i="16"/>
  <c r="M30" i="17"/>
  <c r="M27" i="17"/>
  <c r="M24" i="17"/>
  <c r="M23" i="17"/>
  <c r="M22" i="17"/>
  <c r="M21" i="17"/>
  <c r="M18" i="17"/>
  <c r="M17" i="17"/>
  <c r="M16" i="17"/>
  <c r="M15" i="17"/>
  <c r="M14" i="17"/>
  <c r="M13" i="17"/>
  <c r="M12" i="17"/>
  <c r="M11" i="17"/>
  <c r="M10" i="17"/>
  <c r="M7" i="17"/>
  <c r="M6" i="17"/>
  <c r="D30" i="17"/>
  <c r="D28" i="17"/>
  <c r="D27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7" i="17"/>
  <c r="D6" i="17"/>
  <c r="L30" i="17"/>
  <c r="L27" i="17"/>
  <c r="L24" i="17"/>
  <c r="L23" i="17"/>
  <c r="L22" i="17"/>
  <c r="L21" i="17"/>
  <c r="L18" i="17"/>
  <c r="L17" i="17"/>
  <c r="L16" i="17"/>
  <c r="L15" i="17"/>
  <c r="L14" i="17"/>
  <c r="L13" i="17"/>
  <c r="L12" i="17"/>
  <c r="L11" i="17"/>
  <c r="L10" i="17"/>
  <c r="L7" i="17"/>
  <c r="L6" i="17"/>
  <c r="C30" i="17"/>
  <c r="C28" i="17"/>
  <c r="C27" i="17"/>
  <c r="C24" i="17"/>
  <c r="C23" i="17"/>
  <c r="C22" i="17"/>
  <c r="C21" i="17"/>
  <c r="C18" i="17"/>
  <c r="C17" i="17"/>
  <c r="C16" i="17"/>
  <c r="C15" i="17"/>
  <c r="C14" i="17"/>
  <c r="C13" i="17"/>
  <c r="C12" i="17"/>
  <c r="C11" i="17"/>
  <c r="C10" i="17"/>
  <c r="C7" i="17"/>
  <c r="C6" i="17"/>
  <c r="P30" i="17"/>
  <c r="P27" i="17"/>
  <c r="P24" i="17"/>
  <c r="P23" i="17"/>
  <c r="P22" i="17"/>
  <c r="P21" i="17"/>
  <c r="P18" i="17"/>
  <c r="P17" i="17"/>
  <c r="P16" i="17"/>
  <c r="P15" i="17"/>
  <c r="P14" i="17"/>
  <c r="P13" i="17"/>
  <c r="P12" i="17"/>
  <c r="P11" i="17"/>
  <c r="P10" i="17"/>
  <c r="P7" i="17"/>
  <c r="P6" i="17"/>
  <c r="G30" i="17"/>
  <c r="G28" i="17"/>
  <c r="G27" i="17"/>
  <c r="G24" i="17"/>
  <c r="G23" i="17"/>
  <c r="G22" i="17"/>
  <c r="G21" i="17"/>
  <c r="G18" i="17"/>
  <c r="G17" i="17"/>
  <c r="G16" i="17"/>
  <c r="G15" i="17"/>
  <c r="G14" i="17"/>
  <c r="G13" i="17"/>
  <c r="G12" i="17"/>
  <c r="G11" i="17"/>
  <c r="G10" i="17"/>
  <c r="G7" i="17"/>
  <c r="G6" i="17"/>
  <c r="O30" i="17"/>
  <c r="O27" i="17"/>
  <c r="O24" i="17"/>
  <c r="O23" i="17"/>
  <c r="O22" i="17"/>
  <c r="O21" i="17"/>
  <c r="O18" i="17"/>
  <c r="O17" i="17"/>
  <c r="O16" i="17"/>
  <c r="O15" i="17"/>
  <c r="O14" i="17"/>
  <c r="O13" i="17"/>
  <c r="O12" i="17"/>
  <c r="O11" i="17"/>
  <c r="O10" i="17"/>
  <c r="O7" i="17"/>
  <c r="O6" i="17"/>
  <c r="F30" i="17"/>
  <c r="F28" i="17"/>
  <c r="F27" i="17"/>
  <c r="F24" i="17"/>
  <c r="F23" i="17"/>
  <c r="F22" i="17"/>
  <c r="F21" i="17"/>
  <c r="F18" i="17"/>
  <c r="F17" i="17"/>
  <c r="F16" i="17"/>
  <c r="F15" i="17"/>
  <c r="F14" i="17"/>
  <c r="F13" i="17"/>
  <c r="F12" i="17"/>
  <c r="F11" i="17"/>
  <c r="F10" i="17"/>
  <c r="F7" i="17"/>
  <c r="F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23" i="7"/>
  <c r="H23" i="7"/>
  <c r="G24" i="7"/>
  <c r="H24" i="7"/>
  <c r="G25" i="7"/>
  <c r="H25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G47" i="15"/>
  <c r="C47" i="15"/>
  <c r="G46" i="15"/>
  <c r="C46" i="15"/>
  <c r="G35" i="15"/>
  <c r="F35" i="15"/>
  <c r="E35" i="15"/>
  <c r="D35" i="15"/>
  <c r="C35" i="15"/>
  <c r="B35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6" i="15"/>
  <c r="F26" i="15"/>
  <c r="E26" i="15"/>
  <c r="D26" i="15"/>
  <c r="C26" i="15"/>
  <c r="B26" i="15"/>
  <c r="G25" i="15"/>
  <c r="F25" i="15"/>
  <c r="E25" i="15"/>
  <c r="D25" i="15"/>
  <c r="C25" i="15"/>
  <c r="B25" i="15"/>
  <c r="G19" i="15"/>
  <c r="F19" i="15"/>
  <c r="E19" i="15"/>
  <c r="D19" i="15"/>
  <c r="C19" i="15"/>
  <c r="B19" i="15"/>
  <c r="G18" i="15"/>
  <c r="F18" i="15"/>
  <c r="E18" i="15"/>
  <c r="D18" i="15"/>
  <c r="C18" i="15"/>
  <c r="B18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1" i="15"/>
  <c r="F11" i="15"/>
  <c r="E11" i="15"/>
  <c r="D11" i="15"/>
  <c r="C11" i="15"/>
  <c r="B11" i="15"/>
  <c r="G10" i="15"/>
  <c r="F10" i="15"/>
  <c r="E10" i="15"/>
  <c r="D10" i="15"/>
  <c r="C10" i="15"/>
  <c r="B10" i="15"/>
  <c r="G6" i="15"/>
  <c r="F6" i="15"/>
  <c r="E6" i="15"/>
  <c r="D6" i="15"/>
  <c r="C6" i="15"/>
  <c r="B6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H16" i="15" l="1"/>
  <c r="K20" i="3"/>
  <c r="K21" i="3"/>
  <c r="K16" i="3"/>
  <c r="K17" i="3"/>
  <c r="H15" i="15"/>
  <c r="C21" i="7"/>
  <c r="B21" i="7"/>
  <c r="H21" i="7" l="1"/>
  <c r="L21" i="7"/>
  <c r="G21" i="7" s="1"/>
  <c r="I21" i="7" l="1"/>
  <c r="E5" i="9"/>
  <c r="F21" i="2"/>
  <c r="F6" i="2"/>
  <c r="F40" i="2" l="1"/>
  <c r="AF5" i="9"/>
  <c r="F11" i="2"/>
  <c r="F12" i="2" s="1"/>
  <c r="W5" i="9"/>
  <c r="F30" i="2"/>
  <c r="N5" i="9"/>
  <c r="F44" i="2"/>
  <c r="F43" i="2"/>
  <c r="F17" i="2"/>
  <c r="F23" i="2" s="1"/>
  <c r="AI5" i="9"/>
  <c r="Z5" i="9"/>
  <c r="Q5" i="9"/>
  <c r="H5" i="9"/>
  <c r="F35" i="2"/>
  <c r="F45" i="2" l="1"/>
  <c r="O32" i="7"/>
  <c r="O31" i="7"/>
  <c r="O30" i="7"/>
  <c r="O29" i="7"/>
  <c r="O28" i="7"/>
  <c r="O27" i="7"/>
  <c r="O26" i="7"/>
  <c r="O25" i="7"/>
  <c r="O24" i="7"/>
  <c r="O23" i="7"/>
  <c r="O21" i="7"/>
  <c r="J32" i="7"/>
  <c r="J31" i="7"/>
  <c r="J30" i="7"/>
  <c r="J29" i="7"/>
  <c r="J28" i="7"/>
  <c r="J27" i="7"/>
  <c r="J26" i="7"/>
  <c r="J25" i="7"/>
  <c r="J24" i="7"/>
  <c r="J23" i="7"/>
  <c r="J21" i="7"/>
  <c r="E32" i="7"/>
  <c r="E31" i="7"/>
  <c r="E30" i="7"/>
  <c r="E29" i="7"/>
  <c r="E28" i="7"/>
  <c r="E27" i="7"/>
  <c r="E26" i="7"/>
  <c r="E25" i="7"/>
  <c r="E24" i="7"/>
  <c r="E23" i="7"/>
  <c r="E21" i="7"/>
  <c r="S21" i="7" s="1"/>
  <c r="AH4" i="9" l="1"/>
  <c r="AE4" i="9"/>
  <c r="Y4" i="9"/>
  <c r="V4" i="9"/>
  <c r="P4" i="9"/>
  <c r="M4" i="9"/>
  <c r="G4" i="9"/>
  <c r="D4" i="9"/>
  <c r="AG4" i="9"/>
  <c r="AD4" i="9"/>
  <c r="X4" i="9"/>
  <c r="U4" i="9"/>
  <c r="O4" i="9"/>
  <c r="L4" i="9"/>
  <c r="F4" i="9"/>
  <c r="C4" i="9"/>
  <c r="L55" i="9" l="1"/>
  <c r="AE55" i="9"/>
  <c r="F55" i="9"/>
  <c r="O55" i="9"/>
  <c r="AH55" i="9"/>
  <c r="U55" i="9"/>
  <c r="X55" i="9"/>
  <c r="C55" i="9"/>
  <c r="D55" i="9"/>
  <c r="AD55" i="9"/>
  <c r="AG55" i="9"/>
  <c r="G55" i="9"/>
  <c r="M55" i="9"/>
  <c r="P55" i="9"/>
  <c r="V55" i="9"/>
  <c r="Y55" i="9"/>
  <c r="F17" i="4"/>
  <c r="E17" i="4"/>
  <c r="H6" i="15" l="1"/>
  <c r="H11" i="15"/>
  <c r="H10" i="15"/>
  <c r="H5" i="15"/>
  <c r="AD17" i="9" l="1"/>
  <c r="AD26" i="9"/>
  <c r="AD45" i="9"/>
  <c r="AF8" i="9"/>
  <c r="E22" i="9"/>
  <c r="W24" i="9"/>
  <c r="W48" i="9"/>
  <c r="N22" i="9"/>
  <c r="AF22" i="9"/>
  <c r="W19" i="9"/>
  <c r="AF37" i="9"/>
  <c r="W47" i="9"/>
  <c r="N8" i="9"/>
  <c r="W51" i="9"/>
  <c r="W8" i="9"/>
  <c r="Z43" i="9"/>
  <c r="E8" i="9"/>
  <c r="W22" i="9"/>
  <c r="W31" i="9"/>
  <c r="E37" i="9"/>
  <c r="W43" i="9"/>
  <c r="E10" i="9"/>
  <c r="AF10" i="9"/>
  <c r="W12" i="9"/>
  <c r="W29" i="9"/>
  <c r="W41" i="9"/>
  <c r="W10" i="9"/>
  <c r="W28" i="9"/>
  <c r="W37" i="9"/>
  <c r="W49" i="9"/>
  <c r="N37" i="9"/>
  <c r="N10" i="9"/>
  <c r="Z51" i="9"/>
  <c r="AI22" i="9"/>
  <c r="H14" i="17"/>
  <c r="Z31" i="9"/>
  <c r="Z19" i="9"/>
  <c r="AI8" i="9"/>
  <c r="Z37" i="9"/>
  <c r="H6" i="17"/>
  <c r="H24" i="17"/>
  <c r="N6" i="17"/>
  <c r="N24" i="17"/>
  <c r="Z22" i="9"/>
  <c r="Z41" i="9"/>
  <c r="Q22" i="9"/>
  <c r="E17" i="17"/>
  <c r="Z24" i="9"/>
  <c r="Z8" i="9"/>
  <c r="Z47" i="9"/>
  <c r="Q8" i="9"/>
  <c r="AI10" i="9"/>
  <c r="Q37" i="9"/>
  <c r="Z10" i="9"/>
  <c r="Z28" i="9"/>
  <c r="Z48" i="9"/>
  <c r="Q10" i="9"/>
  <c r="AI37" i="9"/>
  <c r="Z12" i="9"/>
  <c r="Z29" i="9"/>
  <c r="Z49" i="9"/>
  <c r="N14" i="17"/>
  <c r="E14" i="17"/>
  <c r="H17" i="17"/>
  <c r="E6" i="17"/>
  <c r="E24" i="17"/>
  <c r="H37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I31" i="16" l="1"/>
  <c r="H17" i="2"/>
  <c r="H43" i="2"/>
  <c r="H11" i="2"/>
  <c r="H6" i="2"/>
  <c r="H35" i="2"/>
  <c r="I19" i="16"/>
  <c r="H40" i="2"/>
  <c r="H30" i="2"/>
  <c r="H21" i="2"/>
  <c r="I24" i="16"/>
  <c r="I6" i="16"/>
  <c r="I11" i="16"/>
  <c r="I38" i="16"/>
  <c r="H44" i="2"/>
  <c r="H23" i="2" l="1"/>
  <c r="H45" i="2"/>
  <c r="AI27" i="9" l="1"/>
  <c r="AI19" i="9" l="1"/>
  <c r="AI21" i="9" l="1"/>
  <c r="AI24" i="9"/>
  <c r="AI33" i="9"/>
  <c r="AE14" i="9"/>
  <c r="AF6" i="9"/>
  <c r="AF12" i="9"/>
  <c r="AF18" i="9"/>
  <c r="AF20" i="9"/>
  <c r="AF27" i="9"/>
  <c r="AF29" i="9"/>
  <c r="AF31" i="9"/>
  <c r="AF39" i="9"/>
  <c r="AF43" i="9"/>
  <c r="AF48" i="9"/>
  <c r="AF51" i="9"/>
  <c r="AH17" i="9"/>
  <c r="AF47" i="9"/>
  <c r="AI35" i="9"/>
  <c r="AI18" i="9"/>
  <c r="AI48" i="9"/>
  <c r="AE17" i="9"/>
  <c r="AE26" i="9"/>
  <c r="AI47" i="9"/>
  <c r="AF15" i="9"/>
  <c r="AF19" i="9"/>
  <c r="AF21" i="9"/>
  <c r="AF24" i="9"/>
  <c r="AF28" i="9"/>
  <c r="AF33" i="9"/>
  <c r="AF35" i="9"/>
  <c r="AF41" i="9"/>
  <c r="AF49" i="9"/>
  <c r="AI29" i="9"/>
  <c r="AF46" i="9"/>
  <c r="AI51" i="9"/>
  <c r="AI49" i="9"/>
  <c r="AH14" i="9"/>
  <c r="AH26" i="9"/>
  <c r="AH45" i="9"/>
  <c r="AI12" i="9"/>
  <c r="AI39" i="9"/>
  <c r="AD14" i="9"/>
  <c r="AI20" i="9"/>
  <c r="AG26" i="9"/>
  <c r="AI28" i="9"/>
  <c r="AI41" i="9"/>
  <c r="AI43" i="9"/>
  <c r="AG17" i="9"/>
  <c r="AI6" i="9"/>
  <c r="AE45" i="9"/>
  <c r="AG14" i="9"/>
  <c r="AI31" i="9"/>
  <c r="AG45" i="9"/>
  <c r="AI15" i="9"/>
  <c r="AI46" i="9"/>
  <c r="AE56" i="9" l="1"/>
  <c r="AE54" i="9" s="1"/>
  <c r="AD56" i="9"/>
  <c r="AD54" i="9" s="1"/>
  <c r="AH56" i="9"/>
  <c r="AH54" i="9" s="1"/>
  <c r="AG56" i="9"/>
  <c r="AF14" i="9"/>
  <c r="AF26" i="9"/>
  <c r="AF4" i="9"/>
  <c r="AF17" i="9"/>
  <c r="AF55" i="9"/>
  <c r="AI14" i="9"/>
  <c r="AI55" i="9"/>
  <c r="AF45" i="9"/>
  <c r="AI26" i="9"/>
  <c r="AI45" i="9"/>
  <c r="AI4" i="9"/>
  <c r="AI17" i="9"/>
  <c r="AG54" i="9" l="1"/>
  <c r="AJ5" i="9"/>
  <c r="AJ45" i="9"/>
  <c r="AJ37" i="9"/>
  <c r="AJ10" i="9"/>
  <c r="AJ55" i="9"/>
  <c r="AJ4" i="9"/>
  <c r="AJ14" i="9"/>
  <c r="AJ17" i="9"/>
  <c r="AJ43" i="9"/>
  <c r="AJ12" i="9"/>
  <c r="AJ18" i="9"/>
  <c r="AJ19" i="9"/>
  <c r="AJ8" i="9"/>
  <c r="AJ22" i="9"/>
  <c r="AJ24" i="9"/>
  <c r="AJ41" i="9"/>
  <c r="AJ48" i="9"/>
  <c r="AJ29" i="9"/>
  <c r="AJ27" i="9"/>
  <c r="AJ28" i="9"/>
  <c r="AJ21" i="9"/>
  <c r="AJ31" i="9"/>
  <c r="AJ51" i="9"/>
  <c r="AJ33" i="9"/>
  <c r="AJ20" i="9"/>
  <c r="AJ47" i="9"/>
  <c r="AJ35" i="9"/>
  <c r="AJ39" i="9"/>
  <c r="AJ49" i="9"/>
  <c r="AJ6" i="9"/>
  <c r="AJ46" i="9"/>
  <c r="AJ15" i="9"/>
  <c r="AJ26" i="9"/>
  <c r="AF56" i="9"/>
  <c r="AF54" i="9"/>
  <c r="AI56" i="9"/>
  <c r="AJ56" i="9" s="1"/>
  <c r="AJ54" i="9" l="1"/>
  <c r="AI54" i="9"/>
  <c r="H6" i="7" l="1"/>
  <c r="H5" i="7"/>
  <c r="N51" i="9"/>
  <c r="Q51" i="9"/>
  <c r="F12" i="7"/>
  <c r="F7" i="7"/>
  <c r="E51" i="9"/>
  <c r="H51" i="9"/>
  <c r="E55" i="9" l="1"/>
  <c r="G9" i="17"/>
  <c r="N49" i="9" l="1"/>
  <c r="N47" i="9"/>
  <c r="E33" i="9"/>
  <c r="H31" i="9"/>
  <c r="N19" i="9"/>
  <c r="L14" i="9"/>
  <c r="W6" i="9"/>
  <c r="E6" i="9"/>
  <c r="J2" i="9"/>
  <c r="S2" i="9" s="1"/>
  <c r="AB2" i="9" s="1"/>
  <c r="C38" i="16"/>
  <c r="G26" i="9" l="1"/>
  <c r="Q12" i="9"/>
  <c r="Q47" i="9"/>
  <c r="N12" i="9"/>
  <c r="E15" i="9"/>
  <c r="Q20" i="9"/>
  <c r="P38" i="16"/>
  <c r="V14" i="9"/>
  <c r="G38" i="16"/>
  <c r="X14" i="9"/>
  <c r="Z18" i="9"/>
  <c r="Z20" i="9"/>
  <c r="H28" i="9"/>
  <c r="Q31" i="9"/>
  <c r="K38" i="16"/>
  <c r="D14" i="9"/>
  <c r="N33" i="9"/>
  <c r="W39" i="9"/>
  <c r="E47" i="9"/>
  <c r="N24" i="9"/>
  <c r="Q41" i="9"/>
  <c r="O38" i="16"/>
  <c r="N39" i="9"/>
  <c r="H43" i="9"/>
  <c r="F38" i="16"/>
  <c r="Z15" i="9"/>
  <c r="P17" i="9"/>
  <c r="N28" i="9"/>
  <c r="H35" i="9"/>
  <c r="N43" i="9"/>
  <c r="E46" i="9"/>
  <c r="N38" i="16"/>
  <c r="M17" i="9"/>
  <c r="J38" i="16"/>
  <c r="Q43" i="9"/>
  <c r="V45" i="9"/>
  <c r="E38" i="16"/>
  <c r="F17" i="9"/>
  <c r="Q29" i="9"/>
  <c r="G45" i="9"/>
  <c r="Y45" i="9"/>
  <c r="L45" i="9"/>
  <c r="Q35" i="9"/>
  <c r="H39" i="9"/>
  <c r="E43" i="9"/>
  <c r="H48" i="9"/>
  <c r="D38" i="16"/>
  <c r="L38" i="16"/>
  <c r="P14" i="9"/>
  <c r="M14" i="9"/>
  <c r="N14" i="9" s="1"/>
  <c r="N20" i="9"/>
  <c r="E24" i="9"/>
  <c r="Y26" i="9"/>
  <c r="E29" i="9"/>
  <c r="H41" i="9"/>
  <c r="N46" i="9"/>
  <c r="E48" i="9"/>
  <c r="W15" i="9"/>
  <c r="E21" i="9"/>
  <c r="P26" i="9"/>
  <c r="N35" i="9"/>
  <c r="E39" i="9"/>
  <c r="C17" i="9"/>
  <c r="M26" i="9"/>
  <c r="H29" i="9"/>
  <c r="N31" i="9"/>
  <c r="N41" i="9"/>
  <c r="Q46" i="9"/>
  <c r="U45" i="9"/>
  <c r="P45" i="9"/>
  <c r="H38" i="16"/>
  <c r="Q36" i="16"/>
  <c r="G14" i="9"/>
  <c r="Y14" i="9"/>
  <c r="H18" i="9"/>
  <c r="E20" i="9"/>
  <c r="N29" i="9"/>
  <c r="W33" i="9"/>
  <c r="E35" i="9"/>
  <c r="W46" i="9"/>
  <c r="N48" i="9"/>
  <c r="Q35" i="16"/>
  <c r="E12" i="9"/>
  <c r="U14" i="9"/>
  <c r="N15" i="9"/>
  <c r="W20" i="9"/>
  <c r="C26" i="9"/>
  <c r="Q28" i="9"/>
  <c r="W35" i="9"/>
  <c r="H47" i="9"/>
  <c r="D45" i="9"/>
  <c r="N18" i="9"/>
  <c r="D26" i="9"/>
  <c r="E28" i="9"/>
  <c r="E31" i="9"/>
  <c r="E41" i="9"/>
  <c r="L17" i="9"/>
  <c r="N21" i="9"/>
  <c r="N27" i="9"/>
  <c r="L26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6" i="9"/>
  <c r="W27" i="9"/>
  <c r="C45" i="9"/>
  <c r="M45" i="9"/>
  <c r="Z46" i="9"/>
  <c r="E49" i="9"/>
  <c r="U26" i="9"/>
  <c r="Z6" i="9"/>
  <c r="H15" i="9"/>
  <c r="Q19" i="9"/>
  <c r="Q24" i="9"/>
  <c r="E27" i="9"/>
  <c r="Z39" i="9"/>
  <c r="O45" i="9"/>
  <c r="H46" i="9"/>
  <c r="Q49" i="9"/>
  <c r="X45" i="9"/>
  <c r="Q6" i="9"/>
  <c r="F14" i="9"/>
  <c r="E18" i="9"/>
  <c r="H19" i="9"/>
  <c r="Z21" i="9"/>
  <c r="H24" i="9"/>
  <c r="Z27" i="9"/>
  <c r="Z33" i="9"/>
  <c r="Q39" i="9"/>
  <c r="F45" i="9"/>
  <c r="H49" i="9"/>
  <c r="H6" i="9"/>
  <c r="Q21" i="9"/>
  <c r="X26" i="9"/>
  <c r="Q27" i="9"/>
  <c r="Q33" i="9"/>
  <c r="Q18" i="9"/>
  <c r="H21" i="9"/>
  <c r="O26" i="9"/>
  <c r="H27" i="9"/>
  <c r="H33" i="9"/>
  <c r="Z35" i="9"/>
  <c r="Q48" i="9"/>
  <c r="O17" i="9"/>
  <c r="F26" i="9"/>
  <c r="B38" i="16"/>
  <c r="C56" i="9" l="1"/>
  <c r="F56" i="9"/>
  <c r="I5" i="9" s="1"/>
  <c r="V56" i="9"/>
  <c r="V54" i="9" s="1"/>
  <c r="P56" i="9"/>
  <c r="L56" i="9"/>
  <c r="L54" i="9" s="1"/>
  <c r="M56" i="9"/>
  <c r="M54" i="9" s="1"/>
  <c r="X56" i="9"/>
  <c r="Y56" i="9"/>
  <c r="Y54" i="9" s="1"/>
  <c r="G56" i="9"/>
  <c r="G54" i="9" s="1"/>
  <c r="D56" i="9"/>
  <c r="D54" i="9" s="1"/>
  <c r="U56" i="9"/>
  <c r="U54" i="9" s="1"/>
  <c r="O56" i="9"/>
  <c r="P54" i="9"/>
  <c r="F54" i="9"/>
  <c r="C54" i="9"/>
  <c r="W4" i="9"/>
  <c r="W14" i="9"/>
  <c r="N26" i="9"/>
  <c r="N4" i="9"/>
  <c r="Z14" i="9"/>
  <c r="E4" i="9"/>
  <c r="Z4" i="9"/>
  <c r="N17" i="9"/>
  <c r="E14" i="9"/>
  <c r="E26" i="9"/>
  <c r="E17" i="9"/>
  <c r="W45" i="9"/>
  <c r="N45" i="9"/>
  <c r="W55" i="9"/>
  <c r="Q38" i="16"/>
  <c r="N55" i="9"/>
  <c r="W17" i="9"/>
  <c r="Q55" i="9"/>
  <c r="H17" i="9"/>
  <c r="Z45" i="9"/>
  <c r="Q45" i="9"/>
  <c r="Q4" i="9"/>
  <c r="H45" i="9"/>
  <c r="Z55" i="9"/>
  <c r="Q26" i="9"/>
  <c r="E45" i="9"/>
  <c r="Z17" i="9"/>
  <c r="Z26" i="9"/>
  <c r="H26" i="9"/>
  <c r="Q14" i="9"/>
  <c r="H55" i="9"/>
  <c r="Q17" i="9"/>
  <c r="H4" i="9"/>
  <c r="H14" i="9"/>
  <c r="W26" i="9"/>
  <c r="X54" i="9" l="1"/>
  <c r="AA5" i="9"/>
  <c r="O54" i="9"/>
  <c r="R5" i="9"/>
  <c r="R10" i="9"/>
  <c r="I10" i="9"/>
  <c r="I37" i="9"/>
  <c r="AA37" i="9"/>
  <c r="R37" i="9"/>
  <c r="AA10" i="9"/>
  <c r="E54" i="9"/>
  <c r="E56" i="9"/>
  <c r="Z56" i="9"/>
  <c r="AA56" i="9" s="1"/>
  <c r="W56" i="9"/>
  <c r="AA55" i="9"/>
  <c r="AA51" i="9"/>
  <c r="I45" i="9"/>
  <c r="I51" i="9"/>
  <c r="R4" i="9"/>
  <c r="R51" i="9"/>
  <c r="R26" i="9"/>
  <c r="R45" i="9"/>
  <c r="R14" i="9"/>
  <c r="R17" i="9"/>
  <c r="R55" i="9"/>
  <c r="AA48" i="9"/>
  <c r="AA46" i="9"/>
  <c r="AA22" i="9"/>
  <c r="AA15" i="9"/>
  <c r="AA47" i="9"/>
  <c r="AA41" i="9"/>
  <c r="AA29" i="9"/>
  <c r="AA43" i="9"/>
  <c r="AA31" i="9"/>
  <c r="AA20" i="9"/>
  <c r="AA12" i="9"/>
  <c r="AA8" i="9"/>
  <c r="AA33" i="9"/>
  <c r="AA18" i="9"/>
  <c r="AA6" i="9"/>
  <c r="AA4" i="9"/>
  <c r="AA19" i="9"/>
  <c r="AA28" i="9"/>
  <c r="AA27" i="9"/>
  <c r="AA39" i="9"/>
  <c r="AA35" i="9"/>
  <c r="AA49" i="9"/>
  <c r="AA21" i="9"/>
  <c r="AA14" i="9"/>
  <c r="AA17" i="9"/>
  <c r="I4" i="9"/>
  <c r="AA45" i="9"/>
  <c r="I39" i="9"/>
  <c r="I43" i="9"/>
  <c r="I12" i="9"/>
  <c r="I20" i="9"/>
  <c r="I31" i="9"/>
  <c r="I35" i="9"/>
  <c r="I28" i="9"/>
  <c r="H56" i="9"/>
  <c r="I56" i="9" s="1"/>
  <c r="I48" i="9"/>
  <c r="I18" i="9"/>
  <c r="I27" i="9"/>
  <c r="I49" i="9"/>
  <c r="I8" i="9"/>
  <c r="I46" i="9"/>
  <c r="I47" i="9"/>
  <c r="I41" i="9"/>
  <c r="I29" i="9"/>
  <c r="I21" i="9"/>
  <c r="I15" i="9"/>
  <c r="I19" i="9"/>
  <c r="I33" i="9"/>
  <c r="I17" i="9"/>
  <c r="I22" i="9"/>
  <c r="I6" i="9"/>
  <c r="I24" i="9"/>
  <c r="I14" i="9"/>
  <c r="I26" i="9"/>
  <c r="W54" i="9"/>
  <c r="AA26" i="9"/>
  <c r="I55" i="9"/>
  <c r="Q56" i="9"/>
  <c r="R56" i="9" s="1"/>
  <c r="R41" i="9"/>
  <c r="R29" i="9"/>
  <c r="R47" i="9"/>
  <c r="R43" i="9"/>
  <c r="R31" i="9"/>
  <c r="R20" i="9"/>
  <c r="R35" i="9"/>
  <c r="R28" i="9"/>
  <c r="R27" i="9"/>
  <c r="R24" i="9"/>
  <c r="R15" i="9"/>
  <c r="R39" i="9"/>
  <c r="R18" i="9"/>
  <c r="R22" i="9"/>
  <c r="R19" i="9"/>
  <c r="R12" i="9"/>
  <c r="R49" i="9"/>
  <c r="R21" i="9"/>
  <c r="R46" i="9"/>
  <c r="R48" i="9"/>
  <c r="R6" i="9"/>
  <c r="R8" i="9"/>
  <c r="R33" i="9"/>
  <c r="N56" i="9"/>
  <c r="N54" i="9" l="1"/>
  <c r="I54" i="9"/>
  <c r="H54" i="9"/>
  <c r="R54" i="9"/>
  <c r="Q54" i="9"/>
  <c r="AA54" i="9"/>
  <c r="Z54" i="9"/>
  <c r="AA24" i="9"/>
  <c r="H16" i="17" l="1"/>
  <c r="N16" i="17"/>
  <c r="E16" i="17"/>
  <c r="Q16" i="17"/>
  <c r="Q10" i="16" l="1"/>
  <c r="Q9" i="16"/>
  <c r="Q4" i="16"/>
  <c r="Q5" i="16"/>
  <c r="C22" i="7" s="1"/>
  <c r="H23" i="8"/>
  <c r="H6" i="8"/>
  <c r="H12" i="8" s="1"/>
  <c r="H10" i="8"/>
  <c r="B22" i="7" l="1"/>
  <c r="D22" i="7"/>
  <c r="H18" i="8"/>
  <c r="H31" i="8"/>
  <c r="H32" i="8"/>
  <c r="H28" i="8"/>
  <c r="D21" i="7" l="1"/>
  <c r="D32" i="7"/>
  <c r="D29" i="7"/>
  <c r="H33" i="8"/>
  <c r="O31" i="16" l="1"/>
  <c r="O11" i="16"/>
  <c r="O6" i="16"/>
  <c r="H11" i="16"/>
  <c r="H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D36" i="15" l="1"/>
  <c r="D32" i="15" l="1"/>
  <c r="D20" i="15"/>
  <c r="D17" i="15"/>
  <c r="D12" i="15"/>
  <c r="D7" i="15"/>
  <c r="Q13" i="17"/>
  <c r="E18" i="8"/>
  <c r="E23" i="8" l="1"/>
  <c r="D27" i="15"/>
  <c r="E32" i="8"/>
  <c r="D40" i="15"/>
  <c r="D37" i="15"/>
  <c r="N13" i="17"/>
  <c r="D41" i="15"/>
  <c r="D21" i="15"/>
  <c r="E31" i="8"/>
  <c r="E28" i="8"/>
  <c r="E10" i="8"/>
  <c r="E6" i="8"/>
  <c r="E12" i="8" s="1"/>
  <c r="E33" i="8" l="1"/>
  <c r="D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L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L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L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L19" i="16"/>
  <c r="L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G21" i="2" l="1"/>
  <c r="G17" i="2"/>
  <c r="G11" i="2"/>
  <c r="G6" i="2"/>
  <c r="G40" i="2"/>
  <c r="G35" i="2"/>
  <c r="G12" i="2" l="1"/>
  <c r="G43" i="2"/>
  <c r="G44" i="2"/>
  <c r="G23" i="2"/>
  <c r="G30" i="2"/>
  <c r="G45" i="2" l="1"/>
  <c r="F27" i="4"/>
  <c r="F12" i="4"/>
  <c r="F20" i="4"/>
  <c r="F32" i="4"/>
  <c r="F7" i="4"/>
  <c r="F41" i="4"/>
  <c r="H31" i="16"/>
  <c r="K11" i="16"/>
  <c r="K24" i="16"/>
  <c r="F37" i="4"/>
  <c r="H24" i="16"/>
  <c r="K6" i="16"/>
  <c r="K19" i="16"/>
  <c r="K31" i="16"/>
  <c r="F40" i="4"/>
  <c r="H19" i="16"/>
  <c r="F21" i="4" l="1"/>
  <c r="F42" i="4"/>
  <c r="G45" i="15" l="1"/>
  <c r="G44" i="15"/>
  <c r="G36" i="15"/>
  <c r="G37" i="15" l="1"/>
  <c r="E11" i="16"/>
  <c r="G12" i="15"/>
  <c r="G20" i="15"/>
  <c r="G32" i="15"/>
  <c r="E31" i="16"/>
  <c r="G7" i="15"/>
  <c r="G27" i="15"/>
  <c r="E24" i="16"/>
  <c r="G17" i="15"/>
  <c r="G41" i="15"/>
  <c r="E6" i="16"/>
  <c r="E19" i="16"/>
  <c r="G40" i="15"/>
  <c r="G21" i="15" l="1"/>
  <c r="G42" i="15"/>
  <c r="E36" i="15"/>
  <c r="E17" i="15" l="1"/>
  <c r="C18" i="3"/>
  <c r="E27" i="15"/>
  <c r="C30" i="3"/>
  <c r="F22" i="3"/>
  <c r="H17" i="4"/>
  <c r="H37" i="4"/>
  <c r="F44" i="3"/>
  <c r="C44" i="3"/>
  <c r="E7" i="15"/>
  <c r="E12" i="15"/>
  <c r="E20" i="15"/>
  <c r="E32" i="15"/>
  <c r="C22" i="3"/>
  <c r="C7" i="3"/>
  <c r="C40" i="3"/>
  <c r="F7" i="3"/>
  <c r="F18" i="3"/>
  <c r="F30" i="3"/>
  <c r="E41" i="15"/>
  <c r="F12" i="3"/>
  <c r="F35" i="3"/>
  <c r="H20" i="4"/>
  <c r="C12" i="3"/>
  <c r="C35" i="3"/>
  <c r="H7" i="4"/>
  <c r="H27" i="4"/>
  <c r="E40" i="15"/>
  <c r="E37" i="15"/>
  <c r="H12" i="4"/>
  <c r="H32" i="4"/>
  <c r="H41" i="4"/>
  <c r="H40" i="4"/>
  <c r="F40" i="3"/>
  <c r="F43" i="3"/>
  <c r="C43" i="3"/>
  <c r="E21" i="15" l="1"/>
  <c r="F23" i="3"/>
  <c r="C23" i="3"/>
  <c r="C45" i="3"/>
  <c r="H42" i="4"/>
  <c r="F45" i="3"/>
  <c r="H21" i="4"/>
  <c r="E42" i="15"/>
  <c r="H18" i="15" l="1"/>
  <c r="H19" i="15"/>
  <c r="F36" i="15" l="1"/>
  <c r="C36" i="15"/>
  <c r="B36" i="15"/>
  <c r="E6" i="2" l="1"/>
  <c r="E17" i="2"/>
  <c r="E30" i="2"/>
  <c r="E40" i="2"/>
  <c r="E43" i="2"/>
  <c r="E11" i="2"/>
  <c r="E35" i="2"/>
  <c r="E21" i="2"/>
  <c r="E44" i="2"/>
  <c r="E12" i="2" l="1"/>
  <c r="E23" i="2"/>
  <c r="E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I51" i="2" s="1"/>
  <c r="J47" i="2"/>
  <c r="H45" i="15"/>
  <c r="H44" i="15"/>
  <c r="Q21" i="16"/>
  <c r="Q8" i="16"/>
  <c r="J42" i="2"/>
  <c r="J37" i="2"/>
  <c r="J36" i="2"/>
  <c r="J32" i="2"/>
  <c r="J8" i="2"/>
  <c r="K34" i="4"/>
  <c r="K33" i="4"/>
  <c r="I18" i="3" l="1"/>
  <c r="I23" i="3" s="1"/>
  <c r="C17" i="4"/>
  <c r="I37" i="4"/>
  <c r="I44" i="3"/>
  <c r="K48" i="3"/>
  <c r="I50" i="2" s="1"/>
  <c r="J50" i="2" s="1"/>
  <c r="C31" i="16"/>
  <c r="G31" i="16"/>
  <c r="P11" i="16"/>
  <c r="I41" i="4"/>
  <c r="I20" i="4"/>
  <c r="B46" i="4"/>
  <c r="B47" i="4" s="1"/>
  <c r="D44" i="2"/>
  <c r="N19" i="16"/>
  <c r="C6" i="16"/>
  <c r="C7" i="7"/>
  <c r="H18" i="3"/>
  <c r="B40" i="2"/>
  <c r="F40" i="15"/>
  <c r="P19" i="16"/>
  <c r="B27" i="15"/>
  <c r="B31" i="16"/>
  <c r="D31" i="16"/>
  <c r="N31" i="16"/>
  <c r="J19" i="16"/>
  <c r="J22" i="3"/>
  <c r="J23" i="3" s="1"/>
  <c r="B17" i="15"/>
  <c r="G12" i="7"/>
  <c r="B12" i="7"/>
  <c r="D20" i="1"/>
  <c r="G20" i="1" s="1"/>
  <c r="B41" i="15"/>
  <c r="D41" i="4"/>
  <c r="I40" i="4"/>
  <c r="G19" i="16"/>
  <c r="B43" i="2"/>
  <c r="F32" i="15"/>
  <c r="C32" i="15"/>
  <c r="H44" i="3"/>
  <c r="B24" i="16"/>
  <c r="F11" i="16"/>
  <c r="D6" i="16"/>
  <c r="B6" i="16"/>
  <c r="J11" i="16"/>
  <c r="G6" i="16"/>
  <c r="G12" i="4"/>
  <c r="H12" i="3"/>
  <c r="C21" i="2"/>
  <c r="C23" i="2" s="1"/>
  <c r="G20" i="4"/>
  <c r="D32" i="4"/>
  <c r="J35" i="3"/>
  <c r="K28" i="3"/>
  <c r="I28" i="2" s="1"/>
  <c r="J28" i="2" s="1"/>
  <c r="F31" i="16"/>
  <c r="H7" i="3"/>
  <c r="E7" i="7"/>
  <c r="C12" i="7"/>
  <c r="I32" i="4"/>
  <c r="D27" i="4"/>
  <c r="G24" i="16"/>
  <c r="F6" i="16"/>
  <c r="G7" i="3"/>
  <c r="J7" i="3"/>
  <c r="B40" i="4"/>
  <c r="J24" i="16"/>
  <c r="I7" i="4"/>
  <c r="C7" i="4"/>
  <c r="K10" i="3"/>
  <c r="I9" i="2" s="1"/>
  <c r="B17" i="2"/>
  <c r="D21" i="1"/>
  <c r="G21" i="1" s="1"/>
  <c r="F41" i="15"/>
  <c r="H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F12" i="15"/>
  <c r="E12" i="4"/>
  <c r="B12" i="4"/>
  <c r="F20" i="15"/>
  <c r="C20" i="15"/>
  <c r="E20" i="4"/>
  <c r="B20" i="4"/>
  <c r="F17" i="15"/>
  <c r="B17" i="4"/>
  <c r="J48" i="2"/>
  <c r="C49" i="2"/>
  <c r="J49" i="2" s="1"/>
  <c r="C7" i="1"/>
  <c r="K11" i="3"/>
  <c r="I10" i="2" s="1"/>
  <c r="J10" i="2" s="1"/>
  <c r="H11" i="7"/>
  <c r="C18" i="1" s="1"/>
  <c r="H26" i="15"/>
  <c r="J26" i="4" s="1"/>
  <c r="K26" i="4" s="1"/>
  <c r="C6" i="5" s="1"/>
  <c r="N24" i="16"/>
  <c r="D37" i="4"/>
  <c r="B40" i="15"/>
  <c r="I19" i="2"/>
  <c r="J19" i="2" s="1"/>
  <c r="H43" i="3"/>
  <c r="B27" i="4"/>
  <c r="J19" i="4"/>
  <c r="K19" i="4" s="1"/>
  <c r="D7" i="4"/>
  <c r="K39" i="3"/>
  <c r="I39" i="2" s="1"/>
  <c r="J39" i="2" s="1"/>
  <c r="B16" i="5" s="1"/>
  <c r="B32" i="4"/>
  <c r="B35" i="2"/>
  <c r="D43" i="2"/>
  <c r="D24" i="16"/>
  <c r="N11" i="16"/>
  <c r="C40" i="4"/>
  <c r="G43" i="3"/>
  <c r="B41" i="4"/>
  <c r="C32" i="4"/>
  <c r="B19" i="16"/>
  <c r="D19" i="16"/>
  <c r="Q22" i="16"/>
  <c r="I7" i="3"/>
  <c r="C6" i="2"/>
  <c r="F7" i="15"/>
  <c r="E7" i="4"/>
  <c r="I15" i="2"/>
  <c r="J15" i="2" s="1"/>
  <c r="C44" i="2"/>
  <c r="F24" i="16"/>
  <c r="I4" i="2"/>
  <c r="J4" i="2" s="1"/>
  <c r="C7" i="15"/>
  <c r="J5" i="4"/>
  <c r="K5" i="4" s="1"/>
  <c r="J16" i="4"/>
  <c r="K16" i="4" s="1"/>
  <c r="J30" i="3"/>
  <c r="J43" i="3"/>
  <c r="K34" i="3"/>
  <c r="I34" i="2" s="1"/>
  <c r="J34" i="2" s="1"/>
  <c r="K29" i="3"/>
  <c r="I29" i="2" s="1"/>
  <c r="G12" i="3"/>
  <c r="H35" i="3"/>
  <c r="H31" i="15"/>
  <c r="J31" i="4" s="1"/>
  <c r="C30" i="2"/>
  <c r="J40" i="3"/>
  <c r="J44" i="3"/>
  <c r="J31" i="16"/>
  <c r="Q29" i="16"/>
  <c r="Q18" i="16"/>
  <c r="F19" i="16"/>
  <c r="C24" i="16"/>
  <c r="G40" i="4"/>
  <c r="G37" i="4"/>
  <c r="K38" i="3"/>
  <c r="I38" i="2" s="1"/>
  <c r="G40" i="3"/>
  <c r="F37" i="15"/>
  <c r="J18" i="4"/>
  <c r="K18" i="4" s="1"/>
  <c r="B11" i="16"/>
  <c r="J51" i="2"/>
  <c r="I20" i="2"/>
  <c r="J20" i="2" s="1"/>
  <c r="H22" i="3"/>
  <c r="G41" i="4"/>
  <c r="C37" i="15"/>
  <c r="H30" i="3"/>
  <c r="H46" i="15"/>
  <c r="J44" i="4" s="1"/>
  <c r="K44" i="4" s="1"/>
  <c r="D11" i="16"/>
  <c r="H47" i="15"/>
  <c r="J45" i="4" s="1"/>
  <c r="K45" i="4" s="1"/>
  <c r="G22" i="3"/>
  <c r="G23" i="3" s="1"/>
  <c r="B21" i="2"/>
  <c r="E37" i="4"/>
  <c r="H30" i="15"/>
  <c r="J30" i="4" s="1"/>
  <c r="K30" i="4" s="1"/>
  <c r="C10" i="5" s="1"/>
  <c r="F27" i="15"/>
  <c r="C41" i="15"/>
  <c r="E41" i="4"/>
  <c r="G30" i="3"/>
  <c r="J6" i="16"/>
  <c r="G11" i="16"/>
  <c r="C11" i="16"/>
  <c r="D6" i="2"/>
  <c r="J6" i="4"/>
  <c r="K6" i="4" s="1"/>
  <c r="G7" i="7"/>
  <c r="B11" i="2"/>
  <c r="C20" i="4"/>
  <c r="B37" i="15"/>
  <c r="G27" i="4"/>
  <c r="P6" i="16"/>
  <c r="I5" i="2"/>
  <c r="G7" i="4"/>
  <c r="D7" i="7"/>
  <c r="J12" i="3"/>
  <c r="D17" i="2"/>
  <c r="D23" i="2" s="1"/>
  <c r="C17" i="15"/>
  <c r="D12" i="7"/>
  <c r="E12" i="7"/>
  <c r="G32" i="4"/>
  <c r="G12" i="5"/>
  <c r="J17" i="5"/>
  <c r="G17" i="5"/>
  <c r="J7" i="5"/>
  <c r="G7" i="5"/>
  <c r="G22" i="5"/>
  <c r="B6" i="2"/>
  <c r="I16" i="2"/>
  <c r="J16" i="2" s="1"/>
  <c r="C41" i="4"/>
  <c r="C40" i="15"/>
  <c r="H25" i="15"/>
  <c r="J25" i="4" s="1"/>
  <c r="C27" i="15"/>
  <c r="E40" i="4"/>
  <c r="E27" i="4"/>
  <c r="P31" i="16"/>
  <c r="Q28" i="16"/>
  <c r="Q17" i="16"/>
  <c r="C19" i="16"/>
  <c r="P24" i="16"/>
  <c r="Q23" i="16"/>
  <c r="J12" i="5"/>
  <c r="B12" i="15"/>
  <c r="J10" i="4"/>
  <c r="K10" i="4" s="1"/>
  <c r="H35" i="15"/>
  <c r="J35" i="4" s="1"/>
  <c r="B44" i="2"/>
  <c r="B30" i="2"/>
  <c r="K33" i="3"/>
  <c r="I33" i="2" s="1"/>
  <c r="J11" i="4"/>
  <c r="K11" i="4" s="1"/>
  <c r="J15" i="4"/>
  <c r="K15" i="4" s="1"/>
  <c r="N6" i="16"/>
  <c r="B7" i="7"/>
  <c r="C43" i="2"/>
  <c r="C35" i="2"/>
  <c r="D21" i="4"/>
  <c r="B7" i="4"/>
  <c r="C12" i="4"/>
  <c r="I12" i="3"/>
  <c r="H10" i="7"/>
  <c r="B18" i="1" s="1"/>
  <c r="C37" i="4"/>
  <c r="I43" i="3"/>
  <c r="I30" i="3"/>
  <c r="H17" i="15" l="1"/>
  <c r="K18" i="3"/>
  <c r="H7" i="15"/>
  <c r="H12" i="15"/>
  <c r="B33" i="1"/>
  <c r="D33" i="1" s="1"/>
  <c r="F31" i="7"/>
  <c r="K22" i="3"/>
  <c r="B21" i="4"/>
  <c r="K7" i="3"/>
  <c r="K12" i="3"/>
  <c r="I6" i="2"/>
  <c r="B5" i="5"/>
  <c r="B11" i="5"/>
  <c r="B5" i="1"/>
  <c r="J5" i="2"/>
  <c r="C5" i="1" s="1"/>
  <c r="H20" i="15"/>
  <c r="B21" i="15"/>
  <c r="C6" i="1"/>
  <c r="B6" i="1"/>
  <c r="G21" i="4"/>
  <c r="F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F42" i="15"/>
  <c r="B42" i="4"/>
  <c r="D7" i="1"/>
  <c r="G7" i="1" s="1"/>
  <c r="I17" i="2"/>
  <c r="J17" i="2" s="1"/>
  <c r="K44" i="3"/>
  <c r="E21" i="4"/>
  <c r="D17" i="5"/>
  <c r="G45" i="3"/>
  <c r="D18" i="1"/>
  <c r="G18" i="1" s="1"/>
  <c r="J27" i="4"/>
  <c r="K27" i="4" s="1"/>
  <c r="C21" i="15"/>
  <c r="D42" i="4"/>
  <c r="I11" i="2"/>
  <c r="J11" i="2" s="1"/>
  <c r="K35" i="3"/>
  <c r="K40" i="3"/>
  <c r="I44" i="2"/>
  <c r="J44" i="2" s="1"/>
  <c r="H32" i="15"/>
  <c r="K25" i="4"/>
  <c r="C5" i="5" s="1"/>
  <c r="K30" i="3"/>
  <c r="Q6" i="16"/>
  <c r="H12" i="7"/>
  <c r="Q11" i="16"/>
  <c r="J22" i="5"/>
  <c r="J29" i="2"/>
  <c r="I21" i="2"/>
  <c r="J21" i="2" s="1"/>
  <c r="G42" i="4"/>
  <c r="Q24" i="16"/>
  <c r="J32" i="4"/>
  <c r="K32" i="4" s="1"/>
  <c r="H27" i="15"/>
  <c r="B16" i="1"/>
  <c r="C17" i="1"/>
  <c r="J41" i="4"/>
  <c r="K41" i="4" s="1"/>
  <c r="Q19" i="16"/>
  <c r="D19" i="1"/>
  <c r="G19" i="1" s="1"/>
  <c r="J20" i="4"/>
  <c r="K20" i="4" s="1"/>
  <c r="H7" i="7"/>
  <c r="Q31" i="16"/>
  <c r="J38" i="2"/>
  <c r="B15" i="5" s="1"/>
  <c r="B17" i="5" s="1"/>
  <c r="I40" i="2"/>
  <c r="J40" i="2" s="1"/>
  <c r="K31" i="4"/>
  <c r="C28" i="1" s="1"/>
  <c r="I30" i="2"/>
  <c r="J30" i="2" s="1"/>
  <c r="C45" i="2"/>
  <c r="I35" i="2"/>
  <c r="J35" i="2" s="1"/>
  <c r="I43" i="2"/>
  <c r="J33" i="2"/>
  <c r="H37" i="15"/>
  <c r="J17" i="4"/>
  <c r="K17" i="4" s="1"/>
  <c r="E42" i="4"/>
  <c r="C42" i="15"/>
  <c r="H40" i="15"/>
  <c r="H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D6" i="1" l="1"/>
  <c r="G6" i="1" s="1"/>
  <c r="O61" i="9" s="1"/>
  <c r="C20" i="5"/>
  <c r="D16" i="1"/>
  <c r="G16" i="1" s="1"/>
  <c r="F60" i="9" s="1"/>
  <c r="C22" i="1"/>
  <c r="H21" i="15"/>
  <c r="F32" i="7"/>
  <c r="F30" i="7"/>
  <c r="F29" i="7"/>
  <c r="F27" i="7"/>
  <c r="F26" i="7"/>
  <c r="B6" i="5"/>
  <c r="B7" i="5" s="1"/>
  <c r="B28" i="1"/>
  <c r="B10" i="5"/>
  <c r="C27" i="1"/>
  <c r="B27" i="1"/>
  <c r="J6" i="2"/>
  <c r="D5" i="1" s="1"/>
  <c r="G5" i="1" s="1"/>
  <c r="O60" i="9" s="1"/>
  <c r="B8" i="1"/>
  <c r="C8" i="1"/>
  <c r="M22" i="7" s="1"/>
  <c r="I45" i="2"/>
  <c r="J45" i="2" s="1"/>
  <c r="K45" i="3"/>
  <c r="I23" i="2"/>
  <c r="J23" i="2" s="1"/>
  <c r="J42" i="4"/>
  <c r="K42" i="4" s="1"/>
  <c r="H42" i="15"/>
  <c r="B17" i="1"/>
  <c r="D17" i="1" s="1"/>
  <c r="G17" i="1" s="1"/>
  <c r="F61" i="9" s="1"/>
  <c r="J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B12" i="5" l="1"/>
  <c r="E10" i="5"/>
  <c r="F10" i="5" s="1"/>
  <c r="I10" i="5" s="1"/>
  <c r="L22" i="7"/>
  <c r="D27" i="1"/>
  <c r="G27" i="1" s="1"/>
  <c r="D22" i="1"/>
  <c r="B22" i="1"/>
  <c r="C33" i="1"/>
  <c r="B32" i="1"/>
  <c r="D32" i="1" s="1"/>
  <c r="B20" i="5"/>
  <c r="E20" i="5" s="1"/>
  <c r="E6" i="5"/>
  <c r="F6" i="5" s="1"/>
  <c r="I6" i="5" s="1"/>
  <c r="B21" i="5"/>
  <c r="D8" i="1"/>
  <c r="D28" i="1"/>
  <c r="G28" i="1" s="1"/>
  <c r="B29" i="1"/>
  <c r="C12" i="5"/>
  <c r="C21" i="5"/>
  <c r="E11" i="5"/>
  <c r="F11" i="5" s="1"/>
  <c r="I11" i="5" s="1"/>
  <c r="C29" i="1"/>
  <c r="D22" i="5"/>
  <c r="F15" i="5"/>
  <c r="I15" i="5" s="1"/>
  <c r="E17" i="5"/>
  <c r="N22" i="7" l="1"/>
  <c r="N32" i="7"/>
  <c r="P31" i="7"/>
  <c r="I31" i="7"/>
  <c r="P29" i="7"/>
  <c r="I27" i="7"/>
  <c r="N27" i="7"/>
  <c r="P27" i="7" s="1"/>
  <c r="D11" i="1"/>
  <c r="B22" i="5"/>
  <c r="C32" i="1"/>
  <c r="H6" i="5"/>
  <c r="E7" i="5"/>
  <c r="E21" i="5"/>
  <c r="F21" i="5" s="1"/>
  <c r="I21" i="5" s="1"/>
  <c r="E12" i="5"/>
  <c r="C22" i="5"/>
  <c r="H11" i="5"/>
  <c r="D29" i="1"/>
  <c r="H5" i="5"/>
  <c r="F7" i="5"/>
  <c r="H7" i="5" s="1"/>
  <c r="F17" i="5"/>
  <c r="F20" i="5"/>
  <c r="I20" i="5" s="1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P30" i="7"/>
  <c r="H21" i="5"/>
  <c r="E22" i="5"/>
  <c r="F22" i="5"/>
  <c r="H22" i="5" s="1"/>
  <c r="H20" i="5"/>
  <c r="K26" i="7" l="1"/>
  <c r="K32" i="7"/>
  <c r="D23" i="7" l="1"/>
  <c r="F23" i="7" l="1"/>
  <c r="N23" i="7" l="1"/>
  <c r="I23" i="7" l="1"/>
  <c r="P23" i="7"/>
  <c r="K23" i="7" l="1"/>
  <c r="D24" i="7" l="1"/>
  <c r="F24" i="7" l="1"/>
  <c r="N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K5" i="5" l="1"/>
  <c r="D34" i="1"/>
  <c r="K6" i="5"/>
  <c r="K11" i="5"/>
  <c r="G22" i="1" l="1"/>
  <c r="G8" i="1"/>
  <c r="E32" i="1"/>
  <c r="E33" i="1"/>
  <c r="K10" i="5"/>
  <c r="I12" i="5"/>
  <c r="K12" i="5" s="1"/>
  <c r="G29" i="1"/>
  <c r="I7" i="5"/>
  <c r="K7" i="5" s="1"/>
  <c r="I17" i="5"/>
  <c r="K21" i="5"/>
  <c r="G11" i="1" l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L33" i="7" l="1"/>
  <c r="G33" i="7" l="1"/>
  <c r="M33" i="7"/>
  <c r="N21" i="7"/>
  <c r="R21" i="7" l="1"/>
  <c r="N33" i="7"/>
  <c r="P21" i="7"/>
  <c r="H33" i="7"/>
  <c r="K21" i="7" l="1"/>
  <c r="I33" i="7"/>
  <c r="E22" i="7" l="1"/>
  <c r="E33" i="7" l="1"/>
  <c r="F33" i="7" s="1"/>
  <c r="F22" i="7"/>
  <c r="H20" i="1" l="1"/>
  <c r="I20" i="1" s="1"/>
  <c r="E20" i="1"/>
  <c r="F20" i="1" s="1"/>
  <c r="H21" i="1"/>
  <c r="I21" i="1" s="1"/>
  <c r="E21" i="1"/>
  <c r="F21" i="1" s="1"/>
  <c r="E18" i="1"/>
  <c r="F18" i="1" s="1"/>
  <c r="E19" i="1"/>
  <c r="F19" i="1" s="1"/>
  <c r="D37" i="1" l="1"/>
  <c r="B37" i="1"/>
  <c r="H7" i="1"/>
  <c r="I7" i="1" s="1"/>
  <c r="E7" i="1"/>
  <c r="F7" i="1" s="1"/>
  <c r="H19" i="1"/>
  <c r="I19" i="1" s="1"/>
  <c r="E5" i="1"/>
  <c r="M60" i="9" s="1"/>
  <c r="E6" i="1"/>
  <c r="E17" i="1"/>
  <c r="F6" i="1" l="1"/>
  <c r="M61" i="9"/>
  <c r="F17" i="1"/>
  <c r="D61" i="9"/>
  <c r="E8" i="1"/>
  <c r="F5" i="1"/>
  <c r="H16" i="1"/>
  <c r="G60" i="9" s="1"/>
  <c r="E16" i="1"/>
  <c r="D60" i="9" s="1"/>
  <c r="H18" i="1"/>
  <c r="I18" i="1" s="1"/>
  <c r="H6" i="1"/>
  <c r="H5" i="1"/>
  <c r="P60" i="9" s="1"/>
  <c r="H17" i="1"/>
  <c r="I17" i="1" l="1"/>
  <c r="G61" i="9"/>
  <c r="I6" i="1"/>
  <c r="P61" i="9"/>
  <c r="H8" i="1"/>
  <c r="I5" i="1"/>
  <c r="H10" i="1"/>
  <c r="I10" i="1" s="1"/>
  <c r="E10" i="1"/>
  <c r="F10" i="1" s="1"/>
  <c r="E22" i="1"/>
  <c r="F22" i="1" s="1"/>
  <c r="F16" i="1"/>
  <c r="H22" i="1"/>
  <c r="I22" i="1" s="1"/>
  <c r="I16" i="1"/>
  <c r="H28" i="1"/>
  <c r="I28" i="1" s="1"/>
  <c r="E28" i="1"/>
  <c r="F28" i="1" s="1"/>
  <c r="D36" i="1"/>
  <c r="B36" i="1"/>
  <c r="B38" i="1" s="1"/>
  <c r="H27" i="1"/>
  <c r="E27" i="1"/>
  <c r="F8" i="1"/>
  <c r="O22" i="7"/>
  <c r="J22" i="7"/>
  <c r="S22" i="7" s="1"/>
  <c r="E29" i="1" l="1"/>
  <c r="F29" i="1" s="1"/>
  <c r="F27" i="1"/>
  <c r="C36" i="1"/>
  <c r="C37" i="1"/>
  <c r="D38" i="1"/>
  <c r="E37" i="1" s="1"/>
  <c r="E36" i="1"/>
  <c r="J33" i="7"/>
  <c r="K33" i="7" s="1"/>
  <c r="K22" i="7"/>
  <c r="O33" i="7"/>
  <c r="P33" i="7" s="1"/>
  <c r="P22" i="7"/>
  <c r="H29" i="1"/>
  <c r="I29" i="1" s="1"/>
  <c r="I27" i="1"/>
  <c r="E11" i="1"/>
  <c r="F11" i="1" s="1"/>
  <c r="H11" i="1"/>
  <c r="I11" i="1" s="1"/>
  <c r="I8" i="1"/>
</calcChain>
</file>

<file path=xl/sharedStrings.xml><?xml version="1.0" encoding="utf-8"?>
<sst xmlns="http://schemas.openxmlformats.org/spreadsheetml/2006/main" count="695" uniqueCount="243">
  <si>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</si>
  <si>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</si>
  <si>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</si>
  <si>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</si>
  <si>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</si>
  <si>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</si>
  <si>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</si>
  <si>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</si>
  <si>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</si>
  <si>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</si>
  <si>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</si>
  <si>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</si>
  <si>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</si>
  <si>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</si>
  <si>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</si>
  <si>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</si>
  <si>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</si>
  <si>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</si>
  <si>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</si>
  <si>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</si>
  <si>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</si>
  <si>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</si>
  <si>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</si>
  <si>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</si>
  <si>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</si>
  <si>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</si>
  <si>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</si>
  <si>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</si>
  <si>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</si>
  <si>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</si>
  <si>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</si>
  <si>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</si>
  <si>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</si>
  <si>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</si>
  <si>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</si>
  <si>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</si>
  <si>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</si>
  <si>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</si>
  <si>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</si>
  <si>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</si>
  <si>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</si>
  <si>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</si>
  <si>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</si>
  <si>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</si>
  <si>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</si>
  <si>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</si>
  <si>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</si>
  <si>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</si>
  <si>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</si>
  <si>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</si>
  <si>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</si>
  <si>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</si>
  <si>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</si>
  <si>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</si>
  <si>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</si>
  <si>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</si>
  <si>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</si>
  <si>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</si>
  <si>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</si>
  <si>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</si>
  <si>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</si>
  <si>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</si>
  <si>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</si>
  <si>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</si>
  <si>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</si>
  <si>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</si>
  <si>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</si>
  <si>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</si>
  <si>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</si>
  <si>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</si>
  <si>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</si>
  <si>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</si>
  <si>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</si>
  <si>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</si>
  <si>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</si>
  <si>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</si>
  <si>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</si>
  <si>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</si>
  <si>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</si>
  <si>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</si>
  <si>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</si>
  <si>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</si>
  <si>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</si>
  <si>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</si>
  <si>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</si>
  <si>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</si>
  <si>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</si>
  <si>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</si>
  <si>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</si>
  <si>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</si>
  <si>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</si>
  <si>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</si>
  <si>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</si>
  <si>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</si>
  <si>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</si>
  <si>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</si>
  <si>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</si>
  <si>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</si>
  <si>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</si>
  <si>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</si>
  <si>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</si>
  <si>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</si>
  <si>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</si>
  <si>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</si>
  <si>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</si>
  <si>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</si>
  <si>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</si>
  <si>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</si>
  <si>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</si>
  <si>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</si>
  <si>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</si>
  <si>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</si>
  <si>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</si>
  <si>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</si>
  <si>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</si>
  <si>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</si>
  <si>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</si>
  <si>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</si>
  <si>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</si>
  <si>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</si>
  <si>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</si>
  <si>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</si>
  <si>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</si>
  <si>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</si>
  <si>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</si>
  <si>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</si>
  <si>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</si>
  <si>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</si>
  <si>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</si>
  <si>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</si>
  <si>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</si>
  <si>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</si>
  <si>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</si>
  <si>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</si>
  <si>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</si>
  <si>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</si>
  <si>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</si>
  <si>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</si>
  <si>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</si>
  <si>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</si>
  <si>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</si>
  <si>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</si>
  <si>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</si>
  <si>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</si>
  <si>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</si>
  <si>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</si>
  <si>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</si>
  <si>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</si>
  <si>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</si>
  <si>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</si>
  <si>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</si>
  <si>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</si>
  <si>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</si>
  <si>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</si>
  <si>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</si>
  <si>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</si>
  <si>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</si>
  <si>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</si>
  <si>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</si>
  <si>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</si>
  <si>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</si>
  <si>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</si>
  <si>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</si>
  <si>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</si>
  <si>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</si>
  <si>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</si>
  <si>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</si>
  <si>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</si>
  <si>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</si>
  <si>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</si>
  <si>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</si>
  <si>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</si>
  <si>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</si>
  <si>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</si>
  <si>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</si>
  <si>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</si>
  <si>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</si>
  <si>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Sky Regional - Air Canada</t>
  </si>
  <si>
    <t>Sky West - American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</si>
  <si>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</si>
  <si>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</si>
  <si>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</si>
  <si>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</si>
  <si>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</si>
  <si>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</si>
  <si>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</si>
  <si>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</si>
  <si>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</si>
  <si>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</si>
  <si>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</si>
  <si>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</si>
  <si>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</si>
  <si>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</si>
  <si>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</si>
  <si>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</si>
  <si>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</si>
  <si>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</si>
  <si>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</si>
  <si>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</si>
  <si>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</si>
  <si>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</si>
  <si>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</si>
  <si>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</si>
  <si>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</si>
  <si>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</si>
  <si>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</si>
  <si>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</si>
  <si>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</si>
  <si>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</si>
  <si>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</si>
  <si>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</si>
  <si>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</si>
  <si>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Jazz_AC- Air Canada</t>
  </si>
  <si>
    <t>Landing</t>
  </si>
  <si>
    <t>Departure</t>
  </si>
  <si>
    <t>Lufthansa</t>
  </si>
  <si>
    <t>ATI - 21 Air</t>
  </si>
  <si>
    <t>Monthly Total 2025</t>
  </si>
  <si>
    <t>Y-T-D 2025</t>
  </si>
  <si>
    <t>Total 2025</t>
  </si>
  <si>
    <t>Metric Tons 2025</t>
  </si>
  <si>
    <t>Monthly Ops 2025</t>
  </si>
  <si>
    <t>Ops YTD 2025</t>
  </si>
  <si>
    <t>Current Month 2025</t>
  </si>
  <si>
    <t>YTD 2025</t>
  </si>
  <si>
    <t>Monthly Cargo 2025</t>
  </si>
  <si>
    <t>Cargo YTD 2025</t>
  </si>
  <si>
    <t>Monthly Total 2026</t>
  </si>
  <si>
    <t>Y-T-D 2026</t>
  </si>
  <si>
    <t xml:space="preserve">2025 YTD </t>
  </si>
  <si>
    <t>Monthly Ops 2026</t>
  </si>
  <si>
    <t>Ops YTD 2026</t>
  </si>
  <si>
    <t>Monthly Cargo 2026</t>
  </si>
  <si>
    <t>Cargo YTD 2026</t>
  </si>
  <si>
    <t>Metric Tons 2026</t>
  </si>
  <si>
    <t>2026 Market Share</t>
  </si>
  <si>
    <t>Current Month 2026</t>
  </si>
  <si>
    <t>Monthly Passengers 2026</t>
  </si>
  <si>
    <t>Monthly Passengers 2025</t>
  </si>
  <si>
    <t>YTD 2026</t>
  </si>
  <si>
    <t>Total 2026</t>
  </si>
  <si>
    <t>Lufthansa/Discover</t>
  </si>
  <si>
    <t>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</si>
</sst>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0" fontId="4" fillId="0" borderId="2" xfId="0" applyFont="1" applyBorder="1" applyAlignment="1">
      <alignment horizontal="center" vertical="center" wrapText="1"/>
    </xf>
    <xf numFmtId="3" fontId="0" fillId="0" borderId="1" xfId="1" applyNumberFormat="1" applyFont="1" applyBorder="1" applyAlignment="1"/>
    <xf numFmtId="37" fontId="0" fillId="0" borderId="0" xfId="1" applyNumberFormat="1" applyFont="1" applyBorder="1" applyAlignment="1"/>
    <xf numFmtId="0" fontId="4" fillId="0" borderId="24" xfId="0" applyFont="1" applyBorder="1" applyAlignment="1">
      <alignment horizontal="center" vertical="center" wrapText="1" shrinkToFit="1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February%202025.xlsx" TargetMode="External"/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/data/Finance%20Stats/Monthly%20Operations%20report/2025/MSP%20February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August%202025.xlsx" TargetMode="External"/><Relationship Id="rId1" Type="http://schemas.openxmlformats.org/officeDocument/2006/relationships/externalLinkPath" Target="/data/Finance%20Stats/Monthly%20Operations%20report/2025/MSP%20August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September%202025.xlsx" TargetMode="External"/><Relationship Id="rId1" Type="http://schemas.openxmlformats.org/officeDocument/2006/relationships/externalLinkPath" Target="/data/Finance%20Stats/Monthly%20Operations%20report/2025/MSP%20September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October%202025.xlsx" TargetMode="External"/><Relationship Id="rId1" Type="http://schemas.openxmlformats.org/officeDocument/2006/relationships/externalLinkPath" Target="/data/Finance%20Stats/Monthly%20Operations%20report/2025/MSP%20October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November%202025.xlsx" TargetMode="External"/><Relationship Id="rId1" Type="http://schemas.openxmlformats.org/officeDocument/2006/relationships/externalLinkPath" Target="/data/Finance%20Stats/Monthly%20Operations%20report/2025/MSP%20November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December%202025.xlsx" TargetMode="External"/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/data/Finance%20Stats/Monthly%20Operations%20report/2025/MSP%20Dec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January%202026.xlsx" TargetMode="External"/><Relationship Id="rId1" Type="http://schemas.openxmlformats.org/officeDocument/2006/relationships/externalLinkPath" Target="MSP%20January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irline%20Stats/carier%20data%20entry.xlsx" TargetMode="External"/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January%202025.xlsx" TargetMode="External"/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/data/Finance%20Stats/Monthly%20Operations%20report/2025/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March%202025.xlsx" TargetMode="External"/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/data/Finance%20Stats/Monthly%20Operations%20report/2025/MSP%20March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April%202025.xlsx" TargetMode="External"/><Relationship Id="rId1" Type="http://schemas.openxmlformats.org/officeDocument/2006/relationships/externalLinkPath" Target="/data/Finance%20Stats/Monthly%20Operations%20report/2025/MSP%20April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May%202025.xlsx" TargetMode="External"/><Relationship Id="rId1" Type="http://schemas.openxmlformats.org/officeDocument/2006/relationships/externalLinkPath" Target="/data/Finance%20Stats/Monthly%20Operations%20report/2025/MSP%20Ma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June%202025.xlsx" TargetMode="External"/><Relationship Id="rId1" Type="http://schemas.openxmlformats.org/officeDocument/2006/relationships/externalLinkPath" Target="/data/Finance%20Stats/Monthly%20Operations%20report/2025/MSP%20June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July%202025.xlsx" TargetMode="External"/><Relationship Id="rId1" Type="http://schemas.openxmlformats.org/officeDocument/2006/relationships/externalLinkPath" Target="/data/Finance%20Stats/Monthly%20Operations%20report/2025/MSP%20Jul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2032510</v>
          </cell>
          <cell r="G5">
            <v>4101597</v>
          </cell>
        </row>
        <row r="6">
          <cell r="D6">
            <v>378449</v>
          </cell>
          <cell r="G6">
            <v>785434</v>
          </cell>
        </row>
        <row r="7">
          <cell r="D7">
            <v>275</v>
          </cell>
          <cell r="G7">
            <v>275</v>
          </cell>
        </row>
        <row r="10">
          <cell r="D10">
            <v>76509</v>
          </cell>
          <cell r="G10">
            <v>156745</v>
          </cell>
        </row>
        <row r="16">
          <cell r="D16">
            <v>15225</v>
          </cell>
          <cell r="G16">
            <v>31387</v>
          </cell>
        </row>
        <row r="17">
          <cell r="D17">
            <v>7069</v>
          </cell>
          <cell r="G17">
            <v>14927</v>
          </cell>
        </row>
        <row r="18">
          <cell r="D18">
            <v>7</v>
          </cell>
          <cell r="G18">
            <v>7</v>
          </cell>
        </row>
        <row r="19">
          <cell r="D19">
            <v>996</v>
          </cell>
          <cell r="G19">
            <v>2052</v>
          </cell>
        </row>
        <row r="20">
          <cell r="D20">
            <v>1180</v>
          </cell>
          <cell r="G20">
            <v>2307</v>
          </cell>
        </row>
        <row r="21">
          <cell r="D21">
            <v>72</v>
          </cell>
          <cell r="G21">
            <v>140</v>
          </cell>
        </row>
        <row r="27">
          <cell r="D27">
            <v>13128.228030123744</v>
          </cell>
          <cell r="G27">
            <v>26447.080158827943</v>
          </cell>
        </row>
        <row r="28">
          <cell r="D28">
            <v>1895.76300205754</v>
          </cell>
          <cell r="G28">
            <v>3860.74011744575</v>
          </cell>
        </row>
        <row r="32">
          <cell r="B32">
            <v>862394</v>
          </cell>
          <cell r="D32">
            <v>1706764</v>
          </cell>
        </row>
        <row r="33">
          <cell r="B33">
            <v>353657</v>
          </cell>
          <cell r="D33">
            <v>745818</v>
          </cell>
        </row>
      </sheetData>
      <sheetData sheetId="1">
        <row r="45">
          <cell r="L45">
            <v>6306307</v>
          </cell>
        </row>
      </sheetData>
      <sheetData sheetId="2"/>
      <sheetData sheetId="3">
        <row r="42">
          <cell r="K42">
            <v>22610.5</v>
          </cell>
        </row>
      </sheetData>
      <sheetData sheetId="4"/>
      <sheetData sheetId="5">
        <row r="22">
          <cell r="D22">
            <v>330848</v>
          </cell>
          <cell r="I22">
            <v>2156895</v>
          </cell>
          <cell r="N22">
            <v>2487743</v>
          </cell>
        </row>
      </sheetData>
      <sheetData sheetId="6">
        <row r="33">
          <cell r="S33">
            <v>26793313</v>
          </cell>
        </row>
      </sheetData>
      <sheetData sheetId="7">
        <row r="5">
          <cell r="F5">
            <v>7311.8886381025868</v>
          </cell>
          <cell r="I5">
            <v>14644.743358809024</v>
          </cell>
        </row>
        <row r="6">
          <cell r="F6">
            <v>900.31508355635003</v>
          </cell>
          <cell r="I6">
            <v>1827.5114117360099</v>
          </cell>
        </row>
        <row r="10">
          <cell r="F10">
            <v>5816.3393920211583</v>
          </cell>
          <cell r="I10">
            <v>11802.336800018918</v>
          </cell>
        </row>
        <row r="11">
          <cell r="F11">
            <v>995.44791850118997</v>
          </cell>
          <cell r="I11">
            <v>2033.2287057097401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13128.228030123744</v>
          </cell>
          <cell r="I20">
            <v>26447.080158827943</v>
          </cell>
        </row>
        <row r="21">
          <cell r="F21">
            <v>1895.76300205754</v>
          </cell>
          <cell r="I21">
            <v>3860.74011744575</v>
          </cell>
        </row>
      </sheetData>
      <sheetData sheetId="8"/>
      <sheetData sheetId="9">
        <row r="31">
          <cell r="R31">
            <v>2483</v>
          </cell>
        </row>
      </sheetData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330036</v>
          </cell>
          <cell r="I28">
            <v>3121862</v>
          </cell>
          <cell r="N28">
            <v>3451898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272028</v>
          </cell>
          <cell r="I29">
            <v>2589499</v>
          </cell>
          <cell r="N29">
            <v>2861527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258310</v>
          </cell>
          <cell r="I30">
            <v>2816693</v>
          </cell>
          <cell r="N30">
            <v>3075003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197850</v>
          </cell>
          <cell r="I31">
            <v>2400689</v>
          </cell>
          <cell r="N31">
            <v>2598539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260440</v>
          </cell>
          <cell r="I32">
            <v>2507509</v>
          </cell>
          <cell r="N32">
            <v>2767949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1967405</v>
          </cell>
        </row>
        <row r="6">
          <cell r="G6">
            <v>412099</v>
          </cell>
        </row>
        <row r="7">
          <cell r="G7">
            <v>60</v>
          </cell>
        </row>
        <row r="10">
          <cell r="G10">
            <v>83459</v>
          </cell>
        </row>
        <row r="16">
          <cell r="G16">
            <v>14945</v>
          </cell>
        </row>
        <row r="17">
          <cell r="G17">
            <v>8034</v>
          </cell>
        </row>
        <row r="18">
          <cell r="G18">
            <v>1</v>
          </cell>
        </row>
        <row r="19">
          <cell r="G19">
            <v>864</v>
          </cell>
        </row>
        <row r="20">
          <cell r="G20">
            <v>1317</v>
          </cell>
        </row>
        <row r="21">
          <cell r="G21">
            <v>60</v>
          </cell>
        </row>
        <row r="27">
          <cell r="G27">
            <v>12757.385069565536</v>
          </cell>
        </row>
        <row r="28">
          <cell r="G28">
            <v>2945.5027521011398</v>
          </cell>
        </row>
        <row r="32">
          <cell r="D32">
            <v>849790</v>
          </cell>
        </row>
        <row r="33">
          <cell r="D33">
            <v>354583</v>
          </cell>
        </row>
      </sheetData>
      <sheetData sheetId="1"/>
      <sheetData sheetId="2"/>
      <sheetData sheetId="3"/>
      <sheetData sheetId="4"/>
      <sheetData sheetId="5">
        <row r="21">
          <cell r="B21">
            <v>165270</v>
          </cell>
          <cell r="C21">
            <v>158940</v>
          </cell>
          <cell r="L21">
            <v>1216641</v>
          </cell>
          <cell r="M21">
            <v>1246382</v>
          </cell>
        </row>
      </sheetData>
      <sheetData sheetId="6"/>
      <sheetData sheetId="7">
        <row r="5">
          <cell r="I5">
            <v>6858.527055900443</v>
          </cell>
        </row>
        <row r="6">
          <cell r="I6">
            <v>1538.9178022472099</v>
          </cell>
        </row>
        <row r="10">
          <cell r="I10">
            <v>5898.8580136650935</v>
          </cell>
        </row>
        <row r="11">
          <cell r="I11">
            <v>1406.5849498539299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12757.385069565535</v>
          </cell>
        </row>
        <row r="21">
          <cell r="I21">
            <v>2945.5027521011398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</sheetNames>
    <sheetDataSet>
      <sheetData sheetId="0"/>
      <sheetData sheetId="1"/>
      <sheetData sheetId="2">
        <row r="12">
          <cell r="EZ12">
            <v>232</v>
          </cell>
        </row>
      </sheetData>
      <sheetData sheetId="3"/>
      <sheetData sheetId="4">
        <row r="12">
          <cell r="EZ12">
            <v>0</v>
          </cell>
        </row>
        <row r="15">
          <cell r="JV15">
            <v>5</v>
          </cell>
        </row>
        <row r="16">
          <cell r="JV16">
            <v>5</v>
          </cell>
        </row>
        <row r="19">
          <cell r="JH19">
            <v>0</v>
          </cell>
          <cell r="JI19">
            <v>0</v>
          </cell>
          <cell r="JV19">
            <v>10</v>
          </cell>
          <cell r="JW19">
            <v>0</v>
          </cell>
        </row>
        <row r="32">
          <cell r="JV32">
            <v>103</v>
          </cell>
        </row>
        <row r="33">
          <cell r="JV33">
            <v>284</v>
          </cell>
        </row>
        <row r="37">
          <cell r="JV37">
            <v>2</v>
          </cell>
        </row>
        <row r="38">
          <cell r="JV38">
            <v>1</v>
          </cell>
        </row>
        <row r="41">
          <cell r="JH41">
            <v>0</v>
          </cell>
          <cell r="JI41">
            <v>0</v>
          </cell>
          <cell r="JV41">
            <v>387</v>
          </cell>
          <cell r="JW41">
            <v>0</v>
          </cell>
        </row>
        <row r="43">
          <cell r="JH43">
            <v>0</v>
          </cell>
          <cell r="JI43">
            <v>0</v>
          </cell>
          <cell r="JV43">
            <v>390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10716.7</v>
          </cell>
          <cell r="JW64">
            <v>0</v>
          </cell>
        </row>
      </sheetData>
      <sheetData sheetId="5">
        <row r="12">
          <cell r="EZ12">
            <v>0</v>
          </cell>
        </row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41">
          <cell r="JH41">
            <v>0</v>
          </cell>
          <cell r="JI41">
            <v>0</v>
          </cell>
          <cell r="JV41">
            <v>0</v>
          </cell>
          <cell r="JW41">
            <v>0</v>
          </cell>
        </row>
        <row r="43">
          <cell r="JH43">
            <v>0</v>
          </cell>
          <cell r="JI43">
            <v>0</v>
          </cell>
          <cell r="JV43">
            <v>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6">
        <row r="12">
          <cell r="EZ12">
            <v>0</v>
          </cell>
        </row>
        <row r="19">
          <cell r="JH19">
            <v>54</v>
          </cell>
          <cell r="JI19">
            <v>62</v>
          </cell>
          <cell r="JV19">
            <v>0</v>
          </cell>
          <cell r="JW19">
            <v>0</v>
          </cell>
        </row>
        <row r="41">
          <cell r="JH41">
            <v>7406</v>
          </cell>
          <cell r="JI41">
            <v>8994</v>
          </cell>
          <cell r="JV41">
            <v>0</v>
          </cell>
          <cell r="JW41">
            <v>0</v>
          </cell>
        </row>
        <row r="43">
          <cell r="JH43">
            <v>7406</v>
          </cell>
          <cell r="JI43">
            <v>8994</v>
          </cell>
          <cell r="JV43">
            <v>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">
        <row r="12">
          <cell r="EZ12">
            <v>0</v>
          </cell>
        </row>
        <row r="15">
          <cell r="JV15">
            <v>17</v>
          </cell>
          <cell r="JW15">
            <v>15</v>
          </cell>
        </row>
        <row r="16">
          <cell r="JV16">
            <v>17</v>
          </cell>
          <cell r="JW16">
            <v>15</v>
          </cell>
        </row>
        <row r="19">
          <cell r="JH19">
            <v>0</v>
          </cell>
          <cell r="JI19">
            <v>0</v>
          </cell>
          <cell r="JV19">
            <v>34</v>
          </cell>
          <cell r="JW19">
            <v>30</v>
          </cell>
        </row>
        <row r="32">
          <cell r="JV32">
            <v>1721</v>
          </cell>
          <cell r="JW32">
            <v>844</v>
          </cell>
        </row>
        <row r="33">
          <cell r="JV33">
            <v>1316</v>
          </cell>
          <cell r="JW33">
            <v>812</v>
          </cell>
        </row>
        <row r="37">
          <cell r="JV37">
            <v>7</v>
          </cell>
          <cell r="JW37">
            <v>9</v>
          </cell>
        </row>
        <row r="38">
          <cell r="JV38">
            <v>8</v>
          </cell>
          <cell r="JW38">
            <v>7</v>
          </cell>
        </row>
        <row r="41">
          <cell r="JH41">
            <v>0</v>
          </cell>
          <cell r="JI41">
            <v>0</v>
          </cell>
          <cell r="JV41">
            <v>3037</v>
          </cell>
          <cell r="JW41">
            <v>1656</v>
          </cell>
        </row>
        <row r="43">
          <cell r="JH43">
            <v>0</v>
          </cell>
          <cell r="JI43">
            <v>0</v>
          </cell>
          <cell r="JV43">
            <v>3052</v>
          </cell>
          <cell r="JW43">
            <v>1672</v>
          </cell>
        </row>
        <row r="52">
          <cell r="JW52">
            <v>2012.82</v>
          </cell>
        </row>
        <row r="64">
          <cell r="JH64">
            <v>0</v>
          </cell>
          <cell r="JI64">
            <v>0</v>
          </cell>
          <cell r="JV64">
            <v>2444.92</v>
          </cell>
          <cell r="JW64">
            <v>2012.82</v>
          </cell>
        </row>
      </sheetData>
      <sheetData sheetId="8">
        <row r="4">
          <cell r="JW4">
            <v>51</v>
          </cell>
        </row>
        <row r="5">
          <cell r="JW5">
            <v>51</v>
          </cell>
        </row>
        <row r="8">
          <cell r="JW8">
            <v>2</v>
          </cell>
        </row>
        <row r="9">
          <cell r="JW9">
            <v>2</v>
          </cell>
        </row>
        <row r="19">
          <cell r="JH19">
            <v>127</v>
          </cell>
          <cell r="JI19">
            <v>111</v>
          </cell>
          <cell r="JV19">
            <v>116</v>
          </cell>
          <cell r="JW19">
            <v>106</v>
          </cell>
        </row>
        <row r="22">
          <cell r="JW22">
            <v>7256</v>
          </cell>
        </row>
        <row r="23">
          <cell r="JW23">
            <v>7298</v>
          </cell>
        </row>
        <row r="27">
          <cell r="JW27">
            <v>280</v>
          </cell>
        </row>
        <row r="28">
          <cell r="JW28">
            <v>310</v>
          </cell>
        </row>
        <row r="41">
          <cell r="JH41">
            <v>17509</v>
          </cell>
          <cell r="JI41">
            <v>14848</v>
          </cell>
          <cell r="JV41">
            <v>17622</v>
          </cell>
          <cell r="JW41">
            <v>14554</v>
          </cell>
        </row>
        <row r="43">
          <cell r="JH43">
            <v>18259</v>
          </cell>
          <cell r="JI43">
            <v>15493</v>
          </cell>
          <cell r="JV43">
            <v>18242</v>
          </cell>
          <cell r="JW43">
            <v>15144</v>
          </cell>
        </row>
        <row r="47">
          <cell r="JW47">
            <v>8382</v>
          </cell>
        </row>
        <row r="48">
          <cell r="JW48">
            <v>5271</v>
          </cell>
        </row>
        <row r="52">
          <cell r="JW52">
            <v>8490</v>
          </cell>
        </row>
        <row r="53">
          <cell r="JW53">
            <v>3062</v>
          </cell>
        </row>
        <row r="64">
          <cell r="JH64">
            <v>18276</v>
          </cell>
          <cell r="JI64">
            <v>15384</v>
          </cell>
          <cell r="JV64">
            <v>28086</v>
          </cell>
          <cell r="JW64">
            <v>25205</v>
          </cell>
        </row>
      </sheetData>
      <sheetData sheetId="9"/>
      <sheetData sheetId="10">
        <row r="4">
          <cell r="JW4">
            <v>300</v>
          </cell>
        </row>
        <row r="5">
          <cell r="JW5">
            <v>302</v>
          </cell>
        </row>
        <row r="19">
          <cell r="JH19">
            <v>768</v>
          </cell>
          <cell r="JI19">
            <v>678</v>
          </cell>
          <cell r="JV19">
            <v>587</v>
          </cell>
          <cell r="JW19">
            <v>602</v>
          </cell>
        </row>
        <row r="22">
          <cell r="JW22">
            <v>36461</v>
          </cell>
        </row>
        <row r="23">
          <cell r="JW23">
            <v>38825</v>
          </cell>
        </row>
        <row r="27">
          <cell r="JW27">
            <v>1290</v>
          </cell>
        </row>
        <row r="28">
          <cell r="JW28">
            <v>1446</v>
          </cell>
        </row>
        <row r="41">
          <cell r="JH41">
            <v>94162</v>
          </cell>
          <cell r="JI41">
            <v>86959</v>
          </cell>
          <cell r="JV41">
            <v>74994</v>
          </cell>
          <cell r="JW41">
            <v>75286</v>
          </cell>
        </row>
        <row r="43">
          <cell r="JH43">
            <v>97807</v>
          </cell>
          <cell r="JI43">
            <v>90116</v>
          </cell>
          <cell r="JV43">
            <v>77766</v>
          </cell>
          <cell r="JW43">
            <v>78022</v>
          </cell>
        </row>
        <row r="47">
          <cell r="JW47">
            <v>13110</v>
          </cell>
        </row>
        <row r="48">
          <cell r="JW48">
            <v>32681</v>
          </cell>
        </row>
        <row r="52">
          <cell r="JW52">
            <v>19961</v>
          </cell>
        </row>
        <row r="53">
          <cell r="JW53">
            <v>52808</v>
          </cell>
        </row>
        <row r="64">
          <cell r="JH64">
            <v>23081</v>
          </cell>
          <cell r="JI64">
            <v>25119</v>
          </cell>
          <cell r="JV64">
            <v>113006</v>
          </cell>
          <cell r="JW64">
            <v>118560</v>
          </cell>
        </row>
      </sheetData>
      <sheetData sheetId="11"/>
      <sheetData sheetId="12">
        <row r="12">
          <cell r="EZ12">
            <v>151</v>
          </cell>
        </row>
      </sheetData>
      <sheetData sheetId="13">
        <row r="12">
          <cell r="EZ12">
            <v>0</v>
          </cell>
        </row>
      </sheetData>
      <sheetData sheetId="14">
        <row r="4">
          <cell r="JW4">
            <v>4212</v>
          </cell>
        </row>
        <row r="5">
          <cell r="JW5">
            <v>4207</v>
          </cell>
        </row>
        <row r="8">
          <cell r="JW8">
            <v>0</v>
          </cell>
        </row>
        <row r="9">
          <cell r="JW9">
            <v>8</v>
          </cell>
        </row>
        <row r="15">
          <cell r="JV15">
            <v>677</v>
          </cell>
          <cell r="JW15">
            <v>630</v>
          </cell>
        </row>
        <row r="16">
          <cell r="JV16">
            <v>676</v>
          </cell>
          <cell r="JW16">
            <v>629</v>
          </cell>
        </row>
        <row r="19">
          <cell r="JH19">
            <v>10888</v>
          </cell>
          <cell r="JI19">
            <v>10072</v>
          </cell>
          <cell r="JV19">
            <v>10452</v>
          </cell>
          <cell r="JW19">
            <v>9686</v>
          </cell>
        </row>
        <row r="22">
          <cell r="JW22">
            <v>567445</v>
          </cell>
        </row>
        <row r="23">
          <cell r="JW23">
            <v>579974</v>
          </cell>
        </row>
        <row r="27">
          <cell r="JW27">
            <v>21476</v>
          </cell>
        </row>
        <row r="28">
          <cell r="JW28">
            <v>22061</v>
          </cell>
        </row>
        <row r="32">
          <cell r="JV32">
            <v>111473</v>
          </cell>
          <cell r="JW32">
            <v>98522</v>
          </cell>
        </row>
        <row r="33">
          <cell r="JV33">
            <v>106427</v>
          </cell>
          <cell r="JW33">
            <v>101058</v>
          </cell>
        </row>
        <row r="37">
          <cell r="JV37">
            <v>3348</v>
          </cell>
          <cell r="JW37">
            <v>3606</v>
          </cell>
        </row>
        <row r="38">
          <cell r="JV38">
            <v>3121</v>
          </cell>
          <cell r="JW38">
            <v>3339</v>
          </cell>
        </row>
        <row r="41">
          <cell r="JH41">
            <v>1449484</v>
          </cell>
          <cell r="JI41">
            <v>1372419</v>
          </cell>
          <cell r="JV41">
            <v>1402368</v>
          </cell>
          <cell r="JW41">
            <v>1346999</v>
          </cell>
        </row>
        <row r="43">
          <cell r="JH43">
            <v>1498060</v>
          </cell>
          <cell r="JI43">
            <v>1420348</v>
          </cell>
          <cell r="JV43">
            <v>1454169</v>
          </cell>
          <cell r="JW43">
            <v>1397481</v>
          </cell>
        </row>
        <row r="47">
          <cell r="JW47">
            <v>3741172</v>
          </cell>
        </row>
        <row r="48">
          <cell r="JW48">
            <v>162719</v>
          </cell>
        </row>
        <row r="52">
          <cell r="JW52">
            <v>2162908</v>
          </cell>
        </row>
        <row r="53">
          <cell r="JW53">
            <v>174083</v>
          </cell>
        </row>
        <row r="64">
          <cell r="JH64">
            <v>5135791</v>
          </cell>
          <cell r="JI64">
            <v>5526183</v>
          </cell>
          <cell r="JV64">
            <v>5424112</v>
          </cell>
          <cell r="JW64">
            <v>6240882</v>
          </cell>
        </row>
        <row r="70">
          <cell r="JW70">
            <v>385688</v>
          </cell>
        </row>
        <row r="71">
          <cell r="JW71">
            <v>194286</v>
          </cell>
        </row>
        <row r="73">
          <cell r="JW73">
            <v>67204</v>
          </cell>
        </row>
        <row r="74">
          <cell r="JW74">
            <v>33854</v>
          </cell>
        </row>
      </sheetData>
      <sheetData sheetId="15">
        <row r="4">
          <cell r="JW4">
            <v>72</v>
          </cell>
        </row>
        <row r="5">
          <cell r="JW5">
            <v>72</v>
          </cell>
        </row>
        <row r="19">
          <cell r="JH19">
            <v>154</v>
          </cell>
          <cell r="JI19">
            <v>140</v>
          </cell>
          <cell r="JV19">
            <v>158</v>
          </cell>
          <cell r="JW19">
            <v>144</v>
          </cell>
        </row>
        <row r="22">
          <cell r="JW22">
            <v>755</v>
          </cell>
        </row>
        <row r="23">
          <cell r="JW23">
            <v>761</v>
          </cell>
        </row>
        <row r="27">
          <cell r="JW27">
            <v>38</v>
          </cell>
        </row>
        <row r="28">
          <cell r="JW28">
            <v>29</v>
          </cell>
        </row>
        <row r="41">
          <cell r="JH41">
            <v>1818</v>
          </cell>
          <cell r="JI41">
            <v>1556</v>
          </cell>
          <cell r="JV41">
            <v>1726</v>
          </cell>
          <cell r="JW41">
            <v>1516</v>
          </cell>
        </row>
        <row r="43">
          <cell r="JH43">
            <v>1857</v>
          </cell>
          <cell r="JI43">
            <v>1636</v>
          </cell>
          <cell r="JV43">
            <v>1793</v>
          </cell>
          <cell r="JW43">
            <v>1583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16">
        <row r="4">
          <cell r="JW4">
            <v>106</v>
          </cell>
        </row>
        <row r="5">
          <cell r="JW5">
            <v>106</v>
          </cell>
        </row>
        <row r="19">
          <cell r="JH19">
            <v>168</v>
          </cell>
          <cell r="JI19">
            <v>186</v>
          </cell>
          <cell r="JV19">
            <v>153</v>
          </cell>
          <cell r="JW19">
            <v>212</v>
          </cell>
        </row>
        <row r="22">
          <cell r="JW22">
            <v>16491</v>
          </cell>
        </row>
        <row r="23">
          <cell r="JW23">
            <v>18008</v>
          </cell>
        </row>
        <row r="27">
          <cell r="JW27">
            <v>207</v>
          </cell>
        </row>
        <row r="28">
          <cell r="JW28">
            <v>200</v>
          </cell>
        </row>
        <row r="41">
          <cell r="JH41">
            <v>28503</v>
          </cell>
          <cell r="JI41">
            <v>32511</v>
          </cell>
          <cell r="JV41">
            <v>25151</v>
          </cell>
          <cell r="JW41">
            <v>34499</v>
          </cell>
        </row>
        <row r="43">
          <cell r="JH43">
            <v>28696</v>
          </cell>
          <cell r="JI43">
            <v>32771</v>
          </cell>
          <cell r="JV43">
            <v>25388</v>
          </cell>
          <cell r="JW43">
            <v>34906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17">
        <row r="12">
          <cell r="EZ12">
            <v>0</v>
          </cell>
        </row>
        <row r="15">
          <cell r="JV15">
            <v>17</v>
          </cell>
          <cell r="JW15">
            <v>16</v>
          </cell>
        </row>
        <row r="16">
          <cell r="JV16">
            <v>17</v>
          </cell>
          <cell r="JW16">
            <v>16</v>
          </cell>
        </row>
        <row r="19">
          <cell r="JH19">
            <v>8</v>
          </cell>
          <cell r="JI19">
            <v>2</v>
          </cell>
          <cell r="JV19">
            <v>34</v>
          </cell>
          <cell r="JW19">
            <v>32</v>
          </cell>
        </row>
        <row r="32">
          <cell r="JV32">
            <v>2133</v>
          </cell>
          <cell r="JW32">
            <v>1532</v>
          </cell>
        </row>
        <row r="33">
          <cell r="JV33">
            <v>2014</v>
          </cell>
          <cell r="JW33">
            <v>1729</v>
          </cell>
        </row>
        <row r="37">
          <cell r="JV37">
            <v>41</v>
          </cell>
          <cell r="JW37">
            <v>57</v>
          </cell>
        </row>
        <row r="38">
          <cell r="JV38">
            <v>42</v>
          </cell>
          <cell r="JW38">
            <v>55</v>
          </cell>
        </row>
        <row r="41">
          <cell r="JH41">
            <v>1028</v>
          </cell>
          <cell r="JI41">
            <v>202</v>
          </cell>
          <cell r="JV41">
            <v>4147</v>
          </cell>
          <cell r="JW41">
            <v>3261</v>
          </cell>
        </row>
        <row r="43">
          <cell r="JH43">
            <v>1037</v>
          </cell>
          <cell r="JI43">
            <v>204</v>
          </cell>
          <cell r="JV43">
            <v>4230</v>
          </cell>
          <cell r="JW43">
            <v>3373</v>
          </cell>
        </row>
        <row r="47">
          <cell r="JW47">
            <v>1645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1645</v>
          </cell>
        </row>
      </sheetData>
      <sheetData sheetId="18">
        <row r="12">
          <cell r="EZ12">
            <v>0</v>
          </cell>
        </row>
      </sheetData>
      <sheetData sheetId="19">
        <row r="12">
          <cell r="EZ12">
            <v>0</v>
          </cell>
        </row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41">
          <cell r="JH41">
            <v>0</v>
          </cell>
          <cell r="JI41">
            <v>0</v>
          </cell>
          <cell r="JV41">
            <v>0</v>
          </cell>
          <cell r="JW41">
            <v>0</v>
          </cell>
        </row>
        <row r="43">
          <cell r="JH43">
            <v>0</v>
          </cell>
          <cell r="JI43">
            <v>0</v>
          </cell>
          <cell r="JV43">
            <v>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20"/>
      <sheetData sheetId="21"/>
      <sheetData sheetId="22">
        <row r="12">
          <cell r="IT12">
            <v>0</v>
          </cell>
        </row>
        <row r="19">
          <cell r="JH19">
            <v>34</v>
          </cell>
          <cell r="JI19">
            <v>24</v>
          </cell>
          <cell r="JV19">
            <v>0</v>
          </cell>
          <cell r="JW19">
            <v>0</v>
          </cell>
        </row>
        <row r="41">
          <cell r="JH41">
            <v>6268</v>
          </cell>
          <cell r="JI41">
            <v>3076</v>
          </cell>
          <cell r="JV41">
            <v>0</v>
          </cell>
          <cell r="JW41">
            <v>0</v>
          </cell>
        </row>
        <row r="43">
          <cell r="JH43">
            <v>6409</v>
          </cell>
          <cell r="JI43">
            <v>3124</v>
          </cell>
          <cell r="JV43">
            <v>0</v>
          </cell>
          <cell r="JW43">
            <v>0</v>
          </cell>
        </row>
        <row r="64">
          <cell r="JH64">
            <v>534234</v>
          </cell>
          <cell r="JI64">
            <v>501971</v>
          </cell>
          <cell r="JV64">
            <v>0</v>
          </cell>
          <cell r="JW64">
            <v>0</v>
          </cell>
        </row>
      </sheetData>
      <sheetData sheetId="23">
        <row r="4">
          <cell r="JW4">
            <v>391</v>
          </cell>
        </row>
        <row r="5">
          <cell r="JW5">
            <v>391</v>
          </cell>
        </row>
        <row r="19">
          <cell r="JH19">
            <v>885</v>
          </cell>
          <cell r="JI19">
            <v>811</v>
          </cell>
          <cell r="JV19">
            <v>754</v>
          </cell>
          <cell r="JW19">
            <v>782</v>
          </cell>
        </row>
        <row r="22">
          <cell r="JW22">
            <v>45130</v>
          </cell>
        </row>
        <row r="23">
          <cell r="JW23">
            <v>45914</v>
          </cell>
        </row>
        <row r="27">
          <cell r="JW27">
            <v>1426</v>
          </cell>
        </row>
        <row r="28">
          <cell r="JW28">
            <v>1530</v>
          </cell>
        </row>
        <row r="41">
          <cell r="JH41">
            <v>91333</v>
          </cell>
          <cell r="JI41">
            <v>89844</v>
          </cell>
          <cell r="JV41">
            <v>84840</v>
          </cell>
          <cell r="JW41">
            <v>91044</v>
          </cell>
        </row>
        <row r="43">
          <cell r="JH43">
            <v>94783</v>
          </cell>
          <cell r="JI43">
            <v>92647</v>
          </cell>
          <cell r="JV43">
            <v>87950</v>
          </cell>
          <cell r="JW43">
            <v>94000</v>
          </cell>
        </row>
        <row r="47">
          <cell r="JW47">
            <v>145782</v>
          </cell>
        </row>
        <row r="52">
          <cell r="JW52">
            <v>33025</v>
          </cell>
        </row>
        <row r="64">
          <cell r="JH64">
            <v>197876</v>
          </cell>
          <cell r="JI64">
            <v>195378</v>
          </cell>
          <cell r="JV64">
            <v>183808</v>
          </cell>
          <cell r="JW64">
            <v>178807</v>
          </cell>
        </row>
      </sheetData>
      <sheetData sheetId="24">
        <row r="12">
          <cell r="EZ12">
            <v>792</v>
          </cell>
        </row>
        <row r="19">
          <cell r="JH19">
            <v>150</v>
          </cell>
          <cell r="JI19">
            <v>100</v>
          </cell>
          <cell r="JV19">
            <v>0</v>
          </cell>
          <cell r="JW19">
            <v>0</v>
          </cell>
        </row>
        <row r="41">
          <cell r="JH41">
            <v>21226</v>
          </cell>
          <cell r="JI41">
            <v>13872</v>
          </cell>
          <cell r="JV41">
            <v>0</v>
          </cell>
          <cell r="JW41">
            <v>0</v>
          </cell>
        </row>
        <row r="43">
          <cell r="JH43">
            <v>21435</v>
          </cell>
          <cell r="JI43">
            <v>14029</v>
          </cell>
          <cell r="JV43">
            <v>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25">
        <row r="4">
          <cell r="JW4">
            <v>694</v>
          </cell>
        </row>
        <row r="5">
          <cell r="JW5">
            <v>706</v>
          </cell>
        </row>
        <row r="8">
          <cell r="JW8">
            <v>70</v>
          </cell>
        </row>
        <row r="9">
          <cell r="JW9">
            <v>60</v>
          </cell>
        </row>
        <row r="15">
          <cell r="JV15">
            <v>193</v>
          </cell>
          <cell r="JW15">
            <v>249</v>
          </cell>
        </row>
        <row r="16">
          <cell r="JV16">
            <v>194</v>
          </cell>
          <cell r="JW16">
            <v>245</v>
          </cell>
        </row>
        <row r="19">
          <cell r="JH19">
            <v>2089</v>
          </cell>
          <cell r="JI19">
            <v>2255</v>
          </cell>
          <cell r="JV19">
            <v>1810</v>
          </cell>
          <cell r="JW19">
            <v>2024</v>
          </cell>
        </row>
        <row r="22">
          <cell r="JW22">
            <v>103278</v>
          </cell>
        </row>
        <row r="23">
          <cell r="JW23">
            <v>113861</v>
          </cell>
        </row>
        <row r="27">
          <cell r="JW27">
            <v>2426</v>
          </cell>
        </row>
        <row r="28">
          <cell r="JW28">
            <v>2677</v>
          </cell>
        </row>
        <row r="32">
          <cell r="JV32">
            <v>28855</v>
          </cell>
          <cell r="JW32">
            <v>33582</v>
          </cell>
        </row>
        <row r="33">
          <cell r="JV33">
            <v>28510</v>
          </cell>
          <cell r="JW33">
            <v>34777</v>
          </cell>
        </row>
        <row r="37">
          <cell r="JV37">
            <v>681</v>
          </cell>
          <cell r="JW37">
            <v>648</v>
          </cell>
        </row>
        <row r="38">
          <cell r="JV38">
            <v>672</v>
          </cell>
          <cell r="JW38">
            <v>647</v>
          </cell>
        </row>
        <row r="41">
          <cell r="JH41">
            <v>256789</v>
          </cell>
          <cell r="JI41">
            <v>319732</v>
          </cell>
          <cell r="JV41">
            <v>259896</v>
          </cell>
          <cell r="JW41">
            <v>285498</v>
          </cell>
        </row>
        <row r="43">
          <cell r="JH43">
            <v>262084</v>
          </cell>
          <cell r="JI43">
            <v>325180</v>
          </cell>
          <cell r="JV43">
            <v>265892</v>
          </cell>
          <cell r="JW43">
            <v>291896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26"/>
      <sheetData sheetId="27"/>
      <sheetData sheetId="28">
        <row r="4">
          <cell r="JW4">
            <v>340</v>
          </cell>
        </row>
        <row r="5">
          <cell r="JW5">
            <v>340</v>
          </cell>
        </row>
        <row r="8">
          <cell r="JW8">
            <v>1</v>
          </cell>
        </row>
        <row r="9">
          <cell r="JW9">
            <v>1</v>
          </cell>
        </row>
        <row r="15">
          <cell r="JW15">
            <v>1</v>
          </cell>
        </row>
        <row r="19">
          <cell r="JH19">
            <v>709</v>
          </cell>
          <cell r="JI19">
            <v>666</v>
          </cell>
          <cell r="JV19">
            <v>715</v>
          </cell>
          <cell r="JW19">
            <v>683</v>
          </cell>
        </row>
        <row r="22">
          <cell r="JW22">
            <v>41698</v>
          </cell>
        </row>
        <row r="23">
          <cell r="JW23">
            <v>41108</v>
          </cell>
        </row>
        <row r="27">
          <cell r="JW27">
            <v>2102</v>
          </cell>
        </row>
        <row r="28">
          <cell r="JW28">
            <v>2167</v>
          </cell>
        </row>
        <row r="41">
          <cell r="JH41">
            <v>83717</v>
          </cell>
          <cell r="JI41">
            <v>78095</v>
          </cell>
          <cell r="JV41">
            <v>83983</v>
          </cell>
          <cell r="JW41">
            <v>82806</v>
          </cell>
        </row>
        <row r="43">
          <cell r="JH43">
            <v>88048</v>
          </cell>
          <cell r="JI43">
            <v>81886</v>
          </cell>
          <cell r="JV43">
            <v>87893</v>
          </cell>
          <cell r="JW43">
            <v>87075</v>
          </cell>
        </row>
        <row r="47">
          <cell r="JW47">
            <v>22646</v>
          </cell>
        </row>
        <row r="48">
          <cell r="JW48">
            <v>173727</v>
          </cell>
        </row>
        <row r="52">
          <cell r="JW52">
            <v>10274</v>
          </cell>
        </row>
        <row r="53">
          <cell r="JW53">
            <v>186366</v>
          </cell>
        </row>
        <row r="64">
          <cell r="JH64">
            <v>13175</v>
          </cell>
          <cell r="JI64">
            <v>42272</v>
          </cell>
          <cell r="JV64">
            <v>361196</v>
          </cell>
          <cell r="JW64">
            <v>393013</v>
          </cell>
        </row>
      </sheetData>
      <sheetData sheetId="29">
        <row r="12">
          <cell r="IF12">
            <v>0</v>
          </cell>
        </row>
        <row r="15">
          <cell r="JV15">
            <v>61</v>
          </cell>
          <cell r="JW15">
            <v>57</v>
          </cell>
        </row>
        <row r="16">
          <cell r="JV16">
            <v>61</v>
          </cell>
          <cell r="JW16">
            <v>57</v>
          </cell>
        </row>
        <row r="19">
          <cell r="JH19">
            <v>128</v>
          </cell>
          <cell r="JI19">
            <v>118</v>
          </cell>
          <cell r="JV19">
            <v>122</v>
          </cell>
          <cell r="JW19">
            <v>114</v>
          </cell>
        </row>
        <row r="32">
          <cell r="JV32">
            <v>4197</v>
          </cell>
          <cell r="JW32">
            <v>3951</v>
          </cell>
        </row>
        <row r="33">
          <cell r="JV33">
            <v>5057</v>
          </cell>
          <cell r="JW33">
            <v>3832</v>
          </cell>
        </row>
        <row r="37">
          <cell r="JV37">
            <v>1</v>
          </cell>
        </row>
        <row r="38">
          <cell r="JW38">
            <v>2</v>
          </cell>
        </row>
        <row r="41">
          <cell r="JH41">
            <v>9844</v>
          </cell>
          <cell r="JI41">
            <v>10402</v>
          </cell>
          <cell r="JV41">
            <v>9254</v>
          </cell>
          <cell r="JW41">
            <v>7783</v>
          </cell>
        </row>
        <row r="43">
          <cell r="JH43">
            <v>9849</v>
          </cell>
          <cell r="JI43">
            <v>10406</v>
          </cell>
          <cell r="JV43">
            <v>9255</v>
          </cell>
          <cell r="JW43">
            <v>7785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30">
        <row r="12">
          <cell r="EZ12">
            <v>0</v>
          </cell>
        </row>
      </sheetData>
      <sheetData sheetId="31">
        <row r="4">
          <cell r="JW4">
            <v>125</v>
          </cell>
        </row>
        <row r="5">
          <cell r="JW5">
            <v>125</v>
          </cell>
        </row>
        <row r="19">
          <cell r="JH19">
            <v>142</v>
          </cell>
          <cell r="JI19">
            <v>154</v>
          </cell>
          <cell r="JV19">
            <v>192</v>
          </cell>
          <cell r="JW19">
            <v>250</v>
          </cell>
        </row>
        <row r="22">
          <cell r="JW22">
            <v>7425</v>
          </cell>
        </row>
        <row r="23">
          <cell r="JW23">
            <v>6861</v>
          </cell>
        </row>
        <row r="27">
          <cell r="JW27">
            <v>383</v>
          </cell>
        </row>
        <row r="28">
          <cell r="JW28">
            <v>363</v>
          </cell>
        </row>
        <row r="41">
          <cell r="JH41">
            <v>8120</v>
          </cell>
          <cell r="JI41">
            <v>8819</v>
          </cell>
          <cell r="JV41">
            <v>10849</v>
          </cell>
          <cell r="JW41">
            <v>14286</v>
          </cell>
        </row>
        <row r="43">
          <cell r="JH43">
            <v>8482</v>
          </cell>
          <cell r="JI43">
            <v>9221</v>
          </cell>
          <cell r="JV43">
            <v>11352</v>
          </cell>
          <cell r="JW43">
            <v>15032</v>
          </cell>
        </row>
        <row r="47">
          <cell r="JW47">
            <v>496</v>
          </cell>
        </row>
        <row r="52">
          <cell r="JW52">
            <v>400</v>
          </cell>
        </row>
        <row r="64">
          <cell r="JH64">
            <v>1194</v>
          </cell>
          <cell r="JI64">
            <v>444</v>
          </cell>
          <cell r="JV64">
            <v>2064</v>
          </cell>
          <cell r="JW64">
            <v>896</v>
          </cell>
        </row>
      </sheetData>
      <sheetData sheetId="32">
        <row r="12">
          <cell r="EZ12">
            <v>0</v>
          </cell>
        </row>
      </sheetData>
      <sheetData sheetId="33">
        <row r="12">
          <cell r="EZ12">
            <v>0</v>
          </cell>
        </row>
      </sheetData>
      <sheetData sheetId="34">
        <row r="12">
          <cell r="EZ12">
            <v>664</v>
          </cell>
        </row>
      </sheetData>
      <sheetData sheetId="35"/>
      <sheetData sheetId="36"/>
      <sheetData sheetId="37"/>
      <sheetData sheetId="38">
        <row r="12">
          <cell r="EZ12">
            <v>1001</v>
          </cell>
        </row>
      </sheetData>
      <sheetData sheetId="39"/>
      <sheetData sheetId="40">
        <row r="12">
          <cell r="EZ12">
            <v>24</v>
          </cell>
        </row>
      </sheetData>
      <sheetData sheetId="41"/>
      <sheetData sheetId="42">
        <row r="12">
          <cell r="EZ12">
            <v>496</v>
          </cell>
        </row>
      </sheetData>
      <sheetData sheetId="43">
        <row r="12">
          <cell r="EZ12">
            <v>26</v>
          </cell>
        </row>
      </sheetData>
      <sheetData sheetId="44">
        <row r="4">
          <cell r="JW4">
            <v>22</v>
          </cell>
        </row>
        <row r="5">
          <cell r="JW5">
            <v>22</v>
          </cell>
        </row>
        <row r="8">
          <cell r="JW8">
            <v>2</v>
          </cell>
        </row>
        <row r="9">
          <cell r="JW9">
            <v>4</v>
          </cell>
        </row>
        <row r="19">
          <cell r="JH19">
            <v>74</v>
          </cell>
          <cell r="JI19">
            <v>80</v>
          </cell>
          <cell r="JV19">
            <v>54</v>
          </cell>
          <cell r="JW19">
            <v>50</v>
          </cell>
        </row>
        <row r="22">
          <cell r="JW22">
            <v>1180</v>
          </cell>
        </row>
        <row r="23">
          <cell r="JW23">
            <v>1265</v>
          </cell>
        </row>
        <row r="27">
          <cell r="JW27">
            <v>41</v>
          </cell>
        </row>
        <row r="28">
          <cell r="JW28">
            <v>53</v>
          </cell>
        </row>
        <row r="41">
          <cell r="JH41">
            <v>4500</v>
          </cell>
          <cell r="JI41">
            <v>4377</v>
          </cell>
          <cell r="JV41">
            <v>3866</v>
          </cell>
          <cell r="JW41">
            <v>2445</v>
          </cell>
        </row>
        <row r="43">
          <cell r="JH43">
            <v>4697</v>
          </cell>
          <cell r="JI43">
            <v>4579</v>
          </cell>
          <cell r="JV43">
            <v>4037</v>
          </cell>
          <cell r="JW43">
            <v>2539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45">
        <row r="12">
          <cell r="EZ12">
            <v>0</v>
          </cell>
        </row>
        <row r="15">
          <cell r="JV15">
            <v>22</v>
          </cell>
          <cell r="JW15">
            <v>24</v>
          </cell>
        </row>
        <row r="16">
          <cell r="JV16">
            <v>24</v>
          </cell>
          <cell r="JW16">
            <v>23</v>
          </cell>
        </row>
        <row r="19">
          <cell r="JH19">
            <v>184</v>
          </cell>
          <cell r="JI19">
            <v>130</v>
          </cell>
          <cell r="JV19">
            <v>46</v>
          </cell>
          <cell r="JW19">
            <v>47</v>
          </cell>
        </row>
        <row r="32">
          <cell r="JV32">
            <v>1369</v>
          </cell>
          <cell r="JW32">
            <v>1106</v>
          </cell>
        </row>
        <row r="33">
          <cell r="JV33">
            <v>1399</v>
          </cell>
          <cell r="JW33">
            <v>1226</v>
          </cell>
        </row>
        <row r="37">
          <cell r="JV37">
            <v>24</v>
          </cell>
          <cell r="JW37">
            <v>41</v>
          </cell>
        </row>
        <row r="38">
          <cell r="JV38">
            <v>44</v>
          </cell>
          <cell r="JW38">
            <v>37</v>
          </cell>
        </row>
        <row r="41">
          <cell r="JH41">
            <v>7734</v>
          </cell>
          <cell r="JI41">
            <v>5734</v>
          </cell>
          <cell r="JV41">
            <v>2768</v>
          </cell>
          <cell r="JW41">
            <v>2332</v>
          </cell>
        </row>
        <row r="43">
          <cell r="JH43">
            <v>7907</v>
          </cell>
          <cell r="JI43">
            <v>5843</v>
          </cell>
          <cell r="JV43">
            <v>2836</v>
          </cell>
          <cell r="JW43">
            <v>2410</v>
          </cell>
        </row>
        <row r="47">
          <cell r="JW47">
            <v>4817.5</v>
          </cell>
        </row>
        <row r="52">
          <cell r="JW52">
            <v>5232</v>
          </cell>
        </row>
        <row r="64">
          <cell r="JH64">
            <v>10641.7</v>
          </cell>
          <cell r="JI64">
            <v>20175.5</v>
          </cell>
          <cell r="JV64">
            <v>6183.1</v>
          </cell>
          <cell r="JW64">
            <v>10049.5</v>
          </cell>
        </row>
      </sheetData>
      <sheetData sheetId="46">
        <row r="4">
          <cell r="JW4">
            <v>31</v>
          </cell>
        </row>
        <row r="5">
          <cell r="JW5">
            <v>32</v>
          </cell>
        </row>
        <row r="19">
          <cell r="JH19">
            <v>80</v>
          </cell>
          <cell r="JI19">
            <v>120</v>
          </cell>
          <cell r="JV19">
            <v>92</v>
          </cell>
          <cell r="JW19">
            <v>63</v>
          </cell>
        </row>
        <row r="22">
          <cell r="JW22">
            <v>1379</v>
          </cell>
        </row>
        <row r="23">
          <cell r="JW23">
            <v>1839</v>
          </cell>
        </row>
        <row r="27">
          <cell r="JW27">
            <v>88</v>
          </cell>
        </row>
        <row r="28">
          <cell r="JW28">
            <v>89</v>
          </cell>
        </row>
        <row r="41">
          <cell r="JH41">
            <v>4677</v>
          </cell>
          <cell r="JI41">
            <v>7217</v>
          </cell>
          <cell r="JV41">
            <v>5450</v>
          </cell>
          <cell r="JW41">
            <v>3218</v>
          </cell>
        </row>
        <row r="43">
          <cell r="JH43">
            <v>4855</v>
          </cell>
          <cell r="JI43">
            <v>7500</v>
          </cell>
          <cell r="JV43">
            <v>5693</v>
          </cell>
          <cell r="JW43">
            <v>3395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47">
        <row r="12">
          <cell r="EZ12">
            <v>0</v>
          </cell>
        </row>
      </sheetData>
      <sheetData sheetId="48"/>
      <sheetData sheetId="49">
        <row r="4">
          <cell r="JW4">
            <v>1059</v>
          </cell>
        </row>
        <row r="5">
          <cell r="JW5">
            <v>1062</v>
          </cell>
        </row>
        <row r="8">
          <cell r="JW8">
            <v>1</v>
          </cell>
        </row>
        <row r="9">
          <cell r="JW9">
            <v>1</v>
          </cell>
        </row>
        <row r="15">
          <cell r="JV15">
            <v>32</v>
          </cell>
          <cell r="JW15">
            <v>28</v>
          </cell>
        </row>
        <row r="16">
          <cell r="JV16">
            <v>32</v>
          </cell>
          <cell r="JW16">
            <v>27</v>
          </cell>
        </row>
        <row r="19">
          <cell r="JH19">
            <v>2774</v>
          </cell>
          <cell r="JI19">
            <v>2423</v>
          </cell>
          <cell r="JV19">
            <v>3053</v>
          </cell>
          <cell r="JW19">
            <v>2178</v>
          </cell>
        </row>
        <row r="22">
          <cell r="JW22">
            <v>60681</v>
          </cell>
        </row>
        <row r="23">
          <cell r="JW23">
            <v>59364</v>
          </cell>
        </row>
        <row r="27">
          <cell r="JW27">
            <v>2231</v>
          </cell>
        </row>
        <row r="28">
          <cell r="JW28">
            <v>2195</v>
          </cell>
        </row>
        <row r="32">
          <cell r="JV32">
            <v>1982</v>
          </cell>
          <cell r="JW32">
            <v>1654</v>
          </cell>
        </row>
        <row r="33">
          <cell r="JV33">
            <v>1456</v>
          </cell>
          <cell r="JW33">
            <v>1114</v>
          </cell>
        </row>
        <row r="37">
          <cell r="JV37">
            <v>25</v>
          </cell>
          <cell r="JW37">
            <v>23</v>
          </cell>
        </row>
        <row r="38">
          <cell r="JV38">
            <v>23</v>
          </cell>
          <cell r="JW38">
            <v>31</v>
          </cell>
        </row>
        <row r="41">
          <cell r="JH41">
            <v>156940</v>
          </cell>
          <cell r="JI41">
            <v>140831</v>
          </cell>
          <cell r="JV41">
            <v>169217</v>
          </cell>
          <cell r="JW41">
            <v>122813</v>
          </cell>
        </row>
        <row r="43">
          <cell r="JH43">
            <v>161915</v>
          </cell>
          <cell r="JI43">
            <v>145241</v>
          </cell>
          <cell r="JV43">
            <v>174974</v>
          </cell>
          <cell r="JW43">
            <v>127293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  <row r="70">
          <cell r="JW70">
            <v>23243</v>
          </cell>
        </row>
        <row r="71">
          <cell r="JW71">
            <v>36121</v>
          </cell>
        </row>
        <row r="73">
          <cell r="JW73">
            <v>436</v>
          </cell>
        </row>
        <row r="74">
          <cell r="JW74">
            <v>678</v>
          </cell>
        </row>
      </sheetData>
      <sheetData sheetId="50">
        <row r="4">
          <cell r="JW4">
            <v>77</v>
          </cell>
        </row>
        <row r="5">
          <cell r="JW5">
            <v>76</v>
          </cell>
        </row>
        <row r="19">
          <cell r="JH19">
            <v>179</v>
          </cell>
          <cell r="JI19">
            <v>177</v>
          </cell>
          <cell r="JV19">
            <v>166</v>
          </cell>
          <cell r="JW19">
            <v>153</v>
          </cell>
        </row>
        <row r="22">
          <cell r="JW22">
            <v>3691</v>
          </cell>
        </row>
        <row r="23">
          <cell r="JW23">
            <v>3840</v>
          </cell>
        </row>
        <row r="27">
          <cell r="JW27">
            <v>131</v>
          </cell>
        </row>
        <row r="28">
          <cell r="JW28">
            <v>125</v>
          </cell>
        </row>
        <row r="41">
          <cell r="JH41">
            <v>9162</v>
          </cell>
          <cell r="JI41">
            <v>8955</v>
          </cell>
          <cell r="JV41">
            <v>8475</v>
          </cell>
          <cell r="JW41">
            <v>7531</v>
          </cell>
        </row>
        <row r="43">
          <cell r="JH43">
            <v>9470</v>
          </cell>
          <cell r="JI43">
            <v>9240</v>
          </cell>
          <cell r="JV43">
            <v>8739</v>
          </cell>
          <cell r="JW43">
            <v>7787</v>
          </cell>
        </row>
        <row r="47">
          <cell r="JW47">
            <v>40</v>
          </cell>
        </row>
        <row r="52">
          <cell r="JW52">
            <v>270</v>
          </cell>
        </row>
        <row r="64">
          <cell r="JH64">
            <v>152</v>
          </cell>
          <cell r="JI64">
            <v>62</v>
          </cell>
          <cell r="JV64">
            <v>0</v>
          </cell>
          <cell r="JW64">
            <v>310</v>
          </cell>
        </row>
      </sheetData>
      <sheetData sheetId="51">
        <row r="4">
          <cell r="JW4">
            <v>48</v>
          </cell>
        </row>
        <row r="5">
          <cell r="JW5">
            <v>47</v>
          </cell>
        </row>
        <row r="19">
          <cell r="JH19">
            <v>134</v>
          </cell>
          <cell r="JI19">
            <v>112</v>
          </cell>
          <cell r="JV19">
            <v>104</v>
          </cell>
          <cell r="JW19">
            <v>95</v>
          </cell>
        </row>
        <row r="22">
          <cell r="JW22">
            <v>2668</v>
          </cell>
        </row>
        <row r="23">
          <cell r="JW23">
            <v>2778</v>
          </cell>
        </row>
        <row r="27">
          <cell r="JW27">
            <v>95</v>
          </cell>
        </row>
        <row r="28">
          <cell r="JW28">
            <v>106</v>
          </cell>
        </row>
        <row r="41">
          <cell r="JH41">
            <v>7429</v>
          </cell>
          <cell r="JI41">
            <v>6264</v>
          </cell>
          <cell r="JV41">
            <v>5679</v>
          </cell>
          <cell r="JW41">
            <v>5446</v>
          </cell>
        </row>
        <row r="43">
          <cell r="JH43">
            <v>7782</v>
          </cell>
          <cell r="JI43">
            <v>6535</v>
          </cell>
          <cell r="JV43">
            <v>5936</v>
          </cell>
          <cell r="JW43">
            <v>5647</v>
          </cell>
        </row>
        <row r="47">
          <cell r="JW47">
            <v>580</v>
          </cell>
        </row>
        <row r="52">
          <cell r="JW52">
            <v>100</v>
          </cell>
        </row>
        <row r="64">
          <cell r="JH64">
            <v>2846</v>
          </cell>
          <cell r="JI64">
            <v>1929</v>
          </cell>
          <cell r="JV64">
            <v>95</v>
          </cell>
          <cell r="JW64">
            <v>680</v>
          </cell>
        </row>
      </sheetData>
      <sheetData sheetId="52">
        <row r="4">
          <cell r="JW4">
            <v>74</v>
          </cell>
        </row>
        <row r="5">
          <cell r="JW5">
            <v>75</v>
          </cell>
        </row>
        <row r="8">
          <cell r="JW8">
            <v>1</v>
          </cell>
        </row>
        <row r="19">
          <cell r="JH19">
            <v>189</v>
          </cell>
          <cell r="JI19">
            <v>191</v>
          </cell>
          <cell r="JV19">
            <v>143</v>
          </cell>
          <cell r="JW19">
            <v>150</v>
          </cell>
        </row>
        <row r="22">
          <cell r="JW22">
            <v>4117</v>
          </cell>
        </row>
        <row r="23">
          <cell r="JW23">
            <v>4145</v>
          </cell>
        </row>
        <row r="27">
          <cell r="JW27">
            <v>155</v>
          </cell>
        </row>
        <row r="28">
          <cell r="JW28">
            <v>157</v>
          </cell>
        </row>
        <row r="41">
          <cell r="JH41">
            <v>11341</v>
          </cell>
          <cell r="JI41">
            <v>11118</v>
          </cell>
          <cell r="JV41">
            <v>8514</v>
          </cell>
          <cell r="JW41">
            <v>8262</v>
          </cell>
        </row>
        <row r="43">
          <cell r="JH43">
            <v>11790</v>
          </cell>
          <cell r="JI43">
            <v>11520</v>
          </cell>
          <cell r="JV43">
            <v>8870</v>
          </cell>
          <cell r="JW43">
            <v>8574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53">
        <row r="12">
          <cell r="EZ12">
            <v>0</v>
          </cell>
        </row>
      </sheetData>
      <sheetData sheetId="54">
        <row r="4">
          <cell r="JW4">
            <v>2151</v>
          </cell>
        </row>
        <row r="5">
          <cell r="JW5">
            <v>2151</v>
          </cell>
        </row>
        <row r="9">
          <cell r="JW9">
            <v>2</v>
          </cell>
        </row>
        <row r="15">
          <cell r="JV15">
            <v>142</v>
          </cell>
          <cell r="JW15">
            <v>128</v>
          </cell>
        </row>
        <row r="16">
          <cell r="JV16">
            <v>141</v>
          </cell>
          <cell r="JW16">
            <v>128</v>
          </cell>
        </row>
        <row r="19">
          <cell r="JH19">
            <v>4102</v>
          </cell>
          <cell r="JI19">
            <v>3682</v>
          </cell>
          <cell r="JV19">
            <v>4174</v>
          </cell>
          <cell r="JW19">
            <v>4560</v>
          </cell>
        </row>
        <row r="22">
          <cell r="JW22">
            <v>117017</v>
          </cell>
        </row>
        <row r="23">
          <cell r="JW23">
            <v>115981</v>
          </cell>
        </row>
        <row r="27">
          <cell r="JW27">
            <v>4327</v>
          </cell>
        </row>
        <row r="28">
          <cell r="JW28">
            <v>4159</v>
          </cell>
        </row>
        <row r="32">
          <cell r="JV32">
            <v>9095</v>
          </cell>
          <cell r="JW32">
            <v>7576</v>
          </cell>
        </row>
        <row r="33">
          <cell r="JV33">
            <v>8438</v>
          </cell>
          <cell r="JW33">
            <v>8025</v>
          </cell>
        </row>
        <row r="37">
          <cell r="JV37">
            <v>153</v>
          </cell>
          <cell r="JW37">
            <v>137</v>
          </cell>
        </row>
        <row r="38">
          <cell r="JV38">
            <v>128</v>
          </cell>
          <cell r="JW38">
            <v>123</v>
          </cell>
        </row>
        <row r="41">
          <cell r="JH41">
            <v>197082</v>
          </cell>
          <cell r="JI41">
            <v>185134</v>
          </cell>
          <cell r="JV41">
            <v>196702</v>
          </cell>
          <cell r="JW41">
            <v>248599</v>
          </cell>
        </row>
        <row r="43">
          <cell r="JH43">
            <v>203680</v>
          </cell>
          <cell r="JI43">
            <v>190955</v>
          </cell>
          <cell r="JV43">
            <v>203894</v>
          </cell>
          <cell r="JW43">
            <v>257345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  <row r="70">
          <cell r="JW70">
            <v>42301</v>
          </cell>
        </row>
        <row r="71">
          <cell r="JW71">
            <v>73680</v>
          </cell>
        </row>
        <row r="73">
          <cell r="JW73">
            <v>2927</v>
          </cell>
        </row>
        <row r="74">
          <cell r="JW74">
            <v>5098</v>
          </cell>
        </row>
      </sheetData>
      <sheetData sheetId="55"/>
      <sheetData sheetId="56">
        <row r="4">
          <cell r="JW4">
            <v>8</v>
          </cell>
        </row>
        <row r="5">
          <cell r="JW5">
            <v>8</v>
          </cell>
        </row>
        <row r="19">
          <cell r="JH19">
            <v>0</v>
          </cell>
          <cell r="JI19">
            <v>0</v>
          </cell>
          <cell r="JV19">
            <v>10</v>
          </cell>
          <cell r="JW19">
            <v>16</v>
          </cell>
        </row>
        <row r="22">
          <cell r="JW22">
            <v>427</v>
          </cell>
        </row>
        <row r="23">
          <cell r="JW23">
            <v>401</v>
          </cell>
        </row>
        <row r="27">
          <cell r="JW27">
            <v>8</v>
          </cell>
        </row>
        <row r="28">
          <cell r="JW28">
            <v>18</v>
          </cell>
        </row>
        <row r="41">
          <cell r="JH41">
            <v>0</v>
          </cell>
          <cell r="JI41">
            <v>0</v>
          </cell>
          <cell r="JV41">
            <v>579</v>
          </cell>
          <cell r="JW41">
            <v>828</v>
          </cell>
        </row>
        <row r="43">
          <cell r="JH43">
            <v>0</v>
          </cell>
          <cell r="JI43">
            <v>0</v>
          </cell>
          <cell r="JV43">
            <v>612</v>
          </cell>
          <cell r="JW43">
            <v>854</v>
          </cell>
        </row>
        <row r="64">
          <cell r="JH64">
            <v>0</v>
          </cell>
          <cell r="JI64">
            <v>0</v>
          </cell>
          <cell r="JV64">
            <v>1</v>
          </cell>
          <cell r="JW64">
            <v>0</v>
          </cell>
        </row>
      </sheetData>
      <sheetData sheetId="57">
        <row r="12">
          <cell r="EZ12">
            <v>57</v>
          </cell>
        </row>
      </sheetData>
      <sheetData sheetId="58">
        <row r="12">
          <cell r="EZ12">
            <v>24</v>
          </cell>
        </row>
      </sheetData>
      <sheetData sheetId="59">
        <row r="12">
          <cell r="EZ12">
            <v>138</v>
          </cell>
        </row>
      </sheetData>
      <sheetData sheetId="60"/>
      <sheetData sheetId="61"/>
      <sheetData sheetId="62"/>
      <sheetData sheetId="63"/>
      <sheetData sheetId="64">
        <row r="12">
          <cell r="EZ12">
            <v>0</v>
          </cell>
        </row>
      </sheetData>
      <sheetData sheetId="65">
        <row r="12">
          <cell r="EZ12">
            <v>0</v>
          </cell>
        </row>
      </sheetData>
      <sheetData sheetId="66">
        <row r="12">
          <cell r="EZ12">
            <v>0</v>
          </cell>
        </row>
      </sheetData>
      <sheetData sheetId="67">
        <row r="12">
          <cell r="EZ12">
            <v>2</v>
          </cell>
        </row>
        <row r="15">
          <cell r="JV15">
            <v>1</v>
          </cell>
        </row>
        <row r="32">
          <cell r="JV32">
            <v>60</v>
          </cell>
        </row>
      </sheetData>
      <sheetData sheetId="68">
        <row r="4">
          <cell r="JW4">
            <v>2</v>
          </cell>
        </row>
        <row r="5">
          <cell r="JW5">
            <v>2</v>
          </cell>
        </row>
        <row r="19">
          <cell r="JH19">
            <v>8</v>
          </cell>
          <cell r="JI19">
            <v>0</v>
          </cell>
          <cell r="JV19">
            <v>0</v>
          </cell>
          <cell r="JW19">
            <v>4</v>
          </cell>
        </row>
        <row r="47">
          <cell r="JW47">
            <v>35</v>
          </cell>
        </row>
        <row r="52">
          <cell r="JW52">
            <v>23590</v>
          </cell>
        </row>
        <row r="64">
          <cell r="JH64">
            <v>108656</v>
          </cell>
          <cell r="JI64">
            <v>0</v>
          </cell>
          <cell r="JV64">
            <v>0</v>
          </cell>
          <cell r="JW64">
            <v>23625</v>
          </cell>
        </row>
      </sheetData>
      <sheetData sheetId="69">
        <row r="4">
          <cell r="JW4">
            <v>78</v>
          </cell>
        </row>
        <row r="5">
          <cell r="JW5">
            <v>78</v>
          </cell>
        </row>
        <row r="19">
          <cell r="JH19">
            <v>188</v>
          </cell>
          <cell r="JI19">
            <v>196</v>
          </cell>
          <cell r="JV19">
            <v>112</v>
          </cell>
          <cell r="JW19">
            <v>156</v>
          </cell>
        </row>
        <row r="47">
          <cell r="JW47">
            <v>2095645</v>
          </cell>
        </row>
        <row r="52">
          <cell r="JW52">
            <v>2139348</v>
          </cell>
        </row>
        <row r="64">
          <cell r="JH64">
            <v>4687790</v>
          </cell>
          <cell r="JI64">
            <v>4813570</v>
          </cell>
          <cell r="JV64">
            <v>5192488</v>
          </cell>
          <cell r="JW64">
            <v>4234993</v>
          </cell>
        </row>
      </sheetData>
      <sheetData sheetId="70">
        <row r="4">
          <cell r="JW4">
            <v>21</v>
          </cell>
        </row>
        <row r="5">
          <cell r="JW5">
            <v>21</v>
          </cell>
        </row>
        <row r="19">
          <cell r="JH19">
            <v>2</v>
          </cell>
          <cell r="JI19">
            <v>8</v>
          </cell>
          <cell r="JV19">
            <v>36</v>
          </cell>
          <cell r="JW19">
            <v>42</v>
          </cell>
        </row>
        <row r="47">
          <cell r="JW47">
            <v>766602</v>
          </cell>
        </row>
        <row r="52">
          <cell r="JW52">
            <v>600821</v>
          </cell>
        </row>
        <row r="64">
          <cell r="JH64">
            <v>114276</v>
          </cell>
          <cell r="JI64">
            <v>259754</v>
          </cell>
          <cell r="JV64">
            <v>1115206</v>
          </cell>
          <cell r="JW64">
            <v>1367423</v>
          </cell>
        </row>
      </sheetData>
      <sheetData sheetId="71">
        <row r="4">
          <cell r="JX4">
            <v>12</v>
          </cell>
        </row>
        <row r="19">
          <cell r="JH19">
            <v>8</v>
          </cell>
          <cell r="JI19">
            <v>0</v>
          </cell>
          <cell r="JV19">
            <v>2</v>
          </cell>
          <cell r="JW19">
            <v>0</v>
          </cell>
        </row>
        <row r="64">
          <cell r="JH64">
            <v>205001</v>
          </cell>
          <cell r="JI64">
            <v>0</v>
          </cell>
          <cell r="JV64">
            <v>66634</v>
          </cell>
          <cell r="JW64">
            <v>0</v>
          </cell>
        </row>
      </sheetData>
      <sheetData sheetId="72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3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4">
        <row r="4">
          <cell r="JW4">
            <v>38</v>
          </cell>
        </row>
        <row r="5">
          <cell r="JW5">
            <v>38</v>
          </cell>
        </row>
        <row r="19">
          <cell r="JH19">
            <v>78</v>
          </cell>
          <cell r="JI19">
            <v>78</v>
          </cell>
          <cell r="JV19">
            <v>74</v>
          </cell>
          <cell r="JW19">
            <v>76</v>
          </cell>
        </row>
        <row r="47">
          <cell r="JW47">
            <v>87070</v>
          </cell>
        </row>
        <row r="52">
          <cell r="JW52">
            <v>50076</v>
          </cell>
        </row>
        <row r="64">
          <cell r="JH64">
            <v>79156</v>
          </cell>
          <cell r="JI64">
            <v>81418</v>
          </cell>
          <cell r="JV64">
            <v>133234</v>
          </cell>
          <cell r="JW64">
            <v>137146</v>
          </cell>
        </row>
      </sheetData>
      <sheetData sheetId="75">
        <row r="12">
          <cell r="JW12">
            <v>0</v>
          </cell>
        </row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6">
        <row r="4">
          <cell r="JW4">
            <v>1</v>
          </cell>
        </row>
        <row r="16">
          <cell r="JW16">
            <v>1</v>
          </cell>
        </row>
        <row r="19">
          <cell r="JH19">
            <v>32</v>
          </cell>
          <cell r="JI19">
            <v>32</v>
          </cell>
          <cell r="JV19">
            <v>0</v>
          </cell>
          <cell r="JW19">
            <v>2</v>
          </cell>
        </row>
        <row r="52">
          <cell r="JW52">
            <v>101146</v>
          </cell>
        </row>
        <row r="64">
          <cell r="JH64">
            <v>734255</v>
          </cell>
          <cell r="JI64">
            <v>769967</v>
          </cell>
          <cell r="JV64">
            <v>0</v>
          </cell>
          <cell r="JW64">
            <v>101146</v>
          </cell>
        </row>
      </sheetData>
      <sheetData sheetId="77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8"/>
      <sheetData sheetId="79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80"/>
      <sheetData sheetId="81"/>
      <sheetData sheetId="82">
        <row r="4">
          <cell r="JW4">
            <v>72</v>
          </cell>
        </row>
        <row r="5">
          <cell r="JW5">
            <v>72</v>
          </cell>
        </row>
        <row r="19">
          <cell r="JH19">
            <v>126</v>
          </cell>
          <cell r="JI19">
            <v>124</v>
          </cell>
          <cell r="JV19">
            <v>140</v>
          </cell>
          <cell r="JW19">
            <v>144</v>
          </cell>
        </row>
        <row r="47">
          <cell r="JW47">
            <v>4818114</v>
          </cell>
        </row>
        <row r="52">
          <cell r="JW52">
            <v>4638954</v>
          </cell>
        </row>
        <row r="64">
          <cell r="JH64">
            <v>9603771</v>
          </cell>
          <cell r="JI64">
            <v>8936530</v>
          </cell>
          <cell r="JV64">
            <v>9025186</v>
          </cell>
          <cell r="JW64">
            <v>9457068</v>
          </cell>
        </row>
      </sheetData>
      <sheetData sheetId="83">
        <row r="4">
          <cell r="JW4">
            <v>18</v>
          </cell>
        </row>
        <row r="5">
          <cell r="JW5">
            <v>18</v>
          </cell>
        </row>
        <row r="19">
          <cell r="JH19">
            <v>44</v>
          </cell>
          <cell r="JI19">
            <v>38</v>
          </cell>
          <cell r="JV19">
            <v>38</v>
          </cell>
          <cell r="JW19">
            <v>36</v>
          </cell>
        </row>
        <row r="48">
          <cell r="JW48">
            <v>38345</v>
          </cell>
        </row>
        <row r="53">
          <cell r="JW53">
            <v>70707</v>
          </cell>
        </row>
        <row r="64">
          <cell r="JH64">
            <v>127825</v>
          </cell>
          <cell r="JI64">
            <v>134563</v>
          </cell>
          <cell r="JV64">
            <v>114133</v>
          </cell>
          <cell r="JW64">
            <v>109052</v>
          </cell>
        </row>
      </sheetData>
      <sheetData sheetId="84">
        <row r="4">
          <cell r="JW4">
            <v>16</v>
          </cell>
        </row>
        <row r="5">
          <cell r="JW5">
            <v>16</v>
          </cell>
        </row>
        <row r="19">
          <cell r="JH19">
            <v>34</v>
          </cell>
          <cell r="JI19">
            <v>28</v>
          </cell>
          <cell r="JV19">
            <v>24</v>
          </cell>
          <cell r="JW19">
            <v>32</v>
          </cell>
        </row>
        <row r="64">
          <cell r="JH64">
            <v>54760</v>
          </cell>
          <cell r="JI64">
            <v>52983</v>
          </cell>
          <cell r="JV64">
            <v>43240</v>
          </cell>
          <cell r="JW64">
            <v>0</v>
          </cell>
        </row>
      </sheetData>
      <sheetData sheetId="85">
        <row r="4">
          <cell r="JW4">
            <v>96</v>
          </cell>
        </row>
        <row r="5">
          <cell r="JW5">
            <v>80</v>
          </cell>
        </row>
        <row r="16">
          <cell r="JW16">
            <v>16</v>
          </cell>
        </row>
        <row r="19">
          <cell r="JH19">
            <v>218</v>
          </cell>
          <cell r="JI19">
            <v>214</v>
          </cell>
          <cell r="JV19">
            <v>182</v>
          </cell>
          <cell r="JW19">
            <v>192</v>
          </cell>
        </row>
        <row r="47">
          <cell r="JW47">
            <v>3959508</v>
          </cell>
        </row>
        <row r="48">
          <cell r="JW48">
            <v>2602776</v>
          </cell>
        </row>
        <row r="52">
          <cell r="JW52">
            <v>3265518</v>
          </cell>
        </row>
        <row r="53">
          <cell r="JW53">
            <v>2293815</v>
          </cell>
        </row>
        <row r="64">
          <cell r="JH64">
            <v>12004284</v>
          </cell>
          <cell r="JI64">
            <v>11744528</v>
          </cell>
          <cell r="JV64">
            <v>12797108</v>
          </cell>
          <cell r="JW64">
            <v>12121617</v>
          </cell>
        </row>
      </sheetData>
      <sheetData sheetId="86"/>
      <sheetData sheetId="87"/>
      <sheetData sheetId="88"/>
      <sheetData sheetId="89"/>
      <sheetData sheetId="90">
        <row r="4">
          <cell r="JW4">
            <v>112</v>
          </cell>
        </row>
        <row r="5">
          <cell r="JW5">
            <v>112</v>
          </cell>
        </row>
        <row r="19">
          <cell r="JH19">
            <v>316</v>
          </cell>
          <cell r="JI19">
            <v>278</v>
          </cell>
          <cell r="JV19">
            <v>256</v>
          </cell>
          <cell r="JW19">
            <v>224</v>
          </cell>
        </row>
      </sheetData>
      <sheetData sheetId="91">
        <row r="4">
          <cell r="JX4">
            <v>5</v>
          </cell>
        </row>
        <row r="19">
          <cell r="JH19">
            <v>2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38035</v>
          </cell>
          <cell r="JI64">
            <v>0</v>
          </cell>
          <cell r="JV64">
            <v>0</v>
          </cell>
          <cell r="JW64">
            <v>0</v>
          </cell>
        </row>
      </sheetData>
      <sheetData sheetId="92">
        <row r="4">
          <cell r="JW4">
            <v>20</v>
          </cell>
        </row>
        <row r="5">
          <cell r="JW5">
            <v>20</v>
          </cell>
        </row>
      </sheetData>
      <sheetData sheetId="93">
        <row r="4">
          <cell r="JW4">
            <v>622</v>
          </cell>
        </row>
        <row r="5">
          <cell r="JW5">
            <v>623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2069087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D21">
            <v>311790</v>
          </cell>
          <cell r="I21">
            <v>2244518</v>
          </cell>
          <cell r="N21">
            <v>2556308</v>
          </cell>
        </row>
      </sheetData>
      <sheetData sheetId="6"/>
      <sheetData sheetId="7">
        <row r="5">
          <cell r="I5">
            <v>7332.8547207064375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B5">
            <v>1324188</v>
          </cell>
        </row>
      </sheetData>
      <sheetData sheetId="1">
        <row r="45">
          <cell r="L45">
            <v>7168393</v>
          </cell>
        </row>
      </sheetData>
      <sheetData sheetId="2" refreshError="1"/>
      <sheetData sheetId="3">
        <row r="42">
          <cell r="K42">
            <v>25200.5</v>
          </cell>
        </row>
      </sheetData>
      <sheetData sheetId="4" refreshError="1"/>
      <sheetData sheetId="5">
        <row r="21">
          <cell r="E21">
            <v>308897</v>
          </cell>
        </row>
        <row r="23">
          <cell r="D23">
            <v>445342</v>
          </cell>
          <cell r="I23">
            <v>2782115</v>
          </cell>
          <cell r="N23">
            <v>3227457</v>
          </cell>
        </row>
      </sheetData>
      <sheetData sheetId="6">
        <row r="33">
          <cell r="S33">
            <v>28898361</v>
          </cell>
        </row>
      </sheetData>
      <sheetData sheetId="7" refreshError="1"/>
      <sheetData sheetId="8" refreshError="1"/>
      <sheetData sheetId="9">
        <row r="28">
          <cell r="R28">
            <v>1527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299497</v>
          </cell>
          <cell r="I24">
            <v>2606555</v>
          </cell>
          <cell r="N24">
            <v>2906052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261311</v>
          </cell>
          <cell r="I25">
            <v>2785540</v>
          </cell>
          <cell r="N25">
            <v>3046851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310661</v>
          </cell>
          <cell r="I26">
            <v>3133219</v>
          </cell>
          <cell r="N26">
            <v>3443880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331340</v>
          </cell>
          <cell r="I27">
            <v>3317080</v>
          </cell>
          <cell r="N27">
            <v>3648420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K13" sqref="K13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10.28515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1" width="10" customWidth="1"/>
    <col min="12" max="12" width="9.7109375" customWidth="1"/>
    <col min="14" max="14" width="9.7109375" customWidth="1"/>
    <col min="15" max="15" width="11.42578125" customWidth="1"/>
    <col min="16" max="16" width="13.7109375" style="378" bestFit="1" customWidth="1"/>
  </cols>
  <sheetData>
    <row r="1" spans="1:18" hidden="1" x14ac:dyDescent="0.2"/>
    <row r="2" spans="1:18" ht="12.75" customHeight="1" x14ac:dyDescent="0.2">
      <c r="A2" s="383">
        <v>46054</v>
      </c>
      <c r="B2" s="10"/>
      <c r="C2" s="10"/>
      <c r="D2" s="456" t="s">
        <v>227</v>
      </c>
      <c r="E2" s="456" t="s">
        <v>217</v>
      </c>
      <c r="F2" s="5"/>
      <c r="G2" s="5"/>
      <c r="H2" s="5"/>
      <c r="I2" s="5"/>
      <c r="J2" s="5"/>
    </row>
    <row r="3" spans="1:18" ht="13.5" thickBot="1" x14ac:dyDescent="0.25">
      <c r="A3" s="274"/>
      <c r="B3" s="5" t="s">
        <v>0</v>
      </c>
      <c r="C3" s="5" t="s">
        <v>1</v>
      </c>
      <c r="D3" s="457"/>
      <c r="E3" s="457"/>
      <c r="F3" s="5" t="s">
        <v>2</v>
      </c>
      <c r="G3" s="5" t="s">
        <v>228</v>
      </c>
      <c r="H3" s="5" t="s">
        <v>218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9">
        <f>'Major Airline Stats'!J4</f>
        <v>956945</v>
      </c>
      <c r="C5" s="10">
        <f>'Major Airline Stats'!J5</f>
        <v>987957</v>
      </c>
      <c r="D5" s="2">
        <f>'Major Airline Stats'!J6</f>
        <v>1944902</v>
      </c>
      <c r="E5" s="2">
        <f>'[1]Monthly Summary'!D5</f>
        <v>2032510</v>
      </c>
      <c r="F5" s="3">
        <f>(D5-E5)/E5</f>
        <v>-4.3103354965043222E-2</v>
      </c>
      <c r="G5" s="2">
        <f>+'[2]Monthly Summary'!$G$5+D5</f>
        <v>3912307</v>
      </c>
      <c r="H5" s="2">
        <f>'[1]Monthly Summary'!G5</f>
        <v>4101597</v>
      </c>
      <c r="I5" s="63">
        <f>(G5-H5)/H5</f>
        <v>-4.6150316571813371E-2</v>
      </c>
      <c r="J5" s="2"/>
    </row>
    <row r="6" spans="1:18" x14ac:dyDescent="0.2">
      <c r="A6" s="48" t="s">
        <v>5</v>
      </c>
      <c r="B6" s="209">
        <f>'Regional Major'!K5</f>
        <v>208921</v>
      </c>
      <c r="C6" s="209">
        <f>'Regional Major'!K6</f>
        <v>206839</v>
      </c>
      <c r="D6" s="2">
        <f>B6+C6</f>
        <v>415760</v>
      </c>
      <c r="E6" s="2">
        <f>'[1]Monthly Summary'!D6</f>
        <v>378449</v>
      </c>
      <c r="F6" s="3">
        <f>(D6-E6)/E6</f>
        <v>9.8589241879354944E-2</v>
      </c>
      <c r="G6" s="2">
        <f>'[2]Monthly Summary'!$G$6+D6</f>
        <v>827859</v>
      </c>
      <c r="H6" s="2">
        <f>'[1]Monthly Summary'!G6</f>
        <v>785434</v>
      </c>
      <c r="I6" s="63">
        <f>(G6-H6)/H6</f>
        <v>5.4014723070302535E-2</v>
      </c>
    </row>
    <row r="7" spans="1:18" x14ac:dyDescent="0.2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275</v>
      </c>
      <c r="F7" s="3">
        <f>IFERROR((D7-E7)/E7,0)</f>
        <v>-1</v>
      </c>
      <c r="G7" s="2">
        <f>'[2]Monthly Summary'!$G$7+D7</f>
        <v>60</v>
      </c>
      <c r="H7" s="2">
        <f>'[1]Monthly Summary'!G7</f>
        <v>275</v>
      </c>
      <c r="I7" s="63">
        <f>IFERROR((G7-H7)/H7,0)</f>
        <v>-0.78181818181818186</v>
      </c>
    </row>
    <row r="8" spans="1:18" x14ac:dyDescent="0.2">
      <c r="A8" s="50" t="s">
        <v>7</v>
      </c>
      <c r="B8" s="113">
        <f>SUM(B5:B7)</f>
        <v>1165866</v>
      </c>
      <c r="C8" s="113">
        <f>SUM(C5:C7)</f>
        <v>1194796</v>
      </c>
      <c r="D8" s="113">
        <f>SUM(D5:D7)</f>
        <v>2360662</v>
      </c>
      <c r="E8" s="113">
        <f>SUM(E5:E7)</f>
        <v>2411234</v>
      </c>
      <c r="F8" s="69">
        <f>(D8-E8)/E8</f>
        <v>-2.0973493240390606E-2</v>
      </c>
      <c r="G8" s="113">
        <f>SUM(G5:G7)</f>
        <v>4740226</v>
      </c>
      <c r="H8" s="113">
        <f>SUM(H5:H7)</f>
        <v>4887306</v>
      </c>
      <c r="I8" s="68">
        <f>(G8-H8)/H8</f>
        <v>-3.009428916462362E-2</v>
      </c>
    </row>
    <row r="9" spans="1:18" x14ac:dyDescent="0.2">
      <c r="A9" s="48"/>
      <c r="B9" s="89"/>
      <c r="C9" s="89"/>
      <c r="D9" s="89"/>
      <c r="E9" s="89"/>
      <c r="F9" s="4"/>
      <c r="G9" s="89"/>
      <c r="H9" s="89"/>
      <c r="I9" s="63"/>
      <c r="Q9" s="421"/>
    </row>
    <row r="10" spans="1:18" x14ac:dyDescent="0.2">
      <c r="A10" s="48" t="s">
        <v>8</v>
      </c>
      <c r="B10" s="428">
        <f>'Major Airline Stats'!J9+'Regional Major'!K10</f>
        <v>41225</v>
      </c>
      <c r="C10" s="429">
        <f>'Major Airline Stats'!J10+'Regional Major'!K11</f>
        <v>41926</v>
      </c>
      <c r="D10" s="430">
        <f>SUM(B10:C10)</f>
        <v>83151</v>
      </c>
      <c r="E10" s="389">
        <f>'[1]Monthly Summary'!D10</f>
        <v>76509</v>
      </c>
      <c r="F10" s="431">
        <f>(D10-E10)/E10</f>
        <v>8.6813316080461125E-2</v>
      </c>
      <c r="G10" s="389">
        <f>+'[2]Monthly Summary'!$G$10+D10</f>
        <v>166610</v>
      </c>
      <c r="H10" s="389">
        <f>'[1]Monthly Summary'!G10</f>
        <v>156745</v>
      </c>
      <c r="I10" s="432">
        <f>(G10-H10)/H10</f>
        <v>6.2936616797983985E-2</v>
      </c>
      <c r="J10" s="163"/>
    </row>
    <row r="11" spans="1:18" ht="15.75" thickBot="1" x14ac:dyDescent="0.3">
      <c r="A11" s="49" t="s">
        <v>13</v>
      </c>
      <c r="B11" s="189">
        <f>B10+B8</f>
        <v>1207091</v>
      </c>
      <c r="C11" s="189">
        <f>C10+C8</f>
        <v>1236722</v>
      </c>
      <c r="D11" s="189">
        <f>D10+D8</f>
        <v>2443813</v>
      </c>
      <c r="E11" s="189">
        <f>E10+E8</f>
        <v>2487743</v>
      </c>
      <c r="F11" s="70">
        <f>(D11-E11)/E11</f>
        <v>-1.7658576468710795E-2</v>
      </c>
      <c r="G11" s="189">
        <f>G8+G10</f>
        <v>4906836</v>
      </c>
      <c r="H11" s="189">
        <f>H8+H10</f>
        <v>5044051</v>
      </c>
      <c r="I11" s="72">
        <f>(G11-H11)/H11</f>
        <v>-2.7203333193895146E-2</v>
      </c>
      <c r="Q11" s="421"/>
    </row>
    <row r="12" spans="1:18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Q12" s="421"/>
    </row>
    <row r="13" spans="1:18" ht="16.5" customHeight="1" x14ac:dyDescent="0.2">
      <c r="B13" s="10"/>
      <c r="C13" s="10"/>
      <c r="D13" s="456" t="s">
        <v>227</v>
      </c>
      <c r="E13" s="456" t="s">
        <v>217</v>
      </c>
      <c r="F13" s="5"/>
      <c r="G13" s="5"/>
      <c r="H13" s="5"/>
      <c r="I13" s="5"/>
      <c r="Q13" s="421"/>
    </row>
    <row r="14" spans="1:18" ht="13.5" thickBot="1" x14ac:dyDescent="0.25">
      <c r="A14" s="9"/>
      <c r="B14" s="5" t="s">
        <v>213</v>
      </c>
      <c r="C14" s="5" t="s">
        <v>214</v>
      </c>
      <c r="D14" s="457"/>
      <c r="E14" s="457"/>
      <c r="F14" s="5" t="s">
        <v>2</v>
      </c>
      <c r="G14" s="5" t="s">
        <v>228</v>
      </c>
      <c r="H14" s="5" t="s">
        <v>218</v>
      </c>
      <c r="I14" s="5" t="s">
        <v>2</v>
      </c>
      <c r="N14" s="329"/>
      <c r="Q14" s="421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29"/>
      <c r="Q15" s="421"/>
      <c r="R15" s="221"/>
    </row>
    <row r="16" spans="1:18" x14ac:dyDescent="0.2">
      <c r="A16" s="48" t="s">
        <v>4</v>
      </c>
      <c r="B16" s="218">
        <f>'Major Airline Stats'!J15+'Major Airline Stats'!J19</f>
        <v>7207</v>
      </c>
      <c r="C16" s="218">
        <f>'Major Airline Stats'!J16+'Major Airline Stats'!J20</f>
        <v>7208</v>
      </c>
      <c r="D16" s="30">
        <f>SUM(B16:C16)</f>
        <v>14415</v>
      </c>
      <c r="E16" s="2">
        <f>'[1]Monthly Summary'!D16</f>
        <v>15225</v>
      </c>
      <c r="F16" s="71">
        <f t="shared" ref="F16:F22" si="0">(D16-E16)/E16</f>
        <v>-5.3201970443349754E-2</v>
      </c>
      <c r="G16" s="2">
        <f>+'[2]Monthly Summary'!$G$16+D16</f>
        <v>29360</v>
      </c>
      <c r="H16" s="2">
        <f>'[1]Monthly Summary'!G16</f>
        <v>31387</v>
      </c>
      <c r="I16" s="185">
        <f t="shared" ref="I16:I22" si="1">(G16-H16)/H16</f>
        <v>-6.4580877433332268E-2</v>
      </c>
      <c r="N16" s="329"/>
      <c r="Q16" s="421"/>
    </row>
    <row r="17" spans="1:17" x14ac:dyDescent="0.2">
      <c r="A17" s="48" t="s">
        <v>5</v>
      </c>
      <c r="B17" s="30">
        <f>'Regional Major'!K15+'Regional Major'!K18</f>
        <v>3779</v>
      </c>
      <c r="C17" s="30">
        <f>'Regional Major'!K16+'Regional Major'!K19</f>
        <v>3783</v>
      </c>
      <c r="D17" s="30">
        <f>SUM(B17:C17)</f>
        <v>7562</v>
      </c>
      <c r="E17" s="2">
        <f>'[1]Monthly Summary'!D17</f>
        <v>7069</v>
      </c>
      <c r="F17" s="71">
        <f t="shared" si="0"/>
        <v>6.9741123214033099E-2</v>
      </c>
      <c r="G17" s="2">
        <f>+'[2]Monthly Summary'!$G$17+D17</f>
        <v>15596</v>
      </c>
      <c r="H17" s="2">
        <f>'[1]Monthly Summary'!G17</f>
        <v>14927</v>
      </c>
      <c r="I17" s="185">
        <f t="shared" si="1"/>
        <v>4.4818114825484021E-2</v>
      </c>
      <c r="L17" s="2"/>
      <c r="M17" s="2"/>
      <c r="N17" s="329"/>
      <c r="Q17" s="421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7</v>
      </c>
      <c r="F18" s="71">
        <f>IFERROR((D18-E18)/E18,0)</f>
        <v>-1</v>
      </c>
      <c r="G18" s="2">
        <f>+'[2]Monthly Summary'!$G$18+D18</f>
        <v>1</v>
      </c>
      <c r="H18" s="2">
        <f>'[1]Monthly Summary'!G18</f>
        <v>7</v>
      </c>
      <c r="I18" s="185">
        <f>IFERROR((G18-H18)/H18,0)</f>
        <v>-0.8571428571428571</v>
      </c>
      <c r="N18" s="329"/>
      <c r="Q18" s="421"/>
    </row>
    <row r="19" spans="1:17" x14ac:dyDescent="0.2">
      <c r="A19" s="48" t="s">
        <v>11</v>
      </c>
      <c r="B19" s="30">
        <f>Cargo!S4+Cargo!S8</f>
        <v>454</v>
      </c>
      <c r="C19" s="30">
        <f>Cargo!S5+Cargo!S9</f>
        <v>454</v>
      </c>
      <c r="D19" s="30">
        <f t="shared" si="2"/>
        <v>908</v>
      </c>
      <c r="E19" s="2">
        <f>'[1]Monthly Summary'!D19</f>
        <v>996</v>
      </c>
      <c r="F19" s="71">
        <f t="shared" si="0"/>
        <v>-8.8353413654618476E-2</v>
      </c>
      <c r="G19" s="2">
        <f>+'[2]Monthly Summary'!$G$19+D19</f>
        <v>1772</v>
      </c>
      <c r="H19" s="2">
        <f>'[1]Monthly Summary'!G19</f>
        <v>2052</v>
      </c>
      <c r="I19" s="185">
        <f t="shared" si="1"/>
        <v>-0.1364522417153996</v>
      </c>
      <c r="M19" s="421"/>
      <c r="N19" s="329"/>
      <c r="Q19" s="421"/>
    </row>
    <row r="20" spans="1:17" x14ac:dyDescent="0.2">
      <c r="A20" s="48" t="s">
        <v>145</v>
      </c>
      <c r="B20" s="30">
        <f>'[3]General Avation'!$JW$4</f>
        <v>622</v>
      </c>
      <c r="C20" s="30">
        <f>'[3]General Avation'!$JW$5</f>
        <v>623</v>
      </c>
      <c r="D20" s="30">
        <f t="shared" si="2"/>
        <v>1245</v>
      </c>
      <c r="E20" s="2">
        <f>'[1]Monthly Summary'!D20</f>
        <v>1180</v>
      </c>
      <c r="F20" s="71">
        <f t="shared" si="0"/>
        <v>5.5084745762711863E-2</v>
      </c>
      <c r="G20" s="2">
        <f>+'[2]Monthly Summary'!$G$20+D20</f>
        <v>2562</v>
      </c>
      <c r="H20" s="2">
        <f>'[1]Monthly Summary'!G20</f>
        <v>2307</v>
      </c>
      <c r="I20" s="185">
        <f t="shared" si="1"/>
        <v>0.11053315994798439</v>
      </c>
      <c r="M20" s="2"/>
      <c r="N20" s="329"/>
      <c r="Q20" s="421"/>
    </row>
    <row r="21" spans="1:17" ht="12.75" customHeight="1" x14ac:dyDescent="0.2">
      <c r="A21" s="48" t="s">
        <v>12</v>
      </c>
      <c r="B21" s="433">
        <f>'[3]Military '!$JW$4</f>
        <v>20</v>
      </c>
      <c r="C21" s="434">
        <f>'[3]Military '!$JW$5</f>
        <v>20</v>
      </c>
      <c r="D21" s="434">
        <f t="shared" si="2"/>
        <v>40</v>
      </c>
      <c r="E21" s="389">
        <f>'[1]Monthly Summary'!D21</f>
        <v>72</v>
      </c>
      <c r="F21" s="435">
        <f t="shared" si="0"/>
        <v>-0.44444444444444442</v>
      </c>
      <c r="G21" s="389">
        <f>'[2]Monthly Summary'!$G$21+D21</f>
        <v>100</v>
      </c>
      <c r="H21" s="389">
        <f>'[1]Monthly Summary'!G21</f>
        <v>140</v>
      </c>
      <c r="I21" s="436">
        <f t="shared" si="1"/>
        <v>-0.2857142857142857</v>
      </c>
      <c r="K21" s="89"/>
      <c r="N21" s="329"/>
      <c r="Q21" s="421"/>
    </row>
    <row r="22" spans="1:17" ht="15.75" thickBot="1" x14ac:dyDescent="0.3">
      <c r="A22" s="49" t="s">
        <v>28</v>
      </c>
      <c r="B22" s="190">
        <f>SUM(B16:B21)</f>
        <v>12082</v>
      </c>
      <c r="C22" s="190">
        <f>SUM(C16:C21)</f>
        <v>12088</v>
      </c>
      <c r="D22" s="190">
        <f>SUM(D16:D21)</f>
        <v>24170</v>
      </c>
      <c r="E22" s="190">
        <f>SUM(E16:E21)</f>
        <v>24549</v>
      </c>
      <c r="F22" s="187">
        <f t="shared" si="0"/>
        <v>-1.5438510733634772E-2</v>
      </c>
      <c r="G22" s="190">
        <f>SUM(G16:G21)</f>
        <v>49391</v>
      </c>
      <c r="H22" s="190">
        <f>SUM(H16:H21)</f>
        <v>50820</v>
      </c>
      <c r="I22" s="188">
        <f t="shared" si="1"/>
        <v>-2.8118850846123575E-2</v>
      </c>
      <c r="N22" s="322"/>
      <c r="Q22" s="421"/>
    </row>
    <row r="23" spans="1:17" x14ac:dyDescent="0.2">
      <c r="B23" s="89"/>
      <c r="C23" s="89"/>
      <c r="L23" s="2"/>
      <c r="N23" s="329"/>
      <c r="Q23" s="421"/>
    </row>
    <row r="24" spans="1:17" ht="12.75" customHeight="1" x14ac:dyDescent="0.2">
      <c r="B24" s="10"/>
      <c r="C24" s="10"/>
      <c r="D24" s="456" t="s">
        <v>227</v>
      </c>
      <c r="E24" s="456" t="s">
        <v>217</v>
      </c>
      <c r="F24" s="5"/>
      <c r="G24" s="5"/>
      <c r="H24" s="5"/>
      <c r="I24" s="5"/>
      <c r="N24" s="329"/>
      <c r="Q24" s="421"/>
    </row>
    <row r="25" spans="1:17" ht="13.5" thickBot="1" x14ac:dyDescent="0.25">
      <c r="B25" s="5" t="s">
        <v>0</v>
      </c>
      <c r="C25" s="5" t="s">
        <v>1</v>
      </c>
      <c r="D25" s="457"/>
      <c r="E25" s="457"/>
      <c r="F25" s="5" t="s">
        <v>2</v>
      </c>
      <c r="G25" s="5" t="s">
        <v>228</v>
      </c>
      <c r="H25" s="5" t="s">
        <v>218</v>
      </c>
      <c r="I25" s="5" t="s">
        <v>2</v>
      </c>
      <c r="N25" s="329"/>
      <c r="Q25" s="421"/>
    </row>
    <row r="26" spans="1:17" ht="15" x14ac:dyDescent="0.25">
      <c r="A26" s="46" t="s">
        <v>124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Stats'!J28+'Regional Major'!K25)*0.00045359237</f>
        <v>7105.8168163324644</v>
      </c>
      <c r="C27" s="12">
        <f>(Cargo!S21+'Major Airline Stats'!J33+'Regional Major'!K30)*0.00045359237</f>
        <v>5924.8806079319938</v>
      </c>
      <c r="D27" s="12">
        <f>SUM(B27:C27)</f>
        <v>13030.697424264457</v>
      </c>
      <c r="E27" s="2">
        <f>'[1]Monthly Summary'!D27</f>
        <v>13128.228030123744</v>
      </c>
      <c r="F27" s="73">
        <f>(D27-E27)/E27</f>
        <v>-7.429076158297623E-3</v>
      </c>
      <c r="G27" s="2">
        <f>+'[2]Monthly Summary'!$G$27+D27</f>
        <v>25788.082493829992</v>
      </c>
      <c r="H27" s="2">
        <f>'[1]Monthly Summary'!G27</f>
        <v>26447.080158827943</v>
      </c>
      <c r="I27" s="74">
        <f>(G27-H27)/H27</f>
        <v>-2.4917596235211607E-2</v>
      </c>
      <c r="N27" s="89"/>
    </row>
    <row r="28" spans="1:17" x14ac:dyDescent="0.2">
      <c r="A28" s="43" t="s">
        <v>16</v>
      </c>
      <c r="B28" s="439">
        <f>(Cargo!S17+'Major Airline Stats'!J29+'Regional Major'!K26)*0.00045359237</f>
        <v>1367.81640999003</v>
      </c>
      <c r="C28" s="440">
        <f>(Cargo!S22+'Major Airline Stats'!J34+'Regional Major'!K31)*0.00045359237</f>
        <v>1261.3682597831701</v>
      </c>
      <c r="D28" s="440">
        <f>SUM(B28:C28)</f>
        <v>2629.1846697731999</v>
      </c>
      <c r="E28" s="389">
        <f>'[1]Monthly Summary'!D28</f>
        <v>1895.76300205754</v>
      </c>
      <c r="F28" s="441">
        <f>(D28-E28)/E28</f>
        <v>0.38687413295841877</v>
      </c>
      <c r="G28" s="389">
        <f>+'[2]Monthly Summary'!$G$28+D28</f>
        <v>5574.6874218743396</v>
      </c>
      <c r="H28" s="389">
        <f>'[1]Monthly Summary'!G28</f>
        <v>3860.74011744575</v>
      </c>
      <c r="I28" s="442">
        <f>(G28-H28)/H28</f>
        <v>0.44394267738552945</v>
      </c>
    </row>
    <row r="29" spans="1:17" ht="15.75" thickBot="1" x14ac:dyDescent="0.3">
      <c r="A29" s="44" t="s">
        <v>61</v>
      </c>
      <c r="B29" s="437">
        <f>SUM(B27:B28)</f>
        <v>8473.633226322494</v>
      </c>
      <c r="C29" s="437">
        <f>SUM(C27:C28)</f>
        <v>7186.2488677151641</v>
      </c>
      <c r="D29" s="437">
        <f>SUM(D27:D28)</f>
        <v>15659.882094037657</v>
      </c>
      <c r="E29" s="437">
        <f>SUM(E27:E28)</f>
        <v>15023.991032181284</v>
      </c>
      <c r="F29" s="70">
        <f>(D29-E29)/E29</f>
        <v>4.2325042693003412E-2</v>
      </c>
      <c r="G29" s="437">
        <f>SUM(G27:G28)</f>
        <v>31362.769915704332</v>
      </c>
      <c r="H29" s="437">
        <f>SUM(H27:H28)</f>
        <v>30307.820276273691</v>
      </c>
      <c r="I29" s="438">
        <f>(G29-H29)/H29</f>
        <v>3.4807836057299778E-2</v>
      </c>
    </row>
    <row r="30" spans="1:17" ht="4.5" customHeight="1" thickBot="1" x14ac:dyDescent="0.3">
      <c r="A30" s="40"/>
      <c r="B30" s="275"/>
      <c r="C30" s="275"/>
      <c r="D30" s="275"/>
      <c r="E30" s="275"/>
      <c r="F30" s="191"/>
      <c r="G30" s="275"/>
      <c r="H30" s="275"/>
      <c r="I30" s="191"/>
    </row>
    <row r="31" spans="1:17" ht="13.5" thickBot="1" x14ac:dyDescent="0.25">
      <c r="B31" s="455" t="s">
        <v>141</v>
      </c>
      <c r="C31" s="454"/>
      <c r="D31" s="455" t="s">
        <v>148</v>
      </c>
      <c r="E31" s="454"/>
      <c r="F31" s="297"/>
      <c r="G31" s="298"/>
    </row>
    <row r="32" spans="1:17" x14ac:dyDescent="0.2">
      <c r="A32" s="279" t="s">
        <v>142</v>
      </c>
      <c r="B32" s="280">
        <f>C8-B33</f>
        <v>851079</v>
      </c>
      <c r="C32" s="281">
        <f>B32/C8</f>
        <v>0.71232160134449729</v>
      </c>
      <c r="D32" s="282">
        <f>'[2]Monthly Summary'!$D$32+B32</f>
        <v>1700869</v>
      </c>
      <c r="E32" s="283">
        <f>+D32/D34</f>
        <v>0.7089408874489459</v>
      </c>
      <c r="G32" s="2"/>
      <c r="H32" s="387"/>
      <c r="I32" s="296"/>
    </row>
    <row r="33" spans="1:14" ht="13.5" thickBot="1" x14ac:dyDescent="0.25">
      <c r="A33" s="284" t="s">
        <v>143</v>
      </c>
      <c r="B33" s="285">
        <f>'Major Airline Stats'!J51+'Regional Major'!K45</f>
        <v>343717</v>
      </c>
      <c r="C33" s="286">
        <f>+B33/C8</f>
        <v>0.28767839865550271</v>
      </c>
      <c r="D33" s="287">
        <f>+'[2]Monthly Summary'!$D$33+B33</f>
        <v>698300</v>
      </c>
      <c r="E33" s="288">
        <f>+D33/D34</f>
        <v>0.29105911255105416</v>
      </c>
      <c r="G33" s="221"/>
      <c r="H33" s="387"/>
      <c r="I33" s="296"/>
    </row>
    <row r="34" spans="1:14" ht="13.5" thickBot="1" x14ac:dyDescent="0.25">
      <c r="B34" s="221"/>
      <c r="D34" s="289">
        <f>SUM(D32:D33)</f>
        <v>2399169</v>
      </c>
      <c r="H34" s="387"/>
    </row>
    <row r="35" spans="1:14" ht="13.5" thickBot="1" x14ac:dyDescent="0.25">
      <c r="B35" s="453" t="s">
        <v>242</v>
      </c>
      <c r="C35" s="454"/>
      <c r="D35" s="455" t="s">
        <v>229</v>
      </c>
      <c r="E35" s="454"/>
    </row>
    <row r="36" spans="1:14" x14ac:dyDescent="0.2">
      <c r="A36" s="279" t="s">
        <v>142</v>
      </c>
      <c r="B36" s="280">
        <f>'[1]Monthly Summary'!$B$32</f>
        <v>862394</v>
      </c>
      <c r="C36" s="281">
        <f>+B36/B38</f>
        <v>0.7091758487102926</v>
      </c>
      <c r="D36" s="282">
        <f>+'[1]Monthly Summary'!$D$32</f>
        <v>1706764</v>
      </c>
      <c r="E36" s="283">
        <f>+D36/D38</f>
        <v>0.69590496872275831</v>
      </c>
    </row>
    <row r="37" spans="1:14" ht="13.5" thickBot="1" x14ac:dyDescent="0.25">
      <c r="A37" s="284" t="s">
        <v>143</v>
      </c>
      <c r="B37" s="285">
        <f>'[1]Monthly Summary'!$B$33</f>
        <v>353657</v>
      </c>
      <c r="C37" s="288">
        <f>+B37/B38</f>
        <v>0.2908241512897074</v>
      </c>
      <c r="D37" s="287">
        <f>+'[1]Monthly Summary'!$D$33</f>
        <v>745818</v>
      </c>
      <c r="E37" s="288">
        <f>+D37/D38</f>
        <v>0.30409503127724169</v>
      </c>
      <c r="G37" s="221"/>
      <c r="M37" s="1"/>
    </row>
    <row r="38" spans="1:14" x14ac:dyDescent="0.2">
      <c r="B38" s="301">
        <f>+SUM(B36:B37)</f>
        <v>1216051</v>
      </c>
      <c r="D38" s="289">
        <f>SUM(D36:D37)</f>
        <v>2452582</v>
      </c>
      <c r="K38" s="294"/>
    </row>
    <row r="39" spans="1:14" x14ac:dyDescent="0.2">
      <c r="A39" s="293" t="s">
        <v>144</v>
      </c>
    </row>
    <row r="40" spans="1:14" x14ac:dyDescent="0.2">
      <c r="A40" s="164" t="s">
        <v>146</v>
      </c>
      <c r="I40" s="2"/>
    </row>
    <row r="41" spans="1:14" x14ac:dyDescent="0.2">
      <c r="N41" s="294"/>
    </row>
    <row r="42" spans="1:14" x14ac:dyDescent="0.2">
      <c r="G42" s="2"/>
      <c r="N42" s="294"/>
    </row>
    <row r="43" spans="1:14" x14ac:dyDescent="0.2">
      <c r="B43" s="221"/>
      <c r="J43" s="2"/>
      <c r="N43" s="294"/>
    </row>
    <row r="44" spans="1:14" x14ac:dyDescent="0.2">
      <c r="B44" s="221"/>
      <c r="D44" s="89"/>
      <c r="N44" s="294"/>
    </row>
    <row r="45" spans="1:14" x14ac:dyDescent="0.2">
      <c r="J45" s="2"/>
      <c r="N45" s="294"/>
    </row>
    <row r="46" spans="1:14" x14ac:dyDescent="0.2">
      <c r="B46" s="2"/>
      <c r="F46" s="221"/>
    </row>
    <row r="47" spans="1:14" x14ac:dyDescent="0.2">
      <c r="N47" s="294"/>
    </row>
    <row r="51" spans="12:12" x14ac:dyDescent="0.2">
      <c r="L51" s="295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E2 D4:D12">
    <cfRule type="expression" dxfId="6" priority="40" stopIfTrue="1">
      <formula>"*.*"</formula>
    </cfRule>
  </conditionalFormatting>
  <conditionalFormatting sqref="B4:E13">
    <cfRule type="expression" dxfId="5" priority="35" stopIfTrue="1">
      <formula>"*.*"</formula>
    </cfRule>
  </conditionalFormatting>
  <conditionalFormatting sqref="B24:E24">
    <cfRule type="expression" dxfId="4" priority="4" stopIfTrue="1">
      <formula>"*.*"</formula>
    </cfRule>
  </conditionalFormatting>
  <conditionalFormatting sqref="B15:I22">
    <cfRule type="expression" dxfId="3" priority="5" stopIfTrue="1">
      <formula>"*.*"</formula>
    </cfRule>
  </conditionalFormatting>
  <conditionalFormatting sqref="B26:I30">
    <cfRule type="expression" dxfId="2" priority="8" stopIfTrue="1">
      <formula>"*.*"</formula>
    </cfRule>
  </conditionalFormatting>
  <conditionalFormatting sqref="F2:I14">
    <cfRule type="expression" dxfId="1" priority="13" stopIfTrue="1">
      <formula>"*.*"</formula>
    </cfRule>
  </conditionalFormatting>
  <conditionalFormatting sqref="F24:I25">
    <cfRule type="expression" dxfId="0" priority="3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2026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Q24" activeCellId="1" sqref="Q19 Q24"/>
    </sheetView>
  </sheetViews>
  <sheetFormatPr defaultRowHeight="12.75" x14ac:dyDescent="0.2"/>
  <cols>
    <col min="1" max="1" width="24.28515625" bestFit="1" customWidth="1"/>
    <col min="2" max="2" width="11.5703125" bestFit="1" customWidth="1"/>
    <col min="3" max="3" width="11.7109375" bestFit="1" customWidth="1"/>
    <col min="4" max="5" width="11.28515625" customWidth="1"/>
    <col min="6" max="6" width="11.7109375" bestFit="1" customWidth="1"/>
    <col min="7" max="15" width="11.28515625" customWidth="1"/>
    <col min="16" max="16" width="9.5703125" bestFit="1" customWidth="1"/>
    <col min="17" max="17" width="13.7109375" customWidth="1"/>
  </cols>
  <sheetData>
    <row r="1" spans="1:19" ht="39" thickBot="1" x14ac:dyDescent="0.25">
      <c r="A1" s="383">
        <v>46054</v>
      </c>
      <c r="B1" s="314" t="s">
        <v>18</v>
      </c>
      <c r="C1" s="351" t="s">
        <v>153</v>
      </c>
      <c r="D1" s="314" t="s">
        <v>157</v>
      </c>
      <c r="E1" s="314" t="s">
        <v>209</v>
      </c>
      <c r="F1" s="314" t="s">
        <v>49</v>
      </c>
      <c r="G1" s="314" t="s">
        <v>112</v>
      </c>
      <c r="H1" s="314" t="s">
        <v>176</v>
      </c>
      <c r="I1" s="314" t="s">
        <v>215</v>
      </c>
      <c r="J1" s="314" t="s">
        <v>212</v>
      </c>
      <c r="K1" s="314" t="s">
        <v>177</v>
      </c>
      <c r="L1" s="314" t="s">
        <v>182</v>
      </c>
      <c r="M1" s="314" t="s">
        <v>97</v>
      </c>
      <c r="N1" s="314" t="s">
        <v>152</v>
      </c>
      <c r="O1" s="314" t="s">
        <v>47</v>
      </c>
      <c r="P1" s="314" t="s">
        <v>136</v>
      </c>
      <c r="Q1" s="314" t="s">
        <v>21</v>
      </c>
    </row>
    <row r="2" spans="1:19" ht="15" x14ac:dyDescent="0.25">
      <c r="A2" s="488" t="s">
        <v>137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90"/>
    </row>
    <row r="3" spans="1:19" x14ac:dyDescent="0.2">
      <c r="A3" s="43" t="s">
        <v>29</v>
      </c>
      <c r="Q3" s="37"/>
    </row>
    <row r="4" spans="1:19" x14ac:dyDescent="0.2">
      <c r="A4" s="43" t="s">
        <v>30</v>
      </c>
      <c r="B4" s="11">
        <f>[3]Delta!$JW$32</f>
        <v>98522</v>
      </c>
      <c r="C4" s="11">
        <f>[3]Pinnacle!$JW$32</f>
        <v>1654</v>
      </c>
      <c r="D4" s="11">
        <f>'[3]Sky West'!$JW$32</f>
        <v>7576</v>
      </c>
      <c r="E4" s="11">
        <f>[3]WestJet!$JW$32</f>
        <v>3951</v>
      </c>
      <c r="F4" s="11">
        <f>'[3]Sun Country'!$JW$32</f>
        <v>33582</v>
      </c>
      <c r="G4" s="11">
        <f>[3]Icelandair!$JW$32</f>
        <v>1532</v>
      </c>
      <c r="H4" s="11">
        <f>[3]KLM!$JW$32</f>
        <v>0</v>
      </c>
      <c r="I4" s="11">
        <f>[3]Lufthansa!$JW$32</f>
        <v>0</v>
      </c>
      <c r="J4" s="11">
        <f>[3]Jazz_AC!$JW$32</f>
        <v>1106</v>
      </c>
      <c r="K4" s="11">
        <f>'[3]Sky Regional'!$JW$32</f>
        <v>0</v>
      </c>
      <c r="L4" s="11">
        <f>'[3]Aer Lingus'!$JW$32</f>
        <v>844</v>
      </c>
      <c r="M4" s="11">
        <f>[3]AirCanada!$JW$32</f>
        <v>0</v>
      </c>
      <c r="N4" s="11">
        <f>'[3]Air France'!$JW$32</f>
        <v>0</v>
      </c>
      <c r="O4" s="11">
        <f>[3]Frontier!$JW$32</f>
        <v>0</v>
      </c>
      <c r="P4" s="11">
        <f>'[3]Charter Misc'!$JW$32+[3]Ryan!$JW$32+[3]Omni!$JW$32</f>
        <v>0</v>
      </c>
      <c r="Q4" s="197">
        <f>SUM(B4:P4)</f>
        <v>148767</v>
      </c>
    </row>
    <row r="5" spans="1:19" x14ac:dyDescent="0.2">
      <c r="A5" s="43" t="s">
        <v>31</v>
      </c>
      <c r="B5" s="7">
        <f>[3]Delta!$JW$33</f>
        <v>101058</v>
      </c>
      <c r="C5" s="7">
        <f>[3]Pinnacle!$JW$33</f>
        <v>1114</v>
      </c>
      <c r="D5" s="7">
        <f>'[3]Sky West'!$JW$33</f>
        <v>8025</v>
      </c>
      <c r="E5" s="7">
        <f>[3]WestJet!$JW$33</f>
        <v>3832</v>
      </c>
      <c r="F5" s="7">
        <f>'[3]Sun Country'!$JW$33</f>
        <v>34777</v>
      </c>
      <c r="G5" s="7">
        <f>[3]Icelandair!$JW$33</f>
        <v>1729</v>
      </c>
      <c r="H5" s="7">
        <f>[3]KLM!$JW$33</f>
        <v>0</v>
      </c>
      <c r="I5" s="7">
        <f>[3]Lufthansa!$JW$33</f>
        <v>0</v>
      </c>
      <c r="J5" s="7">
        <f>[3]Jazz_AC!$JW$33</f>
        <v>1226</v>
      </c>
      <c r="K5" s="7">
        <f>'[3]Sky Regional'!$JW$33</f>
        <v>0</v>
      </c>
      <c r="L5" s="7">
        <f>'[3]Aer Lingus'!$JW$33</f>
        <v>812</v>
      </c>
      <c r="M5" s="7">
        <f>[3]AirCanada!$JW$33</f>
        <v>0</v>
      </c>
      <c r="N5" s="7">
        <f>'[3]Air France'!$JW$33</f>
        <v>0</v>
      </c>
      <c r="O5" s="7">
        <f>[3]Frontier!$JW$33</f>
        <v>0</v>
      </c>
      <c r="P5" s="7">
        <f>'[3]Charter Misc'!$JW$33++[3]Ryan!$JW$33+[3]Omni!$JW$33</f>
        <v>0</v>
      </c>
      <c r="Q5" s="198">
        <f>SUM(B5:P5)</f>
        <v>152573</v>
      </c>
    </row>
    <row r="6" spans="1:19" ht="15" x14ac:dyDescent="0.25">
      <c r="A6" s="41" t="s">
        <v>7</v>
      </c>
      <c r="B6" s="23">
        <f t="shared" ref="B6:P6" si="0">SUM(B4:B5)</f>
        <v>199580</v>
      </c>
      <c r="C6" s="23">
        <f t="shared" si="0"/>
        <v>2768</v>
      </c>
      <c r="D6" s="23">
        <f t="shared" si="0"/>
        <v>15601</v>
      </c>
      <c r="E6" s="23">
        <f t="shared" ref="E6" si="1">SUM(E4:E5)</f>
        <v>7783</v>
      </c>
      <c r="F6" s="23">
        <f t="shared" si="0"/>
        <v>68359</v>
      </c>
      <c r="G6" s="23">
        <f t="shared" si="0"/>
        <v>3261</v>
      </c>
      <c r="H6" s="23">
        <f t="shared" ref="H6:I6" si="2">SUM(H4:H5)</f>
        <v>0</v>
      </c>
      <c r="I6" s="23">
        <f t="shared" si="2"/>
        <v>0</v>
      </c>
      <c r="J6" s="23">
        <f t="shared" si="0"/>
        <v>2332</v>
      </c>
      <c r="K6" s="23">
        <f t="shared" ref="K6" si="3">SUM(K4:K5)</f>
        <v>0</v>
      </c>
      <c r="L6" s="23">
        <f t="shared" ref="L6:M6" si="4">SUM(L4:L5)</f>
        <v>1656</v>
      </c>
      <c r="M6" s="23">
        <f t="shared" si="4"/>
        <v>0</v>
      </c>
      <c r="N6" s="23">
        <f t="shared" si="0"/>
        <v>0</v>
      </c>
      <c r="O6" s="23">
        <f t="shared" si="0"/>
        <v>0</v>
      </c>
      <c r="P6" s="23">
        <f t="shared" si="0"/>
        <v>0</v>
      </c>
      <c r="Q6" s="199">
        <f>SUM(B6:P6)</f>
        <v>301340</v>
      </c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97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97">
        <f>SUM(B8:P8)</f>
        <v>0</v>
      </c>
    </row>
    <row r="9" spans="1:19" x14ac:dyDescent="0.2">
      <c r="A9" s="43" t="s">
        <v>30</v>
      </c>
      <c r="B9" s="451">
        <f>[3]Delta!$JW$37</f>
        <v>3606</v>
      </c>
      <c r="C9" s="11">
        <f>[3]Pinnacle!$JW$37</f>
        <v>23</v>
      </c>
      <c r="D9" s="11">
        <f>'[3]Sky West'!$JW$37</f>
        <v>137</v>
      </c>
      <c r="E9" s="11">
        <f>[3]WestJet!$JW$37</f>
        <v>0</v>
      </c>
      <c r="F9" s="11">
        <f>'[3]Sun Country'!$JW$37</f>
        <v>648</v>
      </c>
      <c r="G9" s="11">
        <f>[3]Icelandair!$JW$37</f>
        <v>57</v>
      </c>
      <c r="H9" s="11">
        <f>[3]KLM!$JW$37</f>
        <v>0</v>
      </c>
      <c r="I9" s="11">
        <f>[3]Lufthansa!$JW$37</f>
        <v>0</v>
      </c>
      <c r="J9" s="11">
        <f>[3]Jazz_AC!$JW$37</f>
        <v>41</v>
      </c>
      <c r="K9" s="11">
        <f>'[3]Sky Regional'!$JW$37</f>
        <v>0</v>
      </c>
      <c r="L9" s="11">
        <f>'[3]Aer Lingus'!$JW$37</f>
        <v>9</v>
      </c>
      <c r="M9" s="11">
        <f>[3]AirCanada!$JW$37</f>
        <v>0</v>
      </c>
      <c r="N9" s="11">
        <f>'[3]Air France'!$JW$37</f>
        <v>0</v>
      </c>
      <c r="O9" s="11">
        <f>[3]Frontier!$JW$37</f>
        <v>0</v>
      </c>
      <c r="P9" s="11">
        <f>'[3]Charter Misc'!$JW$37+[3]Ryan!$JW$37+[3]Omni!$JW$37</f>
        <v>0</v>
      </c>
      <c r="Q9" s="197">
        <f>SUM(B9:P9)</f>
        <v>4521</v>
      </c>
    </row>
    <row r="10" spans="1:19" x14ac:dyDescent="0.2">
      <c r="A10" s="43" t="s">
        <v>33</v>
      </c>
      <c r="B10" s="450">
        <f>[3]Delta!$JW$38</f>
        <v>3339</v>
      </c>
      <c r="C10" s="7">
        <f>[3]Pinnacle!$JW$38</f>
        <v>31</v>
      </c>
      <c r="D10" s="7">
        <f>'[3]Sky West'!$JW$38</f>
        <v>123</v>
      </c>
      <c r="E10" s="7">
        <f>[3]WestJet!$JW$38</f>
        <v>2</v>
      </c>
      <c r="F10" s="7">
        <f>'[3]Sun Country'!$JW$38</f>
        <v>647</v>
      </c>
      <c r="G10" s="7">
        <f>[3]Icelandair!$JW$38</f>
        <v>55</v>
      </c>
      <c r="H10" s="7">
        <f>[3]KLM!$JW$38</f>
        <v>0</v>
      </c>
      <c r="I10" s="7">
        <f>[3]Lufthansa!$JW$38</f>
        <v>0</v>
      </c>
      <c r="J10" s="7">
        <f>[3]Jazz_AC!$JW$38</f>
        <v>37</v>
      </c>
      <c r="K10" s="7">
        <f>'[3]Sky Regional'!$JW$38</f>
        <v>0</v>
      </c>
      <c r="L10" s="7">
        <f>'[3]Aer Lingus'!$JW$38</f>
        <v>7</v>
      </c>
      <c r="M10" s="7">
        <f>[3]AirCanada!$JW$38</f>
        <v>0</v>
      </c>
      <c r="N10" s="7">
        <f>'[3]Air France'!$JW$38</f>
        <v>0</v>
      </c>
      <c r="O10" s="7">
        <f>[3]Frontier!$JW$38</f>
        <v>0</v>
      </c>
      <c r="P10" s="7">
        <f>'[3]Charter Misc'!$JW$38+[3]Ryan!$JW$38+[3]Omni!$JW$38</f>
        <v>0</v>
      </c>
      <c r="Q10" s="198">
        <f>SUM(B10:P10)</f>
        <v>4241</v>
      </c>
    </row>
    <row r="11" spans="1:19" ht="15.75" thickBot="1" x14ac:dyDescent="0.3">
      <c r="A11" s="44" t="s">
        <v>34</v>
      </c>
      <c r="B11" s="200">
        <f t="shared" ref="B11:F11" si="5">SUM(B9:B10)</f>
        <v>6945</v>
      </c>
      <c r="C11" s="200">
        <f t="shared" si="5"/>
        <v>54</v>
      </c>
      <c r="D11" s="200">
        <f t="shared" si="5"/>
        <v>260</v>
      </c>
      <c r="E11" s="200">
        <f t="shared" ref="E11" si="6">SUM(E9:E10)</f>
        <v>2</v>
      </c>
      <c r="F11" s="200">
        <f t="shared" si="5"/>
        <v>1295</v>
      </c>
      <c r="G11" s="200">
        <f t="shared" ref="G11:P11" si="7">SUM(G9:G10)</f>
        <v>112</v>
      </c>
      <c r="H11" s="200">
        <f t="shared" ref="H11:I11" si="8">SUM(H9:H10)</f>
        <v>0</v>
      </c>
      <c r="I11" s="200">
        <f t="shared" si="8"/>
        <v>0</v>
      </c>
      <c r="J11" s="200">
        <f t="shared" si="7"/>
        <v>78</v>
      </c>
      <c r="K11" s="200">
        <f t="shared" ref="K11" si="9">SUM(K9:K10)</f>
        <v>0</v>
      </c>
      <c r="L11" s="200">
        <f t="shared" ref="L11:M11" si="10">SUM(L9:L10)</f>
        <v>16</v>
      </c>
      <c r="M11" s="200">
        <f t="shared" si="10"/>
        <v>0</v>
      </c>
      <c r="N11" s="200">
        <f t="shared" si="7"/>
        <v>0</v>
      </c>
      <c r="O11" s="200">
        <f t="shared" si="7"/>
        <v>0</v>
      </c>
      <c r="P11" s="200">
        <f t="shared" si="7"/>
        <v>0</v>
      </c>
      <c r="Q11" s="201">
        <f>SUM(B11:P11)</f>
        <v>8762</v>
      </c>
      <c r="S11" s="221"/>
    </row>
    <row r="12" spans="1:19" ht="15" x14ac:dyDescent="0.25">
      <c r="A12" s="273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</row>
    <row r="13" spans="1:19" ht="39" thickBot="1" x14ac:dyDescent="0.25">
      <c r="B13" s="315" t="s">
        <v>18</v>
      </c>
      <c r="C13" s="351" t="s">
        <v>153</v>
      </c>
      <c r="D13" s="314" t="s">
        <v>157</v>
      </c>
      <c r="E13" s="314" t="s">
        <v>209</v>
      </c>
      <c r="F13" s="314" t="s">
        <v>49</v>
      </c>
      <c r="G13" s="314" t="s">
        <v>112</v>
      </c>
      <c r="H13" s="314" t="s">
        <v>176</v>
      </c>
      <c r="I13" s="314" t="s">
        <v>215</v>
      </c>
      <c r="J13" s="314" t="s">
        <v>212</v>
      </c>
      <c r="K13" s="314" t="s">
        <v>177</v>
      </c>
      <c r="L13" s="314" t="s">
        <v>182</v>
      </c>
      <c r="M13" s="314" t="s">
        <v>97</v>
      </c>
      <c r="N13" s="314" t="s">
        <v>152</v>
      </c>
      <c r="O13" s="314" t="s">
        <v>47</v>
      </c>
      <c r="P13" s="314" t="s">
        <v>136</v>
      </c>
      <c r="Q13" s="314" t="s">
        <v>21</v>
      </c>
    </row>
    <row r="14" spans="1:19" ht="15" x14ac:dyDescent="0.25">
      <c r="A14" s="491" t="s">
        <v>138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</row>
    <row r="15" spans="1:19" x14ac:dyDescent="0.2">
      <c r="A15" s="43" t="s">
        <v>29</v>
      </c>
      <c r="Q15" s="37"/>
    </row>
    <row r="16" spans="1:19" x14ac:dyDescent="0.2">
      <c r="A16" s="43"/>
      <c r="Q16" s="37"/>
    </row>
    <row r="17" spans="1:20" x14ac:dyDescent="0.2">
      <c r="A17" s="43" t="s">
        <v>30</v>
      </c>
      <c r="B17" s="11">
        <f>SUM([3]Delta!$JV$32:$JW$32)</f>
        <v>209995</v>
      </c>
      <c r="C17" s="11">
        <f>SUM([3]Pinnacle!$JV$32:$JW$32)</f>
        <v>3636</v>
      </c>
      <c r="D17" s="11">
        <f>SUM('[3]Sky West'!$JV$32:$JW$32)</f>
        <v>16671</v>
      </c>
      <c r="E17" s="11">
        <f>SUM([3]WestJet!$JV$32:$JW$32)</f>
        <v>8148</v>
      </c>
      <c r="F17" s="11">
        <f>SUM('[3]Sun Country'!$JV$32:$JW$32)</f>
        <v>62437</v>
      </c>
      <c r="G17" s="11">
        <f>SUM([3]Icelandair!$JV$32:$JW$32)</f>
        <v>3665</v>
      </c>
      <c r="H17" s="11">
        <f>SUM([3]KLM!$JV$32:$JW$32)</f>
        <v>0</v>
      </c>
      <c r="I17" s="11">
        <f>SUM([3]Lufthansa!$JV$32:$JW$32)</f>
        <v>0</v>
      </c>
      <c r="J17" s="11">
        <f>SUM([3]Jazz_AC!$JV$32:$JW$32)</f>
        <v>2475</v>
      </c>
      <c r="K17" s="11">
        <f>SUM('[3]Sky Regional'!$JV$32:$JW$32)</f>
        <v>0</v>
      </c>
      <c r="L17" s="11">
        <f>SUM('[3]Aer Lingus'!$JV$32:$JW$32)</f>
        <v>2565</v>
      </c>
      <c r="M17" s="11">
        <f>SUM([3]AirCanada!$JV$32:$JW$32)</f>
        <v>103</v>
      </c>
      <c r="N17" s="11">
        <f>SUM('[3]Air France'!$JV$32:$JW$32)</f>
        <v>0</v>
      </c>
      <c r="O17" s="11">
        <f>SUM([3]Frontier!$JV$32:$JW$32)</f>
        <v>0</v>
      </c>
      <c r="P17" s="11">
        <f>SUM('[3]Charter Misc'!$JV$32:$JW$32)+SUM([3]Ryan!$JV$32:$JW$32)+SUM([3]Omni!$JV$32:$JW$32)</f>
        <v>60</v>
      </c>
      <c r="Q17" s="197">
        <f>SUM(B17:P17)</f>
        <v>309755</v>
      </c>
    </row>
    <row r="18" spans="1:20" x14ac:dyDescent="0.2">
      <c r="A18" s="43" t="s">
        <v>31</v>
      </c>
      <c r="B18" s="7">
        <f>SUM([3]Delta!$JV$33:$JW$33)</f>
        <v>207485</v>
      </c>
      <c r="C18" s="7">
        <f>SUM([3]Pinnacle!$JV$33:$JW$33)</f>
        <v>2570</v>
      </c>
      <c r="D18" s="7">
        <f>SUM('[3]Sky West'!$JV$33:$JW$33)</f>
        <v>16463</v>
      </c>
      <c r="E18" s="7">
        <f>SUM([3]WestJet!$JV$33:$JW$33)</f>
        <v>8889</v>
      </c>
      <c r="F18" s="7">
        <f>SUM('[3]Sun Country'!$JV$33:$JW$33)</f>
        <v>63287</v>
      </c>
      <c r="G18" s="7">
        <f>SUM([3]Icelandair!$JV$33:$JW$33)</f>
        <v>3743</v>
      </c>
      <c r="H18" s="7">
        <f>SUM([3]KLM!$JV$33:$JW$33)</f>
        <v>0</v>
      </c>
      <c r="I18" s="7">
        <f>SUM([3]Lufthansa!$JV$33:$JW$33)</f>
        <v>0</v>
      </c>
      <c r="J18" s="7">
        <f>SUM([3]Jazz_AC!$JV$33:$JW$33)</f>
        <v>2625</v>
      </c>
      <c r="K18" s="7">
        <f>SUM('[3]Sky Regional'!$JV$33:$JW$33)</f>
        <v>0</v>
      </c>
      <c r="L18" s="7">
        <f>SUM('[3]Aer Lingus'!$JV$33:$JW$33)</f>
        <v>2128</v>
      </c>
      <c r="M18" s="7">
        <f>SUM([3]AirCanada!$JV$33:$JW$33)</f>
        <v>284</v>
      </c>
      <c r="N18" s="7">
        <f>SUM('[3]Air France'!$JV$33:$JW$33)</f>
        <v>0</v>
      </c>
      <c r="O18" s="7">
        <f>SUM([3]Frontier!$JV$33:$JW$33)</f>
        <v>0</v>
      </c>
      <c r="P18" s="7">
        <f>SUM('[3]Charter Misc'!$JV$33:$JW$33)++SUM([3]Ryan!$JV$33:$JW$33)+SUM([3]Omni!$JV$33:$JW$33)</f>
        <v>0</v>
      </c>
      <c r="Q18" s="198">
        <f>SUM(B18:P18)</f>
        <v>307474</v>
      </c>
    </row>
    <row r="19" spans="1:20" ht="15" x14ac:dyDescent="0.25">
      <c r="A19" s="41" t="s">
        <v>7</v>
      </c>
      <c r="B19" s="23">
        <f t="shared" ref="B19:P19" si="11">SUM(B17:B18)</f>
        <v>417480</v>
      </c>
      <c r="C19" s="23">
        <f t="shared" si="11"/>
        <v>6206</v>
      </c>
      <c r="D19" s="23">
        <f t="shared" si="11"/>
        <v>33134</v>
      </c>
      <c r="E19" s="23">
        <f t="shared" ref="E19" si="12">SUM(E17:E18)</f>
        <v>17037</v>
      </c>
      <c r="F19" s="23">
        <f t="shared" si="11"/>
        <v>125724</v>
      </c>
      <c r="G19" s="23">
        <f t="shared" si="11"/>
        <v>7408</v>
      </c>
      <c r="H19" s="23">
        <f t="shared" ref="H19:I19" si="13">SUM(H17:H18)</f>
        <v>0</v>
      </c>
      <c r="I19" s="23">
        <f t="shared" si="13"/>
        <v>0</v>
      </c>
      <c r="J19" s="23">
        <f t="shared" si="11"/>
        <v>5100</v>
      </c>
      <c r="K19" s="23">
        <f t="shared" ref="K19" si="14">SUM(K17:K18)</f>
        <v>0</v>
      </c>
      <c r="L19" s="23">
        <f t="shared" ref="L19:M19" si="15">SUM(L17:L18)</f>
        <v>4693</v>
      </c>
      <c r="M19" s="23">
        <f t="shared" si="15"/>
        <v>387</v>
      </c>
      <c r="N19" s="23">
        <f t="shared" si="11"/>
        <v>0</v>
      </c>
      <c r="O19" s="23">
        <f t="shared" si="11"/>
        <v>0</v>
      </c>
      <c r="P19" s="23">
        <f t="shared" si="11"/>
        <v>60</v>
      </c>
      <c r="Q19" s="199">
        <f>SUM(B19:P19)</f>
        <v>617229</v>
      </c>
      <c r="T19" s="221"/>
    </row>
    <row r="20" spans="1:20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97"/>
      <c r="T20" s="89"/>
    </row>
    <row r="21" spans="1:20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97">
        <f>SUM(B21:P21)</f>
        <v>0</v>
      </c>
    </row>
    <row r="22" spans="1:20" x14ac:dyDescent="0.2">
      <c r="A22" s="43" t="s">
        <v>30</v>
      </c>
      <c r="B22" s="11">
        <f>SUM([3]Delta!$JV$37:$JW$37)</f>
        <v>6954</v>
      </c>
      <c r="C22" s="11">
        <f>SUM([3]Pinnacle!$JV$37:$JW$37)</f>
        <v>48</v>
      </c>
      <c r="D22" s="11">
        <f>SUM('[3]Sky West'!$JV$37:$JW$37)</f>
        <v>290</v>
      </c>
      <c r="E22" s="11">
        <f>SUM([3]WestJet!$JV$37:$JW$37)</f>
        <v>1</v>
      </c>
      <c r="F22" s="11">
        <f>SUM('[3]Sun Country'!$JV$37:$JW$37)</f>
        <v>1329</v>
      </c>
      <c r="G22" s="11">
        <f>SUM([3]Icelandair!$JV$37:$JW$37)</f>
        <v>98</v>
      </c>
      <c r="H22" s="11">
        <f>SUM([3]KLM!$JV$37:$JW$37)</f>
        <v>0</v>
      </c>
      <c r="I22" s="11">
        <f>SUM([3]Lufthansa!$JV$37:$JW$37)</f>
        <v>0</v>
      </c>
      <c r="J22" s="11">
        <f>SUM([3]Jazz_AC!$JV$37:$JW$37)</f>
        <v>65</v>
      </c>
      <c r="K22" s="11">
        <f>SUM('[3]Sky Regional'!$JV$37:$JW$37)</f>
        <v>0</v>
      </c>
      <c r="L22" s="11">
        <f>SUM('[3]Aer Lingus'!$JV$37:$JW$37)</f>
        <v>16</v>
      </c>
      <c r="M22" s="11">
        <f>SUM([3]AirCanada!$JV$37:$JW$37)</f>
        <v>2</v>
      </c>
      <c r="N22" s="11">
        <f>SUM('[3]Air France'!$JV$37:$JW$37)</f>
        <v>0</v>
      </c>
      <c r="O22" s="11">
        <f>SUM([3]Frontier!$JV$37:$JW$37)</f>
        <v>0</v>
      </c>
      <c r="P22" s="11">
        <f>SUM('[3]Charter Misc'!$JV$37:$JW$37)++SUM([3]Ryan!$JV$37:$JW$37)+SUM([3]Omni!$JV$37:$JW$37)</f>
        <v>0</v>
      </c>
      <c r="Q22" s="197">
        <f>SUM(B22:P22)</f>
        <v>8803</v>
      </c>
    </row>
    <row r="23" spans="1:20" x14ac:dyDescent="0.2">
      <c r="A23" s="43" t="s">
        <v>33</v>
      </c>
      <c r="B23" s="7">
        <f>SUM([3]Delta!$JV$38:$JW$38)</f>
        <v>6460</v>
      </c>
      <c r="C23" s="7">
        <f>SUM([3]Pinnacle!$JV$38:$JW$38)</f>
        <v>54</v>
      </c>
      <c r="D23" s="7">
        <f>SUM('[3]Sky West'!$JV$38:$JW$38)</f>
        <v>251</v>
      </c>
      <c r="E23" s="7">
        <f>SUM([3]WestJet!$JV$38:$JW$38)</f>
        <v>2</v>
      </c>
      <c r="F23" s="7">
        <f>SUM('[3]Sun Country'!$JV$38:$JW$38)</f>
        <v>1319</v>
      </c>
      <c r="G23" s="7">
        <f>SUM([3]Icelandair!$JV$38:$JW$38)</f>
        <v>97</v>
      </c>
      <c r="H23" s="7">
        <f>SUM([3]KLM!$JV$38:$JW$38)</f>
        <v>0</v>
      </c>
      <c r="I23" s="7">
        <f>SUM([3]Lufthansa!$JV$38:$JW$38)</f>
        <v>0</v>
      </c>
      <c r="J23" s="7">
        <f>SUM([3]Jazz_AC!$JV$38:$JW$38)</f>
        <v>81</v>
      </c>
      <c r="K23" s="7">
        <f>SUM('[3]Sky Regional'!$JV$38:$JW$38)</f>
        <v>0</v>
      </c>
      <c r="L23" s="7">
        <f>SUM('[3]Aer Lingus'!$JV$38:$JW$38)</f>
        <v>15</v>
      </c>
      <c r="M23" s="7">
        <f>SUM([3]AirCanada!$JV$38:$JW$38)</f>
        <v>1</v>
      </c>
      <c r="N23" s="7">
        <f>SUM('[3]Air France'!$JV$38:$JW$38)</f>
        <v>0</v>
      </c>
      <c r="O23" s="7">
        <f>SUM([3]Frontier!$JV$38:$JW$38)</f>
        <v>0</v>
      </c>
      <c r="P23" s="7">
        <f>SUM('[3]Charter Misc'!$JV$38:$JW$38)++SUM([3]Ryan!$JV$38:$JW$38)+SUM([3]Omni!$JV$38:$JW$38)</f>
        <v>0</v>
      </c>
      <c r="Q23" s="198">
        <f>SUM(B23:P23)</f>
        <v>8280</v>
      </c>
    </row>
    <row r="24" spans="1:20" ht="15.75" thickBot="1" x14ac:dyDescent="0.3">
      <c r="A24" s="44" t="s">
        <v>34</v>
      </c>
      <c r="B24" s="200">
        <f t="shared" ref="B24:P24" si="16">SUM(B22:B23)</f>
        <v>13414</v>
      </c>
      <c r="C24" s="200">
        <f t="shared" si="16"/>
        <v>102</v>
      </c>
      <c r="D24" s="200">
        <f t="shared" si="16"/>
        <v>541</v>
      </c>
      <c r="E24" s="200">
        <f t="shared" ref="E24" si="17">SUM(E22:E23)</f>
        <v>3</v>
      </c>
      <c r="F24" s="200">
        <f t="shared" si="16"/>
        <v>2648</v>
      </c>
      <c r="G24" s="200">
        <f t="shared" si="16"/>
        <v>195</v>
      </c>
      <c r="H24" s="200">
        <f t="shared" ref="H24:I24" si="18">SUM(H22:H23)</f>
        <v>0</v>
      </c>
      <c r="I24" s="200">
        <f t="shared" si="18"/>
        <v>0</v>
      </c>
      <c r="J24" s="200">
        <f t="shared" si="16"/>
        <v>146</v>
      </c>
      <c r="K24" s="200">
        <f t="shared" ref="K24" si="19">SUM(K22:K23)</f>
        <v>0</v>
      </c>
      <c r="L24" s="200">
        <f t="shared" ref="L24:M24" si="20">SUM(L22:L23)</f>
        <v>31</v>
      </c>
      <c r="M24" s="200">
        <f t="shared" si="20"/>
        <v>3</v>
      </c>
      <c r="N24" s="200">
        <f t="shared" si="16"/>
        <v>0</v>
      </c>
      <c r="O24" s="200">
        <f t="shared" si="16"/>
        <v>0</v>
      </c>
      <c r="P24" s="200">
        <f t="shared" si="16"/>
        <v>0</v>
      </c>
      <c r="Q24" s="201">
        <f>SUM(B24:P24)</f>
        <v>17083</v>
      </c>
    </row>
    <row r="26" spans="1:20" ht="39" thickBot="1" x14ac:dyDescent="0.25">
      <c r="B26" s="315" t="s">
        <v>18</v>
      </c>
      <c r="C26" s="351" t="s">
        <v>153</v>
      </c>
      <c r="D26" s="314" t="s">
        <v>157</v>
      </c>
      <c r="E26" s="314" t="s">
        <v>209</v>
      </c>
      <c r="F26" s="314" t="s">
        <v>49</v>
      </c>
      <c r="G26" s="314" t="s">
        <v>112</v>
      </c>
      <c r="H26" s="314" t="s">
        <v>176</v>
      </c>
      <c r="I26" s="314" t="s">
        <v>215</v>
      </c>
      <c r="J26" s="314" t="s">
        <v>212</v>
      </c>
      <c r="K26" s="314" t="s">
        <v>177</v>
      </c>
      <c r="L26" s="314" t="s">
        <v>182</v>
      </c>
      <c r="M26" s="314" t="s">
        <v>97</v>
      </c>
      <c r="N26" s="314" t="s">
        <v>152</v>
      </c>
      <c r="O26" s="314" t="s">
        <v>47</v>
      </c>
      <c r="P26" s="314" t="s">
        <v>136</v>
      </c>
      <c r="Q26" s="314" t="s">
        <v>21</v>
      </c>
    </row>
    <row r="27" spans="1:20" ht="15" x14ac:dyDescent="0.25">
      <c r="A27" s="494" t="s">
        <v>139</v>
      </c>
      <c r="B27" s="495"/>
      <c r="C27" s="495"/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6"/>
    </row>
    <row r="28" spans="1:20" x14ac:dyDescent="0.2">
      <c r="A28" s="43" t="s">
        <v>22</v>
      </c>
      <c r="B28" s="11">
        <f>[3]Delta!$JW$15</f>
        <v>630</v>
      </c>
      <c r="C28" s="11">
        <f>[3]Pinnacle!$JW$15</f>
        <v>28</v>
      </c>
      <c r="D28" s="11">
        <f>'[3]Sky West'!$JW$15</f>
        <v>128</v>
      </c>
      <c r="E28" s="11">
        <f>[3]WestJet!$JW$15</f>
        <v>57</v>
      </c>
      <c r="F28" s="11">
        <f>'[3]Sun Country'!$JW$15</f>
        <v>249</v>
      </c>
      <c r="G28" s="11">
        <f>[3]Icelandair!$JW$15</f>
        <v>16</v>
      </c>
      <c r="H28" s="11">
        <f>[3]KLM!$JW$15</f>
        <v>0</v>
      </c>
      <c r="I28" s="11">
        <f>[3]Lufthansa!$JW$15</f>
        <v>0</v>
      </c>
      <c r="J28" s="11">
        <f>[3]Jazz_AC!$JW$15</f>
        <v>24</v>
      </c>
      <c r="K28" s="11">
        <f>'[3]Sky Regional'!$JW$15</f>
        <v>0</v>
      </c>
      <c r="L28" s="11">
        <f>'[3]Aer Lingus'!$JW$15</f>
        <v>15</v>
      </c>
      <c r="M28" s="11">
        <f>[3]AirCanada!$JW$15</f>
        <v>0</v>
      </c>
      <c r="N28" s="11">
        <f>'[3]Air France'!$JW$15</f>
        <v>0</v>
      </c>
      <c r="O28" s="11">
        <f>[3]Frontier!$JW$15</f>
        <v>0</v>
      </c>
      <c r="P28" s="11">
        <f>'[3]Charter Misc'!$JW$15+[3]Ryan!$JW$15+[3]Omni!$JW$15</f>
        <v>0</v>
      </c>
      <c r="Q28" s="197">
        <f>SUM(B28:P28)</f>
        <v>1147</v>
      </c>
    </row>
    <row r="29" spans="1:20" x14ac:dyDescent="0.2">
      <c r="A29" s="43" t="s">
        <v>23</v>
      </c>
      <c r="B29" s="11">
        <f>[3]Delta!$JW$16</f>
        <v>629</v>
      </c>
      <c r="C29" s="11">
        <f>[3]Pinnacle!$JW$16</f>
        <v>27</v>
      </c>
      <c r="D29" s="11">
        <f>'[3]Sky West'!$JW$16</f>
        <v>128</v>
      </c>
      <c r="E29" s="11">
        <f>[3]WestJet!$JW$16</f>
        <v>57</v>
      </c>
      <c r="F29" s="11">
        <f>'[3]Sun Country'!$JW$16</f>
        <v>245</v>
      </c>
      <c r="G29" s="11">
        <f>[3]Icelandair!$JW$16</f>
        <v>16</v>
      </c>
      <c r="H29" s="11">
        <f>[3]KLM!$JW$16</f>
        <v>0</v>
      </c>
      <c r="I29" s="11">
        <f>[3]Lufthansa!$JW$16</f>
        <v>0</v>
      </c>
      <c r="J29" s="11">
        <f>[3]Jazz_AC!$JW$16</f>
        <v>23</v>
      </c>
      <c r="K29" s="11">
        <f>'[3]Sky Regional'!$JW$16</f>
        <v>0</v>
      </c>
      <c r="L29" s="11">
        <f>'[3]Aer Lingus'!$JW$16</f>
        <v>15</v>
      </c>
      <c r="M29" s="11">
        <f>[3]AirCanada!$JW$16</f>
        <v>0</v>
      </c>
      <c r="N29" s="11">
        <f>'[3]Air France'!$JW$16</f>
        <v>0</v>
      </c>
      <c r="O29" s="11">
        <f>[3]Frontier!$JW$16</f>
        <v>0</v>
      </c>
      <c r="P29" s="11">
        <f>'[3]Charter Misc'!$JW$16+[3]Ryan!$JW$16+[3]Omni!$JW$16</f>
        <v>0</v>
      </c>
      <c r="Q29" s="197">
        <f>SUM(B29:P29)</f>
        <v>1140</v>
      </c>
    </row>
    <row r="30" spans="1:20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97"/>
    </row>
    <row r="31" spans="1:20" ht="15.75" thickBot="1" x14ac:dyDescent="0.3">
      <c r="A31" s="44" t="s">
        <v>28</v>
      </c>
      <c r="B31" s="271">
        <f t="shared" ref="B31:J31" si="21">SUM(B28:B29)</f>
        <v>1259</v>
      </c>
      <c r="C31" s="271">
        <f t="shared" si="21"/>
        <v>55</v>
      </c>
      <c r="D31" s="271">
        <f>SUM(D28:D29)</f>
        <v>256</v>
      </c>
      <c r="E31" s="271">
        <f>SUM(E28:E29)</f>
        <v>114</v>
      </c>
      <c r="F31" s="271">
        <f t="shared" si="21"/>
        <v>494</v>
      </c>
      <c r="G31" s="271">
        <f t="shared" si="21"/>
        <v>32</v>
      </c>
      <c r="H31" s="271">
        <f t="shared" ref="H31:I31" si="22">SUM(H28:H29)</f>
        <v>0</v>
      </c>
      <c r="I31" s="271">
        <f t="shared" si="22"/>
        <v>0</v>
      </c>
      <c r="J31" s="271">
        <f t="shared" si="21"/>
        <v>47</v>
      </c>
      <c r="K31" s="271">
        <f t="shared" ref="K31" si="23">SUM(K28:K29)</f>
        <v>0</v>
      </c>
      <c r="L31" s="271">
        <f>SUM(L28:L29)</f>
        <v>30</v>
      </c>
      <c r="M31" s="271">
        <f>SUM(M28:M29)</f>
        <v>0</v>
      </c>
      <c r="N31" s="271">
        <f>SUM(N28:N29)</f>
        <v>0</v>
      </c>
      <c r="O31" s="271">
        <f t="shared" ref="O31" si="24">SUM(O28:O29)</f>
        <v>0</v>
      </c>
      <c r="P31" s="271">
        <f>SUM(P28:P29)</f>
        <v>0</v>
      </c>
      <c r="Q31" s="272">
        <f>SUM(B31:P31)</f>
        <v>2287</v>
      </c>
    </row>
    <row r="32" spans="1:20" ht="15" x14ac:dyDescent="0.25">
      <c r="A32" s="273"/>
    </row>
    <row r="33" spans="1:17" ht="39" thickBot="1" x14ac:dyDescent="0.25">
      <c r="B33" s="315" t="s">
        <v>18</v>
      </c>
      <c r="C33" s="351" t="s">
        <v>153</v>
      </c>
      <c r="D33" s="314" t="s">
        <v>157</v>
      </c>
      <c r="E33" s="314" t="s">
        <v>209</v>
      </c>
      <c r="F33" s="314" t="s">
        <v>49</v>
      </c>
      <c r="G33" s="314" t="s">
        <v>112</v>
      </c>
      <c r="H33" s="314" t="s">
        <v>176</v>
      </c>
      <c r="I33" s="314" t="s">
        <v>215</v>
      </c>
      <c r="J33" s="314" t="s">
        <v>212</v>
      </c>
      <c r="K33" s="314" t="s">
        <v>177</v>
      </c>
      <c r="L33" s="314" t="s">
        <v>182</v>
      </c>
      <c r="M33" s="314" t="s">
        <v>97</v>
      </c>
      <c r="N33" s="314" t="s">
        <v>152</v>
      </c>
      <c r="O33" s="314" t="s">
        <v>47</v>
      </c>
      <c r="P33" s="314" t="s">
        <v>136</v>
      </c>
      <c r="Q33" s="314" t="s">
        <v>21</v>
      </c>
    </row>
    <row r="34" spans="1:17" ht="15" x14ac:dyDescent="0.25">
      <c r="A34" s="497" t="s">
        <v>140</v>
      </c>
      <c r="B34" s="498"/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9"/>
    </row>
    <row r="35" spans="1:17" x14ac:dyDescent="0.2">
      <c r="A35" s="43" t="s">
        <v>22</v>
      </c>
      <c r="B35" s="11">
        <f>SUM([3]Delta!$JV$15:$JW$15)</f>
        <v>1307</v>
      </c>
      <c r="C35" s="11">
        <f>SUM([3]Pinnacle!$JV$15:$JW$15)</f>
        <v>60</v>
      </c>
      <c r="D35" s="11">
        <f>SUM('[3]Sky West'!$JV$15:$JW$15)</f>
        <v>270</v>
      </c>
      <c r="E35" s="11">
        <f>SUM([3]WestJet!$JV$15:$JW$15)</f>
        <v>118</v>
      </c>
      <c r="F35" s="11">
        <f>SUM('[3]Sun Country'!$JV$15:$JW$15)</f>
        <v>442</v>
      </c>
      <c r="G35" s="11">
        <f>SUM([3]Icelandair!$JV$15:$JW$15)</f>
        <v>33</v>
      </c>
      <c r="H35" s="11">
        <f>SUM([3]KLM!$JV$15:$JW$15)</f>
        <v>0</v>
      </c>
      <c r="I35" s="11">
        <f>SUM([3]Lufthansa!$JV$15:$JW$15)</f>
        <v>0</v>
      </c>
      <c r="J35" s="11">
        <f>SUM([3]Jazz_AC!$JV$15:$JW$15)</f>
        <v>46</v>
      </c>
      <c r="K35" s="11">
        <f>SUM('[3]Sky Regional'!$JV$15:$JW$15)</f>
        <v>0</v>
      </c>
      <c r="L35" s="11">
        <f>SUM('[3]Aer Lingus'!$JV$15:$JW$15)</f>
        <v>32</v>
      </c>
      <c r="M35" s="11">
        <f>SUM([3]AirCanada!$JV$15:$JW$15)</f>
        <v>5</v>
      </c>
      <c r="N35" s="11">
        <f>SUM('[3]Air France'!$JV$15:$JW$15)</f>
        <v>0</v>
      </c>
      <c r="O35" s="11">
        <f>SUM([3]Frontier!$JV$15:$JW$15)</f>
        <v>0</v>
      </c>
      <c r="P35" s="11">
        <f>SUM('[3]Charter Misc'!$JV$15:$JW$15)+SUM([3]Ryan!$JV$15:$JW$15)+SUM([3]Omni!$JV$15:$JW$15)</f>
        <v>1</v>
      </c>
      <c r="Q35" s="197">
        <f>SUM(B35:P35)</f>
        <v>2314</v>
      </c>
    </row>
    <row r="36" spans="1:17" x14ac:dyDescent="0.2">
      <c r="A36" s="43" t="s">
        <v>23</v>
      </c>
      <c r="B36" s="11">
        <f>SUM([3]Delta!$JV$16:$JW$16)</f>
        <v>1305</v>
      </c>
      <c r="C36" s="11">
        <f>SUM([3]Pinnacle!$JV$16:$JW$16)</f>
        <v>59</v>
      </c>
      <c r="D36" s="11">
        <f>SUM('[3]Sky West'!$JV$16:$JW$16)</f>
        <v>269</v>
      </c>
      <c r="E36" s="11">
        <f>SUM([3]WestJet!$JV$16:$JW$16)</f>
        <v>118</v>
      </c>
      <c r="F36" s="11">
        <f>SUM('[3]Sun Country'!$JV$16:$JW$16)</f>
        <v>439</v>
      </c>
      <c r="G36" s="11">
        <f>SUM([3]Icelandair!$JV$16:$JW$16)</f>
        <v>33</v>
      </c>
      <c r="H36" s="11">
        <f>SUM([3]KLM!$JV$16:$JW$16)</f>
        <v>0</v>
      </c>
      <c r="I36" s="11">
        <f>SUM([3]Lufthansa!$JV$16:$JW$16)</f>
        <v>0</v>
      </c>
      <c r="J36" s="11">
        <f>SUM([3]Jazz_AC!$JV$16:$JW$16)</f>
        <v>47</v>
      </c>
      <c r="K36" s="11">
        <f>SUM('[3]Sky Regional'!$JV$16:$JW$16)</f>
        <v>0</v>
      </c>
      <c r="L36" s="11">
        <f>SUM('[3]Aer Lingus'!$JV$16:$JW$16)</f>
        <v>32</v>
      </c>
      <c r="M36" s="11">
        <f>SUM([3]AirCanada!$JV$16:$JW$16)</f>
        <v>5</v>
      </c>
      <c r="N36" s="11">
        <f>SUM('[3]Air France'!$JV$16:$JW$16)</f>
        <v>0</v>
      </c>
      <c r="O36" s="11">
        <f>SUM([3]Frontier!$JV$16:$JW$16)</f>
        <v>0</v>
      </c>
      <c r="P36" s="11">
        <f>SUM('[3]Charter Misc'!$JV$16:$JW$16)+SUM([3]Ryan!$JV$16:$JW$16)+SUM([3]Omni!$JV$16:$JW$16)</f>
        <v>0</v>
      </c>
      <c r="Q36" s="197">
        <f>SUM(B36:P36)</f>
        <v>2307</v>
      </c>
    </row>
    <row r="37" spans="1:17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97"/>
    </row>
    <row r="38" spans="1:17" ht="15.75" thickBot="1" x14ac:dyDescent="0.3">
      <c r="A38" s="44" t="s">
        <v>28</v>
      </c>
      <c r="B38" s="271">
        <f t="shared" ref="B38:J38" si="25">+SUM(B35:B36)</f>
        <v>2612</v>
      </c>
      <c r="C38" s="271">
        <f t="shared" si="25"/>
        <v>119</v>
      </c>
      <c r="D38" s="271">
        <f>+SUM(D35:D36)</f>
        <v>539</v>
      </c>
      <c r="E38" s="271">
        <f>+SUM(E35:E36)</f>
        <v>236</v>
      </c>
      <c r="F38" s="271">
        <f t="shared" si="25"/>
        <v>881</v>
      </c>
      <c r="G38" s="271">
        <f t="shared" si="25"/>
        <v>66</v>
      </c>
      <c r="H38" s="271">
        <f t="shared" ref="H38:I38" si="26">+SUM(H35:H36)</f>
        <v>0</v>
      </c>
      <c r="I38" s="271">
        <f t="shared" si="26"/>
        <v>0</v>
      </c>
      <c r="J38" s="271">
        <f t="shared" si="25"/>
        <v>93</v>
      </c>
      <c r="K38" s="271">
        <f t="shared" ref="K38" si="27">+SUM(K35:K36)</f>
        <v>0</v>
      </c>
      <c r="L38" s="271">
        <f>+SUM(L35:L36)</f>
        <v>64</v>
      </c>
      <c r="M38" s="271">
        <f>+SUM(M35:M36)</f>
        <v>10</v>
      </c>
      <c r="N38" s="271">
        <f>+SUM(N35:N36)</f>
        <v>0</v>
      </c>
      <c r="O38" s="271">
        <f t="shared" ref="O38" si="28">+SUM(O35:O36)</f>
        <v>0</v>
      </c>
      <c r="P38" s="271">
        <f>+SUM(P35:P36)</f>
        <v>1</v>
      </c>
      <c r="Q38" s="272">
        <f>SUM(B38:P38)</f>
        <v>4621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&amp;"Arial,Bold"February 2026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5"/>
  <sheetViews>
    <sheetView zoomScale="85" zoomScaleNormal="85" zoomScaleSheetLayoutView="85" workbookViewId="0">
      <pane xSplit="2" ySplit="2" topLeftCell="C25" activePane="bottomRight" state="frozen"/>
      <selection pane="topRight" activeCell="C1" sqref="C1"/>
      <selection pane="bottomLeft" activeCell="A3" sqref="A3"/>
      <selection pane="bottomRight" activeCell="L60" sqref="L60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28515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7109375" style="3" bestFit="1" customWidth="1"/>
    <col min="10" max="10" width="4.28515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7109375" bestFit="1" customWidth="1"/>
    <col min="24" max="25" width="10.7109375" bestFit="1" customWidth="1"/>
    <col min="26" max="26" width="9.42578125" bestFit="1" customWidth="1"/>
    <col min="27" max="27" width="11.7109375" bestFit="1" customWidth="1"/>
    <col min="28" max="28" width="5.28515625" customWidth="1"/>
    <col min="29" max="29" width="14.42578125" bestFit="1" customWidth="1"/>
    <col min="30" max="31" width="9.71093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13" t="s">
        <v>129</v>
      </c>
      <c r="B1" s="514"/>
      <c r="C1" s="393" t="s">
        <v>230</v>
      </c>
      <c r="D1" s="393" t="s">
        <v>221</v>
      </c>
      <c r="E1" s="392" t="s">
        <v>94</v>
      </c>
      <c r="F1" s="394" t="s">
        <v>231</v>
      </c>
      <c r="G1" s="393" t="s">
        <v>222</v>
      </c>
      <c r="H1" s="395" t="s">
        <v>95</v>
      </c>
      <c r="I1" s="392" t="s">
        <v>235</v>
      </c>
      <c r="J1" s="517" t="s">
        <v>133</v>
      </c>
      <c r="K1" s="518"/>
      <c r="L1" s="396" t="s">
        <v>237</v>
      </c>
      <c r="M1" s="396" t="s">
        <v>238</v>
      </c>
      <c r="N1" s="397" t="s">
        <v>94</v>
      </c>
      <c r="O1" s="398" t="s">
        <v>231</v>
      </c>
      <c r="P1" s="398" t="s">
        <v>222</v>
      </c>
      <c r="Q1" s="399" t="s">
        <v>95</v>
      </c>
      <c r="R1" s="400" t="s">
        <v>235</v>
      </c>
      <c r="S1" s="505" t="s">
        <v>195</v>
      </c>
      <c r="T1" s="506"/>
      <c r="U1" s="401" t="s">
        <v>236</v>
      </c>
      <c r="V1" s="401" t="s">
        <v>223</v>
      </c>
      <c r="W1" s="402" t="s">
        <v>95</v>
      </c>
      <c r="X1" s="403" t="s">
        <v>239</v>
      </c>
      <c r="Y1" s="403" t="s">
        <v>224</v>
      </c>
      <c r="Z1" s="404" t="s">
        <v>95</v>
      </c>
      <c r="AA1" s="405" t="s">
        <v>235</v>
      </c>
      <c r="AB1" s="500" t="s">
        <v>13</v>
      </c>
      <c r="AC1" s="501"/>
      <c r="AD1" s="423" t="s">
        <v>236</v>
      </c>
      <c r="AE1" s="423" t="s">
        <v>223</v>
      </c>
      <c r="AF1" s="424" t="s">
        <v>95</v>
      </c>
      <c r="AG1" s="425" t="s">
        <v>239</v>
      </c>
      <c r="AH1" s="425" t="s">
        <v>224</v>
      </c>
      <c r="AI1" s="426" t="s">
        <v>95</v>
      </c>
      <c r="AJ1" s="427" t="s">
        <v>235</v>
      </c>
    </row>
    <row r="2" spans="1:36" s="9" customFormat="1" ht="13.5" customHeight="1" thickBot="1" x14ac:dyDescent="0.25">
      <c r="A2" s="483">
        <v>46054</v>
      </c>
      <c r="B2" s="484"/>
      <c r="C2" s="515" t="s">
        <v>9</v>
      </c>
      <c r="D2" s="516"/>
      <c r="E2" s="516"/>
      <c r="F2" s="516"/>
      <c r="G2" s="516"/>
      <c r="H2" s="516"/>
      <c r="I2" s="321"/>
      <c r="J2" s="483">
        <f>+A2</f>
        <v>46054</v>
      </c>
      <c r="K2" s="484"/>
      <c r="L2" s="510" t="s">
        <v>135</v>
      </c>
      <c r="M2" s="511"/>
      <c r="N2" s="511"/>
      <c r="O2" s="511"/>
      <c r="P2" s="511"/>
      <c r="Q2" s="511"/>
      <c r="R2" s="512"/>
      <c r="S2" s="483">
        <f>+J2</f>
        <v>46054</v>
      </c>
      <c r="T2" s="484"/>
      <c r="U2" s="507" t="s">
        <v>196</v>
      </c>
      <c r="V2" s="508"/>
      <c r="W2" s="508"/>
      <c r="X2" s="508"/>
      <c r="Y2" s="508"/>
      <c r="Z2" s="508"/>
      <c r="AA2" s="509"/>
      <c r="AB2" s="483">
        <f>+S2</f>
        <v>46054</v>
      </c>
      <c r="AC2" s="484"/>
      <c r="AD2" s="502" t="s">
        <v>13</v>
      </c>
      <c r="AE2" s="503"/>
      <c r="AF2" s="503"/>
      <c r="AG2" s="503"/>
      <c r="AH2" s="503"/>
      <c r="AI2" s="503"/>
      <c r="AJ2" s="504"/>
    </row>
    <row r="3" spans="1:36" x14ac:dyDescent="0.2">
      <c r="A3" s="241"/>
      <c r="B3" s="242"/>
      <c r="C3" s="243"/>
      <c r="D3" s="244"/>
      <c r="E3" s="245"/>
      <c r="F3" s="299"/>
      <c r="G3" s="244"/>
      <c r="H3" s="337"/>
      <c r="I3" s="245"/>
      <c r="J3" s="246"/>
      <c r="K3" s="242"/>
      <c r="L3" s="253"/>
      <c r="N3" s="63"/>
      <c r="O3" s="241"/>
      <c r="P3" s="247"/>
      <c r="Q3" s="247"/>
      <c r="R3" s="242"/>
      <c r="S3" s="246"/>
      <c r="T3" s="242"/>
      <c r="U3" s="253"/>
      <c r="V3" s="2"/>
      <c r="W3" s="63"/>
      <c r="X3" s="241"/>
      <c r="Y3" s="247"/>
      <c r="Z3" s="247"/>
      <c r="AA3" s="242"/>
      <c r="AB3" s="246"/>
      <c r="AC3" s="242"/>
      <c r="AD3" s="253"/>
      <c r="AE3" s="2"/>
      <c r="AF3" s="63"/>
      <c r="AG3" s="241"/>
      <c r="AH3" s="247"/>
      <c r="AI3" s="247"/>
      <c r="AJ3" s="242"/>
    </row>
    <row r="4" spans="1:36" ht="14.1" customHeight="1" x14ac:dyDescent="0.2">
      <c r="A4" s="248" t="s">
        <v>97</v>
      </c>
      <c r="B4" s="37"/>
      <c r="C4" s="249">
        <f>SUM(C5:C6)</f>
        <v>47</v>
      </c>
      <c r="D4" s="251">
        <f>SUM(D5:D6)</f>
        <v>130</v>
      </c>
      <c r="E4" s="252">
        <f>(C4-D4)/D4</f>
        <v>-0.63846153846153841</v>
      </c>
      <c r="F4" s="249">
        <f>SUM(F5:F6)</f>
        <v>103</v>
      </c>
      <c r="G4" s="251">
        <f>SUM(G5:G6)</f>
        <v>314</v>
      </c>
      <c r="H4" s="250">
        <f>(F4-G4)/G4</f>
        <v>-0.67197452229299359</v>
      </c>
      <c r="I4" s="252">
        <f>F4/$F$56</f>
        <v>2.2911291040128125E-3</v>
      </c>
      <c r="J4" s="248" t="s">
        <v>97</v>
      </c>
      <c r="K4" s="37"/>
      <c r="L4" s="249">
        <f>SUM(L5:L6)</f>
        <v>2332</v>
      </c>
      <c r="M4" s="251">
        <f>SUM(M5:M6)</f>
        <v>5734</v>
      </c>
      <c r="N4" s="252">
        <f>(L4-M4)/M4</f>
        <v>-0.59330310429019884</v>
      </c>
      <c r="O4" s="249">
        <f>SUM(O5:O6)</f>
        <v>5487</v>
      </c>
      <c r="P4" s="251">
        <f>SUM(P5:P6)</f>
        <v>13468</v>
      </c>
      <c r="Q4" s="250">
        <f>(O4-P4)/P4</f>
        <v>-0.5925898425898426</v>
      </c>
      <c r="R4" s="252">
        <f>O4/$O$56</f>
        <v>1.1575543978839559E-3</v>
      </c>
      <c r="S4" s="248" t="s">
        <v>97</v>
      </c>
      <c r="T4" s="37"/>
      <c r="U4" s="249">
        <f>SUM(U5:U6)</f>
        <v>10049.5</v>
      </c>
      <c r="V4" s="251">
        <f>SUM(V5:V6)</f>
        <v>20175.5</v>
      </c>
      <c r="W4" s="252">
        <f>(U4-V4)/V4</f>
        <v>-0.50189586379519713</v>
      </c>
      <c r="X4" s="249">
        <f>SUM(X5:X6)</f>
        <v>26949.300000000003</v>
      </c>
      <c r="Y4" s="251">
        <f>SUM(Y5:Y6)</f>
        <v>30817.200000000001</v>
      </c>
      <c r="Z4" s="250">
        <f>(X4-Y4)/Y4</f>
        <v>-0.12551107822904084</v>
      </c>
      <c r="AA4" s="252">
        <f>X4/$X$56</f>
        <v>2.0566061330378476E-3</v>
      </c>
      <c r="AB4" s="248" t="s">
        <v>97</v>
      </c>
      <c r="AC4" s="37"/>
      <c r="AD4" s="249">
        <f>SUM(AD5:AD6)</f>
        <v>2410</v>
      </c>
      <c r="AE4" s="251">
        <f>SUM(AE5:AE6)</f>
        <v>5843</v>
      </c>
      <c r="AF4" s="252">
        <f>(AD4-AE4)/AE4</f>
        <v>-0.58754064692794794</v>
      </c>
      <c r="AG4" s="249">
        <f>SUM(AG5:AG6)</f>
        <v>5636</v>
      </c>
      <c r="AH4" s="251">
        <f>SUM(AH5:AH6)</f>
        <v>13750</v>
      </c>
      <c r="AI4" s="250">
        <f>(AG4-AH4)/AH4</f>
        <v>-0.59010909090909092</v>
      </c>
      <c r="AJ4" s="252">
        <f>AG4/$AG$56</f>
        <v>1.1486157101934142E-3</v>
      </c>
    </row>
    <row r="5" spans="1:36" ht="14.1" customHeight="1" x14ac:dyDescent="0.2">
      <c r="A5" s="248"/>
      <c r="B5" s="37" t="s">
        <v>97</v>
      </c>
      <c r="C5" s="253">
        <f>[3]AirCanada!$JW$19</f>
        <v>0</v>
      </c>
      <c r="D5" s="2">
        <f>[3]AirCanada!$JI$19</f>
        <v>0</v>
      </c>
      <c r="E5" s="63" t="e">
        <f t="shared" ref="E5" si="0">(C5-D5)/D5</f>
        <v>#DIV/0!</v>
      </c>
      <c r="F5" s="2">
        <f>SUM([3]AirCanada!$JV$19:$JW$19)</f>
        <v>10</v>
      </c>
      <c r="G5" s="2">
        <f>SUM([3]AirCanada!$JH$19:$JI$19)</f>
        <v>0</v>
      </c>
      <c r="H5" s="3" t="e">
        <f t="shared" ref="H5" si="1">(F5-G5)/G5</f>
        <v>#DIV/0!</v>
      </c>
      <c r="I5" s="63">
        <f>F5/$F$56</f>
        <v>2.2243971883619538E-4</v>
      </c>
      <c r="J5" s="248"/>
      <c r="K5" s="37" t="s">
        <v>97</v>
      </c>
      <c r="L5" s="253">
        <f>[3]AirCanada!$JW$41</f>
        <v>0</v>
      </c>
      <c r="M5" s="2">
        <f>[3]AirCanada!$JI$41</f>
        <v>0</v>
      </c>
      <c r="N5" s="63" t="e">
        <f t="shared" ref="N5" si="2">(L5-M5)/M5</f>
        <v>#DIV/0!</v>
      </c>
      <c r="O5" s="253">
        <f>SUM([3]AirCanada!$JV$41:$JW$41)</f>
        <v>387</v>
      </c>
      <c r="P5" s="2">
        <f>SUM([3]AirCanada!$JH$41:$JI$41)</f>
        <v>0</v>
      </c>
      <c r="Q5" s="3" t="e">
        <f t="shared" ref="Q5" si="3">(O5-P5)/P5</f>
        <v>#DIV/0!</v>
      </c>
      <c r="R5" s="63">
        <f>O5/$O$56</f>
        <v>8.164271040296901E-5</v>
      </c>
      <c r="S5" s="248"/>
      <c r="T5" s="37" t="s">
        <v>97</v>
      </c>
      <c r="U5" s="253">
        <f>[3]AirCanada!$JW$64</f>
        <v>0</v>
      </c>
      <c r="V5" s="2">
        <f>[3]AirCanada!$JI$64</f>
        <v>0</v>
      </c>
      <c r="W5" s="63" t="e">
        <f t="shared" ref="W5" si="4">(U5-V5)/V5</f>
        <v>#DIV/0!</v>
      </c>
      <c r="X5" s="253">
        <f>SUM([3]AirCanada!$JV$64:$JW$64)</f>
        <v>10716.7</v>
      </c>
      <c r="Y5" s="2">
        <f>SUM([3]AirCanada!$JH$64:$JI$64)</f>
        <v>0</v>
      </c>
      <c r="Z5" s="3" t="e">
        <f t="shared" ref="Z5" si="5">(X5-Y5)/Y5</f>
        <v>#DIV/0!</v>
      </c>
      <c r="AA5" s="63">
        <f>X5/$X$56</f>
        <v>8.1783315135928211E-4</v>
      </c>
      <c r="AB5" s="248"/>
      <c r="AC5" s="37" t="s">
        <v>97</v>
      </c>
      <c r="AD5" s="253">
        <f>[3]AirCanada!$JW$43</f>
        <v>0</v>
      </c>
      <c r="AE5" s="2">
        <f>[3]AirCanada!$JI$43</f>
        <v>0</v>
      </c>
      <c r="AF5" s="63" t="e">
        <f t="shared" ref="AF5" si="6">(AD5-AE5)/AE5</f>
        <v>#DIV/0!</v>
      </c>
      <c r="AG5" s="253">
        <f>SUM([3]AirCanada!$JV$43:$JW$43)</f>
        <v>390</v>
      </c>
      <c r="AH5" s="2">
        <f>SUM([3]AirCanada!$JH$43:$JI$43)</f>
        <v>0</v>
      </c>
      <c r="AI5" s="3" t="e">
        <f t="shared" ref="AI5" si="7">(AG5-AH5)/AH5</f>
        <v>#DIV/0!</v>
      </c>
      <c r="AJ5" s="63">
        <f>AG5/$AG$56</f>
        <v>7.9481924587549948E-5</v>
      </c>
    </row>
    <row r="6" spans="1:36" ht="14.1" customHeight="1" x14ac:dyDescent="0.2">
      <c r="A6" s="248"/>
      <c r="B6" s="307" t="s">
        <v>203</v>
      </c>
      <c r="C6" s="253">
        <f>[3]Jazz_AC!$JW$19</f>
        <v>47</v>
      </c>
      <c r="D6" s="2">
        <f>[3]Jazz_AC!$JI$19</f>
        <v>130</v>
      </c>
      <c r="E6" s="63">
        <f t="shared" ref="E6" si="8">(C6-D6)/D6</f>
        <v>-0.63846153846153841</v>
      </c>
      <c r="F6" s="2">
        <f>SUM([3]Jazz_AC!$JV$19:$JW$19)</f>
        <v>93</v>
      </c>
      <c r="G6" s="2">
        <f>SUM([3]Jazz_AC!$JH$19:$JI$19)</f>
        <v>314</v>
      </c>
      <c r="H6" s="3">
        <f t="shared" ref="H6" si="9">(F6-G6)/G6</f>
        <v>-0.70382165605095537</v>
      </c>
      <c r="I6" s="63">
        <f>F6/$F$56</f>
        <v>2.068689385176617E-3</v>
      </c>
      <c r="J6" s="248"/>
      <c r="K6" s="307" t="s">
        <v>203</v>
      </c>
      <c r="L6" s="253">
        <f>[3]Jazz_AC!$JW$41</f>
        <v>2332</v>
      </c>
      <c r="M6" s="2">
        <f>[3]Jazz_AC!$JI$41</f>
        <v>5734</v>
      </c>
      <c r="N6" s="63">
        <f t="shared" ref="N6" si="10">(L6-M6)/M6</f>
        <v>-0.59330310429019884</v>
      </c>
      <c r="O6" s="253">
        <f>SUM([3]Jazz_AC!$JV$41:$JW$41)</f>
        <v>5100</v>
      </c>
      <c r="P6" s="2">
        <f>SUM([3]Jazz_AC!$JH$41:$JI$41)</f>
        <v>13468</v>
      </c>
      <c r="Q6" s="3">
        <f t="shared" ref="Q6" si="11">(O6-P6)/P6</f>
        <v>-0.6213246213246213</v>
      </c>
      <c r="R6" s="63">
        <f>O6/$O$56</f>
        <v>1.075911687480987E-3</v>
      </c>
      <c r="S6" s="248"/>
      <c r="T6" s="307" t="s">
        <v>203</v>
      </c>
      <c r="U6" s="253">
        <f>[3]Jazz_AC!$JW$64</f>
        <v>10049.5</v>
      </c>
      <c r="V6" s="2">
        <f>[3]Jazz_AC!$JI$64</f>
        <v>20175.5</v>
      </c>
      <c r="W6" s="63">
        <f t="shared" ref="W6" si="12">(U6-V6)/V6</f>
        <v>-0.50189586379519713</v>
      </c>
      <c r="X6" s="253">
        <f>SUM([3]Jazz_AC!$JV$64:$JW$64)</f>
        <v>16232.6</v>
      </c>
      <c r="Y6" s="2">
        <f>SUM([3]Jazz_AC!$JH$64:$JI$64)</f>
        <v>30817.200000000001</v>
      </c>
      <c r="Z6" s="3">
        <f t="shared" ref="Z6" si="13">(X6-Y6)/Y6</f>
        <v>-0.47326168503303351</v>
      </c>
      <c r="AA6" s="63">
        <f>X6/$X$56</f>
        <v>1.2387729816785654E-3</v>
      </c>
      <c r="AB6" s="248"/>
      <c r="AC6" s="307" t="s">
        <v>203</v>
      </c>
      <c r="AD6" s="253">
        <f>[3]Jazz_AC!$JW$43</f>
        <v>2410</v>
      </c>
      <c r="AE6" s="2">
        <f>[3]Jazz_AC!$JI$43</f>
        <v>5843</v>
      </c>
      <c r="AF6" s="63">
        <f t="shared" ref="AF6" si="14">(AD6-AE6)/AE6</f>
        <v>-0.58754064692794794</v>
      </c>
      <c r="AG6" s="253">
        <f>SUM([3]Jazz_AC!$JV$43:$JW$43)</f>
        <v>5246</v>
      </c>
      <c r="AH6" s="2">
        <f>SUM([3]Jazz_AC!$JH$43:$JI$43)</f>
        <v>13750</v>
      </c>
      <c r="AI6" s="3">
        <f t="shared" ref="AI6" si="15">(AG6-AH6)/AH6</f>
        <v>-0.61847272727272729</v>
      </c>
      <c r="AJ6" s="63">
        <f>AG6/$AG$56</f>
        <v>1.0691337856058643E-3</v>
      </c>
    </row>
    <row r="7" spans="1:36" ht="14.1" customHeight="1" x14ac:dyDescent="0.2">
      <c r="A7" s="248"/>
      <c r="B7" s="37"/>
      <c r="C7" s="249"/>
      <c r="D7" s="251"/>
      <c r="E7" s="252"/>
      <c r="F7" s="251"/>
      <c r="G7" s="251"/>
      <c r="H7" s="250"/>
      <c r="I7" s="252"/>
      <c r="J7" s="248"/>
      <c r="K7" s="37"/>
      <c r="L7" s="253"/>
      <c r="N7" s="63"/>
      <c r="O7" s="253"/>
      <c r="P7" s="2"/>
      <c r="Q7" s="3"/>
      <c r="R7" s="63"/>
      <c r="S7" s="248"/>
      <c r="T7" s="37"/>
      <c r="U7" s="253"/>
      <c r="V7" s="2"/>
      <c r="W7" s="63"/>
      <c r="X7" s="253"/>
      <c r="Y7" s="2"/>
      <c r="Z7" s="3"/>
      <c r="AA7" s="63"/>
      <c r="AB7" s="248"/>
      <c r="AC7" s="37"/>
      <c r="AD7" s="253"/>
      <c r="AE7" s="2"/>
      <c r="AF7" s="63"/>
      <c r="AG7" s="253"/>
      <c r="AH7" s="2"/>
      <c r="AI7" s="3"/>
      <c r="AJ7" s="63"/>
    </row>
    <row r="8" spans="1:36" ht="14.1" customHeight="1" x14ac:dyDescent="0.2">
      <c r="A8" s="248" t="s">
        <v>152</v>
      </c>
      <c r="B8" s="37"/>
      <c r="C8" s="249">
        <f>'[3]Air France'!$JW$19</f>
        <v>0</v>
      </c>
      <c r="D8" s="251">
        <f>'[3]Air France'!$JI$19</f>
        <v>0</v>
      </c>
      <c r="E8" s="252">
        <f>IFERROR((C8-D8)/D8,0)</f>
        <v>0</v>
      </c>
      <c r="F8" s="251">
        <f>SUM('[3]Air France'!$JV$19:$JW$19)</f>
        <v>0</v>
      </c>
      <c r="G8" s="251">
        <f>SUM('[3]Air France'!$JH$19:$JI$19)</f>
        <v>0</v>
      </c>
      <c r="H8" s="250">
        <f>IFERROR((F8-G8)/G8,0)</f>
        <v>0</v>
      </c>
      <c r="I8" s="252">
        <f>F8/$F$56</f>
        <v>0</v>
      </c>
      <c r="J8" s="248" t="s">
        <v>152</v>
      </c>
      <c r="K8" s="37"/>
      <c r="L8" s="249">
        <f>'[3]Air France'!$JW$41</f>
        <v>0</v>
      </c>
      <c r="M8" s="251">
        <f>'[3]Air France'!$JI$41</f>
        <v>0</v>
      </c>
      <c r="N8" s="252">
        <f>IFERROR((L8-M8)/M8,0)</f>
        <v>0</v>
      </c>
      <c r="O8" s="249">
        <f>SUM('[3]Air France'!$JV$41:$JW$41)</f>
        <v>0</v>
      </c>
      <c r="P8" s="251">
        <f>SUM('[3]Air France'!$JH$41:$JI$41)</f>
        <v>0</v>
      </c>
      <c r="Q8" s="250">
        <f>IFERROR((O8-P8)/P8,0)</f>
        <v>0</v>
      </c>
      <c r="R8" s="252">
        <f>O8/$O$56</f>
        <v>0</v>
      </c>
      <c r="S8" s="248" t="s">
        <v>152</v>
      </c>
      <c r="T8" s="37"/>
      <c r="U8" s="249">
        <f>'[3]Air France'!$JW$64</f>
        <v>0</v>
      </c>
      <c r="V8" s="251">
        <f>'[3]Air France'!$JI$64</f>
        <v>0</v>
      </c>
      <c r="W8" s="252">
        <f>IFERROR((U8-V8)/V8,0)</f>
        <v>0</v>
      </c>
      <c r="X8" s="249">
        <f>SUM('[3]Air France'!$JV$64:$JW$64)</f>
        <v>0</v>
      </c>
      <c r="Y8" s="251">
        <f>SUM('[3]Air France'!$JH$64:$JI$64)</f>
        <v>0</v>
      </c>
      <c r="Z8" s="250">
        <f>IFERROR((X8-Y8)/Y8,0)</f>
        <v>0</v>
      </c>
      <c r="AA8" s="252">
        <f>X8/$X$56</f>
        <v>0</v>
      </c>
      <c r="AB8" s="248" t="s">
        <v>152</v>
      </c>
      <c r="AC8" s="37"/>
      <c r="AD8" s="249">
        <f>'[3]Air France'!$JW$43</f>
        <v>0</v>
      </c>
      <c r="AE8" s="251">
        <f>'[3]Air France'!$JI$43</f>
        <v>0</v>
      </c>
      <c r="AF8" s="252">
        <f>IFERROR((AD8-AE8)/AE8,0)</f>
        <v>0</v>
      </c>
      <c r="AG8" s="249">
        <f>SUM('[3]Air France'!$JV$43:$JW$43)</f>
        <v>0</v>
      </c>
      <c r="AH8" s="251">
        <f>SUM('[3]Air France'!$JH$43:$JI$43)</f>
        <v>0</v>
      </c>
      <c r="AI8" s="250">
        <f>IFERROR((AG8-AH8)/AH8,0)</f>
        <v>0</v>
      </c>
      <c r="AJ8" s="252">
        <f>AG8/$AG$56</f>
        <v>0</v>
      </c>
    </row>
    <row r="9" spans="1:36" ht="14.1" customHeight="1" x14ac:dyDescent="0.2">
      <c r="A9" s="248"/>
      <c r="B9" s="37"/>
      <c r="C9" s="249"/>
      <c r="D9" s="251"/>
      <c r="E9" s="252"/>
      <c r="F9" s="251"/>
      <c r="G9" s="251"/>
      <c r="H9" s="250"/>
      <c r="I9" s="252"/>
      <c r="J9" s="248"/>
      <c r="K9" s="37"/>
      <c r="L9" s="253"/>
      <c r="N9" s="63"/>
      <c r="O9" s="253"/>
      <c r="P9" s="2"/>
      <c r="Q9" s="3"/>
      <c r="R9" s="63"/>
      <c r="S9" s="248"/>
      <c r="T9" s="37"/>
      <c r="U9" s="253"/>
      <c r="V9" s="2"/>
      <c r="W9" s="63"/>
      <c r="X9" s="253"/>
      <c r="Y9" s="2"/>
      <c r="Z9" s="3"/>
      <c r="AA9" s="63"/>
      <c r="AB9" s="248"/>
      <c r="AC9" s="37"/>
      <c r="AD9" s="253"/>
      <c r="AE9" s="2"/>
      <c r="AF9" s="63"/>
      <c r="AG9" s="253"/>
      <c r="AH9" s="2"/>
      <c r="AI9" s="3"/>
      <c r="AJ9" s="63"/>
    </row>
    <row r="10" spans="1:36" ht="14.1" customHeight="1" x14ac:dyDescent="0.2">
      <c r="A10" s="248" t="s">
        <v>182</v>
      </c>
      <c r="B10" s="37"/>
      <c r="C10" s="249">
        <f>'[3]Aer Lingus'!$JW$19</f>
        <v>30</v>
      </c>
      <c r="D10" s="251">
        <f>'[3]Aer Lingus'!$JI$19</f>
        <v>0</v>
      </c>
      <c r="E10" s="252">
        <f>IFERROR((C10-D10)/D10,0)</f>
        <v>0</v>
      </c>
      <c r="F10" s="251">
        <f>SUM('[3]Aer Lingus'!$JV$19:$JW$19)</f>
        <v>64</v>
      </c>
      <c r="G10" s="251">
        <f>SUM('[3]Aer Lingus'!$JH$19:$JI$19)</f>
        <v>0</v>
      </c>
      <c r="H10" s="250">
        <f>IFERROR((F10-G10)/G10,0)</f>
        <v>0</v>
      </c>
      <c r="I10" s="252">
        <f>F10/$F$56</f>
        <v>1.4236142005516505E-3</v>
      </c>
      <c r="J10" s="248" t="s">
        <v>182</v>
      </c>
      <c r="K10" s="37"/>
      <c r="L10" s="249">
        <f>'[3]Aer Lingus'!$JW$41</f>
        <v>1656</v>
      </c>
      <c r="M10" s="251">
        <f>'[3]Aer Lingus'!$JI$41</f>
        <v>0</v>
      </c>
      <c r="N10" s="252">
        <f>IFERROR((L10-M10)/M10,0)</f>
        <v>0</v>
      </c>
      <c r="O10" s="249">
        <f>SUM('[3]Aer Lingus'!$JV$41:$JW$41)</f>
        <v>4693</v>
      </c>
      <c r="P10" s="251">
        <f>SUM('[3]Aer Lingus'!$JH$41:$JI$41)</f>
        <v>0</v>
      </c>
      <c r="Q10" s="250">
        <f>IFERROR((O10-P10)/P10,0)</f>
        <v>0</v>
      </c>
      <c r="R10" s="252">
        <f>O10/$O$56</f>
        <v>9.9004971555848465E-4</v>
      </c>
      <c r="S10" s="248" t="s">
        <v>182</v>
      </c>
      <c r="T10" s="37"/>
      <c r="U10" s="249">
        <f>'[3]Aer Lingus'!$JW$64</f>
        <v>2012.82</v>
      </c>
      <c r="V10" s="251">
        <f>'[3]Aer Lingus'!$JI$64</f>
        <v>0</v>
      </c>
      <c r="W10" s="252">
        <f>IFERROR((U10-V10)/V10,0)</f>
        <v>0</v>
      </c>
      <c r="X10" s="249">
        <f>SUM('[3]Aer Lingus'!$JV$64:$JW$64)</f>
        <v>4457.74</v>
      </c>
      <c r="Y10" s="251">
        <f>SUM('[3]Aer Lingus'!$JH$64:$JI$64)</f>
        <v>0</v>
      </c>
      <c r="Z10" s="250">
        <f>IFERROR((X10-Y10)/Y10,0)</f>
        <v>0</v>
      </c>
      <c r="AA10" s="252">
        <f>X10/$X$56</f>
        <v>3.4018751594617054E-4</v>
      </c>
      <c r="AB10" s="248" t="s">
        <v>182</v>
      </c>
      <c r="AC10" s="37"/>
      <c r="AD10" s="249">
        <f>'[3]Aer Lingus'!$JW$43</f>
        <v>1672</v>
      </c>
      <c r="AE10" s="251">
        <f>'[3]Aer Lingus'!$JI$43</f>
        <v>0</v>
      </c>
      <c r="AF10" s="252">
        <f>IFERROR((AD10-AE10)/AE10,0)</f>
        <v>0</v>
      </c>
      <c r="AG10" s="249">
        <f>SUM('[3]Aer Lingus'!$JV$43:$JW$43)</f>
        <v>4724</v>
      </c>
      <c r="AH10" s="251">
        <f>SUM('[3]Aer Lingus'!$JH$43:$JI$43)</f>
        <v>0</v>
      </c>
      <c r="AI10" s="250">
        <f>IFERROR((AG10-AH10)/AH10,0)</f>
        <v>0</v>
      </c>
      <c r="AJ10" s="252">
        <f>AG10/$AG$56</f>
        <v>9.6275028654252816E-4</v>
      </c>
    </row>
    <row r="11" spans="1:36" ht="14.1" customHeight="1" x14ac:dyDescent="0.2">
      <c r="A11" s="248"/>
      <c r="B11" s="37"/>
      <c r="C11" s="249"/>
      <c r="D11" s="251"/>
      <c r="E11" s="252"/>
      <c r="F11" s="251"/>
      <c r="G11" s="251"/>
      <c r="H11" s="250"/>
      <c r="I11" s="252"/>
      <c r="J11" s="248"/>
      <c r="K11" s="37"/>
      <c r="L11" s="253"/>
      <c r="N11" s="63"/>
      <c r="O11" s="253"/>
      <c r="P11" s="2"/>
      <c r="Q11" s="3"/>
      <c r="R11" s="63"/>
      <c r="S11" s="248"/>
      <c r="T11" s="37"/>
      <c r="U11" s="253"/>
      <c r="V11" s="2"/>
      <c r="W11" s="63"/>
      <c r="X11" s="253"/>
      <c r="Y11" s="2"/>
      <c r="Z11" s="3"/>
      <c r="AA11" s="63"/>
      <c r="AB11" s="248"/>
      <c r="AC11" s="37"/>
      <c r="AD11" s="253"/>
      <c r="AE11" s="2"/>
      <c r="AF11" s="63"/>
      <c r="AG11" s="253"/>
      <c r="AH11" s="2"/>
      <c r="AI11" s="3"/>
      <c r="AJ11" s="63"/>
    </row>
    <row r="12" spans="1:36" ht="14.1" customHeight="1" x14ac:dyDescent="0.2">
      <c r="A12" s="248" t="s">
        <v>204</v>
      </c>
      <c r="B12" s="37"/>
      <c r="C12" s="253">
        <f>'[3]Allegiant '!$JW$19</f>
        <v>0</v>
      </c>
      <c r="D12" s="2">
        <f>'[3]Allegiant '!$JI$19</f>
        <v>62</v>
      </c>
      <c r="E12" s="252">
        <f t="shared" ref="E12" si="16">(C12-D12)/D12</f>
        <v>-1</v>
      </c>
      <c r="F12" s="2">
        <f>SUM('[3]Allegiant '!$JV$19:$JW$19)</f>
        <v>0</v>
      </c>
      <c r="G12" s="2">
        <f>SUM('[3]Allegiant '!$JH$19:$JI$19)</f>
        <v>116</v>
      </c>
      <c r="H12" s="250">
        <f t="shared" ref="H12" si="17">(F12-G12)/G12</f>
        <v>-1</v>
      </c>
      <c r="I12" s="252">
        <f>F12/$F$56</f>
        <v>0</v>
      </c>
      <c r="J12" s="248" t="s">
        <v>204</v>
      </c>
      <c r="K12" s="37"/>
      <c r="L12" s="253">
        <f>'[3]Allegiant '!$JW$41</f>
        <v>0</v>
      </c>
      <c r="M12" s="2">
        <f>'[3]Allegiant '!$JI$41</f>
        <v>8994</v>
      </c>
      <c r="N12" s="252">
        <f t="shared" ref="N12" si="18">(L12-M12)/M12</f>
        <v>-1</v>
      </c>
      <c r="O12" s="253">
        <f>SUM('[3]Allegiant '!$JV$41:$JW$41)</f>
        <v>0</v>
      </c>
      <c r="P12" s="2">
        <f>SUM('[3]Allegiant '!$JH$41:$JI$41)</f>
        <v>16400</v>
      </c>
      <c r="Q12" s="250">
        <f t="shared" ref="Q12" si="19">(O12-P12)/P12</f>
        <v>-1</v>
      </c>
      <c r="R12" s="252">
        <f>O12/$O$56</f>
        <v>0</v>
      </c>
      <c r="S12" s="248" t="s">
        <v>204</v>
      </c>
      <c r="T12" s="37"/>
      <c r="U12" s="253">
        <f>'[3]Allegiant '!$JW$64</f>
        <v>0</v>
      </c>
      <c r="V12" s="2">
        <f>'[3]Allegiant '!$JI$64</f>
        <v>0</v>
      </c>
      <c r="W12" s="252">
        <f>IFERROR((U12-V12)/V12,0)</f>
        <v>0</v>
      </c>
      <c r="X12" s="253">
        <f>SUM('[3]Allegiant '!$JV$64:$JW$64)</f>
        <v>0</v>
      </c>
      <c r="Y12" s="2">
        <f>SUM('[3]Allegiant '!$JH$64:$JI$64)</f>
        <v>0</v>
      </c>
      <c r="Z12" s="250">
        <f>IFERROR((X12-Y12)/Y12,0)</f>
        <v>0</v>
      </c>
      <c r="AA12" s="252">
        <f>X12/$X$56</f>
        <v>0</v>
      </c>
      <c r="AB12" s="248" t="s">
        <v>204</v>
      </c>
      <c r="AC12" s="37"/>
      <c r="AD12" s="253">
        <f>'[3]Allegiant '!$JW$43</f>
        <v>0</v>
      </c>
      <c r="AE12" s="2">
        <f>'[3]Allegiant '!$JI$43</f>
        <v>8994</v>
      </c>
      <c r="AF12" s="252">
        <f t="shared" ref="AF12" si="20">(AD12-AE12)/AE12</f>
        <v>-1</v>
      </c>
      <c r="AG12" s="253">
        <f>SUM('[3]Allegiant '!$JV$43:$JW$43)</f>
        <v>0</v>
      </c>
      <c r="AH12" s="2">
        <f>SUM('[3]Allegiant '!$JH$43:$JI$43)</f>
        <v>16400</v>
      </c>
      <c r="AI12" s="250">
        <f t="shared" ref="AI12" si="21">(AG12-AH12)/AH12</f>
        <v>-1</v>
      </c>
      <c r="AJ12" s="252">
        <f>AG12/$AG$56</f>
        <v>0</v>
      </c>
    </row>
    <row r="13" spans="1:36" ht="14.1" customHeight="1" x14ac:dyDescent="0.2">
      <c r="A13" s="248"/>
      <c r="B13" s="37"/>
      <c r="C13" s="249"/>
      <c r="D13" s="251"/>
      <c r="E13" s="252"/>
      <c r="F13" s="251"/>
      <c r="G13" s="251"/>
      <c r="H13" s="250"/>
      <c r="I13" s="252"/>
      <c r="J13" s="248"/>
      <c r="K13" s="37"/>
      <c r="L13" s="253"/>
      <c r="N13" s="63"/>
      <c r="O13" s="253"/>
      <c r="P13" s="2"/>
      <c r="Q13" s="3"/>
      <c r="R13" s="63"/>
      <c r="S13" s="248"/>
      <c r="T13" s="37"/>
      <c r="U13" s="253"/>
      <c r="V13" s="2"/>
      <c r="W13" s="63"/>
      <c r="X13" s="253"/>
      <c r="Y13" s="2"/>
      <c r="Z13" s="3"/>
      <c r="AA13" s="63"/>
      <c r="AB13" s="248"/>
      <c r="AC13" s="37"/>
      <c r="AD13" s="253"/>
      <c r="AE13" s="2"/>
      <c r="AF13" s="63"/>
      <c r="AG13" s="253"/>
      <c r="AH13" s="2"/>
      <c r="AI13" s="3"/>
      <c r="AJ13" s="63"/>
    </row>
    <row r="14" spans="1:36" ht="14.1" customHeight="1" x14ac:dyDescent="0.2">
      <c r="A14" s="248" t="s">
        <v>126</v>
      </c>
      <c r="B14" s="37"/>
      <c r="C14" s="249">
        <f>SUM(C15:C15)</f>
        <v>106</v>
      </c>
      <c r="D14" s="251">
        <f>SUM(D15:D15)</f>
        <v>111</v>
      </c>
      <c r="E14" s="252">
        <f>(C14-D14)/D14</f>
        <v>-4.5045045045045043E-2</v>
      </c>
      <c r="F14" s="251">
        <f>SUM(F15:F15)</f>
        <v>222</v>
      </c>
      <c r="G14" s="251">
        <f>SUM(G15:G15)</f>
        <v>238</v>
      </c>
      <c r="H14" s="250">
        <f>(F14-G14)/G14</f>
        <v>-6.7226890756302518E-2</v>
      </c>
      <c r="I14" s="252">
        <f>F14/$F$56</f>
        <v>4.938161758163538E-3</v>
      </c>
      <c r="J14" s="248" t="s">
        <v>126</v>
      </c>
      <c r="K14" s="37"/>
      <c r="L14" s="249">
        <f>SUM(L15:L15)</f>
        <v>14554</v>
      </c>
      <c r="M14" s="251">
        <f>SUM(M15:M15)</f>
        <v>14848</v>
      </c>
      <c r="N14" s="252">
        <f>(L14-M14)/M14</f>
        <v>-1.9800646551724137E-2</v>
      </c>
      <c r="O14" s="249">
        <f>SUM(O15:O15)</f>
        <v>32176</v>
      </c>
      <c r="P14" s="251">
        <f>SUM(P15:P15)</f>
        <v>32357</v>
      </c>
      <c r="Q14" s="250">
        <f>(O14-P14)/P14</f>
        <v>-5.5938436814290567E-3</v>
      </c>
      <c r="R14" s="252">
        <f>O14/$O$56</f>
        <v>6.7879479326251446E-3</v>
      </c>
      <c r="S14" s="248" t="s">
        <v>126</v>
      </c>
      <c r="T14" s="37"/>
      <c r="U14" s="249">
        <f>SUM(U15:U15)</f>
        <v>25205</v>
      </c>
      <c r="V14" s="251">
        <f>SUM(V15:V15)</f>
        <v>15384</v>
      </c>
      <c r="W14" s="252">
        <f>(U14-V14)/V14</f>
        <v>0.63839053562142489</v>
      </c>
      <c r="X14" s="249">
        <f>SUM(X15:X15)</f>
        <v>53291</v>
      </c>
      <c r="Y14" s="251">
        <f>SUM(Y15:Y15)</f>
        <v>33660</v>
      </c>
      <c r="Z14" s="250">
        <f>(X14-Y14)/Y14</f>
        <v>0.58321449792038027</v>
      </c>
      <c r="AA14" s="252">
        <f>X14/$X$56</f>
        <v>4.0668439416133226E-3</v>
      </c>
      <c r="AB14" s="248" t="s">
        <v>126</v>
      </c>
      <c r="AC14" s="37"/>
      <c r="AD14" s="249">
        <f>SUM(AD15:AD15)</f>
        <v>15144</v>
      </c>
      <c r="AE14" s="251">
        <f>SUM(AE15:AE15)</f>
        <v>15493</v>
      </c>
      <c r="AF14" s="252">
        <f>(AD14-AE14)/AE14</f>
        <v>-2.2526302200993997E-2</v>
      </c>
      <c r="AG14" s="249">
        <f>SUM(AG15:AG15)</f>
        <v>33386</v>
      </c>
      <c r="AH14" s="251">
        <f>SUM(AH15:AH15)</f>
        <v>33752</v>
      </c>
      <c r="AI14" s="250">
        <f>(AG14-AH14)/AH14</f>
        <v>-1.0843801848779332E-2</v>
      </c>
      <c r="AJ14" s="252">
        <f>AG14/$AG$56</f>
        <v>6.8040603443075449E-3</v>
      </c>
    </row>
    <row r="15" spans="1:36" ht="14.1" customHeight="1" x14ac:dyDescent="0.2">
      <c r="A15" s="248"/>
      <c r="B15" s="307" t="s">
        <v>126</v>
      </c>
      <c r="C15" s="311">
        <f>[3]Alaska!$JW$19</f>
        <v>106</v>
      </c>
      <c r="D15" s="209">
        <f>[3]Alaska!$JI$19</f>
        <v>111</v>
      </c>
      <c r="E15" s="313">
        <f>(C15-D15)/D15</f>
        <v>-4.5045045045045043E-2</v>
      </c>
      <c r="F15" s="209">
        <f>SUM([3]Alaska!$JV$19:$JW$19)</f>
        <v>222</v>
      </c>
      <c r="G15" s="209">
        <f>SUM([3]Alaska!$JH$19:$JI$19)</f>
        <v>238</v>
      </c>
      <c r="H15" s="312">
        <f>(F15-G15)/G15</f>
        <v>-6.7226890756302518E-2</v>
      </c>
      <c r="I15" s="313">
        <f>F15/$F$56</f>
        <v>4.938161758163538E-3</v>
      </c>
      <c r="J15" s="248"/>
      <c r="K15" s="307" t="s">
        <v>126</v>
      </c>
      <c r="L15" s="311">
        <f>[3]Alaska!$JW$41</f>
        <v>14554</v>
      </c>
      <c r="M15" s="209">
        <f>[3]Alaska!$JI$41</f>
        <v>14848</v>
      </c>
      <c r="N15" s="313">
        <f>(L15-M15)/M15</f>
        <v>-1.9800646551724137E-2</v>
      </c>
      <c r="O15" s="311">
        <f>SUM([3]Alaska!$JV$41:$JW$41)</f>
        <v>32176</v>
      </c>
      <c r="P15" s="209">
        <f>SUM([3]Alaska!$JH$41:$JI$41)</f>
        <v>32357</v>
      </c>
      <c r="Q15" s="312">
        <f>(O15-P15)/P15</f>
        <v>-5.5938436814290567E-3</v>
      </c>
      <c r="R15" s="313">
        <f>O15/$O$56</f>
        <v>6.7879479326251446E-3</v>
      </c>
      <c r="S15" s="248"/>
      <c r="T15" s="307" t="s">
        <v>126</v>
      </c>
      <c r="U15" s="311">
        <f>[3]Alaska!$JW$64</f>
        <v>25205</v>
      </c>
      <c r="V15" s="209">
        <f>[3]Alaska!$JI$64</f>
        <v>15384</v>
      </c>
      <c r="W15" s="313">
        <f>(U15-V15)/V15</f>
        <v>0.63839053562142489</v>
      </c>
      <c r="X15" s="311">
        <f>SUM([3]Alaska!$JV$64:$JW$64)</f>
        <v>53291</v>
      </c>
      <c r="Y15" s="209">
        <f>SUM([3]Alaska!$JH$64:$JI$64)</f>
        <v>33660</v>
      </c>
      <c r="Z15" s="312">
        <f>(X15-Y15)/Y15</f>
        <v>0.58321449792038027</v>
      </c>
      <c r="AA15" s="313">
        <f>X15/$X$56</f>
        <v>4.0668439416133226E-3</v>
      </c>
      <c r="AB15" s="248"/>
      <c r="AC15" s="307" t="s">
        <v>126</v>
      </c>
      <c r="AD15" s="311">
        <f>[3]Alaska!$JW$43</f>
        <v>15144</v>
      </c>
      <c r="AE15" s="209">
        <f>[3]Alaska!$JI$43</f>
        <v>15493</v>
      </c>
      <c r="AF15" s="313">
        <f>(AD15-AE15)/AE15</f>
        <v>-2.2526302200993997E-2</v>
      </c>
      <c r="AG15" s="311">
        <f>SUM([3]Alaska!$JV$43:$JW$43)</f>
        <v>33386</v>
      </c>
      <c r="AH15" s="209">
        <f>SUM([3]Alaska!$JH$43:$JI$43)</f>
        <v>33752</v>
      </c>
      <c r="AI15" s="312">
        <f>(AG15-AH15)/AH15</f>
        <v>-1.0843801848779332E-2</v>
      </c>
      <c r="AJ15" s="63">
        <f>AG15/$AG$56</f>
        <v>6.8040603443075449E-3</v>
      </c>
    </row>
    <row r="16" spans="1:36" ht="14.1" customHeight="1" x14ac:dyDescent="0.2">
      <c r="A16" s="248"/>
      <c r="B16" s="37"/>
      <c r="C16" s="249"/>
      <c r="D16" s="254"/>
      <c r="E16" s="252"/>
      <c r="F16" s="254"/>
      <c r="G16" s="254"/>
      <c r="H16" s="250"/>
      <c r="I16" s="252"/>
      <c r="J16" s="248"/>
      <c r="K16" s="37"/>
      <c r="L16" s="133"/>
      <c r="M16" s="89"/>
      <c r="N16" s="63"/>
      <c r="O16" s="133"/>
      <c r="P16" s="89"/>
      <c r="Q16" s="3"/>
      <c r="R16" s="63"/>
      <c r="S16" s="248"/>
      <c r="T16" s="37"/>
      <c r="U16" s="133"/>
      <c r="V16" s="89"/>
      <c r="W16" s="63"/>
      <c r="X16" s="133"/>
      <c r="Y16" s="89"/>
      <c r="Z16" s="3"/>
      <c r="AA16" s="63"/>
      <c r="AB16" s="248"/>
      <c r="AC16" s="37"/>
      <c r="AD16" s="133"/>
      <c r="AE16" s="89"/>
      <c r="AF16" s="63"/>
      <c r="AG16" s="133"/>
      <c r="AH16" s="89"/>
      <c r="AI16" s="3"/>
      <c r="AJ16" s="63"/>
    </row>
    <row r="17" spans="1:36" ht="14.1" customHeight="1" x14ac:dyDescent="0.2">
      <c r="A17" s="248" t="s">
        <v>17</v>
      </c>
      <c r="B17" s="255"/>
      <c r="C17" s="249">
        <f>SUM(C18:C22)</f>
        <v>1116</v>
      </c>
      <c r="D17" s="251">
        <f>SUM(D18:D22)</f>
        <v>1121</v>
      </c>
      <c r="E17" s="252">
        <f t="shared" ref="E17:E21" si="22">(C17-D17)/D17</f>
        <v>-4.4603033006244425E-3</v>
      </c>
      <c r="F17" s="249">
        <f>SUM(F18:F22)</f>
        <v>2175</v>
      </c>
      <c r="G17" s="251">
        <f>SUM(G18:G22)</f>
        <v>2344</v>
      </c>
      <c r="H17" s="250">
        <f t="shared" ref="H17:H21" si="23">(F17-G17)/G17</f>
        <v>-7.2098976109215021E-2</v>
      </c>
      <c r="I17" s="252">
        <f t="shared" ref="I17:I22" si="24">F17/$F$56</f>
        <v>4.8380638846872499E-2</v>
      </c>
      <c r="J17" s="248" t="s">
        <v>17</v>
      </c>
      <c r="K17" s="255"/>
      <c r="L17" s="249">
        <f>SUM(L18:L22)</f>
        <v>103377</v>
      </c>
      <c r="M17" s="251">
        <f>SUM(M18:M22)</f>
        <v>110997</v>
      </c>
      <c r="N17" s="252">
        <f t="shared" ref="N17:N21" si="25">(L17-M17)/M17</f>
        <v>-6.8650504067677504E-2</v>
      </c>
      <c r="O17" s="249">
        <f>SUM(O18:O22)</f>
        <v>203953</v>
      </c>
      <c r="P17" s="251">
        <f>SUM(P18:P22)</f>
        <v>229870</v>
      </c>
      <c r="Q17" s="250">
        <f t="shared" ref="Q17:Q21" si="26">(O17-P17)/P17</f>
        <v>-0.11274633488493496</v>
      </c>
      <c r="R17" s="252">
        <f t="shared" ref="R17:R22" si="27">O17/$O$56</f>
        <v>4.3026552234668572E-2</v>
      </c>
      <c r="S17" s="248" t="s">
        <v>17</v>
      </c>
      <c r="T17" s="255"/>
      <c r="U17" s="249">
        <f>SUM(U18:U22)</f>
        <v>120446</v>
      </c>
      <c r="V17" s="251">
        <f>SUM(V18:V22)</f>
        <v>27554</v>
      </c>
      <c r="W17" s="252">
        <f t="shared" ref="W17:W21" si="28">(U17-V17)/V17</f>
        <v>3.3712709588444509</v>
      </c>
      <c r="X17" s="249">
        <f>SUM(X18:X22)</f>
        <v>235612</v>
      </c>
      <c r="Y17" s="251">
        <f>SUM(Y18:Y22)</f>
        <v>54827</v>
      </c>
      <c r="Z17" s="250">
        <f t="shared" ref="Z17:Z21" si="29">(X17-Y17)/Y17</f>
        <v>3.2973717329053205</v>
      </c>
      <c r="AA17" s="252">
        <f t="shared" ref="AA17:AA22" si="30">X17/$X$56</f>
        <v>1.7980470150145395E-2</v>
      </c>
      <c r="AB17" s="248" t="s">
        <v>17</v>
      </c>
      <c r="AC17" s="255"/>
      <c r="AD17" s="249">
        <f>SUM(AD18:AD22)</f>
        <v>107342</v>
      </c>
      <c r="AE17" s="251">
        <f>SUM(AE18:AE22)</f>
        <v>115112</v>
      </c>
      <c r="AF17" s="252">
        <f t="shared" ref="AF17:AF21" si="31">(AD17-AE17)/AE17</f>
        <v>-6.7499478768503721E-2</v>
      </c>
      <c r="AG17" s="249">
        <f>SUM(AG18:AG22)</f>
        <v>211747</v>
      </c>
      <c r="AH17" s="251">
        <f>SUM(AH18:AH22)</f>
        <v>238653</v>
      </c>
      <c r="AI17" s="250">
        <f t="shared" ref="AI17:AI21" si="32">(AG17-AH17)/AH17</f>
        <v>-0.11274109271620303</v>
      </c>
      <c r="AJ17" s="252">
        <f t="shared" ref="AJ17:AJ22" si="33">AG17/$AG$56</f>
        <v>4.3153997655487025E-2</v>
      </c>
    </row>
    <row r="18" spans="1:36" ht="14.1" customHeight="1" x14ac:dyDescent="0.2">
      <c r="A18" s="36"/>
      <c r="B18" s="37" t="s">
        <v>17</v>
      </c>
      <c r="C18" s="253">
        <f>[3]American!$JW$19</f>
        <v>602</v>
      </c>
      <c r="D18" s="2">
        <f>[3]American!$JI$19</f>
        <v>678</v>
      </c>
      <c r="E18" s="63">
        <f t="shared" si="22"/>
        <v>-0.11209439528023599</v>
      </c>
      <c r="F18" s="2">
        <f>SUM([3]American!$JV$19:$JW$19)</f>
        <v>1189</v>
      </c>
      <c r="G18" s="2">
        <f>SUM([3]American!$JH$19:$JI$19)</f>
        <v>1446</v>
      </c>
      <c r="H18" s="3">
        <f t="shared" si="23"/>
        <v>-0.177731673582296</v>
      </c>
      <c r="I18" s="63">
        <f t="shared" si="24"/>
        <v>2.6448082569623631E-2</v>
      </c>
      <c r="J18" s="36"/>
      <c r="K18" s="37" t="s">
        <v>17</v>
      </c>
      <c r="L18" s="253">
        <f>[3]American!$JW$41</f>
        <v>75286</v>
      </c>
      <c r="M18" s="2">
        <f>[3]American!$JI$41</f>
        <v>86959</v>
      </c>
      <c r="N18" s="63">
        <f t="shared" si="25"/>
        <v>-0.13423567428328292</v>
      </c>
      <c r="O18" s="253">
        <f>SUM([3]American!$JV$41:$JW$41)</f>
        <v>150280</v>
      </c>
      <c r="P18" s="2">
        <f>SUM([3]American!$JH$41:$JI$41)</f>
        <v>181121</v>
      </c>
      <c r="Q18" s="3">
        <f t="shared" si="26"/>
        <v>-0.1702784326499964</v>
      </c>
      <c r="R18" s="63">
        <f t="shared" si="27"/>
        <v>3.1703531057773085E-2</v>
      </c>
      <c r="S18" s="36"/>
      <c r="T18" s="37" t="s">
        <v>17</v>
      </c>
      <c r="U18" s="253">
        <f>[3]American!$JW$64</f>
        <v>118560</v>
      </c>
      <c r="V18" s="2">
        <f>[3]American!$JI$64</f>
        <v>25119</v>
      </c>
      <c r="W18" s="63">
        <f t="shared" si="28"/>
        <v>3.7199331183566224</v>
      </c>
      <c r="X18" s="253">
        <f>SUM([3]American!$JV$64:$JW$64)</f>
        <v>231566</v>
      </c>
      <c r="Y18" s="2">
        <f>SUM([3]American!$JH$64:$JI$64)</f>
        <v>48200</v>
      </c>
      <c r="Z18" s="3">
        <f t="shared" si="29"/>
        <v>3.804273858921162</v>
      </c>
      <c r="AA18" s="63">
        <f t="shared" si="30"/>
        <v>1.7671704118587206E-2</v>
      </c>
      <c r="AB18" s="36"/>
      <c r="AC18" s="37" t="s">
        <v>17</v>
      </c>
      <c r="AD18" s="253">
        <f>[3]American!$JW$43</f>
        <v>78022</v>
      </c>
      <c r="AE18" s="2">
        <f>[3]American!$JI$43</f>
        <v>90116</v>
      </c>
      <c r="AF18" s="63">
        <f t="shared" si="31"/>
        <v>-0.13420480269874385</v>
      </c>
      <c r="AG18" s="253">
        <f>SUM([3]American!$JV$43:$JW$43)</f>
        <v>155788</v>
      </c>
      <c r="AH18" s="2">
        <f>SUM([3]American!$JH$43:$JI$43)</f>
        <v>187923</v>
      </c>
      <c r="AI18" s="3">
        <f t="shared" si="32"/>
        <v>-0.17100088866184554</v>
      </c>
      <c r="AJ18" s="63">
        <f t="shared" si="33"/>
        <v>3.1749564276013414E-2</v>
      </c>
    </row>
    <row r="19" spans="1:36" ht="14.1" customHeight="1" x14ac:dyDescent="0.2">
      <c r="A19" s="36"/>
      <c r="B19" s="307" t="s">
        <v>158</v>
      </c>
      <c r="C19" s="253">
        <f>'[3]American Eagle'!$JW$19</f>
        <v>250</v>
      </c>
      <c r="D19" s="2">
        <f>'[3]American Eagle'!$JI$19</f>
        <v>154</v>
      </c>
      <c r="E19" s="63">
        <f t="shared" si="22"/>
        <v>0.62337662337662336</v>
      </c>
      <c r="F19" s="2">
        <f>SUM('[3]American Eagle'!$JV$19:$JW$19)</f>
        <v>442</v>
      </c>
      <c r="G19" s="2">
        <f>SUM('[3]American Eagle'!$JH$19:$JI$19)</f>
        <v>296</v>
      </c>
      <c r="H19" s="3">
        <f t="shared" si="23"/>
        <v>0.49324324324324326</v>
      </c>
      <c r="I19" s="63">
        <f t="shared" si="24"/>
        <v>9.8318355725598369E-3</v>
      </c>
      <c r="J19" s="36"/>
      <c r="K19" s="307" t="s">
        <v>158</v>
      </c>
      <c r="L19" s="253">
        <f>'[3]American Eagle'!$JW$41</f>
        <v>14286</v>
      </c>
      <c r="M19" s="2">
        <f>'[3]American Eagle'!$JI$41</f>
        <v>8819</v>
      </c>
      <c r="N19" s="63">
        <f t="shared" si="25"/>
        <v>0.61991155459802694</v>
      </c>
      <c r="O19" s="253">
        <f>SUM('[3]American Eagle'!$JV$41:$JW$41)</f>
        <v>25135</v>
      </c>
      <c r="P19" s="2">
        <f>SUM('[3]American Eagle'!$JH$41:$JI$41)</f>
        <v>16939</v>
      </c>
      <c r="Q19" s="3">
        <f t="shared" si="26"/>
        <v>0.48385382844323749</v>
      </c>
      <c r="R19" s="63">
        <f t="shared" si="27"/>
        <v>5.3025569146734524E-3</v>
      </c>
      <c r="S19" s="36"/>
      <c r="T19" s="307" t="s">
        <v>158</v>
      </c>
      <c r="U19" s="253">
        <f>'[3]American Eagle'!$JW$64</f>
        <v>896</v>
      </c>
      <c r="V19" s="2">
        <f>'[3]American Eagle'!$JI$64</f>
        <v>444</v>
      </c>
      <c r="W19" s="63">
        <f>IFERROR((U19-V19)/V19,0)</f>
        <v>1.0180180180180181</v>
      </c>
      <c r="X19" s="253">
        <f>SUM('[3]American Eagle'!$JV$64:$JW$64)</f>
        <v>2960</v>
      </c>
      <c r="Y19" s="2">
        <f>SUM('[3]American Eagle'!$JH$64:$JI$64)</f>
        <v>1638</v>
      </c>
      <c r="Z19" s="312">
        <f>IFERROR((X19-Y19)/Y19,0)</f>
        <v>0.8070818070818071</v>
      </c>
      <c r="AA19" s="63">
        <f t="shared" si="30"/>
        <v>2.2588913826303571E-4</v>
      </c>
      <c r="AB19" s="36"/>
      <c r="AC19" s="307" t="s">
        <v>158</v>
      </c>
      <c r="AD19" s="253">
        <f>'[3]American Eagle'!$JW$43</f>
        <v>15032</v>
      </c>
      <c r="AE19" s="2">
        <f>'[3]American Eagle'!$JI$43</f>
        <v>9221</v>
      </c>
      <c r="AF19" s="63">
        <f t="shared" si="31"/>
        <v>0.63019195315041754</v>
      </c>
      <c r="AG19" s="253">
        <f>SUM('[3]American Eagle'!$JV$43:$JW$43)</f>
        <v>26384</v>
      </c>
      <c r="AH19" s="2">
        <f>SUM('[3]American Eagle'!$JH$43:$JI$43)</f>
        <v>17703</v>
      </c>
      <c r="AI19" s="3">
        <f t="shared" si="32"/>
        <v>0.49036886403434449</v>
      </c>
      <c r="AJ19" s="63">
        <f t="shared" si="33"/>
        <v>5.3770540982510714E-3</v>
      </c>
    </row>
    <row r="20" spans="1:36" ht="14.1" customHeight="1" x14ac:dyDescent="0.2">
      <c r="A20" s="36"/>
      <c r="B20" s="307" t="s">
        <v>51</v>
      </c>
      <c r="C20" s="253">
        <f>[3]Republic!$JW$19</f>
        <v>95</v>
      </c>
      <c r="D20" s="2">
        <f>[3]Republic!$JI$19</f>
        <v>112</v>
      </c>
      <c r="E20" s="63">
        <f t="shared" si="22"/>
        <v>-0.15178571428571427</v>
      </c>
      <c r="F20" s="2">
        <f>SUM([3]Republic!$JV$19:$JW$19)</f>
        <v>199</v>
      </c>
      <c r="G20" s="2">
        <f>SUM([3]Republic!$JH$19:$JI$19)</f>
        <v>246</v>
      </c>
      <c r="H20" s="3">
        <f t="shared" si="23"/>
        <v>-0.1910569105691057</v>
      </c>
      <c r="I20" s="63">
        <f t="shared" si="24"/>
        <v>4.4265504048402885E-3</v>
      </c>
      <c r="J20" s="36"/>
      <c r="K20" s="256" t="s">
        <v>51</v>
      </c>
      <c r="L20" s="253">
        <f>[3]Republic!$JW$41</f>
        <v>5446</v>
      </c>
      <c r="M20" s="2">
        <f>[3]Republic!$JI$41</f>
        <v>6264</v>
      </c>
      <c r="N20" s="63">
        <f t="shared" si="25"/>
        <v>-0.1305874840357599</v>
      </c>
      <c r="O20" s="253">
        <f>SUM([3]Republic!$JV$41:$JW$41)</f>
        <v>11125</v>
      </c>
      <c r="P20" s="2">
        <f>SUM([3]Republic!$JH$41:$JI$41)</f>
        <v>13693</v>
      </c>
      <c r="Q20" s="3">
        <f t="shared" si="26"/>
        <v>-0.18754107938362666</v>
      </c>
      <c r="R20" s="63">
        <f t="shared" si="27"/>
        <v>2.3469642202403884E-3</v>
      </c>
      <c r="S20" s="36"/>
      <c r="T20" s="256" t="s">
        <v>51</v>
      </c>
      <c r="U20" s="253">
        <f>[3]Republic!$JW$64</f>
        <v>680</v>
      </c>
      <c r="V20" s="2">
        <f>[3]Republic!$JI$64</f>
        <v>1929</v>
      </c>
      <c r="W20" s="63">
        <f t="shared" si="28"/>
        <v>-0.64748574390876101</v>
      </c>
      <c r="X20" s="253">
        <f>SUM([3]Republic!$JV$64:$JW$64)</f>
        <v>775</v>
      </c>
      <c r="Y20" s="2">
        <f>SUM([3]Republic!$JH$64:$JI$64)</f>
        <v>4775</v>
      </c>
      <c r="Z20" s="3">
        <f t="shared" si="29"/>
        <v>-0.83769633507853403</v>
      </c>
      <c r="AA20" s="63">
        <f t="shared" si="30"/>
        <v>5.9143270997923205E-5</v>
      </c>
      <c r="AB20" s="36"/>
      <c r="AC20" s="256" t="s">
        <v>51</v>
      </c>
      <c r="AD20" s="253">
        <f>[3]Republic!$JW$43</f>
        <v>5647</v>
      </c>
      <c r="AE20" s="2">
        <f>[3]Republic!$JI$43</f>
        <v>6535</v>
      </c>
      <c r="AF20" s="63">
        <f t="shared" si="31"/>
        <v>-0.13588370313695486</v>
      </c>
      <c r="AG20" s="253">
        <f>SUM([3]Republic!$JV$43:$JW$43)</f>
        <v>11583</v>
      </c>
      <c r="AH20" s="2">
        <f>SUM([3]Republic!$JH$43:$JI$43)</f>
        <v>14317</v>
      </c>
      <c r="AI20" s="3">
        <f t="shared" si="32"/>
        <v>-0.19096179367185864</v>
      </c>
      <c r="AJ20" s="63">
        <f t="shared" si="33"/>
        <v>2.3606131602502333E-3</v>
      </c>
    </row>
    <row r="21" spans="1:36" ht="14.1" customHeight="1" x14ac:dyDescent="0.2">
      <c r="A21" s="36"/>
      <c r="B21" s="307" t="s">
        <v>169</v>
      </c>
      <c r="C21" s="253">
        <f>[3]PSA!$JW$19</f>
        <v>153</v>
      </c>
      <c r="D21" s="2">
        <f>[3]PSA!$JI$19</f>
        <v>177</v>
      </c>
      <c r="E21" s="63">
        <f t="shared" si="22"/>
        <v>-0.13559322033898305</v>
      </c>
      <c r="F21" s="2">
        <f>SUM([3]PSA!$JV$19:$JW$19)</f>
        <v>319</v>
      </c>
      <c r="G21" s="2">
        <f>SUM([3]PSA!$JH$19:$JI$19)</f>
        <v>356</v>
      </c>
      <c r="H21" s="3">
        <f t="shared" si="23"/>
        <v>-0.10393258426966293</v>
      </c>
      <c r="I21" s="63">
        <f t="shared" si="24"/>
        <v>7.0958270308746326E-3</v>
      </c>
      <c r="J21" s="36"/>
      <c r="K21" s="307" t="s">
        <v>169</v>
      </c>
      <c r="L21" s="253">
        <f>[3]PSA!$JW$41</f>
        <v>7531</v>
      </c>
      <c r="M21" s="2">
        <f>[3]PSA!$JI$41</f>
        <v>8955</v>
      </c>
      <c r="N21" s="63">
        <f t="shared" si="25"/>
        <v>-0.1590173087660525</v>
      </c>
      <c r="O21" s="253">
        <f>SUM([3]PSA!$JV$41:$JW$41)</f>
        <v>16006</v>
      </c>
      <c r="P21" s="2">
        <f>SUM([3]PSA!$JH$41:$JI$41)</f>
        <v>18117</v>
      </c>
      <c r="Q21" s="3">
        <f t="shared" si="26"/>
        <v>-0.1165203952089198</v>
      </c>
      <c r="R21" s="63">
        <f t="shared" si="27"/>
        <v>3.3766749940824857E-3</v>
      </c>
      <c r="S21" s="36"/>
      <c r="T21" s="307" t="s">
        <v>169</v>
      </c>
      <c r="U21" s="253">
        <f>[3]PSA!$JW$64</f>
        <v>310</v>
      </c>
      <c r="V21" s="2">
        <f>[3]PSA!$JI$64</f>
        <v>62</v>
      </c>
      <c r="W21" s="63">
        <f t="shared" si="28"/>
        <v>4</v>
      </c>
      <c r="X21" s="253">
        <f>SUM([3]PSA!$JV$64:$JW$64)</f>
        <v>310</v>
      </c>
      <c r="Y21" s="2">
        <f>SUM([3]PSA!$JH$64:$JI$64)</f>
        <v>214</v>
      </c>
      <c r="Z21" s="3">
        <f t="shared" si="29"/>
        <v>0.44859813084112149</v>
      </c>
      <c r="AA21" s="63">
        <f t="shared" si="30"/>
        <v>2.3657308399169281E-5</v>
      </c>
      <c r="AB21" s="36"/>
      <c r="AC21" s="307" t="s">
        <v>169</v>
      </c>
      <c r="AD21" s="253">
        <f>[3]PSA!$JW$43</f>
        <v>7787</v>
      </c>
      <c r="AE21" s="2">
        <f>[3]PSA!$JI$43</f>
        <v>9240</v>
      </c>
      <c r="AF21" s="63">
        <f t="shared" si="31"/>
        <v>-0.15725108225108225</v>
      </c>
      <c r="AG21" s="253">
        <f>SUM([3]PSA!$JV$43:$JW$43)</f>
        <v>16526</v>
      </c>
      <c r="AH21" s="2">
        <f>SUM([3]PSA!$JH$43:$JI$43)</f>
        <v>18710</v>
      </c>
      <c r="AI21" s="3">
        <f t="shared" si="32"/>
        <v>-0.11672902191341529</v>
      </c>
      <c r="AJ21" s="63">
        <f t="shared" si="33"/>
        <v>3.3679956044457707E-3</v>
      </c>
    </row>
    <row r="22" spans="1:36" ht="14.1" customHeight="1" x14ac:dyDescent="0.2">
      <c r="A22" s="36"/>
      <c r="B22" s="307" t="s">
        <v>96</v>
      </c>
      <c r="C22" s="253">
        <f>'[3]Sky West_AA'!$JW$19</f>
        <v>16</v>
      </c>
      <c r="D22" s="2">
        <f>'[3]Sky West_AA'!$JI$19</f>
        <v>0</v>
      </c>
      <c r="E22" s="63">
        <f>IFERROR((C22-D22)/D22,0)</f>
        <v>0</v>
      </c>
      <c r="F22" s="2">
        <f>SUM('[3]Sky West_AA'!$JV$19:$JW$19)</f>
        <v>26</v>
      </c>
      <c r="G22" s="2">
        <f>SUM('[3]Sky West_AA'!$JH$19:$JI$19)</f>
        <v>0</v>
      </c>
      <c r="H22" s="3">
        <f>IFERROR((F22-G22)/G22,0)</f>
        <v>0</v>
      </c>
      <c r="I22" s="63">
        <f t="shared" si="24"/>
        <v>5.78343268974108E-4</v>
      </c>
      <c r="J22" s="36"/>
      <c r="K22" s="307" t="s">
        <v>96</v>
      </c>
      <c r="L22" s="253">
        <f>'[3]Sky West_AA'!$JW$41</f>
        <v>828</v>
      </c>
      <c r="M22" s="2">
        <f>'[3]Sky West_AA'!$JI$41</f>
        <v>0</v>
      </c>
      <c r="N22" s="63">
        <f>IFERROR((L22-M22)/M22,0)</f>
        <v>0</v>
      </c>
      <c r="O22" s="253">
        <f>SUM('[3]Sky West_AA'!$JV$41:$JW$41)</f>
        <v>1407</v>
      </c>
      <c r="P22" s="2">
        <f>SUM('[3]Sky West_AA'!$JH$41:$JI$41)</f>
        <v>0</v>
      </c>
      <c r="Q22" s="3">
        <f>IFERROR((O22-P22)/P22,0)</f>
        <v>0</v>
      </c>
      <c r="R22" s="313">
        <f t="shared" si="27"/>
        <v>2.9682504789916642E-4</v>
      </c>
      <c r="S22" s="36"/>
      <c r="T22" s="307" t="s">
        <v>96</v>
      </c>
      <c r="U22" s="253">
        <f>'[3]Sky West_AA'!$JW$64</f>
        <v>0</v>
      </c>
      <c r="V22" s="2">
        <f>'[3]Sky West_AA'!$JI$64</f>
        <v>0</v>
      </c>
      <c r="W22" s="63">
        <f>IFERROR((U22-V22)/V22,0)</f>
        <v>0</v>
      </c>
      <c r="X22" s="253">
        <f>SUM('[3]Sky West_AA'!$JV$64:$JW$64)</f>
        <v>1</v>
      </c>
      <c r="Y22" s="2">
        <f>SUM('[3]Sky West_AA'!$JH$64:$JI$64)</f>
        <v>0</v>
      </c>
      <c r="Z22" s="312">
        <f>IFERROR((X22-Y22)/Y22,0)</f>
        <v>0</v>
      </c>
      <c r="AA22" s="313">
        <f t="shared" si="30"/>
        <v>7.6313898061836388E-8</v>
      </c>
      <c r="AB22" s="36"/>
      <c r="AC22" s="307" t="s">
        <v>96</v>
      </c>
      <c r="AD22" s="253">
        <f>'[3]Sky West_AA'!$JW$43</f>
        <v>854</v>
      </c>
      <c r="AE22" s="2">
        <f>'[3]Sky West_AA'!$JI$43</f>
        <v>0</v>
      </c>
      <c r="AF22" s="313">
        <f>IFERROR((AD22-AE22)/AE22,0)</f>
        <v>0</v>
      </c>
      <c r="AG22" s="253">
        <f>SUM('[3]Sky West_AA'!$JV$43:$JW$43)</f>
        <v>1466</v>
      </c>
      <c r="AH22" s="2">
        <f>SUM('[3]Sky West_AA'!$JH$43:$JI$43)</f>
        <v>0</v>
      </c>
      <c r="AI22" s="312">
        <f>IFERROR((AG22-AH22)/AH22,0)</f>
        <v>0</v>
      </c>
      <c r="AJ22" s="63">
        <f t="shared" si="33"/>
        <v>2.9877051652653391E-4</v>
      </c>
    </row>
    <row r="23" spans="1:36" ht="14.1" customHeight="1" x14ac:dyDescent="0.2">
      <c r="A23" s="36"/>
      <c r="B23" s="37"/>
      <c r="C23" s="253"/>
      <c r="E23" s="63"/>
      <c r="F23" s="2"/>
      <c r="I23" s="63"/>
      <c r="J23" s="36"/>
      <c r="K23" s="37"/>
      <c r="L23" s="253"/>
      <c r="N23" s="63"/>
      <c r="O23" s="253"/>
      <c r="P23" s="2"/>
      <c r="Q23" s="3"/>
      <c r="R23" s="63"/>
      <c r="S23" s="36"/>
      <c r="T23" s="37"/>
      <c r="U23" s="253"/>
      <c r="V23" s="2"/>
      <c r="W23" s="63"/>
      <c r="X23" s="253"/>
      <c r="Y23" s="2"/>
      <c r="Z23" s="3"/>
      <c r="AA23" s="63"/>
      <c r="AB23" s="36"/>
      <c r="AC23" s="37"/>
      <c r="AD23" s="253"/>
      <c r="AE23" s="2"/>
      <c r="AF23" s="63"/>
      <c r="AG23" s="253"/>
      <c r="AH23" s="2"/>
      <c r="AI23" s="3"/>
      <c r="AJ23" s="63"/>
    </row>
    <row r="24" spans="1:36" ht="14.1" customHeight="1" x14ac:dyDescent="0.2">
      <c r="A24" s="248" t="s">
        <v>197</v>
      </c>
      <c r="B24" s="37"/>
      <c r="C24" s="249">
        <f>'[3]Denver Air'!$JW$19</f>
        <v>144</v>
      </c>
      <c r="D24" s="251">
        <f>'[3]Denver Air'!$JI$19</f>
        <v>140</v>
      </c>
      <c r="E24" s="252">
        <f>(C24-D24)/D24</f>
        <v>2.8571428571428571E-2</v>
      </c>
      <c r="F24" s="251">
        <f>SUM('[3]Denver Air'!$JV$19:$JW$19)</f>
        <v>302</v>
      </c>
      <c r="G24" s="251">
        <f>SUM('[3]Denver Air'!$JH$19:$JI$19)</f>
        <v>294</v>
      </c>
      <c r="H24" s="250">
        <f>(F24-G24)/G24</f>
        <v>2.7210884353741496E-2</v>
      </c>
      <c r="I24" s="252">
        <f>F24/$F$56</f>
        <v>6.717679508853101E-3</v>
      </c>
      <c r="J24" s="248" t="s">
        <v>197</v>
      </c>
      <c r="K24" s="37"/>
      <c r="L24" s="249">
        <f>'[3]Denver Air'!$JW$41</f>
        <v>1516</v>
      </c>
      <c r="M24" s="251">
        <f>'[3]Denver Air'!$JI$41</f>
        <v>1556</v>
      </c>
      <c r="N24" s="252">
        <f>(L24-M24)/M24</f>
        <v>-2.570694087403599E-2</v>
      </c>
      <c r="O24" s="249">
        <f>SUM('[3]Denver Air'!$JV$41:$JW$41)</f>
        <v>3242</v>
      </c>
      <c r="P24" s="251">
        <f>SUM('[3]Denver Air'!$JH$41:$JI$41)</f>
        <v>3374</v>
      </c>
      <c r="Q24" s="250">
        <f>(O24-P24)/P24</f>
        <v>-3.9122703023117961E-2</v>
      </c>
      <c r="R24" s="252">
        <f>O24/$O$56</f>
        <v>6.8394229231634506E-4</v>
      </c>
      <c r="S24" s="248" t="s">
        <v>197</v>
      </c>
      <c r="T24" s="37"/>
      <c r="U24" s="249">
        <f>'[3]Denver Air'!$JW$64</f>
        <v>0</v>
      </c>
      <c r="V24" s="251">
        <f>'[3]Denver Air'!$JI$64</f>
        <v>0</v>
      </c>
      <c r="W24" s="252">
        <f>IFERROR((U24-V24)/V24,0)</f>
        <v>0</v>
      </c>
      <c r="X24" s="249">
        <f>SUM('[3]Denver Air'!$JV$64:$JW$64)</f>
        <v>0</v>
      </c>
      <c r="Y24" s="251">
        <f>SUM('[3]Denver Air'!$JH$64:$JI$64)</f>
        <v>0</v>
      </c>
      <c r="Z24" s="250">
        <f>IFERROR((X24-Y24)/Y24,0)</f>
        <v>0</v>
      </c>
      <c r="AA24" s="252">
        <f>X24/$X$54</f>
        <v>0</v>
      </c>
      <c r="AB24" s="248" t="s">
        <v>197</v>
      </c>
      <c r="AC24" s="37"/>
      <c r="AD24" s="249">
        <f>'[3]Denver Air'!$JW$43</f>
        <v>1583</v>
      </c>
      <c r="AE24" s="251">
        <f>'[3]Denver Air'!$JI$43</f>
        <v>1636</v>
      </c>
      <c r="AF24" s="252">
        <f>(AD24-AE24)/AE24</f>
        <v>-3.2396088019559899E-2</v>
      </c>
      <c r="AG24" s="249">
        <f>SUM('[3]Denver Air'!$JV$43:$JW$43)</f>
        <v>3376</v>
      </c>
      <c r="AH24" s="251">
        <f>SUM('[3]Denver Air'!$JH$43:$JI$43)</f>
        <v>3493</v>
      </c>
      <c r="AI24" s="250">
        <f>(AG24-AH24)/AH24</f>
        <v>-3.3495562553678783E-2</v>
      </c>
      <c r="AJ24" s="252">
        <f>AG24/$AG$56</f>
        <v>6.8802814719889395E-4</v>
      </c>
    </row>
    <row r="25" spans="1:36" ht="14.1" customHeight="1" x14ac:dyDescent="0.2">
      <c r="A25" s="36"/>
      <c r="B25" s="37"/>
      <c r="C25" s="253"/>
      <c r="E25" s="63"/>
      <c r="F25" s="2"/>
      <c r="I25" s="63"/>
      <c r="J25" s="36"/>
      <c r="K25" s="37"/>
      <c r="L25" s="253"/>
      <c r="N25" s="63"/>
      <c r="O25" s="253"/>
      <c r="P25" s="2"/>
      <c r="Q25" s="3"/>
      <c r="R25" s="63"/>
      <c r="S25" s="36"/>
      <c r="T25" s="37"/>
      <c r="U25" s="253"/>
      <c r="V25" s="2"/>
      <c r="W25" s="63"/>
      <c r="X25" s="253"/>
      <c r="Y25" s="2"/>
      <c r="Z25" s="3"/>
      <c r="AA25" s="63"/>
      <c r="AB25" s="36"/>
      <c r="AC25" s="37"/>
      <c r="AD25" s="253"/>
      <c r="AE25" s="2"/>
      <c r="AF25" s="63"/>
      <c r="AG25" s="253"/>
      <c r="AH25" s="2"/>
      <c r="AI25" s="3"/>
      <c r="AJ25" s="63"/>
    </row>
    <row r="26" spans="1:36" ht="14.1" customHeight="1" x14ac:dyDescent="0.2">
      <c r="A26" s="248" t="s">
        <v>18</v>
      </c>
      <c r="B26" s="255"/>
      <c r="C26" s="249">
        <f>SUM(C27:C29)</f>
        <v>16424</v>
      </c>
      <c r="D26" s="251">
        <f>SUM(D27:D29)</f>
        <v>16177</v>
      </c>
      <c r="E26" s="252">
        <f t="shared" ref="E26:E29" si="34">(C26-D26)/D26</f>
        <v>1.5268591209742227E-2</v>
      </c>
      <c r="F26" s="254">
        <f>SUM(F27:F29)</f>
        <v>34103</v>
      </c>
      <c r="G26" s="254">
        <f>SUM(G27:G29)</f>
        <v>33941</v>
      </c>
      <c r="H26" s="250">
        <f>(F26-G26)/G26</f>
        <v>4.7729884210836451E-3</v>
      </c>
      <c r="I26" s="252">
        <f>F26/$F$56</f>
        <v>0.7585861731470771</v>
      </c>
      <c r="J26" s="248" t="s">
        <v>18</v>
      </c>
      <c r="K26" s="255"/>
      <c r="L26" s="249">
        <f>SUM(L27:L29)</f>
        <v>1718411</v>
      </c>
      <c r="M26" s="251">
        <f>SUM(M27:M29)</f>
        <v>1698384</v>
      </c>
      <c r="N26" s="252">
        <f t="shared" ref="N26:N29" si="35">(L26-M26)/M26</f>
        <v>1.1791797379155715E-2</v>
      </c>
      <c r="O26" s="249">
        <f>SUM(O27:O29)</f>
        <v>3486698</v>
      </c>
      <c r="P26" s="251">
        <f>SUM(P27:P29)</f>
        <v>3501890</v>
      </c>
      <c r="Q26" s="250">
        <f t="shared" ref="Q26:Q29" si="36">(O26-P26)/P26</f>
        <v>-4.3382287850275139E-3</v>
      </c>
      <c r="R26" s="252">
        <f>O26/$O$56</f>
        <v>0.73556453508168285</v>
      </c>
      <c r="S26" s="248" t="s">
        <v>18</v>
      </c>
      <c r="T26" s="255"/>
      <c r="U26" s="249">
        <f>SUM(U27:U29)</f>
        <v>6240882</v>
      </c>
      <c r="V26" s="251">
        <f>SUM(V27:V29)</f>
        <v>5526183</v>
      </c>
      <c r="W26" s="252">
        <f t="shared" ref="W26:W27" si="37">(U26-V26)/V26</f>
        <v>0.12932959331965663</v>
      </c>
      <c r="X26" s="249">
        <f>SUM(X27:X29)</f>
        <v>11664994</v>
      </c>
      <c r="Y26" s="251">
        <f>SUM(Y27:Y29)</f>
        <v>10661974</v>
      </c>
      <c r="Z26" s="250">
        <f t="shared" ref="Z26:Z27" si="38">(X26-Y26)/Y26</f>
        <v>9.4074511905581457E-2</v>
      </c>
      <c r="AA26" s="252">
        <f>X26/$X$56</f>
        <v>0.89020116300793306</v>
      </c>
      <c r="AB26" s="248" t="s">
        <v>18</v>
      </c>
      <c r="AC26" s="255"/>
      <c r="AD26" s="249">
        <f>SUM(AD27:AD29)</f>
        <v>1782119</v>
      </c>
      <c r="AE26" s="251">
        <f>SUM(AE27:AE29)</f>
        <v>1756544</v>
      </c>
      <c r="AF26" s="252">
        <f t="shared" ref="AF26:AF29" si="39">(AD26-AE26)/AE26</f>
        <v>1.4559840231727756E-2</v>
      </c>
      <c r="AG26" s="249">
        <f>SUM(AG27:AG29)</f>
        <v>3615156</v>
      </c>
      <c r="AH26" s="251">
        <f>SUM(AH27:AH29)</f>
        <v>3620199</v>
      </c>
      <c r="AI26" s="250">
        <f t="shared" ref="AI26:AI29" si="40">(AG26-AH26)/AH26</f>
        <v>-1.3930173451790909E-3</v>
      </c>
      <c r="AJ26" s="252">
        <f>AG26/$AG$56</f>
        <v>0.73676809375443264</v>
      </c>
    </row>
    <row r="27" spans="1:36" ht="14.1" customHeight="1" x14ac:dyDescent="0.2">
      <c r="A27" s="36"/>
      <c r="B27" s="37" t="s">
        <v>18</v>
      </c>
      <c r="C27" s="253">
        <f>[3]Delta!$JW$19</f>
        <v>9686</v>
      </c>
      <c r="D27" s="2">
        <f>[3]Delta!$JI$19</f>
        <v>10072</v>
      </c>
      <c r="E27" s="63">
        <f t="shared" si="34"/>
        <v>-3.8324066719618743E-2</v>
      </c>
      <c r="F27" s="2">
        <f>SUM([3]Delta!$JV$19:$JW$19)</f>
        <v>20138</v>
      </c>
      <c r="G27" s="2">
        <f>SUM([3]Delta!$JH$19:$JI$19)</f>
        <v>20960</v>
      </c>
      <c r="H27" s="3">
        <f t="shared" ref="H27:H29" si="41">(F27-G27)/G27</f>
        <v>-3.9217557251908397E-2</v>
      </c>
      <c r="I27" s="63">
        <f>F27/$F$56</f>
        <v>0.44794910579233027</v>
      </c>
      <c r="J27" s="36"/>
      <c r="K27" s="37" t="s">
        <v>18</v>
      </c>
      <c r="L27" s="253">
        <f>[3]Delta!$JW$41</f>
        <v>1346999</v>
      </c>
      <c r="M27" s="2">
        <f>[3]Delta!$JI$41</f>
        <v>1372419</v>
      </c>
      <c r="N27" s="63">
        <f t="shared" si="35"/>
        <v>-1.8522040280701448E-2</v>
      </c>
      <c r="O27" s="253">
        <f>SUM([3]Delta!$JV$41:$JW$41)</f>
        <v>2749367</v>
      </c>
      <c r="P27" s="2">
        <f>SUM([3]Delta!$JH$41:$JI$41)</f>
        <v>2821903</v>
      </c>
      <c r="Q27" s="3">
        <f t="shared" si="36"/>
        <v>-2.5704639741337673E-2</v>
      </c>
      <c r="R27" s="63">
        <f>O27/$O$56</f>
        <v>0.58001491930873306</v>
      </c>
      <c r="S27" s="36"/>
      <c r="T27" s="37" t="s">
        <v>18</v>
      </c>
      <c r="U27" s="253">
        <f>[3]Delta!$JW$64</f>
        <v>6240882</v>
      </c>
      <c r="V27" s="2">
        <f>[3]Delta!$JI$64</f>
        <v>5526183</v>
      </c>
      <c r="W27" s="63">
        <f t="shared" si="37"/>
        <v>0.12932959331965663</v>
      </c>
      <c r="X27" s="253">
        <f>SUM([3]Delta!$JV$64:$JW$64)</f>
        <v>11664994</v>
      </c>
      <c r="Y27" s="2">
        <f>SUM([3]Delta!$JH$64:$JI$64)</f>
        <v>10661974</v>
      </c>
      <c r="Z27" s="3">
        <f t="shared" si="38"/>
        <v>9.4074511905581457E-2</v>
      </c>
      <c r="AA27" s="63">
        <f>X27/$X$56</f>
        <v>0.89020116300793306</v>
      </c>
      <c r="AB27" s="36"/>
      <c r="AC27" s="37" t="s">
        <v>18</v>
      </c>
      <c r="AD27" s="253">
        <f>[3]Delta!$JW$43</f>
        <v>1397481</v>
      </c>
      <c r="AE27" s="2">
        <f>[3]Delta!$JI$43</f>
        <v>1420348</v>
      </c>
      <c r="AF27" s="63">
        <f t="shared" si="39"/>
        <v>-1.6099575596966377E-2</v>
      </c>
      <c r="AG27" s="253">
        <f>SUM([3]Delta!$JV$43:$JW$43)</f>
        <v>2851650</v>
      </c>
      <c r="AH27" s="2">
        <f>SUM([3]Delta!$JH$43:$JI$43)</f>
        <v>2918408</v>
      </c>
      <c r="AI27" s="3">
        <f>(AG27-AH27)/AH27</f>
        <v>-2.2874800233551991E-2</v>
      </c>
      <c r="AJ27" s="63">
        <f>AG27/$AG$56</f>
        <v>0.58116571858996624</v>
      </c>
    </row>
    <row r="28" spans="1:36" ht="14.1" customHeight="1" x14ac:dyDescent="0.2">
      <c r="A28" s="36"/>
      <c r="B28" s="37" t="s">
        <v>154</v>
      </c>
      <c r="C28" s="253">
        <f>[3]Pinnacle!$JW$19</f>
        <v>2178</v>
      </c>
      <c r="D28" s="2">
        <f>[3]Pinnacle!$JI$19</f>
        <v>2423</v>
      </c>
      <c r="E28" s="63">
        <f t="shared" si="34"/>
        <v>-0.1011143210895584</v>
      </c>
      <c r="F28" s="2">
        <f>SUM([3]Pinnacle!$JV$19:$JW$19)</f>
        <v>5231</v>
      </c>
      <c r="G28" s="2">
        <f>SUM([3]Pinnacle!$JH$19:$JI$19)</f>
        <v>5197</v>
      </c>
      <c r="H28" s="3">
        <f t="shared" si="41"/>
        <v>6.542235905329998E-3</v>
      </c>
      <c r="I28" s="63">
        <f>F28/$F$56</f>
        <v>0.11635821692321381</v>
      </c>
      <c r="J28" s="36"/>
      <c r="K28" s="37" t="s">
        <v>154</v>
      </c>
      <c r="L28" s="253">
        <f>[3]Pinnacle!$JW$41</f>
        <v>122813</v>
      </c>
      <c r="M28" s="2">
        <f>[3]Pinnacle!$JI$41</f>
        <v>140831</v>
      </c>
      <c r="N28" s="63">
        <f t="shared" si="35"/>
        <v>-0.12794058126406829</v>
      </c>
      <c r="O28" s="253">
        <f>SUM([3]Pinnacle!$JV$41:$JW$41)</f>
        <v>292030</v>
      </c>
      <c r="P28" s="2">
        <f>SUM([3]Pinnacle!$JH$41:$JI$41)</f>
        <v>297771</v>
      </c>
      <c r="Q28" s="3">
        <f t="shared" si="36"/>
        <v>-1.9279916445859403E-2</v>
      </c>
      <c r="R28" s="63">
        <f>O28/$O$56</f>
        <v>6.160754707746522E-2</v>
      </c>
      <c r="S28" s="36"/>
      <c r="T28" s="37" t="s">
        <v>154</v>
      </c>
      <c r="U28" s="253">
        <f>[3]Pinnacle!$JW$64</f>
        <v>0</v>
      </c>
      <c r="V28" s="2">
        <f>[3]Pinnacle!$JI$64</f>
        <v>0</v>
      </c>
      <c r="W28" s="63">
        <f>IFERROR((U28-V28)/V28,0)</f>
        <v>0</v>
      </c>
      <c r="X28" s="253">
        <f>SUM([3]Pinnacle!$JV$64:$JW$64)</f>
        <v>0</v>
      </c>
      <c r="Y28" s="2">
        <f>SUM([3]Pinnacle!$JH$64:$JI$64)</f>
        <v>0</v>
      </c>
      <c r="Z28" s="312">
        <f>IFERROR((X28-Y28)/Y28,0)</f>
        <v>0</v>
      </c>
      <c r="AA28" s="63">
        <f>X28/$X$56</f>
        <v>0</v>
      </c>
      <c r="AB28" s="36"/>
      <c r="AC28" s="37" t="s">
        <v>154</v>
      </c>
      <c r="AD28" s="253">
        <f>[3]Pinnacle!$JW$43</f>
        <v>127293</v>
      </c>
      <c r="AE28" s="2">
        <f>[3]Pinnacle!$JI$43</f>
        <v>145241</v>
      </c>
      <c r="AF28" s="63">
        <f t="shared" si="39"/>
        <v>-0.12357392196418367</v>
      </c>
      <c r="AG28" s="253">
        <f>SUM([3]Pinnacle!$JV$43:$JW$43)</f>
        <v>302267</v>
      </c>
      <c r="AH28" s="2">
        <f>SUM([3]Pinnacle!$JH$43:$JI$43)</f>
        <v>307156</v>
      </c>
      <c r="AI28" s="3">
        <f t="shared" si="40"/>
        <v>-1.5916993319355636E-2</v>
      </c>
      <c r="AJ28" s="63">
        <f>AG28/$AG$56</f>
        <v>6.1601956152064E-2</v>
      </c>
    </row>
    <row r="29" spans="1:36" ht="14.1" customHeight="1" x14ac:dyDescent="0.2">
      <c r="A29" s="36"/>
      <c r="B29" s="37" t="s">
        <v>96</v>
      </c>
      <c r="C29" s="253">
        <f>'[3]Sky West'!$JW$19</f>
        <v>4560</v>
      </c>
      <c r="D29" s="2">
        <f>'[3]Sky West'!$JI$19</f>
        <v>3682</v>
      </c>
      <c r="E29" s="63">
        <f t="shared" si="34"/>
        <v>0.23845736013036392</v>
      </c>
      <c r="F29" s="2">
        <f>SUM('[3]Sky West'!$JV$19:$JW$19)</f>
        <v>8734</v>
      </c>
      <c r="G29" s="2">
        <f>SUM('[3]Sky West'!$JH$19:$JI$19)</f>
        <v>7784</v>
      </c>
      <c r="H29" s="3">
        <f t="shared" si="41"/>
        <v>0.12204522096608428</v>
      </c>
      <c r="I29" s="63">
        <f>F29/$F$56</f>
        <v>0.19427885043153306</v>
      </c>
      <c r="J29" s="36"/>
      <c r="K29" s="37" t="s">
        <v>96</v>
      </c>
      <c r="L29" s="253">
        <f>'[3]Sky West'!$JW$41</f>
        <v>248599</v>
      </c>
      <c r="M29" s="2">
        <f>'[3]Sky West'!$JI$41</f>
        <v>185134</v>
      </c>
      <c r="N29" s="63">
        <f t="shared" si="35"/>
        <v>0.34280575150971726</v>
      </c>
      <c r="O29" s="253">
        <f>SUM('[3]Sky West'!$JV$41:$JW$41)</f>
        <v>445301</v>
      </c>
      <c r="P29" s="2">
        <f>SUM('[3]Sky West'!$JH$41:$JI$41)</f>
        <v>382216</v>
      </c>
      <c r="Q29" s="3">
        <f t="shared" si="36"/>
        <v>0.16505065198735794</v>
      </c>
      <c r="R29" s="63">
        <f>O29/$O$56</f>
        <v>9.3942068695484507E-2</v>
      </c>
      <c r="S29" s="36"/>
      <c r="T29" s="37" t="s">
        <v>96</v>
      </c>
      <c r="U29" s="253">
        <f>'[3]Sky West'!$JW$64</f>
        <v>0</v>
      </c>
      <c r="V29" s="2">
        <f>'[3]Sky West'!$JI$64</f>
        <v>0</v>
      </c>
      <c r="W29" s="63">
        <f>IFERROR((U29-V29)/V29,0)</f>
        <v>0</v>
      </c>
      <c r="X29" s="253">
        <f>SUM('[3]Sky West'!$JV$64:$JW$64)</f>
        <v>0</v>
      </c>
      <c r="Y29" s="2">
        <f>SUM('[3]Sky West'!$JH$64:$JI$64)</f>
        <v>0</v>
      </c>
      <c r="Z29" s="312">
        <f>IFERROR((X29-Y29)/Y29,0)</f>
        <v>0</v>
      </c>
      <c r="AA29" s="63">
        <f>X29/$X$56</f>
        <v>0</v>
      </c>
      <c r="AB29" s="36"/>
      <c r="AC29" s="37" t="s">
        <v>96</v>
      </c>
      <c r="AD29" s="253">
        <f>'[3]Sky West'!$JW$43</f>
        <v>257345</v>
      </c>
      <c r="AE29" s="2">
        <f>'[3]Sky West'!$JI$43</f>
        <v>190955</v>
      </c>
      <c r="AF29" s="63">
        <f t="shared" si="39"/>
        <v>0.34767353564976039</v>
      </c>
      <c r="AG29" s="253">
        <f>SUM('[3]Sky West'!$JV$43:$JW$43)</f>
        <v>461239</v>
      </c>
      <c r="AH29" s="2">
        <f>SUM('[3]Sky West'!$JH$43:$JI$43)</f>
        <v>394635</v>
      </c>
      <c r="AI29" s="3">
        <f t="shared" si="40"/>
        <v>0.16877367694198436</v>
      </c>
      <c r="AJ29" s="63">
        <f>AG29/$AG$56</f>
        <v>9.4000419012402442E-2</v>
      </c>
    </row>
    <row r="30" spans="1:36" ht="14.1" customHeight="1" x14ac:dyDescent="0.2">
      <c r="A30" s="36"/>
      <c r="B30" s="307"/>
      <c r="C30" s="253"/>
      <c r="E30" s="63"/>
      <c r="F30" s="2"/>
      <c r="I30" s="63"/>
      <c r="J30" s="36"/>
      <c r="K30" s="307"/>
      <c r="L30" s="253"/>
      <c r="N30" s="63"/>
      <c r="O30" s="253"/>
      <c r="P30" s="2"/>
      <c r="Q30" s="3"/>
      <c r="R30" s="63"/>
      <c r="S30" s="36"/>
      <c r="T30" s="307"/>
      <c r="U30" s="253"/>
      <c r="V30" s="2"/>
      <c r="W30" s="63"/>
      <c r="X30" s="253"/>
      <c r="Y30" s="2"/>
      <c r="Z30" s="3"/>
      <c r="AA30" s="63"/>
      <c r="AB30" s="36"/>
      <c r="AC30" s="307"/>
      <c r="AD30" s="253"/>
      <c r="AE30" s="2"/>
      <c r="AF30" s="63"/>
      <c r="AG30" s="253"/>
      <c r="AH30" s="2"/>
      <c r="AI30" s="3"/>
      <c r="AJ30" s="63"/>
    </row>
    <row r="31" spans="1:36" ht="14.1" customHeight="1" x14ac:dyDescent="0.2">
      <c r="A31" s="248" t="s">
        <v>47</v>
      </c>
      <c r="B31" s="37"/>
      <c r="C31" s="249">
        <f>[3]Frontier!$JW$19</f>
        <v>212</v>
      </c>
      <c r="D31" s="251">
        <f>[3]Frontier!$JI$19</f>
        <v>186</v>
      </c>
      <c r="E31" s="252">
        <f>(C31-D31)/D31</f>
        <v>0.13978494623655913</v>
      </c>
      <c r="F31" s="251">
        <f>SUM([3]Frontier!$JV$19:$JW$19)</f>
        <v>365</v>
      </c>
      <c r="G31" s="251">
        <f>SUM([3]Frontier!$JH$19:$JI$19)</f>
        <v>354</v>
      </c>
      <c r="H31" s="250">
        <f>(F31-G31)/G31</f>
        <v>3.1073446327683617E-2</v>
      </c>
      <c r="I31" s="252">
        <f>F31/$F$56</f>
        <v>8.1190497375211324E-3</v>
      </c>
      <c r="J31" s="248" t="s">
        <v>47</v>
      </c>
      <c r="K31" s="37"/>
      <c r="L31" s="249">
        <f>[3]Frontier!$JW$41</f>
        <v>34499</v>
      </c>
      <c r="M31" s="251">
        <f>[3]Frontier!$JI$41</f>
        <v>32511</v>
      </c>
      <c r="N31" s="252">
        <f>(L31-M31)/M31</f>
        <v>6.114853434222263E-2</v>
      </c>
      <c r="O31" s="249">
        <f>SUM([3]Frontier!$JV$41:$JW$41)</f>
        <v>59650</v>
      </c>
      <c r="P31" s="251">
        <f>SUM([3]Frontier!$JH$41:$JI$41)</f>
        <v>61014</v>
      </c>
      <c r="Q31" s="250">
        <f>(O31-P31)/P31</f>
        <v>-2.2355524961484248E-2</v>
      </c>
      <c r="R31" s="252">
        <f>O31/$O$56</f>
        <v>1.2583947482008013E-2</v>
      </c>
      <c r="S31" s="248" t="s">
        <v>47</v>
      </c>
      <c r="T31" s="37"/>
      <c r="U31" s="249">
        <f>[3]Frontier!$JW$64</f>
        <v>0</v>
      </c>
      <c r="V31" s="251">
        <f>[3]Frontier!$JI$64</f>
        <v>0</v>
      </c>
      <c r="W31" s="252">
        <f>IFERROR((U31-V31)/V31,0)</f>
        <v>0</v>
      </c>
      <c r="X31" s="249">
        <f>SUM([3]Frontier!$JV$64:$JW$64)</f>
        <v>0</v>
      </c>
      <c r="Y31" s="251">
        <f>SUM([3]Frontier!$JH$64:$JI$64)</f>
        <v>0</v>
      </c>
      <c r="Z31" s="250">
        <f>IFERROR((X31-Y31)/Y31,0)</f>
        <v>0</v>
      </c>
      <c r="AA31" s="252">
        <f>X31/$X$56</f>
        <v>0</v>
      </c>
      <c r="AB31" s="248" t="s">
        <v>47</v>
      </c>
      <c r="AC31" s="37"/>
      <c r="AD31" s="249">
        <f>[3]Frontier!$JW$43</f>
        <v>34906</v>
      </c>
      <c r="AE31" s="251">
        <f>[3]Frontier!$JI$43</f>
        <v>32771</v>
      </c>
      <c r="AF31" s="252">
        <f>(AD31-AE31)/AE31</f>
        <v>6.5149064721857747E-2</v>
      </c>
      <c r="AG31" s="249">
        <f>SUM([3]Frontier!$JV$43:$JW$43)</f>
        <v>60294</v>
      </c>
      <c r="AH31" s="251">
        <f>SUM([3]Frontier!$JH$43:$JI$43)</f>
        <v>61467</v>
      </c>
      <c r="AI31" s="250">
        <f>(AG31-AH31)/AH31</f>
        <v>-1.9083410610571526E-2</v>
      </c>
      <c r="AJ31" s="252">
        <f>AG31/$AG$56</f>
        <v>1.2287905541235223E-2</v>
      </c>
    </row>
    <row r="32" spans="1:36" ht="14.1" customHeight="1" x14ac:dyDescent="0.2">
      <c r="A32" s="248"/>
      <c r="B32" s="37"/>
      <c r="C32" s="249"/>
      <c r="D32" s="251"/>
      <c r="E32" s="252"/>
      <c r="F32" s="251"/>
      <c r="G32" s="251"/>
      <c r="H32" s="250"/>
      <c r="I32" s="252"/>
      <c r="J32" s="248"/>
      <c r="K32" s="37"/>
      <c r="L32" s="253"/>
      <c r="N32" s="63"/>
      <c r="O32" s="253"/>
      <c r="P32" s="2"/>
      <c r="Q32" s="3"/>
      <c r="R32" s="63"/>
      <c r="S32" s="248"/>
      <c r="T32" s="37"/>
      <c r="U32" s="253"/>
      <c r="V32" s="2"/>
      <c r="W32" s="63"/>
      <c r="X32" s="253"/>
      <c r="Y32" s="2"/>
      <c r="Z32" s="3"/>
      <c r="AA32" s="63"/>
      <c r="AB32" s="248"/>
      <c r="AC32" s="37"/>
      <c r="AD32" s="253"/>
      <c r="AE32" s="2"/>
      <c r="AF32" s="63"/>
      <c r="AG32" s="253"/>
      <c r="AH32" s="2"/>
      <c r="AI32" s="3"/>
      <c r="AJ32" s="63"/>
    </row>
    <row r="33" spans="1:36" ht="14.1" customHeight="1" x14ac:dyDescent="0.2">
      <c r="A33" s="248" t="s">
        <v>48</v>
      </c>
      <c r="B33" s="37"/>
      <c r="C33" s="249">
        <f>[3]Icelandair!$JW$19</f>
        <v>32</v>
      </c>
      <c r="D33" s="251">
        <f>[3]Icelandair!$JI$19</f>
        <v>2</v>
      </c>
      <c r="E33" s="252">
        <f>(C33-D33)/D33</f>
        <v>15</v>
      </c>
      <c r="F33" s="251">
        <f>SUM([3]Icelandair!$JV$19:$JW$19)</f>
        <v>66</v>
      </c>
      <c r="G33" s="251">
        <f>SUM([3]Icelandair!$JH$19:$JI$19)</f>
        <v>10</v>
      </c>
      <c r="H33" s="250">
        <f>(F33-G33)/G33</f>
        <v>5.6</v>
      </c>
      <c r="I33" s="252">
        <f>F33/$F$56</f>
        <v>1.4681021443188895E-3</v>
      </c>
      <c r="J33" s="248" t="s">
        <v>48</v>
      </c>
      <c r="K33" s="37"/>
      <c r="L33" s="249">
        <f>[3]Icelandair!$JW$41</f>
        <v>3261</v>
      </c>
      <c r="M33" s="251">
        <f>[3]Icelandair!$JI$41</f>
        <v>202</v>
      </c>
      <c r="N33" s="252">
        <f>(L33-M33)/M33</f>
        <v>15.143564356435643</v>
      </c>
      <c r="O33" s="249">
        <f>SUM([3]Icelandair!$JV$41:$JW$41)</f>
        <v>7408</v>
      </c>
      <c r="P33" s="251">
        <f>SUM([3]Icelandair!$JH$41:$JI$41)</f>
        <v>1230</v>
      </c>
      <c r="Q33" s="250">
        <f>(O33-P33)/P33</f>
        <v>5.0227642276422761</v>
      </c>
      <c r="R33" s="252">
        <f>O33/$O$56</f>
        <v>1.5628144668351277E-3</v>
      </c>
      <c r="S33" s="248" t="s">
        <v>48</v>
      </c>
      <c r="T33" s="37"/>
      <c r="U33" s="249">
        <f>[3]Icelandair!$JW$64</f>
        <v>1645</v>
      </c>
      <c r="V33" s="251">
        <f>[3]Icelandair!$JI$64</f>
        <v>0</v>
      </c>
      <c r="W33" s="252" t="e">
        <f>(U33-V33)/V33</f>
        <v>#DIV/0!</v>
      </c>
      <c r="X33" s="249">
        <f>SUM([3]Icelandair!$JV$64:$JW$64)</f>
        <v>1645</v>
      </c>
      <c r="Y33" s="251">
        <f>SUM([3]Icelandair!$JH$64:$JI$64)</f>
        <v>0</v>
      </c>
      <c r="Z33" s="250" t="e">
        <f>(X33-Y33)/Y33</f>
        <v>#DIV/0!</v>
      </c>
      <c r="AA33" s="252">
        <f>X33/$X$56</f>
        <v>1.2553636231172087E-4</v>
      </c>
      <c r="AB33" s="248" t="s">
        <v>48</v>
      </c>
      <c r="AC33" s="37"/>
      <c r="AD33" s="249">
        <f>[3]Icelandair!$JW$43</f>
        <v>3373</v>
      </c>
      <c r="AE33" s="251">
        <f>[3]Icelandair!$JI$43</f>
        <v>204</v>
      </c>
      <c r="AF33" s="252">
        <f>(AD33-AE33)/AE33</f>
        <v>15.534313725490197</v>
      </c>
      <c r="AG33" s="249">
        <f>SUM([3]Icelandair!$JV$43:$JW$43)</f>
        <v>7603</v>
      </c>
      <c r="AH33" s="251">
        <f>SUM([3]Icelandair!$JH$43:$JI$43)</f>
        <v>1241</v>
      </c>
      <c r="AI33" s="250">
        <f>(AG33-AH33)/AH33</f>
        <v>5.1265108783239324</v>
      </c>
      <c r="AJ33" s="252">
        <f>AG33/$AG$56</f>
        <v>1.5494899298439545E-3</v>
      </c>
    </row>
    <row r="34" spans="1:36" ht="14.1" customHeight="1" x14ac:dyDescent="0.2">
      <c r="A34" s="248"/>
      <c r="B34" s="37"/>
      <c r="C34" s="249"/>
      <c r="D34" s="251"/>
      <c r="E34" s="252"/>
      <c r="F34" s="251"/>
      <c r="G34" s="251"/>
      <c r="H34" s="250"/>
      <c r="I34" s="252"/>
      <c r="J34" s="248"/>
      <c r="K34" s="37"/>
      <c r="L34" s="253"/>
      <c r="N34" s="63"/>
      <c r="O34" s="253"/>
      <c r="P34" s="2"/>
      <c r="Q34" s="3"/>
      <c r="R34" s="63"/>
      <c r="S34" s="248"/>
      <c r="T34" s="37"/>
      <c r="U34" s="253"/>
      <c r="V34" s="2"/>
      <c r="W34" s="63"/>
      <c r="X34" s="253"/>
      <c r="Y34" s="2"/>
      <c r="Z34" s="3"/>
      <c r="AA34" s="63"/>
      <c r="AB34" s="248"/>
      <c r="AC34" s="37"/>
      <c r="AD34" s="253"/>
      <c r="AE34" s="2"/>
      <c r="AF34" s="63"/>
      <c r="AG34" s="253"/>
      <c r="AH34" s="2"/>
      <c r="AI34" s="3"/>
      <c r="AJ34" s="63"/>
    </row>
    <row r="35" spans="1:36" ht="14.1" customHeight="1" x14ac:dyDescent="0.2">
      <c r="A35" s="248" t="s">
        <v>176</v>
      </c>
      <c r="B35" s="37"/>
      <c r="C35" s="249">
        <f>[3]KLM!$JW$19</f>
        <v>0</v>
      </c>
      <c r="D35" s="251">
        <f>[3]KLM!$JI$19</f>
        <v>0</v>
      </c>
      <c r="E35" s="252" t="e">
        <f>(C35-D35)/D35</f>
        <v>#DIV/0!</v>
      </c>
      <c r="F35" s="251">
        <f>SUM([3]KLM!$JV$19:$JW$19)</f>
        <v>0</v>
      </c>
      <c r="G35" s="251">
        <f>SUM([3]KLM!$JH$19:$JI$19)</f>
        <v>0</v>
      </c>
      <c r="H35" s="250" t="e">
        <f>(F35-G35)/G35</f>
        <v>#DIV/0!</v>
      </c>
      <c r="I35" s="252">
        <f>F35/$F$56</f>
        <v>0</v>
      </c>
      <c r="J35" s="248" t="s">
        <v>176</v>
      </c>
      <c r="K35" s="37"/>
      <c r="L35" s="249">
        <f>[3]KLM!$JW$41</f>
        <v>0</v>
      </c>
      <c r="M35" s="251">
        <f>[3]KLM!$JI$41</f>
        <v>0</v>
      </c>
      <c r="N35" s="252" t="e">
        <f>(L35-M35)/M35</f>
        <v>#DIV/0!</v>
      </c>
      <c r="O35" s="249">
        <f>SUM([3]KLM!$JV$41:$JW$41)</f>
        <v>0</v>
      </c>
      <c r="P35" s="251">
        <f>SUM([3]KLM!$JH$41:$JI$41)</f>
        <v>0</v>
      </c>
      <c r="Q35" s="250" t="e">
        <f>(O35-P35)/P35</f>
        <v>#DIV/0!</v>
      </c>
      <c r="R35" s="252">
        <f>O35/$O$56</f>
        <v>0</v>
      </c>
      <c r="S35" s="248" t="s">
        <v>176</v>
      </c>
      <c r="T35" s="37"/>
      <c r="U35" s="249">
        <f>[3]KLM!$JW$64</f>
        <v>0</v>
      </c>
      <c r="V35" s="251">
        <f>[3]KLM!$JI$64</f>
        <v>0</v>
      </c>
      <c r="W35" s="252" t="e">
        <f>(U35-V35)/V35</f>
        <v>#DIV/0!</v>
      </c>
      <c r="X35" s="249">
        <f>SUM([3]KLM!$JV$64:$JW$64)</f>
        <v>0</v>
      </c>
      <c r="Y35" s="251">
        <f>SUM([3]KLM!$JH$64:$JI$64)</f>
        <v>0</v>
      </c>
      <c r="Z35" s="250" t="e">
        <f>(X35-Y35)/Y35</f>
        <v>#DIV/0!</v>
      </c>
      <c r="AA35" s="252">
        <f>X35/$X$56</f>
        <v>0</v>
      </c>
      <c r="AB35" s="248" t="s">
        <v>176</v>
      </c>
      <c r="AC35" s="37"/>
      <c r="AD35" s="249">
        <f>[3]KLM!$JW$43</f>
        <v>0</v>
      </c>
      <c r="AE35" s="251">
        <f>[3]KLM!$JI$43</f>
        <v>0</v>
      </c>
      <c r="AF35" s="252" t="e">
        <f>(AD35-AE35)/AE35</f>
        <v>#DIV/0!</v>
      </c>
      <c r="AG35" s="249">
        <f>SUM([3]KLM!$JV$43:$JW$43)</f>
        <v>0</v>
      </c>
      <c r="AH35" s="251">
        <f>SUM([3]KLM!$JH$43:$JI$43)</f>
        <v>0</v>
      </c>
      <c r="AI35" s="250" t="e">
        <f>(AG35-AH35)/AH35</f>
        <v>#DIV/0!</v>
      </c>
      <c r="AJ35" s="252">
        <f>AG35/$AG$56</f>
        <v>0</v>
      </c>
    </row>
    <row r="36" spans="1:36" ht="14.1" customHeight="1" x14ac:dyDescent="0.2">
      <c r="A36" s="248"/>
      <c r="B36" s="37"/>
      <c r="C36" s="249"/>
      <c r="D36" s="251"/>
      <c r="E36" s="252"/>
      <c r="F36" s="251"/>
      <c r="G36" s="251"/>
      <c r="H36" s="250"/>
      <c r="I36" s="252"/>
      <c r="J36" s="248"/>
      <c r="K36" s="37"/>
      <c r="L36" s="253"/>
      <c r="N36" s="63"/>
      <c r="O36" s="253"/>
      <c r="P36" s="2"/>
      <c r="Q36" s="3"/>
      <c r="R36" s="63"/>
      <c r="S36" s="248"/>
      <c r="T36" s="37"/>
      <c r="U36" s="253"/>
      <c r="V36" s="2"/>
      <c r="W36" s="63"/>
      <c r="X36" s="253"/>
      <c r="Y36" s="2"/>
      <c r="Z36" s="3"/>
      <c r="AA36" s="63"/>
      <c r="AB36" s="248"/>
      <c r="AC36" s="37"/>
      <c r="AD36" s="253"/>
      <c r="AE36" s="2"/>
      <c r="AF36" s="63"/>
      <c r="AG36" s="253"/>
      <c r="AH36" s="2"/>
      <c r="AI36" s="3"/>
      <c r="AJ36" s="63"/>
    </row>
    <row r="37" spans="1:36" ht="14.1" customHeight="1" x14ac:dyDescent="0.2">
      <c r="A37" s="248" t="s">
        <v>241</v>
      </c>
      <c r="B37" s="37"/>
      <c r="C37" s="249">
        <f>[3]Lufthansa!$JW$19</f>
        <v>0</v>
      </c>
      <c r="D37" s="251">
        <f>[3]Lufthansa!$JI$19</f>
        <v>24</v>
      </c>
      <c r="E37" s="252">
        <f>IFERROR((C37-D37)/D37,0)</f>
        <v>-1</v>
      </c>
      <c r="F37" s="251">
        <f>SUM([3]Lufthansa!$JV$19:$JW$19)</f>
        <v>0</v>
      </c>
      <c r="G37" s="251">
        <f>SUM([3]Lufthansa!$JH$19:$JI$19)</f>
        <v>58</v>
      </c>
      <c r="H37" s="250">
        <f>IFERROR((F37-G37)/G37,0)</f>
        <v>-1</v>
      </c>
      <c r="I37" s="252">
        <f>F37/$F$56</f>
        <v>0</v>
      </c>
      <c r="J37" s="248" t="s">
        <v>241</v>
      </c>
      <c r="K37" s="37"/>
      <c r="L37" s="249">
        <f>[3]Lufthansa!$JW$41</f>
        <v>0</v>
      </c>
      <c r="M37" s="251">
        <f>[3]Lufthansa!$JI$41</f>
        <v>3076</v>
      </c>
      <c r="N37" s="252">
        <f>IFERROR((L37-M37)/M37,0)</f>
        <v>-1</v>
      </c>
      <c r="O37" s="249">
        <f>SUM([3]Lufthansa!$JV$41:$JW$41)</f>
        <v>0</v>
      </c>
      <c r="P37" s="251">
        <f>SUM([3]Lufthansa!$JH$41:$JI$41)</f>
        <v>9344</v>
      </c>
      <c r="Q37" s="250">
        <f>IFERROR((O37-P37)/P37,0)</f>
        <v>-1</v>
      </c>
      <c r="R37" s="252">
        <f>O37/$O$56</f>
        <v>0</v>
      </c>
      <c r="S37" s="248" t="s">
        <v>241</v>
      </c>
      <c r="T37" s="37"/>
      <c r="U37" s="249">
        <f>[3]Lufthansa!$JW$64</f>
        <v>0</v>
      </c>
      <c r="V37" s="251">
        <f>[3]Lufthansa!$JI$64</f>
        <v>501971</v>
      </c>
      <c r="W37" s="252">
        <f>IFERROR((U37-V37)/V37,0)</f>
        <v>-1</v>
      </c>
      <c r="X37" s="249">
        <f>SUM([3]Lufthansa!$JV$64:$JW$64)</f>
        <v>0</v>
      </c>
      <c r="Y37" s="251">
        <f>SUM([3]Lufthansa!$JH$64:$JI$64)</f>
        <v>1036205</v>
      </c>
      <c r="Z37" s="250">
        <f>IFERROR((X37-Y37)/Y37,0)</f>
        <v>-1</v>
      </c>
      <c r="AA37" s="252">
        <f>X37/$X$56</f>
        <v>0</v>
      </c>
      <c r="AB37" s="248" t="s">
        <v>241</v>
      </c>
      <c r="AC37" s="37"/>
      <c r="AD37" s="249">
        <f>[3]Lufthansa!$JW$43</f>
        <v>0</v>
      </c>
      <c r="AE37" s="251">
        <f>[3]Lufthansa!$JI$43</f>
        <v>3124</v>
      </c>
      <c r="AF37" s="252">
        <f>IFERROR((AD37-AE37)/AE37,0)</f>
        <v>-1</v>
      </c>
      <c r="AG37" s="249">
        <f>SUM([3]Lufthansa!$JV$43:$JW$43)</f>
        <v>0</v>
      </c>
      <c r="AH37" s="251">
        <f>SUM([3]Lufthansa!$JH$43:$JI$43)</f>
        <v>9533</v>
      </c>
      <c r="AI37" s="250">
        <f>IFERROR((AG37-AH37)/AH37,0)</f>
        <v>-1</v>
      </c>
      <c r="AJ37" s="252">
        <f>AG37/$AG$56</f>
        <v>0</v>
      </c>
    </row>
    <row r="38" spans="1:36" ht="14.1" customHeight="1" x14ac:dyDescent="0.2">
      <c r="A38" s="248"/>
      <c r="B38" s="37"/>
      <c r="C38" s="249"/>
      <c r="D38" s="251"/>
      <c r="E38" s="252"/>
      <c r="F38" s="251"/>
      <c r="G38" s="251"/>
      <c r="H38" s="250"/>
      <c r="I38" s="252"/>
      <c r="J38" s="248"/>
      <c r="K38" s="37"/>
      <c r="L38" s="253"/>
      <c r="N38" s="63"/>
      <c r="O38" s="253"/>
      <c r="P38" s="2"/>
      <c r="Q38" s="3"/>
      <c r="R38" s="63"/>
      <c r="S38" s="248"/>
      <c r="T38" s="37"/>
      <c r="U38" s="253"/>
      <c r="V38" s="2"/>
      <c r="W38" s="63"/>
      <c r="X38" s="253"/>
      <c r="Y38" s="2"/>
      <c r="Z38" s="3"/>
      <c r="AA38" s="63"/>
      <c r="AB38" s="248"/>
      <c r="AC38" s="37"/>
      <c r="AD38" s="253"/>
      <c r="AE38" s="2"/>
      <c r="AF38" s="63"/>
      <c r="AG38" s="253"/>
      <c r="AH38" s="2"/>
      <c r="AI38" s="3"/>
      <c r="AJ38" s="63"/>
    </row>
    <row r="39" spans="1:36" ht="14.1" customHeight="1" x14ac:dyDescent="0.2">
      <c r="A39" s="248" t="s">
        <v>127</v>
      </c>
      <c r="B39" s="37"/>
      <c r="C39" s="249">
        <f>[3]Southwest!$JW$19</f>
        <v>782</v>
      </c>
      <c r="D39" s="251">
        <f>[3]Southwest!$JI$19</f>
        <v>811</v>
      </c>
      <c r="E39" s="252">
        <f>(C39-D39)/D39</f>
        <v>-3.5758323057953144E-2</v>
      </c>
      <c r="F39" s="251">
        <f>SUM([3]Southwest!$JV$19:$JW$19)</f>
        <v>1536</v>
      </c>
      <c r="G39" s="251">
        <f>SUM([3]Southwest!$JH$19:$JI$19)</f>
        <v>1696</v>
      </c>
      <c r="H39" s="250">
        <f>(F39-G39)/G39</f>
        <v>-9.4339622641509441E-2</v>
      </c>
      <c r="I39" s="252">
        <f>F39/$F$56</f>
        <v>3.4166740813239609E-2</v>
      </c>
      <c r="J39" s="248" t="s">
        <v>127</v>
      </c>
      <c r="K39" s="37"/>
      <c r="L39" s="249">
        <f>[3]Southwest!$JW$41</f>
        <v>91044</v>
      </c>
      <c r="M39" s="251">
        <f>[3]Southwest!$JI$41</f>
        <v>89844</v>
      </c>
      <c r="N39" s="252">
        <f>(L39-M39)/M39</f>
        <v>1.3356484573260318E-2</v>
      </c>
      <c r="O39" s="249">
        <f>SUM([3]Southwest!$JV$41:$JW$41)</f>
        <v>175884</v>
      </c>
      <c r="P39" s="251">
        <f>SUM([3]Southwest!$JH$41:$JI$41)</f>
        <v>181177</v>
      </c>
      <c r="Q39" s="250">
        <f>(O39-P39)/P39</f>
        <v>-2.9214525022491819E-2</v>
      </c>
      <c r="R39" s="252">
        <f>O39/$O$56</f>
        <v>3.7105029655079592E-2</v>
      </c>
      <c r="S39" s="248" t="s">
        <v>127</v>
      </c>
      <c r="T39" s="37"/>
      <c r="U39" s="249">
        <f>[3]Southwest!$JW$64</f>
        <v>178807</v>
      </c>
      <c r="V39" s="251">
        <f>[3]Southwest!$JI$64</f>
        <v>195378</v>
      </c>
      <c r="W39" s="252">
        <f>(U39-V39)/V39</f>
        <v>-8.4815076415973134E-2</v>
      </c>
      <c r="X39" s="249">
        <f>SUM([3]Southwest!$JV$64:$JW$64)</f>
        <v>362615</v>
      </c>
      <c r="Y39" s="251">
        <f>SUM([3]Southwest!$JH$64:$JI$64)</f>
        <v>393254</v>
      </c>
      <c r="Z39" s="250">
        <f>(X39-Y39)/Y39</f>
        <v>-7.7911477060627482E-2</v>
      </c>
      <c r="AA39" s="252">
        <f>X39/$X$56</f>
        <v>2.7672564145692802E-2</v>
      </c>
      <c r="AB39" s="248" t="s">
        <v>127</v>
      </c>
      <c r="AC39" s="37"/>
      <c r="AD39" s="249">
        <f>[3]Southwest!$JW$43</f>
        <v>94000</v>
      </c>
      <c r="AE39" s="251">
        <f>[3]Southwest!$JI$43</f>
        <v>92647</v>
      </c>
      <c r="AF39" s="252">
        <f>(AD39-AE39)/AE39</f>
        <v>1.4603818796075425E-2</v>
      </c>
      <c r="AG39" s="249">
        <f>SUM([3]Southwest!$JV$43:$JW$43)</f>
        <v>181950</v>
      </c>
      <c r="AH39" s="251">
        <f>SUM([3]Southwest!$JH$43:$JI$43)</f>
        <v>187430</v>
      </c>
      <c r="AI39" s="250">
        <f>(AG39-AH39)/AH39</f>
        <v>-2.9237582030624768E-2</v>
      </c>
      <c r="AJ39" s="252">
        <f>AG39/$AG$56</f>
        <v>3.7081374817191572E-2</v>
      </c>
    </row>
    <row r="40" spans="1:36" ht="14.1" customHeight="1" x14ac:dyDescent="0.2">
      <c r="A40" s="248"/>
      <c r="B40" s="37"/>
      <c r="C40" s="249"/>
      <c r="D40" s="251"/>
      <c r="E40" s="252"/>
      <c r="F40" s="251"/>
      <c r="G40" s="251"/>
      <c r="H40" s="250"/>
      <c r="I40" s="252"/>
      <c r="J40" s="248"/>
      <c r="K40" s="37"/>
      <c r="L40" s="253"/>
      <c r="N40" s="63"/>
      <c r="O40" s="253"/>
      <c r="P40" s="2"/>
      <c r="Q40" s="3"/>
      <c r="R40" s="63"/>
      <c r="S40" s="248"/>
      <c r="T40" s="37"/>
      <c r="U40" s="253"/>
      <c r="V40" s="2"/>
      <c r="W40" s="63"/>
      <c r="X40" s="253"/>
      <c r="Y40" s="2"/>
      <c r="Z40" s="3"/>
      <c r="AA40" s="63"/>
      <c r="AB40" s="248"/>
      <c r="AC40" s="37"/>
      <c r="AD40" s="253"/>
      <c r="AE40" s="2"/>
      <c r="AF40" s="63"/>
      <c r="AG40" s="253"/>
      <c r="AH40" s="2"/>
      <c r="AI40" s="3"/>
      <c r="AJ40" s="63"/>
    </row>
    <row r="41" spans="1:36" ht="14.1" customHeight="1" x14ac:dyDescent="0.2">
      <c r="A41" s="248" t="s">
        <v>151</v>
      </c>
      <c r="B41" s="37"/>
      <c r="C41" s="249">
        <f>[3]Spirit!$JW$19</f>
        <v>0</v>
      </c>
      <c r="D41" s="251">
        <f>[3]Spirit!$JI$19</f>
        <v>100</v>
      </c>
      <c r="E41" s="252">
        <f>(C41-D41)/D41</f>
        <v>-1</v>
      </c>
      <c r="F41" s="251">
        <f>SUM([3]Spirit!$JV$19:$JW$19)</f>
        <v>0</v>
      </c>
      <c r="G41" s="251">
        <f>SUM([3]Spirit!$JH$19:$JI$19)</f>
        <v>250</v>
      </c>
      <c r="H41" s="250">
        <f>(F41-G41)/G41</f>
        <v>-1</v>
      </c>
      <c r="I41" s="252">
        <f>F41/$F$56</f>
        <v>0</v>
      </c>
      <c r="J41" s="248" t="s">
        <v>151</v>
      </c>
      <c r="K41" s="37"/>
      <c r="L41" s="249">
        <f>[3]Spirit!$JW$41</f>
        <v>0</v>
      </c>
      <c r="M41" s="251">
        <f>[3]Spirit!$JI$41</f>
        <v>13872</v>
      </c>
      <c r="N41" s="252">
        <f>(L41-M41)/M41</f>
        <v>-1</v>
      </c>
      <c r="O41" s="249">
        <f>SUM([3]Spirit!$JV$41:$JW$41)</f>
        <v>0</v>
      </c>
      <c r="P41" s="251">
        <f>SUM([3]Spirit!$JH$41:$JI$41)</f>
        <v>35098</v>
      </c>
      <c r="Q41" s="250">
        <f>(O41-P41)/P41</f>
        <v>-1</v>
      </c>
      <c r="R41" s="252">
        <f>O41/$O$56</f>
        <v>0</v>
      </c>
      <c r="S41" s="248" t="s">
        <v>151</v>
      </c>
      <c r="T41" s="37"/>
      <c r="U41" s="249">
        <f>[3]Spirit!$JW$64</f>
        <v>0</v>
      </c>
      <c r="V41" s="251">
        <f>[3]Spirit!$JI$64</f>
        <v>0</v>
      </c>
      <c r="W41" s="252">
        <f>IFERROR((U41-V41)/V41,0)</f>
        <v>0</v>
      </c>
      <c r="X41" s="249">
        <f>SUM([3]Spirit!$JV$64:$JW$64)</f>
        <v>0</v>
      </c>
      <c r="Y41" s="251">
        <f>SUM([3]Spirit!$JH$64:$JI$64)</f>
        <v>0</v>
      </c>
      <c r="Z41" s="250">
        <f>IFERROR((X41-Y41)/Y41,0)</f>
        <v>0</v>
      </c>
      <c r="AA41" s="252">
        <f>X41/$X$56</f>
        <v>0</v>
      </c>
      <c r="AB41" s="248" t="s">
        <v>151</v>
      </c>
      <c r="AC41" s="37"/>
      <c r="AD41" s="249">
        <f>[3]Spirit!$JW$43</f>
        <v>0</v>
      </c>
      <c r="AE41" s="251">
        <f>[3]Spirit!$JI$43</f>
        <v>14029</v>
      </c>
      <c r="AF41" s="252">
        <f>(AD41-AE41)/AE41</f>
        <v>-1</v>
      </c>
      <c r="AG41" s="249">
        <f>SUM([3]Spirit!$JV$43:$JW$43)</f>
        <v>0</v>
      </c>
      <c r="AH41" s="251">
        <f>SUM([3]Spirit!$JH$43:$JI$43)</f>
        <v>35464</v>
      </c>
      <c r="AI41" s="250">
        <f>(AG41-AH41)/AH41</f>
        <v>-1</v>
      </c>
      <c r="AJ41" s="252">
        <f>AG41/$AG$56</f>
        <v>0</v>
      </c>
    </row>
    <row r="42" spans="1:36" ht="14.1" customHeight="1" x14ac:dyDescent="0.2">
      <c r="A42" s="248"/>
      <c r="B42" s="37"/>
      <c r="C42" s="249"/>
      <c r="D42" s="251"/>
      <c r="E42" s="252"/>
      <c r="F42" s="251"/>
      <c r="G42" s="251"/>
      <c r="H42" s="250"/>
      <c r="I42" s="252"/>
      <c r="J42" s="248"/>
      <c r="K42" s="37"/>
      <c r="L42" s="253"/>
      <c r="N42" s="63"/>
      <c r="O42" s="253"/>
      <c r="P42" s="2"/>
      <c r="Q42" s="3"/>
      <c r="R42" s="63"/>
      <c r="S42" s="248"/>
      <c r="T42" s="37"/>
      <c r="U42" s="253"/>
      <c r="V42" s="2"/>
      <c r="W42" s="63"/>
      <c r="X42" s="253"/>
      <c r="Y42" s="2"/>
      <c r="Z42" s="3"/>
      <c r="AA42" s="63"/>
      <c r="AB42" s="248"/>
      <c r="AC42" s="37"/>
      <c r="AD42" s="253"/>
      <c r="AE42" s="2"/>
      <c r="AF42" s="63"/>
      <c r="AG42" s="253"/>
      <c r="AH42" s="2"/>
      <c r="AI42" s="3"/>
      <c r="AJ42" s="63"/>
    </row>
    <row r="43" spans="1:36" ht="14.1" customHeight="1" x14ac:dyDescent="0.2">
      <c r="A43" s="248" t="s">
        <v>49</v>
      </c>
      <c r="B43" s="37"/>
      <c r="C43" s="249">
        <f>'[3]Sun Country'!$JW$19</f>
        <v>2024</v>
      </c>
      <c r="D43" s="251">
        <f>'[3]Sun Country'!$JI$19</f>
        <v>2255</v>
      </c>
      <c r="E43" s="252">
        <f>(C43-D43)/D43</f>
        <v>-0.1024390243902439</v>
      </c>
      <c r="F43" s="251">
        <f>SUM('[3]Sun Country'!$JV$19:$JW$19)</f>
        <v>3834</v>
      </c>
      <c r="G43" s="251">
        <f>SUM('[3]Sun Country'!$JH$19:$JI$19)</f>
        <v>4344</v>
      </c>
      <c r="H43" s="250">
        <f>(F43-G43)/G43</f>
        <v>-0.11740331491712708</v>
      </c>
      <c r="I43" s="252">
        <f>F43/$F$56</f>
        <v>8.5283388201797317E-2</v>
      </c>
      <c r="J43" s="248" t="s">
        <v>49</v>
      </c>
      <c r="K43" s="37"/>
      <c r="L43" s="249">
        <f>'[3]Sun Country'!$JW$41</f>
        <v>285498</v>
      </c>
      <c r="M43" s="251">
        <f>'[3]Sun Country'!$JI$41</f>
        <v>319732</v>
      </c>
      <c r="N43" s="252">
        <f>(L43-M43)/M43</f>
        <v>-0.10707092189708881</v>
      </c>
      <c r="O43" s="249">
        <f>SUM('[3]Sun Country'!$JV$41:$JW$41)</f>
        <v>545394</v>
      </c>
      <c r="P43" s="251">
        <f>SUM('[3]Sun Country'!$JH$41:$JI$41)</f>
        <v>576521</v>
      </c>
      <c r="Q43" s="250">
        <f>(O43-P43)/P43</f>
        <v>-5.3991094860378029E-2</v>
      </c>
      <c r="R43" s="252">
        <f>O43/$O$56</f>
        <v>0.11505799585921675</v>
      </c>
      <c r="S43" s="248" t="s">
        <v>49</v>
      </c>
      <c r="T43" s="37"/>
      <c r="U43" s="249">
        <f>'[3]Sun Country'!$JW$64</f>
        <v>0</v>
      </c>
      <c r="V43" s="251">
        <f>'[3]Sun Country'!$JI$64</f>
        <v>0</v>
      </c>
      <c r="W43" s="252">
        <f>IFERROR((U43-V43)/V43,0)</f>
        <v>0</v>
      </c>
      <c r="X43" s="249">
        <f>SUM('[3]Sun Country'!$JV$64:$JW$64)</f>
        <v>0</v>
      </c>
      <c r="Y43" s="251">
        <f>SUM('[3]Sun Country'!$JH$64:$JI$64)</f>
        <v>0</v>
      </c>
      <c r="Z43" s="250">
        <f>IFERROR((X43-Y43)/Y43,0)</f>
        <v>0</v>
      </c>
      <c r="AA43" s="252">
        <f>X43/$X$56</f>
        <v>0</v>
      </c>
      <c r="AB43" s="248" t="s">
        <v>49</v>
      </c>
      <c r="AC43" s="37"/>
      <c r="AD43" s="249">
        <f>'[3]Sun Country'!$JW$43</f>
        <v>291896</v>
      </c>
      <c r="AE43" s="251">
        <f>'[3]Sun Country'!$JI$43</f>
        <v>325180</v>
      </c>
      <c r="AF43" s="252">
        <f>(AD43-AE43)/AE43</f>
        <v>-0.1023556184267175</v>
      </c>
      <c r="AG43" s="249">
        <f>SUM('[3]Sun Country'!$JV$43:$JW$43)</f>
        <v>557788</v>
      </c>
      <c r="AH43" s="251">
        <f>SUM('[3]Sun Country'!$JH$43:$JI$43)</f>
        <v>587264</v>
      </c>
      <c r="AI43" s="250">
        <f>(AG43-AH43)/AH43</f>
        <v>-5.0192077157802967E-2</v>
      </c>
      <c r="AJ43" s="252">
        <f>AG43/$AG$56</f>
        <v>0.11367708654318029</v>
      </c>
    </row>
    <row r="44" spans="1:36" ht="14.1" customHeight="1" x14ac:dyDescent="0.2">
      <c r="A44" s="248"/>
      <c r="B44" s="37"/>
      <c r="C44" s="249"/>
      <c r="D44" s="251"/>
      <c r="E44" s="252"/>
      <c r="F44" s="251"/>
      <c r="G44" s="251"/>
      <c r="H44" s="250"/>
      <c r="I44" s="252"/>
      <c r="J44" s="248"/>
      <c r="K44" s="37"/>
      <c r="L44" s="253"/>
      <c r="N44" s="63"/>
      <c r="O44" s="253"/>
      <c r="P44" s="2"/>
      <c r="Q44" s="3"/>
      <c r="R44" s="63"/>
      <c r="S44" s="248"/>
      <c r="T44" s="37"/>
      <c r="U44" s="253"/>
      <c r="V44" s="2"/>
      <c r="W44" s="63"/>
      <c r="X44" s="253"/>
      <c r="Y44" s="2"/>
      <c r="Z44" s="3"/>
      <c r="AA44" s="63"/>
      <c r="AB44" s="248"/>
      <c r="AC44" s="37"/>
      <c r="AD44" s="253"/>
      <c r="AE44" s="2"/>
      <c r="AF44" s="63"/>
      <c r="AG44" s="253"/>
      <c r="AH44" s="2"/>
      <c r="AI44" s="3"/>
      <c r="AJ44" s="63"/>
    </row>
    <row r="45" spans="1:36" ht="14.1" customHeight="1" x14ac:dyDescent="0.2">
      <c r="A45" s="248" t="s">
        <v>19</v>
      </c>
      <c r="B45" s="255"/>
      <c r="C45" s="249">
        <f>SUM(C46:C49)</f>
        <v>946</v>
      </c>
      <c r="D45" s="251">
        <f>SUM(D46:D49)</f>
        <v>1057</v>
      </c>
      <c r="E45" s="252">
        <f t="shared" ref="E45:E49" si="42">(C45-D45)/D45</f>
        <v>-0.10501419110690634</v>
      </c>
      <c r="F45" s="251">
        <f>SUM(F46:F49)</f>
        <v>1950</v>
      </c>
      <c r="G45" s="251">
        <f>SUM(G46:G49)</f>
        <v>2109</v>
      </c>
      <c r="H45" s="250">
        <f t="shared" ref="H45:H49" si="43">(F45-G45)/G45</f>
        <v>-7.5391180654338544E-2</v>
      </c>
      <c r="I45" s="252">
        <f>F45/$F$56</f>
        <v>4.3375745173058103E-2</v>
      </c>
      <c r="J45" s="248" t="s">
        <v>19</v>
      </c>
      <c r="K45" s="255"/>
      <c r="L45" s="249">
        <f>SUM(L46:L49)</f>
        <v>96731</v>
      </c>
      <c r="M45" s="251">
        <f>SUM(M46:M49)</f>
        <v>100807</v>
      </c>
      <c r="N45" s="252">
        <f t="shared" ref="N45:N49" si="44">(L45-M45)/M45</f>
        <v>-4.0433700040671781E-2</v>
      </c>
      <c r="O45" s="249">
        <f>SUM(O46:O49)</f>
        <v>198544</v>
      </c>
      <c r="P45" s="251">
        <f>SUM(P46:P49)</f>
        <v>205042</v>
      </c>
      <c r="Q45" s="250">
        <f t="shared" ref="Q45:Q49" si="45">(O45-P45)/P45</f>
        <v>-3.169106817139903E-2</v>
      </c>
      <c r="R45" s="252">
        <f>O45/$O$56</f>
        <v>4.1885452956710797E-2</v>
      </c>
      <c r="S45" s="248" t="s">
        <v>19</v>
      </c>
      <c r="T45" s="255"/>
      <c r="U45" s="249">
        <f>SUM(U46:U49)</f>
        <v>393013</v>
      </c>
      <c r="V45" s="251">
        <f>SUM(V46:V49)</f>
        <v>42272</v>
      </c>
      <c r="W45" s="252">
        <f t="shared" ref="W45:W46" si="46">(U45-V45)/V45</f>
        <v>8.2972416729750194</v>
      </c>
      <c r="X45" s="249">
        <f>SUM(X46:X49)</f>
        <v>754209</v>
      </c>
      <c r="Y45" s="251">
        <f>SUM(Y46:Y49)</f>
        <v>55447</v>
      </c>
      <c r="Z45" s="250">
        <f t="shared" ref="Z45:Z46" si="47">(X45-Y45)/Y45</f>
        <v>12.602340974263711</v>
      </c>
      <c r="AA45" s="252">
        <f>X45/$X$56</f>
        <v>5.7556628743319564E-2</v>
      </c>
      <c r="AB45" s="248" t="s">
        <v>19</v>
      </c>
      <c r="AC45" s="255"/>
      <c r="AD45" s="249">
        <f>SUM(AD46:AD49)</f>
        <v>101583</v>
      </c>
      <c r="AE45" s="251">
        <f>SUM(AE46:AE49)</f>
        <v>105485</v>
      </c>
      <c r="AF45" s="252">
        <f t="shared" ref="AF45:AF49" si="48">(AD45-AE45)/AE45</f>
        <v>-3.6991041380291037E-2</v>
      </c>
      <c r="AG45" s="249">
        <f>SUM(AG46:AG49)</f>
        <v>208076</v>
      </c>
      <c r="AH45" s="251">
        <f>SUM(AH46:AH49)</f>
        <v>214875</v>
      </c>
      <c r="AI45" s="250">
        <f t="shared" ref="AI45:AI49" si="49">(AG45-AH45)/AH45</f>
        <v>-3.1641652123327514E-2</v>
      </c>
      <c r="AJ45" s="252">
        <f>AG45/$AG$56</f>
        <v>4.2405848565330882E-2</v>
      </c>
    </row>
    <row r="46" spans="1:36" ht="14.1" customHeight="1" x14ac:dyDescent="0.2">
      <c r="A46" s="36"/>
      <c r="B46" s="307" t="s">
        <v>19</v>
      </c>
      <c r="C46" s="253">
        <f>[3]United!$JW$19</f>
        <v>683</v>
      </c>
      <c r="D46" s="2">
        <f>[3]United!$JI$19+[3]Continental!$JI$19</f>
        <v>666</v>
      </c>
      <c r="E46" s="63">
        <f t="shared" si="42"/>
        <v>2.5525525525525526E-2</v>
      </c>
      <c r="F46" s="2">
        <f>SUM([3]United!$JV$19:$JW$19)</f>
        <v>1398</v>
      </c>
      <c r="G46" s="2">
        <f>SUM([3]United!$JH$19:$JI$19)+SUM([3]Continental!$JH$19:$JI$19)</f>
        <v>1375</v>
      </c>
      <c r="H46" s="3">
        <f t="shared" si="43"/>
        <v>1.6727272727272726E-2</v>
      </c>
      <c r="I46" s="63">
        <f>F46/$F$56</f>
        <v>3.1097072693300115E-2</v>
      </c>
      <c r="J46" s="36"/>
      <c r="K46" s="307" t="s">
        <v>19</v>
      </c>
      <c r="L46" s="253">
        <f>[3]United!$JW$41</f>
        <v>82806</v>
      </c>
      <c r="M46" s="2">
        <f>[3]United!$JI$41+[3]Continental!$JI$41</f>
        <v>78095</v>
      </c>
      <c r="N46" s="63">
        <f t="shared" si="44"/>
        <v>6.0323964402330496E-2</v>
      </c>
      <c r="O46" s="253">
        <f>SUM([3]United!$JV$41:$JW$41)</f>
        <v>166789</v>
      </c>
      <c r="P46" s="2">
        <f>SUM([3]United!$JH$41:$JI$41)+SUM([3]Continental!$JH$41:$JI$41)</f>
        <v>161812</v>
      </c>
      <c r="Q46" s="3">
        <f t="shared" si="45"/>
        <v>3.0757916594566535E-2</v>
      </c>
      <c r="R46" s="63">
        <f>O46/$O$56</f>
        <v>3.5186320479071831E-2</v>
      </c>
      <c r="S46" s="36"/>
      <c r="T46" s="307" t="s">
        <v>19</v>
      </c>
      <c r="U46" s="253">
        <f>[3]United!$JW$64</f>
        <v>393013</v>
      </c>
      <c r="V46" s="2">
        <f>[3]United!$JI$64+[3]Continental!$JI$64</f>
        <v>42272</v>
      </c>
      <c r="W46" s="63">
        <f t="shared" si="46"/>
        <v>8.2972416729750194</v>
      </c>
      <c r="X46" s="253">
        <f>SUM([3]United!$JV$64:$JW$64)</f>
        <v>754209</v>
      </c>
      <c r="Y46" s="2">
        <f>SUM([3]United!$JH$64:$JI$64)+SUM([3]Continental!$JH$64:$JI$64)</f>
        <v>55447</v>
      </c>
      <c r="Z46" s="3">
        <f t="shared" si="47"/>
        <v>12.602340974263711</v>
      </c>
      <c r="AA46" s="63">
        <f>X46/$X$56</f>
        <v>5.7556628743319564E-2</v>
      </c>
      <c r="AB46" s="36"/>
      <c r="AC46" s="307" t="s">
        <v>19</v>
      </c>
      <c r="AD46" s="253">
        <f>[3]United!$JW$43</f>
        <v>87075</v>
      </c>
      <c r="AE46" s="2">
        <f>[3]United!$JI$43+[3]Continental!$JI$43</f>
        <v>81886</v>
      </c>
      <c r="AF46" s="63">
        <f t="shared" si="48"/>
        <v>6.3368585594607132E-2</v>
      </c>
      <c r="AG46" s="253">
        <f>SUM([3]United!$JV$43:$JW$43)</f>
        <v>174968</v>
      </c>
      <c r="AH46" s="2">
        <f>SUM([3]United!$JH$43:$JI$43)+SUM([3]Continental!$JH$43:$JI$43)</f>
        <v>169934</v>
      </c>
      <c r="AI46" s="3">
        <f t="shared" si="49"/>
        <v>2.9623265503077666E-2</v>
      </c>
      <c r="AJ46" s="63">
        <f>AG46/$AG$56</f>
        <v>3.5658444567267793E-2</v>
      </c>
    </row>
    <row r="47" spans="1:36" ht="14.1" customHeight="1" x14ac:dyDescent="0.2">
      <c r="A47" s="36"/>
      <c r="B47" s="37" t="s">
        <v>50</v>
      </c>
      <c r="C47" s="253">
        <f>[3]MESA_UA!$JW$19</f>
        <v>63</v>
      </c>
      <c r="D47" s="2">
        <f>[3]MESA_UA!$JI$19</f>
        <v>120</v>
      </c>
      <c r="E47" s="63">
        <f t="shared" si="42"/>
        <v>-0.47499999999999998</v>
      </c>
      <c r="F47" s="2">
        <f>SUM([3]MESA_UA!$JV$19:$JW$19)</f>
        <v>155</v>
      </c>
      <c r="G47" s="2">
        <f>SUM([3]MESA_UA!$JH$19:$JI$19)</f>
        <v>200</v>
      </c>
      <c r="H47" s="3">
        <f>(F47-G47)/G47</f>
        <v>-0.22500000000000001</v>
      </c>
      <c r="I47" s="63">
        <f>F47/$F$56</f>
        <v>3.4478156419610285E-3</v>
      </c>
      <c r="J47" s="36"/>
      <c r="K47" s="37" t="s">
        <v>50</v>
      </c>
      <c r="L47" s="253">
        <f>[3]MESA_UA!$JW$41</f>
        <v>3218</v>
      </c>
      <c r="M47" s="2">
        <f>[3]MESA_UA!$JI$41</f>
        <v>7217</v>
      </c>
      <c r="N47" s="63">
        <f t="shared" si="44"/>
        <v>-0.55410835527227376</v>
      </c>
      <c r="O47" s="253">
        <f>SUM([3]MESA_UA!$JV$41:$JW$41)</f>
        <v>8668</v>
      </c>
      <c r="P47" s="2">
        <f>SUM([3]MESA_UA!$JH$41:$JI$41)</f>
        <v>11894</v>
      </c>
      <c r="Q47" s="3">
        <f t="shared" si="45"/>
        <v>-0.27122919118883471</v>
      </c>
      <c r="R47" s="63">
        <f>O47/$O$56</f>
        <v>1.8286279425657245E-3</v>
      </c>
      <c r="S47" s="36"/>
      <c r="T47" s="37" t="s">
        <v>50</v>
      </c>
      <c r="U47" s="253">
        <f>[3]MESA_UA!$JW$64</f>
        <v>0</v>
      </c>
      <c r="V47" s="2">
        <f>[3]MESA_UA!$JI$64</f>
        <v>0</v>
      </c>
      <c r="W47" s="63">
        <f>IFERROR((U47-V47)/V47,0)</f>
        <v>0</v>
      </c>
      <c r="X47" s="253">
        <f>SUM([3]MESA_UA!$JV$64:$JW$64)</f>
        <v>0</v>
      </c>
      <c r="Y47" s="2">
        <f>SUM([3]MESA_UA!$JH$64:$JI$64)</f>
        <v>0</v>
      </c>
      <c r="Z47" s="3">
        <f t="shared" ref="Z47:Z49" si="50">IFERROR((X47-Y47)/Y47,0)</f>
        <v>0</v>
      </c>
      <c r="AA47" s="63">
        <f>X47/$X$56</f>
        <v>0</v>
      </c>
      <c r="AB47" s="36"/>
      <c r="AC47" s="37" t="s">
        <v>50</v>
      </c>
      <c r="AD47" s="253">
        <f>[3]MESA_UA!$JW$43</f>
        <v>3395</v>
      </c>
      <c r="AE47" s="2">
        <f>[3]MESA_UA!$JI$43</f>
        <v>7500</v>
      </c>
      <c r="AF47" s="63">
        <f t="shared" si="48"/>
        <v>-0.54733333333333334</v>
      </c>
      <c r="AG47" s="253">
        <f>SUM([3]MESA_UA!$JV$43:$JW$43)</f>
        <v>9088</v>
      </c>
      <c r="AH47" s="2">
        <f>SUM([3]MESA_UA!$JH$43:$JI$43)</f>
        <v>12355</v>
      </c>
      <c r="AI47" s="3">
        <f t="shared" si="49"/>
        <v>-0.26442735734520439</v>
      </c>
      <c r="AJ47" s="63">
        <f>AG47/$AG$56</f>
        <v>1.8521326426965486E-3</v>
      </c>
    </row>
    <row r="48" spans="1:36" ht="14.1" customHeight="1" x14ac:dyDescent="0.2">
      <c r="A48" s="36"/>
      <c r="B48" s="307" t="s">
        <v>51</v>
      </c>
      <c r="C48" s="253">
        <f>[3]Republic_UA!$JW$19</f>
        <v>150</v>
      </c>
      <c r="D48" s="2">
        <f>[3]Republic_UA!$JI$19</f>
        <v>191</v>
      </c>
      <c r="E48" s="63">
        <f t="shared" si="42"/>
        <v>-0.21465968586387435</v>
      </c>
      <c r="F48" s="2">
        <f>SUM([3]Republic_UA!$JV$19:$JW$19)</f>
        <v>293</v>
      </c>
      <c r="G48" s="2">
        <f>SUM([3]Republic_UA!$JH$19:$JI$19)</f>
        <v>380</v>
      </c>
      <c r="H48" s="3">
        <f t="shared" ref="H48" si="51">(F48-G48)/G48</f>
        <v>-0.22894736842105262</v>
      </c>
      <c r="I48" s="63">
        <f>F48/$F$56</f>
        <v>6.5174837619005246E-3</v>
      </c>
      <c r="J48" s="36"/>
      <c r="K48" s="307" t="s">
        <v>51</v>
      </c>
      <c r="L48" s="253">
        <f>[3]Republic_UA!$JW$41</f>
        <v>8262</v>
      </c>
      <c r="M48" s="2">
        <f>[3]Republic_UA!$JI$41</f>
        <v>11118</v>
      </c>
      <c r="N48" s="63">
        <f t="shared" si="44"/>
        <v>-0.25688073394495414</v>
      </c>
      <c r="O48" s="253">
        <f>SUM([3]Republic_UA!$JV$41:$JW$41)</f>
        <v>16776</v>
      </c>
      <c r="P48" s="2">
        <f>SUM([3]Republic_UA!$JH$41:$JI$41)</f>
        <v>22459</v>
      </c>
      <c r="Q48" s="3">
        <f t="shared" si="45"/>
        <v>-0.25303887083129256</v>
      </c>
      <c r="R48" s="63">
        <f>O48/$O$56</f>
        <v>3.5391165625845169E-3</v>
      </c>
      <c r="S48" s="36"/>
      <c r="T48" s="307" t="s">
        <v>51</v>
      </c>
      <c r="U48" s="253">
        <f>[3]Republic_UA!$JW$64</f>
        <v>0</v>
      </c>
      <c r="V48" s="2">
        <f>[3]Republic_UA!$JI$64</f>
        <v>0</v>
      </c>
      <c r="W48" s="63">
        <f>IFERROR((U48-V48)/V48,0)</f>
        <v>0</v>
      </c>
      <c r="X48" s="253">
        <f>SUM([3]Republic_UA!$JV$64:$JW$64)</f>
        <v>0</v>
      </c>
      <c r="Y48" s="2">
        <f>SUM([3]Republic_UA!$JH$64:$JI$64)</f>
        <v>0</v>
      </c>
      <c r="Z48" s="3">
        <f t="shared" si="50"/>
        <v>0</v>
      </c>
      <c r="AA48" s="63">
        <f>X48/$X$56</f>
        <v>0</v>
      </c>
      <c r="AB48" s="36"/>
      <c r="AC48" s="307" t="s">
        <v>51</v>
      </c>
      <c r="AD48" s="253">
        <f>[3]Republic_UA!$JW$43</f>
        <v>8574</v>
      </c>
      <c r="AE48" s="2">
        <f>[3]Republic_UA!$JI$43</f>
        <v>11520</v>
      </c>
      <c r="AF48" s="63">
        <f t="shared" si="48"/>
        <v>-0.25572916666666667</v>
      </c>
      <c r="AG48" s="253">
        <f>SUM([3]Republic_UA!$JV$43:$JW$43)</f>
        <v>17444</v>
      </c>
      <c r="AH48" s="2">
        <f>SUM([3]Republic_UA!$JH$43:$JI$43)</f>
        <v>23310</v>
      </c>
      <c r="AI48" s="3">
        <f t="shared" si="49"/>
        <v>-0.25165165165165165</v>
      </c>
      <c r="AJ48" s="63">
        <f>AG48/$AG$56</f>
        <v>3.5550838269364652E-3</v>
      </c>
    </row>
    <row r="49" spans="1:36" ht="14.1" customHeight="1" x14ac:dyDescent="0.2">
      <c r="A49" s="36"/>
      <c r="B49" s="37" t="s">
        <v>96</v>
      </c>
      <c r="C49" s="253">
        <f>'[3]Sky West_UA'!$JW$19</f>
        <v>50</v>
      </c>
      <c r="D49" s="2">
        <f>'[3]Sky West_UA'!$JI$19+'[3]Sky West_CO'!$JI$19</f>
        <v>80</v>
      </c>
      <c r="E49" s="63">
        <f t="shared" si="42"/>
        <v>-0.375</v>
      </c>
      <c r="F49" s="2">
        <f>SUM('[3]Sky West_UA'!$JV$19:$JW$19)</f>
        <v>104</v>
      </c>
      <c r="G49" s="2">
        <f>SUM('[3]Sky West_UA'!$JH$19:$JI$19)+SUM('[3]Sky West_CO'!$JH$19:$JI$19)</f>
        <v>154</v>
      </c>
      <c r="H49" s="3">
        <f t="shared" si="43"/>
        <v>-0.32467532467532467</v>
      </c>
      <c r="I49" s="63">
        <f>F49/$F$56</f>
        <v>2.313373075896432E-3</v>
      </c>
      <c r="J49" s="36"/>
      <c r="K49" s="37" t="s">
        <v>96</v>
      </c>
      <c r="L49" s="253">
        <f>'[3]Sky West_UA'!$JW$41</f>
        <v>2445</v>
      </c>
      <c r="M49" s="2">
        <f>'[3]Sky West_UA'!$JI$41+'[3]Sky West_CO'!$JI$41</f>
        <v>4377</v>
      </c>
      <c r="N49" s="63">
        <f t="shared" si="44"/>
        <v>-0.44139821795750517</v>
      </c>
      <c r="O49" s="253">
        <f>SUM('[3]Sky West_UA'!$JV$41:$JW$41)</f>
        <v>6311</v>
      </c>
      <c r="P49" s="2">
        <f>SUM('[3]Sky West_UA'!$JH$41:$JI$41)+SUM('[3]Sky West_CO'!$JH$41:$JI$41)</f>
        <v>8877</v>
      </c>
      <c r="Q49" s="3">
        <f t="shared" si="45"/>
        <v>-0.28906161991663848</v>
      </c>
      <c r="R49" s="63">
        <f>O49/$O$56</f>
        <v>1.3313879724887272E-3</v>
      </c>
      <c r="S49" s="36"/>
      <c r="T49" s="37" t="s">
        <v>96</v>
      </c>
      <c r="U49" s="253">
        <f>'[3]Sky West_UA'!$JW$64</f>
        <v>0</v>
      </c>
      <c r="V49" s="2">
        <f>'[3]Sky West_UA'!$JI$64+'[3]Sky West_CO'!$JI$64</f>
        <v>0</v>
      </c>
      <c r="W49" s="63">
        <f>IFERROR((U49-V49)/V49,0)</f>
        <v>0</v>
      </c>
      <c r="X49" s="253">
        <f>SUM('[3]Sky West_UA'!$JV$64:$JW$64)</f>
        <v>0</v>
      </c>
      <c r="Y49" s="2">
        <f>SUM('[3]Sky West_UA'!$JH$64:$JI$64)+SUM('[3]Sky West_CO'!$JH$64:$JI$64)</f>
        <v>0</v>
      </c>
      <c r="Z49" s="3">
        <f t="shared" si="50"/>
        <v>0</v>
      </c>
      <c r="AA49" s="63">
        <f>X49/$X$56</f>
        <v>0</v>
      </c>
      <c r="AB49" s="36"/>
      <c r="AC49" s="37" t="s">
        <v>96</v>
      </c>
      <c r="AD49" s="253">
        <f>'[3]Sky West_UA'!$JW$43</f>
        <v>2539</v>
      </c>
      <c r="AE49" s="2">
        <f>'[3]Sky West_UA'!$JI$43+'[3]Sky West_CO'!$JI$43</f>
        <v>4579</v>
      </c>
      <c r="AF49" s="63">
        <f t="shared" si="48"/>
        <v>-0.44551212055033851</v>
      </c>
      <c r="AG49" s="253">
        <f>SUM('[3]Sky West_UA'!$JV$43:$JW$43)</f>
        <v>6576</v>
      </c>
      <c r="AH49" s="2">
        <f>SUM('[3]Sky West_UA'!$JH$43:$JI$43)+SUM('[3]Sky West_CO'!$JH$43:$JI$43)</f>
        <v>9276</v>
      </c>
      <c r="AI49" s="3">
        <f t="shared" si="49"/>
        <v>-0.29107373868046571</v>
      </c>
      <c r="AJ49" s="63">
        <f>AG49/$AG$56</f>
        <v>1.340187528430073E-3</v>
      </c>
    </row>
    <row r="50" spans="1:36" ht="14.1" customHeight="1" x14ac:dyDescent="0.2">
      <c r="A50" s="36"/>
      <c r="B50" s="256"/>
      <c r="C50" s="253"/>
      <c r="E50" s="63"/>
      <c r="F50" s="2"/>
      <c r="I50" s="63"/>
      <c r="J50" s="36"/>
      <c r="K50" s="256"/>
      <c r="L50" s="253"/>
      <c r="N50" s="63"/>
      <c r="O50" s="253"/>
      <c r="P50" s="2"/>
      <c r="Q50" s="3"/>
      <c r="R50" s="63"/>
      <c r="S50" s="36"/>
      <c r="T50" s="256"/>
      <c r="U50" s="253"/>
      <c r="V50" s="2"/>
      <c r="W50" s="63"/>
      <c r="X50" s="253"/>
      <c r="Y50" s="2"/>
      <c r="Z50" s="3"/>
      <c r="AA50" s="63"/>
      <c r="AB50" s="36"/>
      <c r="AC50" s="256"/>
      <c r="AD50" s="253"/>
      <c r="AE50" s="2"/>
      <c r="AF50" s="63"/>
      <c r="AG50" s="253"/>
      <c r="AH50" s="2"/>
      <c r="AI50" s="3"/>
      <c r="AJ50" s="63"/>
    </row>
    <row r="51" spans="1:36" ht="14.1" customHeight="1" x14ac:dyDescent="0.2">
      <c r="A51" s="248" t="s">
        <v>209</v>
      </c>
      <c r="B51" s="256"/>
      <c r="C51" s="249">
        <f>[3]WestJet!$JW$19</f>
        <v>114</v>
      </c>
      <c r="D51" s="251">
        <f>[3]WestJet!$JI$19</f>
        <v>118</v>
      </c>
      <c r="E51" s="252">
        <f>(C51-D51)/D51</f>
        <v>-3.3898305084745763E-2</v>
      </c>
      <c r="F51" s="251">
        <f>SUM([3]WestJet!$JV$19:$JW$19)</f>
        <v>236</v>
      </c>
      <c r="G51" s="251">
        <f>SUM([3]WestJet!$JH$19:$JI$19)</f>
        <v>246</v>
      </c>
      <c r="H51" s="250">
        <f>(F51-G51)/G51</f>
        <v>-4.065040650406504E-2</v>
      </c>
      <c r="I51" s="252">
        <f>F51/$F$56</f>
        <v>5.249577364534211E-3</v>
      </c>
      <c r="J51" s="248" t="s">
        <v>209</v>
      </c>
      <c r="K51" s="37"/>
      <c r="L51" s="249">
        <f>[3]WestJet!$JW$41</f>
        <v>7783</v>
      </c>
      <c r="M51" s="251">
        <f>[3]WestJet!$JI$41</f>
        <v>10402</v>
      </c>
      <c r="N51" s="252">
        <f>(L51-M51)/M51</f>
        <v>-0.25177850413382041</v>
      </c>
      <c r="O51" s="249">
        <f>SUM([3]WestJet!$JV$41:$JW$41)</f>
        <v>17037</v>
      </c>
      <c r="P51" s="251">
        <f>SUM([3]WestJet!$JH$41:$JI$41)</f>
        <v>20246</v>
      </c>
      <c r="Q51" s="250">
        <f>(O51-P51)/P51</f>
        <v>-0.15850044453225329</v>
      </c>
      <c r="R51" s="252">
        <f>O51/$O$56</f>
        <v>3.5941779254144266E-3</v>
      </c>
      <c r="S51" s="248" t="s">
        <v>209</v>
      </c>
      <c r="T51" s="37"/>
      <c r="U51" s="249">
        <f>[3]WestJet!$JW$64</f>
        <v>0</v>
      </c>
      <c r="V51" s="251">
        <f>[3]WestJet!$JI$64</f>
        <v>0</v>
      </c>
      <c r="W51" s="252">
        <f>IFERROR((U51-V51)/V51,0)</f>
        <v>0</v>
      </c>
      <c r="X51" s="249">
        <f>SUM([3]WestJet!$JV$64:$JW$64)</f>
        <v>0</v>
      </c>
      <c r="Y51" s="251">
        <f>SUM([3]WestJet!$JH$64:$JI$64)</f>
        <v>0</v>
      </c>
      <c r="Z51" s="250">
        <f>IFERROR((X51-Y51)/Y51,0)</f>
        <v>0</v>
      </c>
      <c r="AA51" s="252">
        <f>X51/$X$56</f>
        <v>0</v>
      </c>
      <c r="AB51" s="248" t="s">
        <v>209</v>
      </c>
      <c r="AC51" s="37"/>
      <c r="AD51" s="249">
        <f>[3]WestJet!$JW$43</f>
        <v>7785</v>
      </c>
      <c r="AE51" s="251">
        <f>[3]WestJet!$JI$43</f>
        <v>10406</v>
      </c>
      <c r="AF51" s="252">
        <f>(AD51-AE51)/AE51</f>
        <v>-0.25187391889294636</v>
      </c>
      <c r="AG51" s="249">
        <f>SUM([3]WestJet!$JV$43:$JW$43)</f>
        <v>17040</v>
      </c>
      <c r="AH51" s="251">
        <f>SUM([3]WestJet!$JH$43:$JI$43)</f>
        <v>20255</v>
      </c>
      <c r="AI51" s="250">
        <f>(AG51-AH51)/AH51</f>
        <v>-0.15872624043446062</v>
      </c>
      <c r="AJ51" s="252">
        <f>AG51/$AG$56</f>
        <v>3.4727487050560286E-3</v>
      </c>
    </row>
    <row r="52" spans="1:36" ht="14.1" customHeight="1" thickBot="1" x14ac:dyDescent="0.25">
      <c r="A52" s="309"/>
      <c r="B52" s="310"/>
      <c r="C52" s="257"/>
      <c r="D52" s="259"/>
      <c r="E52" s="260"/>
      <c r="F52" s="259"/>
      <c r="G52" s="259"/>
      <c r="H52" s="258"/>
      <c r="I52" s="260"/>
      <c r="J52" s="309"/>
      <c r="K52" s="310"/>
      <c r="L52" s="257"/>
      <c r="M52" s="259"/>
      <c r="N52" s="260"/>
      <c r="O52" s="257"/>
      <c r="P52" s="259"/>
      <c r="Q52" s="258"/>
      <c r="R52" s="331"/>
      <c r="S52" s="309"/>
      <c r="T52" s="310"/>
      <c r="U52" s="257"/>
      <c r="V52" s="259"/>
      <c r="W52" s="260"/>
      <c r="X52" s="257"/>
      <c r="Y52" s="259"/>
      <c r="Z52" s="258"/>
      <c r="AA52" s="331"/>
      <c r="AB52" s="309"/>
      <c r="AC52" s="310"/>
      <c r="AD52" s="257"/>
      <c r="AE52" s="259"/>
      <c r="AF52" s="260"/>
      <c r="AG52" s="257"/>
      <c r="AH52" s="259"/>
      <c r="AI52" s="258"/>
      <c r="AJ52" s="331"/>
    </row>
    <row r="53" spans="1:36" s="164" customFormat="1" ht="14.1" customHeight="1" thickBot="1" x14ac:dyDescent="0.25">
      <c r="B53" s="163"/>
      <c r="C53" s="251"/>
      <c r="D53" s="251"/>
      <c r="E53" s="250"/>
      <c r="F53" s="308"/>
      <c r="G53" s="251"/>
      <c r="H53" s="250"/>
      <c r="I53" s="250"/>
      <c r="J53" s="261"/>
      <c r="K53" s="163"/>
      <c r="L53" s="262"/>
      <c r="M53" s="263"/>
      <c r="N53" s="261"/>
      <c r="S53" s="261"/>
      <c r="T53" s="163"/>
      <c r="U53" s="262"/>
      <c r="V53" s="263"/>
      <c r="W53" s="261"/>
      <c r="AB53" s="261"/>
      <c r="AC53" s="163"/>
      <c r="AD53" s="262"/>
      <c r="AE53" s="263"/>
      <c r="AF53" s="261"/>
    </row>
    <row r="54" spans="1:36" ht="14.1" customHeight="1" x14ac:dyDescent="0.2">
      <c r="B54" s="264" t="s">
        <v>130</v>
      </c>
      <c r="C54" s="316">
        <f>+C56-C55</f>
        <v>14415</v>
      </c>
      <c r="D54" s="447">
        <f>+D56-D55</f>
        <v>15225</v>
      </c>
      <c r="E54" s="317">
        <f>(C54-D54)/D54</f>
        <v>-5.3201970443349754E-2</v>
      </c>
      <c r="F54" s="316">
        <f>+F56-F55</f>
        <v>29360</v>
      </c>
      <c r="G54" s="447">
        <f>+G56-G55</f>
        <v>31387</v>
      </c>
      <c r="H54" s="317">
        <f>(F54-G54)/G54</f>
        <v>-6.4580877433332268E-2</v>
      </c>
      <c r="I54" s="341">
        <f>F54/$F$56</f>
        <v>0.65308301450306971</v>
      </c>
      <c r="K54" s="264" t="s">
        <v>130</v>
      </c>
      <c r="L54" s="316">
        <f>+L56-L55</f>
        <v>1944902</v>
      </c>
      <c r="M54" s="447">
        <f>+M56-M55</f>
        <v>2032510</v>
      </c>
      <c r="N54" s="317">
        <f>(L54-M54)/M54</f>
        <v>-4.3103354965043222E-2</v>
      </c>
      <c r="O54" s="316">
        <f>+O56-O55</f>
        <v>3912307</v>
      </c>
      <c r="P54" s="447">
        <f>+P56-P55</f>
        <v>4101597</v>
      </c>
      <c r="Q54" s="339">
        <f>(O54-P54)/P54</f>
        <v>-4.6150316571813371E-2</v>
      </c>
      <c r="R54" s="385">
        <f>+O54/O56</f>
        <v>0.8253523188850348</v>
      </c>
      <c r="S54" s="3"/>
      <c r="T54" s="264" t="s">
        <v>130</v>
      </c>
      <c r="U54" s="316">
        <f>+U56-U55</f>
        <v>6960124.8200000003</v>
      </c>
      <c r="V54" s="447">
        <f>+V56-V55</f>
        <v>6306307</v>
      </c>
      <c r="W54" s="317">
        <f>(U54-V54)/V54</f>
        <v>0.10367681433840761</v>
      </c>
      <c r="X54" s="316">
        <f>+X56-X55</f>
        <v>13083494.440000001</v>
      </c>
      <c r="Y54" s="447">
        <f>+Y56-Y55</f>
        <v>12228740</v>
      </c>
      <c r="Z54" s="339">
        <f>(X54-Y54)/Y54</f>
        <v>6.9897179922052591E-2</v>
      </c>
      <c r="AA54" s="385">
        <f>+X54/X56</f>
        <v>0.99845246098676332</v>
      </c>
      <c r="AB54" s="3"/>
      <c r="AC54" s="264" t="s">
        <v>130</v>
      </c>
      <c r="AD54" s="316">
        <f>+AD56-AD55</f>
        <v>2012937</v>
      </c>
      <c r="AE54" s="447">
        <f>+AE56-AE55</f>
        <v>2096834</v>
      </c>
      <c r="AF54" s="341">
        <f>(AD54-AE54)/AE54</f>
        <v>-4.0011274139965303E-2</v>
      </c>
      <c r="AG54" s="316">
        <f>+AG56-AG55</f>
        <v>4048957</v>
      </c>
      <c r="AH54" s="447">
        <f>+AH56-AH55</f>
        <v>4232564</v>
      </c>
      <c r="AI54" s="341">
        <f>(AG54-AH54)/AH54</f>
        <v>-4.3379615760092465E-2</v>
      </c>
      <c r="AJ54" s="385">
        <f>+AG54/AG56</f>
        <v>0.82517665367239101</v>
      </c>
    </row>
    <row r="55" spans="1:36" ht="14.1" customHeight="1" x14ac:dyDescent="0.2">
      <c r="B55" s="163" t="s">
        <v>131</v>
      </c>
      <c r="C55" s="318">
        <f>+C29+C28+C19+C49+C47+C20+C48+C21+C22+C6</f>
        <v>7562</v>
      </c>
      <c r="D55" s="448">
        <f>+D29+D28+D19+D49+D47+D20+D48+D21+D22+D6</f>
        <v>7069</v>
      </c>
      <c r="E55" s="265">
        <f>(C55-D55)/D55</f>
        <v>6.9741123214033099E-2</v>
      </c>
      <c r="F55" s="318">
        <f>+F29+F28+F19+F49+F47+F20+F48+F21+F22+F6</f>
        <v>15596</v>
      </c>
      <c r="G55" s="448">
        <f>+G29+G28+G19+G49+G47+G20+G48+G21+G22+G6</f>
        <v>14927</v>
      </c>
      <c r="H55" s="265">
        <f>(F55-G55)/G55</f>
        <v>4.4818114825484021E-2</v>
      </c>
      <c r="I55" s="342">
        <f>F55/$F$56</f>
        <v>0.34691698549693034</v>
      </c>
      <c r="K55" s="163" t="s">
        <v>131</v>
      </c>
      <c r="L55" s="318">
        <f>+L29+L28+L19+L49+L47+L20+L48+L21+L22+L6</f>
        <v>415760</v>
      </c>
      <c r="M55" s="448">
        <f>+M29+M28+M19+M49+M47+M20+M48+M21+M22+M6</f>
        <v>378449</v>
      </c>
      <c r="N55" s="265">
        <f>(L55-M55)/M55</f>
        <v>9.8589241879354944E-2</v>
      </c>
      <c r="O55" s="318">
        <f>+O29+O28+O19+O49+O47+O20+O48+O21+O22+O6</f>
        <v>827859</v>
      </c>
      <c r="P55" s="448">
        <f>+P29+P28+P19+P49+P47+P20+P48+P21+P22+P6</f>
        <v>785434</v>
      </c>
      <c r="Q55" s="338">
        <f>(O55-P55)/P55</f>
        <v>5.4014723070302535E-2</v>
      </c>
      <c r="R55" s="386">
        <f>+O55/O56</f>
        <v>0.17464768111496518</v>
      </c>
      <c r="S55" s="3"/>
      <c r="T55" s="163" t="s">
        <v>131</v>
      </c>
      <c r="U55" s="318">
        <f>+U29+U28+U19+U49+U47+U20+U48+U21+U22+U6</f>
        <v>11935.5</v>
      </c>
      <c r="V55" s="448">
        <f>+V29+V28+V19+V49+V47+V20+V48+V21+V22+V6</f>
        <v>22610.5</v>
      </c>
      <c r="W55" s="265">
        <f>(U55-V55)/V55</f>
        <v>-0.47212578226929969</v>
      </c>
      <c r="X55" s="318">
        <f>+X29+X28+X19+X49+X47+X20+X48+X21+X22+X6</f>
        <v>20278.599999999999</v>
      </c>
      <c r="Y55" s="448">
        <f>+Y29+Y28+Y19+Y49+Y47+Y20+Y48+Y21+Y22+Y6</f>
        <v>37444.199999999997</v>
      </c>
      <c r="Z55" s="338">
        <f>(X55-Y55)/Y55</f>
        <v>-0.45843147937464279</v>
      </c>
      <c r="AA55" s="386">
        <f>+X55/X56</f>
        <v>1.5475390132367553E-3</v>
      </c>
      <c r="AB55" s="3"/>
      <c r="AC55" s="163" t="s">
        <v>131</v>
      </c>
      <c r="AD55" s="318">
        <f>+AD29+AD28+AD19+AD49+AD47+AD20+AD48+AD21+AD22+AD6</f>
        <v>430876</v>
      </c>
      <c r="AE55" s="448">
        <f>+AE29+AE28+AE19+AE49+AE47+AE20+AE48+AE21+AE22+AE6</f>
        <v>390634</v>
      </c>
      <c r="AF55" s="342">
        <f>(AD55-AE55)/AE55</f>
        <v>0.10301714648494499</v>
      </c>
      <c r="AG55" s="318">
        <f>+AG29+AG28+AG19+AG49+AG47+AG20+AG48+AG21+AG22+AG6</f>
        <v>857819</v>
      </c>
      <c r="AH55" s="448">
        <f>+AH29+AH28+AH19+AH49+AH47+AH20+AH48+AH21+AH22+AH6</f>
        <v>811212</v>
      </c>
      <c r="AI55" s="342">
        <f>(AG55-AH55)/AH55</f>
        <v>5.7453538655739808E-2</v>
      </c>
      <c r="AJ55" s="386">
        <f>+AG55/AG56</f>
        <v>0.17482334632760901</v>
      </c>
    </row>
    <row r="56" spans="1:36" ht="14.1" customHeight="1" thickBot="1" x14ac:dyDescent="0.25">
      <c r="B56" s="163" t="s">
        <v>132</v>
      </c>
      <c r="C56" s="319">
        <f>C45+C43+C39+C33+C31+C26+C17+C14+C4+C41+C35+C8+C24+C12+C51+C10+C37</f>
        <v>21977</v>
      </c>
      <c r="D56" s="446">
        <f>D45+D43+D39+D33+D31+D26+D17+D14+D4+D41+D35+D8+D24+D12+D51+D10+D37</f>
        <v>22294</v>
      </c>
      <c r="E56" s="320">
        <f>(C56-D56)/D56</f>
        <v>-1.4219072396160402E-2</v>
      </c>
      <c r="F56" s="319">
        <f>F45+F43+F39+F33+F31+F26+F17+F14+F4+F41+F35+F8+F24+F12+F51+F10+F37</f>
        <v>44956</v>
      </c>
      <c r="G56" s="446">
        <f>G45+G43+G39+G33+G31+G26+G17+G14+G4+G41+G35+G8+G24+G12+G51+G10+G37</f>
        <v>46314</v>
      </c>
      <c r="H56" s="320">
        <f>(F56-G56)/G56</f>
        <v>-2.9321587424968692E-2</v>
      </c>
      <c r="I56" s="343">
        <f>+H56/H56</f>
        <v>1</v>
      </c>
      <c r="K56" s="163" t="s">
        <v>132</v>
      </c>
      <c r="L56" s="319">
        <f>L45+L43+L39+L33+L31+L26+L17+L14+L4+L41+L35+L8+L24+L12+L51+L10+L37</f>
        <v>2360662</v>
      </c>
      <c r="M56" s="446">
        <f>M45+M43+M39+M33+M31+M26+M17+M14+M4+M41+M35+M8+M24+M12+M51+M10+M37</f>
        <v>2410959</v>
      </c>
      <c r="N56" s="320">
        <f>(L56-M56)/M56</f>
        <v>-2.0861823033904766E-2</v>
      </c>
      <c r="O56" s="319">
        <f>O45+O43+O39+O33+O31+O26+O17+O14+O4+O41+O35+O8+O24+O12+O51+O10+O37</f>
        <v>4740166</v>
      </c>
      <c r="P56" s="446">
        <f>P45+P43+P39+P33+P31+P26+P17+P14+P4+P41+P35+P8+P24+P12+P51+P10+P37</f>
        <v>4887031</v>
      </c>
      <c r="Q56" s="384">
        <f>(O56-P56)/P56</f>
        <v>-3.005198862049371E-2</v>
      </c>
      <c r="R56" s="343">
        <f>+Q56/Q56</f>
        <v>1</v>
      </c>
      <c r="S56" s="3"/>
      <c r="T56" s="163" t="s">
        <v>132</v>
      </c>
      <c r="U56" s="319">
        <f>U45+U43+U39+U33+U31+U26+U17+U14+U4+U41+U35+U8+U24+U12+U51+U10+U37</f>
        <v>6972060.3200000003</v>
      </c>
      <c r="V56" s="446">
        <f>V45+V43+V39+V33+V31+V26+V17+V14+V4+V41+V35+V8+V24+V12+V51+V10+V37</f>
        <v>6328917.5</v>
      </c>
      <c r="W56" s="320">
        <f>(U56-V56)/V56</f>
        <v>0.1016197193279894</v>
      </c>
      <c r="X56" s="319">
        <f>X45+X43+X39+X33+X31+X26+X17+X14+X4+X41+X35+X8+X24+X12+X51+X10+X37</f>
        <v>13103773.040000001</v>
      </c>
      <c r="Y56" s="446">
        <f>Y45+Y43+Y39+Y33+Y31+Y26+Y17+Y14+Y4+Y41+Y35+Y8+Y24+Y12+Y51+Y10+Y37</f>
        <v>12266184.199999999</v>
      </c>
      <c r="Z56" s="384">
        <f>(X56-Y56)/Y56</f>
        <v>6.8284384641802601E-2</v>
      </c>
      <c r="AA56" s="343">
        <f>+Z56/Z56</f>
        <v>1</v>
      </c>
      <c r="AB56" s="3"/>
      <c r="AC56" s="163" t="s">
        <v>132</v>
      </c>
      <c r="AD56" s="319">
        <f>AD45+AD43+AD39+AD33+AD31+AD26+AD17+AD14+AD4+AD41+AD35+AD8+AD24+AD12+AD51+AD10+AD37</f>
        <v>2443813</v>
      </c>
      <c r="AE56" s="446">
        <f>AE45+AE43+AE39+AE33+AE31+AE26+AE17+AE14+AE4+AE41+AE35+AE8+AE24+AE12+AE51+AE10+AE37</f>
        <v>2487468</v>
      </c>
      <c r="AF56" s="343">
        <f>(AD56-AE56)/AE56</f>
        <v>-1.7549974512234931E-2</v>
      </c>
      <c r="AG56" s="319">
        <f>AG45+AG43+AG39+AG33+AG31+AG26+AG17+AG14+AG4+AG41+AG35+AG8+AG24+AG12+AG51+AG10+AG37</f>
        <v>4906776</v>
      </c>
      <c r="AH56" s="446">
        <f>AH45+AH43+AH39+AH33+AH31+AH26+AH17+AH14+AH4+AH41+AH35+AH8+AH24+AH12+AH51+AH10+AH37</f>
        <v>5043776</v>
      </c>
      <c r="AI56" s="343">
        <f>(AG56-AH56)/AH56</f>
        <v>-2.7162189597634789E-2</v>
      </c>
      <c r="AJ56" s="343">
        <f>+AI56/AI56</f>
        <v>1</v>
      </c>
    </row>
    <row r="57" spans="1:36" x14ac:dyDescent="0.2">
      <c r="D57" s="3"/>
      <c r="F57" s="2"/>
      <c r="G57"/>
      <c r="H57"/>
      <c r="I57"/>
      <c r="J57"/>
      <c r="K57"/>
      <c r="M57"/>
      <c r="N57"/>
    </row>
    <row r="58" spans="1:36" x14ac:dyDescent="0.2">
      <c r="B58" s="163"/>
      <c r="E58"/>
      <c r="F58" s="2"/>
      <c r="H58"/>
      <c r="I58"/>
      <c r="J58"/>
      <c r="K58"/>
      <c r="N58"/>
      <c r="O58" s="2"/>
      <c r="P58" s="2"/>
      <c r="U58" s="89"/>
      <c r="V58" s="89"/>
      <c r="W58" s="89"/>
      <c r="AD58" s="2"/>
      <c r="AE58" s="2"/>
      <c r="AG58" s="2"/>
      <c r="AH58" s="2"/>
    </row>
    <row r="59" spans="1:36" x14ac:dyDescent="0.2">
      <c r="E59"/>
      <c r="F59" s="2"/>
      <c r="H59"/>
      <c r="I59"/>
      <c r="J59"/>
      <c r="K59"/>
      <c r="N59"/>
      <c r="O59" s="2"/>
      <c r="P59" s="2"/>
      <c r="U59" s="89"/>
      <c r="V59" s="89"/>
      <c r="W59" s="89"/>
      <c r="AD59" s="2"/>
      <c r="AE59" s="2"/>
      <c r="AG59" s="2"/>
      <c r="AH59" s="2"/>
    </row>
    <row r="60" spans="1:36" x14ac:dyDescent="0.2">
      <c r="C60" s="2">
        <f>+C54-'Monthly Summary'!D16</f>
        <v>0</v>
      </c>
      <c r="D60" s="2">
        <f>+D54-'Monthly Summary'!E16</f>
        <v>0</v>
      </c>
      <c r="E60"/>
      <c r="F60" s="2">
        <f>+F54-'Monthly Summary'!G16</f>
        <v>0</v>
      </c>
      <c r="G60" s="2">
        <f>+G54-'Monthly Summary'!H16</f>
        <v>0</v>
      </c>
      <c r="H60"/>
      <c r="I60"/>
      <c r="J60"/>
      <c r="K60"/>
      <c r="L60" s="2">
        <f>+L54-'Monthly Summary'!D5</f>
        <v>0</v>
      </c>
      <c r="M60" s="2">
        <f>+M54-'Monthly Summary'!E5</f>
        <v>0</v>
      </c>
      <c r="N60"/>
      <c r="O60" s="2">
        <f>+O54-'Monthly Summary'!G5</f>
        <v>0</v>
      </c>
      <c r="P60" s="2">
        <f>+P54-'Monthly Summary'!H5</f>
        <v>0</v>
      </c>
      <c r="U60" s="89"/>
      <c r="AD60" s="2"/>
      <c r="AE60" s="2"/>
      <c r="AG60" s="2"/>
      <c r="AH60" s="2"/>
    </row>
    <row r="61" spans="1:36" x14ac:dyDescent="0.2">
      <c r="C61" s="2">
        <f>+C55-'Monthly Summary'!D17</f>
        <v>0</v>
      </c>
      <c r="D61" s="2">
        <f>+D55-'Monthly Summary'!E17</f>
        <v>0</v>
      </c>
      <c r="E61"/>
      <c r="F61" s="2">
        <f>+F55-'Monthly Summary'!G17</f>
        <v>0</v>
      </c>
      <c r="G61" s="2">
        <f>+G55-'Monthly Summary'!H17</f>
        <v>0</v>
      </c>
      <c r="H61"/>
      <c r="I61"/>
      <c r="J61"/>
      <c r="K61"/>
      <c r="L61" s="2">
        <f>+L55-'Monthly Summary'!D6</f>
        <v>0</v>
      </c>
      <c r="M61" s="2">
        <f>+M55-'Monthly Summary'!E6</f>
        <v>0</v>
      </c>
      <c r="N61"/>
      <c r="O61" s="2">
        <f>+O55-'Monthly Summary'!G6</f>
        <v>0</v>
      </c>
      <c r="P61" s="2">
        <f>+P55-'Monthly Summary'!H6</f>
        <v>0</v>
      </c>
      <c r="AG61" s="89"/>
      <c r="AH61" s="89"/>
    </row>
    <row r="62" spans="1:36" x14ac:dyDescent="0.2">
      <c r="E62"/>
      <c r="F62" s="2"/>
      <c r="H62"/>
      <c r="I62"/>
      <c r="J62"/>
      <c r="K62"/>
      <c r="N62"/>
      <c r="O62" s="2"/>
      <c r="P62" s="2"/>
    </row>
    <row r="63" spans="1:36" x14ac:dyDescent="0.2">
      <c r="E63"/>
      <c r="F63" s="2"/>
      <c r="H63"/>
      <c r="I63"/>
      <c r="J63"/>
      <c r="K63"/>
      <c r="N63"/>
      <c r="O63" s="2"/>
      <c r="P63" s="2"/>
      <c r="AD63" s="2"/>
      <c r="AE63" s="2"/>
      <c r="AG63" s="2"/>
      <c r="AH63" s="2"/>
    </row>
    <row r="64" spans="1:36" x14ac:dyDescent="0.2">
      <c r="D64" s="3"/>
      <c r="F64"/>
      <c r="G64"/>
      <c r="H64"/>
      <c r="I64"/>
      <c r="J64"/>
      <c r="K64"/>
      <c r="M64"/>
      <c r="N64"/>
      <c r="AD64" s="2"/>
    </row>
    <row r="65" spans="4:34" x14ac:dyDescent="0.2">
      <c r="D65" s="3"/>
      <c r="F65"/>
      <c r="G65"/>
      <c r="H65"/>
      <c r="I65"/>
      <c r="J65"/>
      <c r="K65"/>
      <c r="L65"/>
      <c r="M65"/>
      <c r="N65"/>
      <c r="AD65" s="2"/>
      <c r="AE65" s="2"/>
      <c r="AG65" s="2"/>
      <c r="AH65" s="2"/>
    </row>
    <row r="66" spans="4:34" x14ac:dyDescent="0.2">
      <c r="D66" s="3"/>
      <c r="F66"/>
      <c r="G66"/>
      <c r="H66"/>
      <c r="I66"/>
      <c r="J66"/>
      <c r="K66"/>
      <c r="L66"/>
      <c r="M66"/>
      <c r="N66"/>
    </row>
    <row r="67" spans="4:34" x14ac:dyDescent="0.2">
      <c r="D67" s="3"/>
      <c r="F67"/>
      <c r="G67"/>
      <c r="H67"/>
      <c r="I67"/>
      <c r="J67"/>
      <c r="K67"/>
      <c r="L67"/>
      <c r="M67"/>
      <c r="N67"/>
    </row>
    <row r="68" spans="4:34" x14ac:dyDescent="0.2">
      <c r="D68" s="3"/>
      <c r="F68"/>
      <c r="G68"/>
      <c r="H68"/>
      <c r="I68"/>
      <c r="J68"/>
      <c r="K68"/>
      <c r="L68"/>
      <c r="M68"/>
      <c r="N68"/>
    </row>
    <row r="69" spans="4:34" x14ac:dyDescent="0.2">
      <c r="D69" s="3"/>
      <c r="F69"/>
      <c r="G69"/>
      <c r="H69"/>
      <c r="I69"/>
      <c r="J69"/>
      <c r="K69"/>
      <c r="L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F128" s="165"/>
      <c r="K128"/>
    </row>
    <row r="129" spans="6:11" x14ac:dyDescent="0.2">
      <c r="F129" s="165"/>
      <c r="K129"/>
    </row>
    <row r="130" spans="6:11" x14ac:dyDescent="0.2">
      <c r="F130" s="165"/>
      <c r="K130"/>
    </row>
    <row r="131" spans="6:11" x14ac:dyDescent="0.2">
      <c r="F131" s="165"/>
      <c r="K131"/>
    </row>
    <row r="132" spans="6:11" x14ac:dyDescent="0.2">
      <c r="F132" s="165"/>
      <c r="K132"/>
    </row>
    <row r="133" spans="6:11" x14ac:dyDescent="0.2">
      <c r="F133" s="165"/>
      <c r="K133"/>
    </row>
    <row r="134" spans="6:11" x14ac:dyDescent="0.2">
      <c r="F134" s="165"/>
      <c r="K134"/>
    </row>
    <row r="135" spans="6:11" x14ac:dyDescent="0.2">
      <c r="F135" s="165"/>
      <c r="K135"/>
    </row>
    <row r="136" spans="6:11" x14ac:dyDescent="0.2">
      <c r="F136" s="165"/>
      <c r="K136"/>
    </row>
    <row r="137" spans="6:11" x14ac:dyDescent="0.2">
      <c r="F137" s="165"/>
      <c r="K137"/>
    </row>
    <row r="138" spans="6:11" x14ac:dyDescent="0.2">
      <c r="F138" s="165"/>
      <c r="K138"/>
    </row>
    <row r="139" spans="6:11" x14ac:dyDescent="0.2">
      <c r="F139" s="165"/>
      <c r="K139"/>
    </row>
    <row r="140" spans="6:11" x14ac:dyDescent="0.2">
      <c r="F140" s="165"/>
      <c r="K140"/>
    </row>
    <row r="141" spans="6:11" x14ac:dyDescent="0.2">
      <c r="F141" s="165"/>
      <c r="K141"/>
    </row>
    <row r="142" spans="6:11" x14ac:dyDescent="0.2">
      <c r="F142" s="165"/>
      <c r="K142"/>
    </row>
    <row r="143" spans="6:11" x14ac:dyDescent="0.2">
      <c r="F143" s="165"/>
      <c r="K143"/>
    </row>
    <row r="144" spans="6:11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84" fitToWidth="0" orientation="portrait" r:id="rId1"/>
  <headerFooter alignWithMargins="0">
    <oddHeader>&amp;L
Schedule 10
&amp;CMinneapolis-St. Paul International Airport
&amp;"Arial,Bold"&amp;A
February 2026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="115" zoomScaleNormal="115" zoomScaleSheetLayoutView="100" workbookViewId="0">
      <selection activeCell="J4" sqref="J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7109375" bestFit="1" customWidth="1"/>
    <col min="5" max="5" width="10.42578125" bestFit="1" customWidth="1"/>
    <col min="6" max="6" width="10.42578125" customWidth="1"/>
    <col min="7" max="7" width="9.7109375" bestFit="1" customWidth="1"/>
    <col min="8" max="8" width="10.7109375" customWidth="1"/>
    <col min="9" max="9" width="11.7109375" bestFit="1" customWidth="1"/>
    <col min="10" max="10" width="12.7109375" bestFit="1" customWidth="1"/>
  </cols>
  <sheetData>
    <row r="1" spans="1:19" ht="26.25" thickBot="1" x14ac:dyDescent="0.25">
      <c r="A1" s="383">
        <v>46054</v>
      </c>
      <c r="B1" s="315" t="s">
        <v>17</v>
      </c>
      <c r="C1" s="315" t="s">
        <v>18</v>
      </c>
      <c r="D1" s="315" t="s">
        <v>19</v>
      </c>
      <c r="E1" s="315" t="s">
        <v>152</v>
      </c>
      <c r="F1" s="390" t="s">
        <v>97</v>
      </c>
      <c r="G1" s="390" t="s">
        <v>176</v>
      </c>
      <c r="H1" s="452" t="s">
        <v>241</v>
      </c>
      <c r="I1" s="315" t="s">
        <v>20</v>
      </c>
      <c r="J1" s="314" t="s">
        <v>21</v>
      </c>
    </row>
    <row r="2" spans="1:19" ht="15" x14ac:dyDescent="0.25">
      <c r="A2" s="45" t="s">
        <v>3</v>
      </c>
      <c r="B2" s="39"/>
      <c r="C2" s="39"/>
      <c r="D2" s="39"/>
      <c r="E2" s="39"/>
      <c r="F2" s="344"/>
      <c r="G2" s="344"/>
      <c r="H2" s="344"/>
      <c r="I2" s="39"/>
      <c r="J2" s="196"/>
    </row>
    <row r="3" spans="1:19" x14ac:dyDescent="0.2">
      <c r="A3" s="43" t="s">
        <v>29</v>
      </c>
      <c r="J3" s="37"/>
    </row>
    <row r="4" spans="1:19" x14ac:dyDescent="0.2">
      <c r="A4" s="43" t="s">
        <v>30</v>
      </c>
      <c r="B4" s="11">
        <f>[3]American!$JW22</f>
        <v>36461</v>
      </c>
      <c r="C4" s="11">
        <f>[3]Delta!$JW22+[3]Delta!$JW32</f>
        <v>665967</v>
      </c>
      <c r="D4" s="11">
        <f>[3]United!$JW22</f>
        <v>41698</v>
      </c>
      <c r="E4" s="11">
        <f>'[3]Air France'!$JW32</f>
        <v>0</v>
      </c>
      <c r="F4" s="11">
        <f>[3]AirCanada!$JW32</f>
        <v>0</v>
      </c>
      <c r="G4" s="11">
        <f>[3]KLM!$JW22+[3]KLM!$JW32</f>
        <v>0</v>
      </c>
      <c r="H4" s="11">
        <f>[3]Lufthansa!$JW22+[3]Lufthansa!$JW32</f>
        <v>0</v>
      </c>
      <c r="I4" s="11">
        <f>'Other Major Airline Stats'!K5</f>
        <v>212819</v>
      </c>
      <c r="J4" s="197">
        <f>SUM(B4:I4)</f>
        <v>956945</v>
      </c>
    </row>
    <row r="5" spans="1:19" x14ac:dyDescent="0.2">
      <c r="A5" s="43" t="s">
        <v>31</v>
      </c>
      <c r="B5" s="7">
        <f>[3]American!$JW23</f>
        <v>38825</v>
      </c>
      <c r="C5" s="7">
        <f>[3]Delta!$JW23+[3]Delta!$JW33</f>
        <v>681032</v>
      </c>
      <c r="D5" s="7">
        <f>[3]United!$JW23</f>
        <v>41108</v>
      </c>
      <c r="E5" s="7">
        <f>'[3]Air France'!$JW33</f>
        <v>0</v>
      </c>
      <c r="F5" s="7">
        <f>[3]AirCanada!$JW33</f>
        <v>0</v>
      </c>
      <c r="G5" s="7">
        <f>[3]KLM!$JW23+[3]KLM!$JW33</f>
        <v>0</v>
      </c>
      <c r="H5" s="7">
        <f>[3]Lufthansa!$JW23+[3]Lufthansa!$JW33</f>
        <v>0</v>
      </c>
      <c r="I5" s="7">
        <f>'Other Major Airline Stats'!K6</f>
        <v>226992</v>
      </c>
      <c r="J5" s="198">
        <f>SUM(B5:I5)</f>
        <v>987957</v>
      </c>
      <c r="L5" s="221"/>
      <c r="M5" s="221"/>
      <c r="N5" s="221"/>
      <c r="O5" s="221"/>
      <c r="P5" s="221"/>
      <c r="Q5" s="221"/>
      <c r="R5" s="221"/>
      <c r="S5" s="221"/>
    </row>
    <row r="6" spans="1:19" ht="15" x14ac:dyDescent="0.25">
      <c r="A6" s="41" t="s">
        <v>7</v>
      </c>
      <c r="B6" s="23">
        <f t="shared" ref="B6:D6" si="0">SUM(B4:B5)</f>
        <v>75286</v>
      </c>
      <c r="C6" s="23">
        <f t="shared" si="0"/>
        <v>1346999</v>
      </c>
      <c r="D6" s="23">
        <f t="shared" si="0"/>
        <v>82806</v>
      </c>
      <c r="E6" s="23">
        <f t="shared" ref="E6:G6" si="1">SUM(E4:E5)</f>
        <v>0</v>
      </c>
      <c r="F6" s="23">
        <f t="shared" ref="F6" si="2">SUM(F4:F5)</f>
        <v>0</v>
      </c>
      <c r="G6" s="23">
        <f t="shared" si="1"/>
        <v>0</v>
      </c>
      <c r="H6" s="23">
        <f t="shared" ref="H6" si="3">SUM(H4:H5)</f>
        <v>0</v>
      </c>
      <c r="I6" s="23">
        <f>SUM(I4:I5)</f>
        <v>439811</v>
      </c>
      <c r="J6" s="199">
        <f>SUM(B6:I6)</f>
        <v>1944902</v>
      </c>
      <c r="M6" s="89"/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97"/>
      <c r="M7" s="221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97">
        <f>SUM(B8:I8)</f>
        <v>0</v>
      </c>
      <c r="N8" s="221"/>
      <c r="Q8" s="221"/>
    </row>
    <row r="9" spans="1:19" x14ac:dyDescent="0.2">
      <c r="A9" s="43" t="s">
        <v>30</v>
      </c>
      <c r="B9" s="11">
        <f>[3]American!$JW27</f>
        <v>1290</v>
      </c>
      <c r="C9" s="11">
        <f>[3]Delta!$JW27+[3]Delta!$JW37</f>
        <v>25082</v>
      </c>
      <c r="D9" s="11">
        <f>[3]United!$JW27</f>
        <v>2102</v>
      </c>
      <c r="E9" s="11">
        <f>'[3]Air France'!$JW37</f>
        <v>0</v>
      </c>
      <c r="F9" s="11">
        <f>[3]AirCanada!$JW37</f>
        <v>0</v>
      </c>
      <c r="G9" s="11">
        <f>[3]KLM!$JW27+[3]KLM!$JW37</f>
        <v>0</v>
      </c>
      <c r="H9" s="11">
        <f>[3]Lufthansa!$JW27+[3]Lufthansa!$JW37</f>
        <v>0</v>
      </c>
      <c r="I9" s="11">
        <f>'Other Major Airline Stats'!K10</f>
        <v>5091</v>
      </c>
      <c r="J9" s="197">
        <f>SUM(B9:I9)</f>
        <v>33565</v>
      </c>
      <c r="M9" s="221"/>
    </row>
    <row r="10" spans="1:19" x14ac:dyDescent="0.2">
      <c r="A10" s="43" t="s">
        <v>33</v>
      </c>
      <c r="B10" s="7">
        <f>[3]American!$JW28</f>
        <v>1446</v>
      </c>
      <c r="C10" s="7">
        <f>[3]Delta!$JW28+[3]Delta!$JW38</f>
        <v>25400</v>
      </c>
      <c r="D10" s="7">
        <f>[3]United!$JW28</f>
        <v>2167</v>
      </c>
      <c r="E10" s="7">
        <f>'[3]Air France'!$JW38</f>
        <v>0</v>
      </c>
      <c r="F10" s="7">
        <f>[3]AirCanada!$JW38</f>
        <v>0</v>
      </c>
      <c r="G10" s="7">
        <f>[3]KLM!$JW28+[3]KLM!$JW38</f>
        <v>0</v>
      </c>
      <c r="H10" s="7">
        <f>[3]Lufthansa!$JW28+[3]Lufthansa!$JW38</f>
        <v>0</v>
      </c>
      <c r="I10" s="7">
        <f>'Other Major Airline Stats'!K11</f>
        <v>5457</v>
      </c>
      <c r="J10" s="198">
        <f>SUM(B10:I10)</f>
        <v>34470</v>
      </c>
      <c r="M10" s="221"/>
    </row>
    <row r="11" spans="1:19" ht="15.75" thickBot="1" x14ac:dyDescent="0.3">
      <c r="A11" s="44" t="s">
        <v>34</v>
      </c>
      <c r="B11" s="200">
        <f t="shared" ref="B11:I11" si="4">SUM(B9:B10)</f>
        <v>2736</v>
      </c>
      <c r="C11" s="200">
        <f t="shared" si="4"/>
        <v>50482</v>
      </c>
      <c r="D11" s="200">
        <f t="shared" si="4"/>
        <v>4269</v>
      </c>
      <c r="E11" s="200">
        <f t="shared" ref="E11:G11" si="5">SUM(E9:E10)</f>
        <v>0</v>
      </c>
      <c r="F11" s="200">
        <f t="shared" ref="F11" si="6">SUM(F9:F10)</f>
        <v>0</v>
      </c>
      <c r="G11" s="200">
        <f t="shared" si="5"/>
        <v>0</v>
      </c>
      <c r="H11" s="200">
        <f t="shared" ref="H11" si="7">SUM(H9:H10)</f>
        <v>0</v>
      </c>
      <c r="I11" s="200">
        <f t="shared" si="4"/>
        <v>10548</v>
      </c>
      <c r="J11" s="201">
        <f>SUM(B11:I11)</f>
        <v>68035</v>
      </c>
    </row>
    <row r="12" spans="1:19" x14ac:dyDescent="0.2">
      <c r="B12" s="221"/>
      <c r="C12" s="221"/>
      <c r="D12" s="221"/>
      <c r="E12" s="221">
        <f t="shared" ref="E12:G12" si="8">+E6+E11</f>
        <v>0</v>
      </c>
      <c r="F12" s="221">
        <f t="shared" ref="F12" si="9">+F6+F11</f>
        <v>0</v>
      </c>
      <c r="G12" s="221">
        <f t="shared" si="8"/>
        <v>0</v>
      </c>
      <c r="H12" s="221"/>
      <c r="M12" s="221"/>
    </row>
    <row r="13" spans="1:19" ht="13.5" thickBot="1" x14ac:dyDescent="0.25"/>
    <row r="14" spans="1:19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5"/>
    </row>
    <row r="15" spans="1:19" x14ac:dyDescent="0.2">
      <c r="A15" s="43" t="s">
        <v>22</v>
      </c>
      <c r="B15" s="11">
        <f>[3]American!$JW4</f>
        <v>300</v>
      </c>
      <c r="C15" s="11">
        <f>[3]Delta!$JW4+[3]Delta!$JW15</f>
        <v>4842</v>
      </c>
      <c r="D15" s="11">
        <f>[3]United!$JW4+[3]United!$JW$15</f>
        <v>341</v>
      </c>
      <c r="E15" s="11">
        <f>'[3]Air France'!$JW15</f>
        <v>0</v>
      </c>
      <c r="F15" s="11">
        <f>[3]AirCanada!$JW15</f>
        <v>0</v>
      </c>
      <c r="G15" s="11">
        <f>[3]KLM!$JW4+[3]KLM!$JW15</f>
        <v>0</v>
      </c>
      <c r="H15" s="11">
        <f>[3]Lufthansa!$JW4+[3]Lufthansa!$JW15</f>
        <v>0</v>
      </c>
      <c r="I15" s="11">
        <f>'Other Major Airline Stats'!K16</f>
        <v>1651</v>
      </c>
      <c r="J15" s="16">
        <f>SUM(B15:I15)</f>
        <v>7134</v>
      </c>
    </row>
    <row r="16" spans="1:19" x14ac:dyDescent="0.2">
      <c r="A16" s="43" t="s">
        <v>23</v>
      </c>
      <c r="B16" s="7">
        <f>[3]American!$JW5</f>
        <v>302</v>
      </c>
      <c r="C16" s="7">
        <f>[3]Delta!$JW5+[3]Delta!$JW16</f>
        <v>4836</v>
      </c>
      <c r="D16" s="7">
        <f>[3]United!$JW5</f>
        <v>340</v>
      </c>
      <c r="E16" s="7">
        <f>'[3]Air France'!$JW16</f>
        <v>0</v>
      </c>
      <c r="F16" s="7">
        <f>[3]AirCanada!$JW16</f>
        <v>0</v>
      </c>
      <c r="G16" s="7">
        <f>[3]KLM!$JW5+[3]KLM!$JW16</f>
        <v>0</v>
      </c>
      <c r="H16" s="7">
        <f>[3]Lufthansa!$JW5+[3]Lufthansa!$JW16</f>
        <v>0</v>
      </c>
      <c r="I16" s="7">
        <f>'Other Major Airline Stats'!K17</f>
        <v>1659</v>
      </c>
      <c r="J16" s="22">
        <f>SUM(B16:I16)</f>
        <v>7137</v>
      </c>
    </row>
    <row r="17" spans="1:10" x14ac:dyDescent="0.2">
      <c r="A17" s="43" t="s">
        <v>24</v>
      </c>
      <c r="B17" s="204">
        <f t="shared" ref="B17:I17" si="10">SUM(B15:B16)</f>
        <v>602</v>
      </c>
      <c r="C17" s="202">
        <f t="shared" si="10"/>
        <v>9678</v>
      </c>
      <c r="D17" s="202">
        <f t="shared" si="10"/>
        <v>681</v>
      </c>
      <c r="E17" s="202">
        <f t="shared" ref="E17:G17" si="11">SUM(E15:E16)</f>
        <v>0</v>
      </c>
      <c r="F17" s="202">
        <f t="shared" ref="F17" si="12">SUM(F15:F16)</f>
        <v>0</v>
      </c>
      <c r="G17" s="202">
        <f t="shared" si="11"/>
        <v>0</v>
      </c>
      <c r="H17" s="202">
        <f t="shared" ref="H17" si="13">SUM(H15:H16)</f>
        <v>0</v>
      </c>
      <c r="I17" s="202">
        <f t="shared" si="10"/>
        <v>3310</v>
      </c>
      <c r="J17" s="203">
        <f>SUM(B17:I17)</f>
        <v>14271</v>
      </c>
    </row>
    <row r="18" spans="1:10" x14ac:dyDescent="0.2">
      <c r="A18" s="43"/>
      <c r="B18" s="420"/>
      <c r="C18" s="11"/>
      <c r="D18" s="11"/>
      <c r="E18" s="11"/>
      <c r="F18" s="11"/>
      <c r="G18" s="11"/>
      <c r="H18" s="11"/>
      <c r="I18" s="11"/>
      <c r="J18" s="16"/>
    </row>
    <row r="19" spans="1:10" x14ac:dyDescent="0.2">
      <c r="A19" s="43" t="s">
        <v>25</v>
      </c>
      <c r="B19" s="11">
        <f>[3]American!$JW8</f>
        <v>0</v>
      </c>
      <c r="C19" s="11">
        <f>[3]Delta!$JW8</f>
        <v>0</v>
      </c>
      <c r="D19" s="11">
        <f>[3]United!$JW8</f>
        <v>1</v>
      </c>
      <c r="E19" s="11">
        <f>'[3]Air France'!$JW8</f>
        <v>0</v>
      </c>
      <c r="F19" s="11">
        <f>[3]AirCanada!$JW8</f>
        <v>0</v>
      </c>
      <c r="G19" s="11">
        <f>[3]KLM!$JW8</f>
        <v>0</v>
      </c>
      <c r="H19" s="11">
        <f>[3]Lufthansa!$JW8</f>
        <v>0</v>
      </c>
      <c r="I19" s="11">
        <f>'Other Major Airline Stats'!K20</f>
        <v>72</v>
      </c>
      <c r="J19" s="16">
        <f>SUM(B19:I19)</f>
        <v>73</v>
      </c>
    </row>
    <row r="20" spans="1:10" x14ac:dyDescent="0.2">
      <c r="A20" s="43" t="s">
        <v>26</v>
      </c>
      <c r="B20" s="7">
        <f>[3]American!$JW9</f>
        <v>0</v>
      </c>
      <c r="C20" s="7">
        <f>[3]Delta!$JW9</f>
        <v>8</v>
      </c>
      <c r="D20" s="7">
        <f>[3]United!$JW9</f>
        <v>1</v>
      </c>
      <c r="E20" s="7">
        <f>'[3]Air France'!$JW9</f>
        <v>0</v>
      </c>
      <c r="F20" s="7">
        <f>[3]AirCanada!$JW9</f>
        <v>0</v>
      </c>
      <c r="G20" s="7">
        <f>[3]KLM!$JW9</f>
        <v>0</v>
      </c>
      <c r="H20" s="7">
        <f>[3]Lufthansa!$JW9</f>
        <v>0</v>
      </c>
      <c r="I20" s="7">
        <f>'Other Major Airline Stats'!K21</f>
        <v>62</v>
      </c>
      <c r="J20" s="22">
        <f>SUM(B20:I20)</f>
        <v>71</v>
      </c>
    </row>
    <row r="21" spans="1:10" x14ac:dyDescent="0.2">
      <c r="A21" s="43" t="s">
        <v>27</v>
      </c>
      <c r="B21" s="204">
        <f t="shared" ref="B21:I21" si="14">SUM(B19:B20)</f>
        <v>0</v>
      </c>
      <c r="C21" s="202">
        <f t="shared" si="14"/>
        <v>8</v>
      </c>
      <c r="D21" s="202">
        <f t="shared" si="14"/>
        <v>2</v>
      </c>
      <c r="E21" s="202">
        <f t="shared" ref="E21:G21" si="15">SUM(E19:E20)</f>
        <v>0</v>
      </c>
      <c r="F21" s="202">
        <f t="shared" ref="F21" si="16">SUM(F19:F20)</f>
        <v>0</v>
      </c>
      <c r="G21" s="202">
        <f t="shared" si="15"/>
        <v>0</v>
      </c>
      <c r="H21" s="202">
        <f t="shared" ref="H21" si="17">SUM(H19:H20)</f>
        <v>0</v>
      </c>
      <c r="I21" s="202">
        <f t="shared" si="14"/>
        <v>134</v>
      </c>
      <c r="J21" s="139">
        <f>SUM(B21:I21)</f>
        <v>144</v>
      </c>
    </row>
    <row r="22" spans="1:10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6"/>
    </row>
    <row r="23" spans="1:10" ht="15.75" thickBot="1" x14ac:dyDescent="0.3">
      <c r="A23" s="44" t="s">
        <v>28</v>
      </c>
      <c r="B23" s="17">
        <f t="shared" ref="B23:I23" si="18">B17+B21</f>
        <v>602</v>
      </c>
      <c r="C23" s="17">
        <f t="shared" si="18"/>
        <v>9686</v>
      </c>
      <c r="D23" s="17">
        <f t="shared" si="18"/>
        <v>683</v>
      </c>
      <c r="E23" s="17">
        <f t="shared" ref="E23:G23" si="19">E17+E21</f>
        <v>0</v>
      </c>
      <c r="F23" s="17">
        <f t="shared" ref="F23" si="20">F17+F21</f>
        <v>0</v>
      </c>
      <c r="G23" s="17">
        <f t="shared" si="19"/>
        <v>0</v>
      </c>
      <c r="H23" s="17">
        <f t="shared" ref="H23" si="21">H17+H21</f>
        <v>0</v>
      </c>
      <c r="I23" s="17">
        <f t="shared" si="18"/>
        <v>3444</v>
      </c>
      <c r="J23" s="18">
        <f>SUM(B23:I23)</f>
        <v>14415</v>
      </c>
    </row>
    <row r="25" spans="1:10" ht="13.5" thickBot="1" x14ac:dyDescent="0.25">
      <c r="B25" s="300"/>
      <c r="C25" s="300"/>
      <c r="D25" s="300"/>
      <c r="E25" s="300"/>
      <c r="F25" s="300"/>
      <c r="G25" s="300"/>
      <c r="H25" s="300"/>
      <c r="I25" s="300"/>
    </row>
    <row r="26" spans="1:10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1"/>
    </row>
    <row r="27" spans="1:10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9"/>
    </row>
    <row r="28" spans="1:10" x14ac:dyDescent="0.2">
      <c r="A28" s="43" t="s">
        <v>37</v>
      </c>
      <c r="B28" s="11">
        <f>[3]American!$JW47</f>
        <v>13110</v>
      </c>
      <c r="C28" s="11">
        <f>[3]Delta!$JW47</f>
        <v>3741172</v>
      </c>
      <c r="D28" s="11">
        <f>[3]United!$JW47</f>
        <v>22646</v>
      </c>
      <c r="E28" s="11">
        <f>'[3]Air France'!$JW47</f>
        <v>0</v>
      </c>
      <c r="F28" s="11">
        <f>[3]AirCanada!$JW47</f>
        <v>0</v>
      </c>
      <c r="G28" s="11">
        <f>[3]KLM!$JW47</f>
        <v>0</v>
      </c>
      <c r="H28" s="11">
        <f>[3]Lufthansa!$JW47</f>
        <v>0</v>
      </c>
      <c r="I28" s="11">
        <f>'Other Major Airline Stats'!K28</f>
        <v>155809</v>
      </c>
      <c r="J28" s="16">
        <f>SUM(B28:I28)</f>
        <v>3932737</v>
      </c>
    </row>
    <row r="29" spans="1:10" x14ac:dyDescent="0.2">
      <c r="A29" s="43" t="s">
        <v>38</v>
      </c>
      <c r="B29" s="7">
        <f>[3]American!$JW48</f>
        <v>32681</v>
      </c>
      <c r="C29" s="7">
        <f>[3]Delta!$JW48</f>
        <v>162719</v>
      </c>
      <c r="D29" s="7">
        <f>[3]United!$JW48</f>
        <v>173727</v>
      </c>
      <c r="E29" s="7">
        <f>'[3]Air France'!$JW48</f>
        <v>0</v>
      </c>
      <c r="F29" s="7">
        <f>[3]AirCanada!$JW48</f>
        <v>0</v>
      </c>
      <c r="G29" s="7">
        <f>[3]KLM!$JW48</f>
        <v>0</v>
      </c>
      <c r="H29" s="7">
        <f>[3]Lufthansa!$JW48</f>
        <v>0</v>
      </c>
      <c r="I29" s="7">
        <f>'Other Major Airline Stats'!K29</f>
        <v>5271</v>
      </c>
      <c r="J29" s="22">
        <f>SUM(B29:I29)</f>
        <v>374398</v>
      </c>
    </row>
    <row r="30" spans="1:10" x14ac:dyDescent="0.2">
      <c r="A30" s="47" t="s">
        <v>39</v>
      </c>
      <c r="B30" s="204">
        <f t="shared" ref="B30:I30" si="22">SUM(B28:B29)</f>
        <v>45791</v>
      </c>
      <c r="C30" s="204">
        <f t="shared" si="22"/>
        <v>3903891</v>
      </c>
      <c r="D30" s="204">
        <f t="shared" si="22"/>
        <v>196373</v>
      </c>
      <c r="E30" s="204">
        <f t="shared" ref="E30:G30" si="23">SUM(E28:E29)</f>
        <v>0</v>
      </c>
      <c r="F30" s="204">
        <f t="shared" ref="F30" si="24">SUM(F28:F29)</f>
        <v>0</v>
      </c>
      <c r="G30" s="204">
        <f t="shared" si="23"/>
        <v>0</v>
      </c>
      <c r="H30" s="204">
        <f t="shared" ref="H30" si="25">SUM(H28:H29)</f>
        <v>0</v>
      </c>
      <c r="I30" s="204">
        <f t="shared" si="22"/>
        <v>161080</v>
      </c>
      <c r="J30" s="16">
        <f>SUM(B30:I30)</f>
        <v>4307135</v>
      </c>
    </row>
    <row r="31" spans="1:10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6"/>
    </row>
    <row r="32" spans="1:10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6">
        <f t="shared" ref="J32:J40" si="26">SUM(B32:I32)</f>
        <v>0</v>
      </c>
    </row>
    <row r="33" spans="1:10" x14ac:dyDescent="0.2">
      <c r="A33" s="43" t="s">
        <v>37</v>
      </c>
      <c r="B33" s="11">
        <f>[3]American!$JW52</f>
        <v>19961</v>
      </c>
      <c r="C33" s="11">
        <f>[3]Delta!$JW52</f>
        <v>2162908</v>
      </c>
      <c r="D33" s="11">
        <f>[3]United!$JW52</f>
        <v>10274</v>
      </c>
      <c r="E33" s="11">
        <f>'[3]Air France'!$JW52</f>
        <v>0</v>
      </c>
      <c r="F33" s="11">
        <f>[3]AirCanada!$JW52</f>
        <v>0</v>
      </c>
      <c r="G33" s="11">
        <f>[3]KLM!$JW52</f>
        <v>0</v>
      </c>
      <c r="H33" s="11">
        <f>[3]Lufthansa!$JW52</f>
        <v>0</v>
      </c>
      <c r="I33" s="11">
        <f>'Other Major Airline Stats'!K33</f>
        <v>43527.82</v>
      </c>
      <c r="J33" s="16">
        <f t="shared" si="26"/>
        <v>2236670.8199999998</v>
      </c>
    </row>
    <row r="34" spans="1:10" x14ac:dyDescent="0.2">
      <c r="A34" s="43" t="s">
        <v>38</v>
      </c>
      <c r="B34" s="7">
        <f>[3]American!$JW53</f>
        <v>52808</v>
      </c>
      <c r="C34" s="7">
        <f>[3]Delta!$JW53</f>
        <v>174083</v>
      </c>
      <c r="D34" s="7">
        <f>[3]United!$JW53</f>
        <v>186366</v>
      </c>
      <c r="E34" s="7">
        <f>'[3]Air France'!$JW53</f>
        <v>0</v>
      </c>
      <c r="F34" s="7">
        <f>[3]AirCanada!$JW53</f>
        <v>0</v>
      </c>
      <c r="G34" s="7">
        <f>[3]KLM!$JW53</f>
        <v>0</v>
      </c>
      <c r="H34" s="7">
        <f>[3]Lufthansa!$JW53</f>
        <v>0</v>
      </c>
      <c r="I34" s="7">
        <f>'Other Major Airline Stats'!K34</f>
        <v>3062</v>
      </c>
      <c r="J34" s="22">
        <f t="shared" si="26"/>
        <v>416319</v>
      </c>
    </row>
    <row r="35" spans="1:10" x14ac:dyDescent="0.2">
      <c r="A35" s="47" t="s">
        <v>41</v>
      </c>
      <c r="B35" s="204">
        <f t="shared" ref="B35:I35" si="27">SUM(B33:B34)</f>
        <v>72769</v>
      </c>
      <c r="C35" s="204">
        <f t="shared" si="27"/>
        <v>2336991</v>
      </c>
      <c r="D35" s="204">
        <f t="shared" si="27"/>
        <v>196640</v>
      </c>
      <c r="E35" s="204">
        <f t="shared" ref="E35:G35" si="28">SUM(E33:E34)</f>
        <v>0</v>
      </c>
      <c r="F35" s="204">
        <f t="shared" ref="F35" si="29">SUM(F33:F34)</f>
        <v>0</v>
      </c>
      <c r="G35" s="204">
        <f t="shared" si="28"/>
        <v>0</v>
      </c>
      <c r="H35" s="204">
        <f t="shared" ref="H35" si="30">SUM(H33:H34)</f>
        <v>0</v>
      </c>
      <c r="I35" s="204">
        <f t="shared" si="27"/>
        <v>46589.82</v>
      </c>
      <c r="J35" s="16">
        <f t="shared" si="26"/>
        <v>2652989.8199999998</v>
      </c>
    </row>
    <row r="36" spans="1:10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6">
        <f t="shared" si="26"/>
        <v>0</v>
      </c>
    </row>
    <row r="37" spans="1:10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6">
        <f t="shared" si="26"/>
        <v>0</v>
      </c>
    </row>
    <row r="38" spans="1:10" hidden="1" x14ac:dyDescent="0.2">
      <c r="A38" s="43" t="s">
        <v>37</v>
      </c>
      <c r="B38" s="11">
        <f>[3]American!$JW57</f>
        <v>0</v>
      </c>
      <c r="C38" s="11">
        <f>[3]Delta!$JW57</f>
        <v>0</v>
      </c>
      <c r="D38" s="11">
        <f>[3]United!$JW57</f>
        <v>0</v>
      </c>
      <c r="E38" s="11">
        <f>'[3]Air France'!$JW57</f>
        <v>0</v>
      </c>
      <c r="F38" s="11">
        <f>[3]AirCanada!$JW57</f>
        <v>0</v>
      </c>
      <c r="G38" s="11">
        <f>[3]KLM!$JW57</f>
        <v>0</v>
      </c>
      <c r="H38" s="11">
        <f>[3]Lufthansa!$JW57</f>
        <v>0</v>
      </c>
      <c r="I38" s="11">
        <f>'Other Major Airline Stats'!K38</f>
        <v>0</v>
      </c>
      <c r="J38" s="16">
        <f t="shared" si="26"/>
        <v>0</v>
      </c>
    </row>
    <row r="39" spans="1:10" hidden="1" x14ac:dyDescent="0.2">
      <c r="A39" s="43" t="s">
        <v>38</v>
      </c>
      <c r="B39" s="7">
        <f>[3]American!$JW58</f>
        <v>0</v>
      </c>
      <c r="C39" s="7">
        <f>[3]Delta!$JW58</f>
        <v>0</v>
      </c>
      <c r="D39" s="7">
        <f>[3]United!$JW58</f>
        <v>0</v>
      </c>
      <c r="E39" s="7">
        <f>'[3]Air France'!$JW58</f>
        <v>0</v>
      </c>
      <c r="F39" s="7">
        <f>[3]AirCanada!$JW58</f>
        <v>0</v>
      </c>
      <c r="G39" s="7">
        <f>[3]KLM!$JW58</f>
        <v>0</v>
      </c>
      <c r="H39" s="7">
        <f>[3]Lufthansa!$JW58</f>
        <v>0</v>
      </c>
      <c r="I39" s="7">
        <f>'Other Major Airline Stats'!K39</f>
        <v>0</v>
      </c>
      <c r="J39" s="22">
        <f t="shared" si="26"/>
        <v>0</v>
      </c>
    </row>
    <row r="40" spans="1:10" hidden="1" x14ac:dyDescent="0.2">
      <c r="A40" s="47" t="s">
        <v>43</v>
      </c>
      <c r="B40" s="204">
        <f t="shared" ref="B40:I40" si="31">SUM(B38:B39)</f>
        <v>0</v>
      </c>
      <c r="C40" s="204">
        <f t="shared" si="31"/>
        <v>0</v>
      </c>
      <c r="D40" s="204">
        <f t="shared" si="31"/>
        <v>0</v>
      </c>
      <c r="E40" s="204">
        <f t="shared" ref="E40:G40" si="32">SUM(E38:E39)</f>
        <v>0</v>
      </c>
      <c r="F40" s="204">
        <f t="shared" ref="F40" si="33">SUM(F38:F39)</f>
        <v>0</v>
      </c>
      <c r="G40" s="204">
        <f t="shared" si="32"/>
        <v>0</v>
      </c>
      <c r="H40" s="204">
        <f t="shared" ref="H40" si="34">SUM(H38:H39)</f>
        <v>0</v>
      </c>
      <c r="I40" s="204">
        <f t="shared" si="31"/>
        <v>0</v>
      </c>
      <c r="J40" s="16">
        <f t="shared" si="26"/>
        <v>0</v>
      </c>
    </row>
    <row r="41" spans="1:10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6"/>
    </row>
    <row r="42" spans="1:10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6">
        <f>SUM(B42:I42)</f>
        <v>0</v>
      </c>
    </row>
    <row r="43" spans="1:10" x14ac:dyDescent="0.2">
      <c r="A43" s="43" t="s">
        <v>45</v>
      </c>
      <c r="B43" s="11">
        <f t="shared" ref="B43:I44" si="35">B28+B33+B38</f>
        <v>33071</v>
      </c>
      <c r="C43" s="11">
        <f t="shared" si="35"/>
        <v>5904080</v>
      </c>
      <c r="D43" s="11">
        <f t="shared" si="35"/>
        <v>32920</v>
      </c>
      <c r="E43" s="11">
        <f t="shared" ref="E43:G43" si="36">E28+E33+E38</f>
        <v>0</v>
      </c>
      <c r="F43" s="11">
        <f t="shared" ref="F43" si="37">F28+F33+F38</f>
        <v>0</v>
      </c>
      <c r="G43" s="11">
        <f t="shared" si="36"/>
        <v>0</v>
      </c>
      <c r="H43" s="11">
        <f t="shared" ref="H43" si="38">H28+H33+H38</f>
        <v>0</v>
      </c>
      <c r="I43" s="11">
        <f t="shared" si="35"/>
        <v>199336.82</v>
      </c>
      <c r="J43" s="16">
        <f>SUM(B43:I43)</f>
        <v>6169407.8200000003</v>
      </c>
    </row>
    <row r="44" spans="1:10" x14ac:dyDescent="0.2">
      <c r="A44" s="43" t="s">
        <v>38</v>
      </c>
      <c r="B44" s="7">
        <f t="shared" si="35"/>
        <v>85489</v>
      </c>
      <c r="C44" s="7">
        <f t="shared" si="35"/>
        <v>336802</v>
      </c>
      <c r="D44" s="7">
        <f t="shared" si="35"/>
        <v>360093</v>
      </c>
      <c r="E44" s="7">
        <f t="shared" ref="E44:G44" si="39">E29+E34+E39</f>
        <v>0</v>
      </c>
      <c r="F44" s="7">
        <f t="shared" ref="F44" si="40">F29+F34+F39</f>
        <v>0</v>
      </c>
      <c r="G44" s="7">
        <f t="shared" si="39"/>
        <v>0</v>
      </c>
      <c r="H44" s="7">
        <f t="shared" ref="H44" si="41">H29+H34+H39</f>
        <v>0</v>
      </c>
      <c r="I44" s="7">
        <f t="shared" si="35"/>
        <v>8333</v>
      </c>
      <c r="J44" s="16">
        <f>SUM(B44:I44)</f>
        <v>790717</v>
      </c>
    </row>
    <row r="45" spans="1:10" ht="15.75" thickBot="1" x14ac:dyDescent="0.3">
      <c r="A45" s="44" t="s">
        <v>46</v>
      </c>
      <c r="B45" s="205">
        <f t="shared" ref="B45:I45" si="42">SUM(B43:B44)</f>
        <v>118560</v>
      </c>
      <c r="C45" s="205">
        <f t="shared" si="42"/>
        <v>6240882</v>
      </c>
      <c r="D45" s="205">
        <f t="shared" si="42"/>
        <v>393013</v>
      </c>
      <c r="E45" s="205">
        <f t="shared" ref="E45:G45" si="43">SUM(E43:E44)</f>
        <v>0</v>
      </c>
      <c r="F45" s="205">
        <f t="shared" ref="F45" si="44">SUM(F43:F44)</f>
        <v>0</v>
      </c>
      <c r="G45" s="205">
        <f t="shared" si="43"/>
        <v>0</v>
      </c>
      <c r="H45" s="205">
        <f t="shared" ref="H45" si="45">SUM(H43:H44)</f>
        <v>0</v>
      </c>
      <c r="I45" s="205">
        <f t="shared" si="42"/>
        <v>207669.82</v>
      </c>
      <c r="J45" s="206">
        <f>SUM(B45:I45)</f>
        <v>6960124.8200000003</v>
      </c>
    </row>
    <row r="46" spans="1:10" x14ac:dyDescent="0.2">
      <c r="B46" s="1"/>
      <c r="C46" s="1"/>
      <c r="D46" s="1"/>
      <c r="E46" s="1"/>
      <c r="F46" s="1"/>
      <c r="G46" s="1"/>
      <c r="H46" s="1"/>
      <c r="I46" s="1"/>
    </row>
    <row r="47" spans="1:10" hidden="1" x14ac:dyDescent="0.2">
      <c r="A47" s="266" t="s">
        <v>119</v>
      </c>
      <c r="C47" s="230">
        <f>[3]Delta!$JW70+[3]Delta!$JW73</f>
        <v>452892</v>
      </c>
      <c r="D47" s="219"/>
      <c r="E47" s="219"/>
      <c r="F47" s="219"/>
      <c r="G47" s="219"/>
      <c r="H47" s="219"/>
      <c r="I47" s="219"/>
      <c r="J47" s="220">
        <f>SUM(B47:I47)</f>
        <v>452892</v>
      </c>
    </row>
    <row r="48" spans="1:10" hidden="1" x14ac:dyDescent="0.2">
      <c r="A48" s="267" t="s">
        <v>120</v>
      </c>
      <c r="C48" s="230">
        <f>[3]Delta!$JW71+[3]Delta!$JW74</f>
        <v>228140</v>
      </c>
      <c r="D48" s="219"/>
      <c r="E48" s="219"/>
      <c r="F48" s="219"/>
      <c r="G48" s="219"/>
      <c r="H48" s="219"/>
      <c r="I48" s="219"/>
      <c r="J48" s="220">
        <f>SUM(B48:I48)</f>
        <v>228140</v>
      </c>
    </row>
    <row r="49" spans="1:10" hidden="1" x14ac:dyDescent="0.2">
      <c r="A49" s="268" t="s">
        <v>121</v>
      </c>
      <c r="C49" s="231">
        <f>SUM(C47:C48)</f>
        <v>681032</v>
      </c>
      <c r="J49" s="220">
        <f>SUM(B49:I49)</f>
        <v>681032</v>
      </c>
    </row>
    <row r="50" spans="1:10" x14ac:dyDescent="0.2">
      <c r="A50" s="266" t="s">
        <v>119</v>
      </c>
      <c r="B50" s="276"/>
      <c r="C50" s="233">
        <f>[3]Delta!$JW70+[3]Delta!$JW73</f>
        <v>452892</v>
      </c>
      <c r="D50" s="276"/>
      <c r="E50" s="276"/>
      <c r="F50" s="276"/>
      <c r="G50" s="276"/>
      <c r="H50" s="276"/>
      <c r="I50" s="232">
        <f>'Other Major Airline Stats'!K48</f>
        <v>0</v>
      </c>
      <c r="J50" s="222">
        <f>SUM(B50:I50)</f>
        <v>452892</v>
      </c>
    </row>
    <row r="51" spans="1:10" x14ac:dyDescent="0.2">
      <c r="A51" s="278" t="s">
        <v>120</v>
      </c>
      <c r="B51" s="276"/>
      <c r="C51" s="233">
        <f>[3]Delta!$JW71+[3]Delta!$JW74</f>
        <v>228140</v>
      </c>
      <c r="D51" s="276"/>
      <c r="E51" s="276"/>
      <c r="F51" s="276"/>
      <c r="G51" s="276"/>
      <c r="H51" s="276"/>
      <c r="I51" s="232">
        <f>+'Other Major Airline Stats'!K49</f>
        <v>0</v>
      </c>
      <c r="J51" s="222">
        <f>SUM(B51:I51)</f>
        <v>228140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2026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K10" sqref="K10"/>
    </sheetView>
  </sheetViews>
  <sheetFormatPr defaultRowHeight="12.75" x14ac:dyDescent="0.2"/>
  <cols>
    <col min="1" max="1" width="26.28515625" bestFit="1" customWidth="1"/>
    <col min="2" max="2" width="11.7109375" bestFit="1" customWidth="1"/>
    <col min="3" max="6" width="11.7109375" customWidth="1"/>
    <col min="7" max="7" width="10.28515625" bestFit="1" customWidth="1"/>
    <col min="8" max="8" width="11.7109375" customWidth="1"/>
    <col min="9" max="9" width="12.28515625" bestFit="1" customWidth="1"/>
    <col min="10" max="10" width="11.7109375" bestFit="1" customWidth="1"/>
    <col min="11" max="11" width="12.5703125" bestFit="1" customWidth="1"/>
  </cols>
  <sheetData>
    <row r="2" spans="1:14" ht="26.25" thickBot="1" x14ac:dyDescent="0.25">
      <c r="A2" s="383">
        <v>46054</v>
      </c>
      <c r="B2" s="315" t="s">
        <v>47</v>
      </c>
      <c r="C2" s="314" t="s">
        <v>204</v>
      </c>
      <c r="D2" s="314" t="s">
        <v>182</v>
      </c>
      <c r="E2" s="314" t="s">
        <v>197</v>
      </c>
      <c r="F2" s="314" t="s">
        <v>209</v>
      </c>
      <c r="G2" s="315" t="s">
        <v>48</v>
      </c>
      <c r="H2" s="314" t="s">
        <v>127</v>
      </c>
      <c r="I2" s="314" t="s">
        <v>49</v>
      </c>
      <c r="J2" s="314" t="s">
        <v>126</v>
      </c>
      <c r="K2" s="138" t="s">
        <v>60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[3]Frontier!$JW22+[3]Frontier!$JW32</f>
        <v>16491</v>
      </c>
      <c r="C5" s="89">
        <f>'[3]Allegiant '!$JW22</f>
        <v>0</v>
      </c>
      <c r="D5" s="89">
        <f>'[3]Aer Lingus'!$JW22+'[3]Aer Lingus'!$JW32</f>
        <v>844</v>
      </c>
      <c r="E5" s="89">
        <f>'[3]Denver Air'!$JW22+'[3]Denver Air'!$JW32</f>
        <v>755</v>
      </c>
      <c r="F5" s="89">
        <f>[3]WestJet!$JW22+[3]WestJet!$JW32</f>
        <v>3951</v>
      </c>
      <c r="G5" s="89">
        <f>[3]Icelandair!$JW32</f>
        <v>1532</v>
      </c>
      <c r="H5" s="89">
        <f>[3]Southwest!$JW22</f>
        <v>45130</v>
      </c>
      <c r="I5" s="89">
        <f>'[3]Sun Country'!$JW22+'[3]Sun Country'!$JW32</f>
        <v>136860</v>
      </c>
      <c r="J5" s="89">
        <f>[3]Alaska!$JW22</f>
        <v>7256</v>
      </c>
      <c r="K5" s="112">
        <f>SUM(B5:J5)</f>
        <v>212819</v>
      </c>
      <c r="N5" s="89"/>
    </row>
    <row r="6" spans="1:14" x14ac:dyDescent="0.2">
      <c r="A6" s="43" t="s">
        <v>31</v>
      </c>
      <c r="B6" s="89">
        <f>[3]Frontier!$JW23+[3]Frontier!$JW33</f>
        <v>18008</v>
      </c>
      <c r="C6" s="89">
        <f>'[3]Allegiant '!$JW23</f>
        <v>0</v>
      </c>
      <c r="D6" s="89">
        <f>'[3]Aer Lingus'!$JW23+'[3]Aer Lingus'!$JW33</f>
        <v>812</v>
      </c>
      <c r="E6" s="89">
        <f>'[3]Denver Air'!$JW23+'[3]Denver Air'!$JW33</f>
        <v>761</v>
      </c>
      <c r="F6" s="89">
        <f>[3]WestJet!$JW23+[3]WestJet!$JW33</f>
        <v>3832</v>
      </c>
      <c r="G6" s="89">
        <f>[3]Icelandair!$JW33</f>
        <v>1729</v>
      </c>
      <c r="H6" s="89">
        <f>[3]Southwest!$JW23</f>
        <v>45914</v>
      </c>
      <c r="I6" s="89">
        <f>'[3]Sun Country'!$JW23+'[3]Sun Country'!$JW33</f>
        <v>148638</v>
      </c>
      <c r="J6" s="89">
        <f>[3]Alaska!$JW23</f>
        <v>7298</v>
      </c>
      <c r="K6" s="112">
        <f>SUM(B6:J6)</f>
        <v>226992</v>
      </c>
    </row>
    <row r="7" spans="1:14" ht="15" x14ac:dyDescent="0.25">
      <c r="A7" s="41" t="s">
        <v>7</v>
      </c>
      <c r="B7" s="120">
        <f>SUM(B5:B6)</f>
        <v>34499</v>
      </c>
      <c r="C7" s="120">
        <f t="shared" ref="C7:F7" si="0">SUM(C5:C6)</f>
        <v>0</v>
      </c>
      <c r="D7" s="120">
        <f>SUM(D5:D6)</f>
        <v>1656</v>
      </c>
      <c r="E7" s="120">
        <f>SUM(E5:E6)</f>
        <v>1516</v>
      </c>
      <c r="F7" s="120">
        <f t="shared" si="0"/>
        <v>7783</v>
      </c>
      <c r="G7" s="120">
        <f t="shared" ref="G7:J7" si="1">SUM(G5:G6)</f>
        <v>3261</v>
      </c>
      <c r="H7" s="120">
        <f t="shared" si="1"/>
        <v>91044</v>
      </c>
      <c r="I7" s="120">
        <f>SUM(I5:I6)</f>
        <v>285498</v>
      </c>
      <c r="J7" s="120">
        <f t="shared" si="1"/>
        <v>14554</v>
      </c>
      <c r="K7" s="121">
        <f>SUM(B7:J7)</f>
        <v>439811</v>
      </c>
    </row>
    <row r="8" spans="1:14" x14ac:dyDescent="0.2">
      <c r="A8" s="43"/>
      <c r="B8" s="119"/>
      <c r="C8" s="119"/>
      <c r="D8" s="347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47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[3]Frontier!$JW27+[3]Frontier!$JW37</f>
        <v>207</v>
      </c>
      <c r="C10" s="119">
        <f>'[3]Allegiant '!$JW27</f>
        <v>0</v>
      </c>
      <c r="D10" s="347">
        <f>'[3]Aer Lingus'!$JW27+'[3]Aer Lingus'!$JW37</f>
        <v>9</v>
      </c>
      <c r="E10" s="119">
        <f>'[3]Denver Air'!$JW27+'[3]Denver Air'!$JW37</f>
        <v>38</v>
      </c>
      <c r="F10" s="119">
        <f>[3]WestJet!$JW27+[3]WestJet!$JW37</f>
        <v>0</v>
      </c>
      <c r="G10" s="119">
        <f>[3]Icelandair!$JW37</f>
        <v>57</v>
      </c>
      <c r="H10" s="119">
        <f>[3]Southwest!$JW27</f>
        <v>1426</v>
      </c>
      <c r="I10" s="119">
        <f>'[3]Sun Country'!$JW27+'[3]Sun Country'!$JW37</f>
        <v>3074</v>
      </c>
      <c r="J10" s="119">
        <f>[3]Alaska!$JW27</f>
        <v>280</v>
      </c>
      <c r="K10" s="112">
        <f>SUM(B10:J10)</f>
        <v>5091</v>
      </c>
    </row>
    <row r="11" spans="1:14" x14ac:dyDescent="0.2">
      <c r="A11" s="43" t="s">
        <v>33</v>
      </c>
      <c r="B11" s="122">
        <f>[3]Frontier!$JW28+[3]Frontier!$JW38</f>
        <v>200</v>
      </c>
      <c r="C11" s="122">
        <f>'[3]Allegiant '!$JW28</f>
        <v>0</v>
      </c>
      <c r="D11" s="122">
        <f>'[3]Aer Lingus'!$JW28+'[3]Aer Lingus'!$JW38</f>
        <v>7</v>
      </c>
      <c r="E11" s="122">
        <f>'[3]Denver Air'!$JW28+'[3]Denver Air'!$JW38</f>
        <v>29</v>
      </c>
      <c r="F11" s="122">
        <f>[3]WestJet!$JW28+[3]WestJet!$JW38</f>
        <v>2</v>
      </c>
      <c r="G11" s="122">
        <f>[3]Icelandair!$JW38</f>
        <v>55</v>
      </c>
      <c r="H11" s="122">
        <f>[3]Southwest!$JW28</f>
        <v>1530</v>
      </c>
      <c r="I11" s="122">
        <f>'[3]Sun Country'!$JW28+'[3]Sun Country'!$JW38</f>
        <v>3324</v>
      </c>
      <c r="J11" s="122">
        <f>[3]Alaska!$JW28</f>
        <v>310</v>
      </c>
      <c r="K11" s="112">
        <f>SUM(B11:J11)</f>
        <v>5457</v>
      </c>
    </row>
    <row r="12" spans="1:14" ht="15.75" thickBot="1" x14ac:dyDescent="0.3">
      <c r="A12" s="44" t="s">
        <v>34</v>
      </c>
      <c r="B12" s="115">
        <f>SUM(B10:B11)</f>
        <v>407</v>
      </c>
      <c r="C12" s="115">
        <f t="shared" ref="C12:F12" si="2">SUM(C10:C11)</f>
        <v>0</v>
      </c>
      <c r="D12" s="115">
        <f>SUM(D10:D11)</f>
        <v>16</v>
      </c>
      <c r="E12" s="115">
        <f>SUM(E10:E11)</f>
        <v>67</v>
      </c>
      <c r="F12" s="115">
        <f t="shared" si="2"/>
        <v>2</v>
      </c>
      <c r="G12" s="115">
        <f t="shared" ref="G12:J12" si="3">SUM(G10:G11)</f>
        <v>112</v>
      </c>
      <c r="H12" s="115">
        <f t="shared" si="3"/>
        <v>2956</v>
      </c>
      <c r="I12" s="115">
        <f>SUM(I10:I11)</f>
        <v>6398</v>
      </c>
      <c r="J12" s="115">
        <f t="shared" si="3"/>
        <v>590</v>
      </c>
      <c r="K12" s="123">
        <f>SUM(B12:J12)</f>
        <v>10548</v>
      </c>
      <c r="N12" s="89"/>
    </row>
    <row r="13" spans="1:14" ht="15" x14ac:dyDescent="0.25">
      <c r="A13" s="40"/>
      <c r="B13" s="207"/>
      <c r="C13" s="207"/>
      <c r="D13" s="207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[3]Frontier!$JW4+[3]Frontier!$JW15</f>
        <v>106</v>
      </c>
      <c r="C16" s="79">
        <f>'[3]Allegiant '!$JW4</f>
        <v>0</v>
      </c>
      <c r="D16" s="89">
        <f>'[3]Aer Lingus'!$JW4+'[3]Aer Lingus'!$JW15</f>
        <v>15</v>
      </c>
      <c r="E16" s="89">
        <f>'[3]Denver Air'!$JW4+'[3]Denver Air'!$JW15</f>
        <v>72</v>
      </c>
      <c r="F16" s="79">
        <f>[3]WestJet!$JW4+[3]WestJet!$JW15</f>
        <v>57</v>
      </c>
      <c r="G16" s="89">
        <f>[3]Icelandair!$JW15</f>
        <v>16</v>
      </c>
      <c r="H16" s="79">
        <f>[3]Southwest!$JW4</f>
        <v>391</v>
      </c>
      <c r="I16" s="89">
        <f>'[3]Sun Country'!$JW4+'[3]Sun Country'!$JW15</f>
        <v>943</v>
      </c>
      <c r="J16" s="89">
        <f>[3]Alaska!$JW4</f>
        <v>51</v>
      </c>
      <c r="K16" s="112">
        <f>SUM(B16:J16)</f>
        <v>1651</v>
      </c>
    </row>
    <row r="17" spans="1:258" x14ac:dyDescent="0.2">
      <c r="A17" s="43" t="s">
        <v>23</v>
      </c>
      <c r="B17" s="89">
        <f>[3]Frontier!$JW5+[3]Frontier!$JW16</f>
        <v>106</v>
      </c>
      <c r="C17" s="79">
        <f>'[3]Allegiant '!$JW5</f>
        <v>0</v>
      </c>
      <c r="D17" s="89">
        <f>'[3]Aer Lingus'!$JW5+'[3]Aer Lingus'!$JW16</f>
        <v>15</v>
      </c>
      <c r="E17" s="89">
        <f>'[3]Denver Air'!$JW5+'[3]Denver Air'!$JW16</f>
        <v>72</v>
      </c>
      <c r="F17" s="79">
        <f>[3]WestJet!$JW5+[3]WestJet!$JW16</f>
        <v>57</v>
      </c>
      <c r="G17" s="89">
        <f>[3]Icelandair!$JW16</f>
        <v>16</v>
      </c>
      <c r="H17" s="79">
        <f>[3]Southwest!$JW5</f>
        <v>391</v>
      </c>
      <c r="I17" s="89">
        <f>'[3]Sun Country'!$JW5+'[3]Sun Country'!$JW16</f>
        <v>951</v>
      </c>
      <c r="J17" s="89">
        <f>[3]Alaska!$JW5</f>
        <v>51</v>
      </c>
      <c r="K17" s="112">
        <f>SUM(B17:J17)</f>
        <v>1659</v>
      </c>
    </row>
    <row r="18" spans="1:258" x14ac:dyDescent="0.2">
      <c r="A18" s="47" t="s">
        <v>24</v>
      </c>
      <c r="B18" s="113">
        <f t="shared" ref="B18" si="4">SUM(B16:B17)</f>
        <v>212</v>
      </c>
      <c r="C18" s="113">
        <f t="shared" ref="C18:F18" si="5">SUM(C16:C17)</f>
        <v>0</v>
      </c>
      <c r="D18" s="113">
        <f t="shared" si="5"/>
        <v>30</v>
      </c>
      <c r="E18" s="113">
        <f t="shared" si="5"/>
        <v>144</v>
      </c>
      <c r="F18" s="113">
        <f t="shared" si="5"/>
        <v>114</v>
      </c>
      <c r="G18" s="113">
        <f t="shared" ref="G18:J18" si="6">SUM(G16:G17)</f>
        <v>32</v>
      </c>
      <c r="H18" s="113">
        <f t="shared" si="6"/>
        <v>782</v>
      </c>
      <c r="I18" s="113">
        <f t="shared" si="6"/>
        <v>1894</v>
      </c>
      <c r="J18" s="113">
        <f t="shared" si="6"/>
        <v>102</v>
      </c>
      <c r="K18" s="114">
        <f>SUM(B18:J18)</f>
        <v>3310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[3]Frontier!$JW8</f>
        <v>0</v>
      </c>
      <c r="C20" s="89">
        <f>'[3]Allegiant '!$JW8</f>
        <v>0</v>
      </c>
      <c r="D20" s="89">
        <f>'[3]Aer Lingus'!$JW8</f>
        <v>0</v>
      </c>
      <c r="E20" s="89">
        <f>'[3]Denver Air'!$JW8</f>
        <v>0</v>
      </c>
      <c r="F20" s="89">
        <f>[3]WestJet!$JW8</f>
        <v>0</v>
      </c>
      <c r="G20" s="89">
        <f>[3]Icelandair!$JW8</f>
        <v>0</v>
      </c>
      <c r="H20" s="89">
        <f>[3]Southwest!$JW8</f>
        <v>0</v>
      </c>
      <c r="I20" s="89">
        <f>'[3]Sun Country'!$JW8</f>
        <v>70</v>
      </c>
      <c r="J20" s="89">
        <f>[3]Alaska!$JW8</f>
        <v>2</v>
      </c>
      <c r="K20" s="112">
        <f>SUM(B20:J20)</f>
        <v>72</v>
      </c>
    </row>
    <row r="21" spans="1:258" x14ac:dyDescent="0.2">
      <c r="A21" s="43" t="s">
        <v>26</v>
      </c>
      <c r="B21" s="89">
        <f>[3]Frontier!$JW9</f>
        <v>0</v>
      </c>
      <c r="C21" s="89">
        <f>'[3]Allegiant '!$JW9</f>
        <v>0</v>
      </c>
      <c r="D21" s="89">
        <f>'[3]Aer Lingus'!$JW9</f>
        <v>0</v>
      </c>
      <c r="E21" s="89">
        <f>'[3]Denver Air'!$JW9</f>
        <v>0</v>
      </c>
      <c r="F21" s="89">
        <f>[3]WestJet!$JW9</f>
        <v>0</v>
      </c>
      <c r="G21" s="89">
        <f>[3]Icelandair!$JW9</f>
        <v>0</v>
      </c>
      <c r="H21" s="89">
        <f>[3]Southwest!$JW9</f>
        <v>0</v>
      </c>
      <c r="I21" s="89">
        <f>'[3]Sun Country'!$JW9</f>
        <v>60</v>
      </c>
      <c r="J21" s="89">
        <f>[3]Alaska!$JW9</f>
        <v>2</v>
      </c>
      <c r="K21" s="112">
        <f>SUM(B21:J21)</f>
        <v>62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130</v>
      </c>
      <c r="J22" s="113">
        <f t="shared" si="9"/>
        <v>4</v>
      </c>
      <c r="K22" s="114">
        <f>SUM(B22:J22)</f>
        <v>134</v>
      </c>
    </row>
    <row r="23" spans="1:258" ht="15.75" thickBot="1" x14ac:dyDescent="0.3">
      <c r="A23" s="44" t="s">
        <v>28</v>
      </c>
      <c r="B23" s="115">
        <f t="shared" ref="B23" si="10">B22+B18</f>
        <v>212</v>
      </c>
      <c r="C23" s="115">
        <f t="shared" ref="C23:F23" si="11">C22+C18</f>
        <v>0</v>
      </c>
      <c r="D23" s="115">
        <f t="shared" si="11"/>
        <v>30</v>
      </c>
      <c r="E23" s="115">
        <f t="shared" si="11"/>
        <v>144</v>
      </c>
      <c r="F23" s="115">
        <f t="shared" si="11"/>
        <v>114</v>
      </c>
      <c r="G23" s="115">
        <f t="shared" ref="G23:J23" si="12">G22+G18</f>
        <v>32</v>
      </c>
      <c r="H23" s="115">
        <f t="shared" si="12"/>
        <v>782</v>
      </c>
      <c r="I23" s="115">
        <f>I22+I18</f>
        <v>2024</v>
      </c>
      <c r="J23" s="115">
        <f t="shared" si="12"/>
        <v>106</v>
      </c>
      <c r="K23" s="116">
        <f>SUM(B23:J23)</f>
        <v>3444</v>
      </c>
      <c r="O23" s="89"/>
    </row>
    <row r="24" spans="1:258" x14ac:dyDescent="0.2">
      <c r="A24" s="11"/>
      <c r="B24" s="11"/>
      <c r="C24" s="11"/>
      <c r="D24" s="348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0"/>
      <c r="C25" s="300"/>
      <c r="D25" s="300"/>
      <c r="E25" s="300"/>
      <c r="F25" s="300"/>
      <c r="G25" s="300"/>
      <c r="H25" s="300"/>
      <c r="I25" s="300"/>
      <c r="J25" s="300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[3]Frontier!$JW47</f>
        <v>0</v>
      </c>
      <c r="C28" s="89">
        <f>'[3]Allegiant '!$JW47</f>
        <v>0</v>
      </c>
      <c r="D28" s="89">
        <f>'[3]Aer Lingus'!$JW47</f>
        <v>0</v>
      </c>
      <c r="E28" s="89">
        <f>'[3]Denver Air'!$JW47</f>
        <v>0</v>
      </c>
      <c r="F28" s="89">
        <f>[3]WestJet!$JW47</f>
        <v>0</v>
      </c>
      <c r="G28" s="89">
        <f>[3]Icelandair!$JW47</f>
        <v>1645</v>
      </c>
      <c r="H28" s="89">
        <f>[3]Southwest!$JW47</f>
        <v>145782</v>
      </c>
      <c r="I28" s="89">
        <f>'[3]Sun Country'!$JW47</f>
        <v>0</v>
      </c>
      <c r="J28" s="89">
        <f>[3]Alaska!$JW47</f>
        <v>8382</v>
      </c>
      <c r="K28" s="112">
        <f>SUM(B28:J28)</f>
        <v>155809</v>
      </c>
    </row>
    <row r="29" spans="1:258" x14ac:dyDescent="0.2">
      <c r="A29" s="43" t="s">
        <v>38</v>
      </c>
      <c r="B29" s="89">
        <f>[3]Frontier!$JW48</f>
        <v>0</v>
      </c>
      <c r="C29" s="89">
        <f>'[3]Allegiant '!$JW48</f>
        <v>0</v>
      </c>
      <c r="D29" s="89">
        <f>'[3]Aer Lingus'!$JW48</f>
        <v>0</v>
      </c>
      <c r="E29" s="89">
        <f>'[3]Denver Air'!$JW48</f>
        <v>0</v>
      </c>
      <c r="F29" s="89">
        <f>[3]WestJet!$JW48</f>
        <v>0</v>
      </c>
      <c r="G29" s="89">
        <f>[3]Icelandair!$JW48</f>
        <v>0</v>
      </c>
      <c r="H29" s="89">
        <f>[3]Southwest!$JW48</f>
        <v>0</v>
      </c>
      <c r="I29" s="89">
        <f>'[3]Sun Country'!$JW48</f>
        <v>0</v>
      </c>
      <c r="J29" s="89">
        <f>[3]Alaska!$JW48</f>
        <v>5271</v>
      </c>
      <c r="K29" s="112">
        <f>SUM(B29:J29)</f>
        <v>5271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1645</v>
      </c>
      <c r="H30" s="127">
        <f t="shared" si="15"/>
        <v>145782</v>
      </c>
      <c r="I30" s="127">
        <f t="shared" si="15"/>
        <v>0</v>
      </c>
      <c r="J30" s="127">
        <f t="shared" si="15"/>
        <v>13653</v>
      </c>
      <c r="K30" s="129">
        <f>SUM(B30:J30)</f>
        <v>161080</v>
      </c>
    </row>
    <row r="31" spans="1:258" x14ac:dyDescent="0.2">
      <c r="A31" s="43"/>
      <c r="B31" s="119"/>
      <c r="C31" s="119"/>
      <c r="D31" s="347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[3]Frontier!$JW52</f>
        <v>0</v>
      </c>
      <c r="C33" s="89">
        <f>'[3]Allegiant '!$JW52</f>
        <v>0</v>
      </c>
      <c r="D33" s="89">
        <f>'[3]Aer Lingus'!$JW52</f>
        <v>2012.82</v>
      </c>
      <c r="E33" s="89">
        <f>'[3]Denver Air'!$JW52</f>
        <v>0</v>
      </c>
      <c r="F33" s="89">
        <f>[3]WestJet!$JW52</f>
        <v>0</v>
      </c>
      <c r="G33" s="89">
        <f>[3]Icelandair!$JW52</f>
        <v>0</v>
      </c>
      <c r="H33" s="89">
        <f>[3]Southwest!$JW52</f>
        <v>33025</v>
      </c>
      <c r="I33" s="89">
        <f>'[3]Sun Country'!$JW52</f>
        <v>0</v>
      </c>
      <c r="J33" s="89">
        <f>[3]Alaska!$JW52</f>
        <v>8490</v>
      </c>
      <c r="K33" s="112">
        <f>SUM(B33:J33)</f>
        <v>43527.82</v>
      </c>
    </row>
    <row r="34" spans="1:11" x14ac:dyDescent="0.2">
      <c r="A34" s="43" t="s">
        <v>38</v>
      </c>
      <c r="B34" s="89">
        <f>[3]Frontier!$JW53</f>
        <v>0</v>
      </c>
      <c r="C34" s="89">
        <f>'[3]Allegiant '!$JW53</f>
        <v>0</v>
      </c>
      <c r="D34" s="89">
        <f>'[3]Aer Lingus'!$JW53</f>
        <v>0</v>
      </c>
      <c r="E34" s="89">
        <f>'[3]Denver Air'!$JW53</f>
        <v>0</v>
      </c>
      <c r="F34" s="89">
        <f>[3]WestJet!$JW53</f>
        <v>0</v>
      </c>
      <c r="G34" s="89">
        <f>[3]Icelandair!$JW53</f>
        <v>0</v>
      </c>
      <c r="H34" s="89">
        <f>[3]Southwest!$JW53</f>
        <v>0</v>
      </c>
      <c r="I34" s="89">
        <f>'[3]Sun Country'!$JW53</f>
        <v>0</v>
      </c>
      <c r="J34" s="89">
        <f>[3]Alaska!$JW53</f>
        <v>3062</v>
      </c>
      <c r="K34" s="128">
        <f>SUM(B34:J34)</f>
        <v>3062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2012.82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33025</v>
      </c>
      <c r="I35" s="113">
        <f t="shared" si="18"/>
        <v>0</v>
      </c>
      <c r="J35" s="113">
        <f t="shared" si="18"/>
        <v>11552</v>
      </c>
      <c r="K35" s="129">
        <f>SUM(B35:J35)</f>
        <v>46589.82</v>
      </c>
    </row>
    <row r="36" spans="1:11" hidden="1" x14ac:dyDescent="0.2">
      <c r="A36" s="43"/>
      <c r="B36" s="119"/>
      <c r="C36" s="119"/>
      <c r="D36" s="347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47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[3]Frontier!$JW57</f>
        <v>0</v>
      </c>
      <c r="C38" s="119">
        <f>'[3]Allegiant '!$JW57</f>
        <v>0</v>
      </c>
      <c r="D38" s="347">
        <f>'[3]Aer Lingus'!$JW57</f>
        <v>0</v>
      </c>
      <c r="E38" s="119">
        <f>'[3]Denver Air'!$JW57</f>
        <v>0</v>
      </c>
      <c r="F38" s="119">
        <f>[3]WestJet!$JW57</f>
        <v>0</v>
      </c>
      <c r="G38" s="119">
        <f>[3]Icelandair!$JW57</f>
        <v>0</v>
      </c>
      <c r="H38" s="119">
        <f>[3]Southwest!$JW57</f>
        <v>0</v>
      </c>
      <c r="I38" s="119">
        <f>'[3]Sun Country'!$JW57</f>
        <v>0</v>
      </c>
      <c r="J38" s="119">
        <f>[3]Alaska!$JW57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[3]Frontier!$JW58</f>
        <v>0</v>
      </c>
      <c r="C39" s="122">
        <f>'[3]Allegiant '!$JW58</f>
        <v>0</v>
      </c>
      <c r="D39" s="122">
        <f>'[3]Aer Lingus'!$JW58</f>
        <v>0</v>
      </c>
      <c r="E39" s="122">
        <f>'[3]Denver Air'!$JW58</f>
        <v>0</v>
      </c>
      <c r="F39" s="122">
        <f>[3]WestJet!$JW58</f>
        <v>0</v>
      </c>
      <c r="G39" s="122">
        <f>[3]Icelandair!$JW58</f>
        <v>0</v>
      </c>
      <c r="H39" s="122">
        <f>[3]Southwest!$JW58</f>
        <v>0</v>
      </c>
      <c r="I39" s="122">
        <f>'[3]Sun Country'!$JW58</f>
        <v>0</v>
      </c>
      <c r="J39" s="122">
        <f>[3]Alaska!$JW58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49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47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47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47">
        <f t="shared" si="23"/>
        <v>2012.82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1645</v>
      </c>
      <c r="H43" s="119">
        <f t="shared" si="24"/>
        <v>178807</v>
      </c>
      <c r="I43" s="119">
        <f t="shared" si="24"/>
        <v>0</v>
      </c>
      <c r="J43" s="119">
        <f t="shared" si="24"/>
        <v>16872</v>
      </c>
      <c r="K43" s="112">
        <f>SUM(B43:J43)</f>
        <v>199336.82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8333</v>
      </c>
      <c r="K44" s="112">
        <f>SUM(B44:J44)</f>
        <v>8333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2012.82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1645</v>
      </c>
      <c r="H45" s="131">
        <f t="shared" si="30"/>
        <v>178807</v>
      </c>
      <c r="I45" s="131">
        <f t="shared" si="30"/>
        <v>0</v>
      </c>
      <c r="J45" s="131">
        <f t="shared" si="30"/>
        <v>25205</v>
      </c>
      <c r="K45" s="132">
        <f>SUM(B45:J45)</f>
        <v>207669.82</v>
      </c>
    </row>
    <row r="48" spans="1:11" x14ac:dyDescent="0.2">
      <c r="A48" s="266" t="s">
        <v>119</v>
      </c>
      <c r="B48" s="276"/>
      <c r="C48" s="276"/>
      <c r="D48" s="276"/>
      <c r="E48" s="276"/>
      <c r="F48" s="276"/>
      <c r="H48" s="233">
        <f>[3]Southwest!$JW70+[3]Southwest!$JW73</f>
        <v>0</v>
      </c>
      <c r="I48" s="233">
        <f>'[3]Sun Country'!$JW70+'[3]Sun Country'!$JW73</f>
        <v>0</v>
      </c>
      <c r="J48" s="276"/>
      <c r="K48" s="222">
        <f>SUM(B48:J48)</f>
        <v>0</v>
      </c>
    </row>
    <row r="49" spans="1:11" x14ac:dyDescent="0.2">
      <c r="A49" s="278" t="s">
        <v>120</v>
      </c>
      <c r="B49" s="276"/>
      <c r="C49" s="276"/>
      <c r="D49" s="276"/>
      <c r="E49" s="276"/>
      <c r="F49" s="276"/>
      <c r="H49" s="233">
        <f>[3]Southwest!$JW71+[3]Southwest!$JW74</f>
        <v>0</v>
      </c>
      <c r="I49" s="233">
        <f>'[3]Sun Country'!$JW71+'[3]Sun Country'!$JW74</f>
        <v>0</v>
      </c>
      <c r="J49" s="276"/>
      <c r="K49" s="222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February 2026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="115" zoomScaleNormal="115" zoomScaleSheetLayoutView="115" workbookViewId="0">
      <selection activeCell="K5" sqref="K5"/>
    </sheetView>
  </sheetViews>
  <sheetFormatPr defaultRowHeight="12.75" x14ac:dyDescent="0.2"/>
  <cols>
    <col min="1" max="1" width="25.28515625" bestFit="1" customWidth="1"/>
    <col min="2" max="2" width="12.28515625" bestFit="1" customWidth="1"/>
    <col min="3" max="3" width="9.28515625" customWidth="1"/>
    <col min="4" max="4" width="10.42578125" bestFit="1" customWidth="1"/>
    <col min="5" max="6" width="10" customWidth="1"/>
    <col min="7" max="7" width="10.28515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4"/>
    </row>
    <row r="2" spans="1:14" ht="26.25" thickBot="1" x14ac:dyDescent="0.25">
      <c r="A2" s="383">
        <v>46054</v>
      </c>
      <c r="B2" s="449" t="s">
        <v>153</v>
      </c>
      <c r="C2" s="449" t="s">
        <v>155</v>
      </c>
      <c r="D2" s="449" t="s">
        <v>160</v>
      </c>
      <c r="E2" s="449" t="s">
        <v>159</v>
      </c>
      <c r="F2" s="449" t="s">
        <v>178</v>
      </c>
      <c r="G2" s="449" t="s">
        <v>164</v>
      </c>
      <c r="H2" s="449" t="s">
        <v>167</v>
      </c>
      <c r="I2" s="449" t="s">
        <v>163</v>
      </c>
      <c r="J2" s="449" t="s">
        <v>114</v>
      </c>
      <c r="K2" s="449" t="s">
        <v>21</v>
      </c>
    </row>
    <row r="3" spans="1:14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6"/>
    </row>
    <row r="4" spans="1:14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2"/>
    </row>
    <row r="5" spans="1:14" x14ac:dyDescent="0.2">
      <c r="A5" s="43" t="s">
        <v>30</v>
      </c>
      <c r="B5" s="81">
        <f>[3]Pinnacle!$JW22+[3]Pinnacle!$JW32</f>
        <v>62335</v>
      </c>
      <c r="C5" s="81">
        <f>[3]MESA_UA!$JW22</f>
        <v>1379</v>
      </c>
      <c r="D5" s="89">
        <f>'[3]Sky West'!$JW22+'[3]Sky West'!$JW32</f>
        <v>124593</v>
      </c>
      <c r="E5" s="89">
        <f>'[3]Sky West_UA'!$JW22</f>
        <v>1180</v>
      </c>
      <c r="F5" s="89">
        <f>'[3]Sky West_AA'!$JW22</f>
        <v>427</v>
      </c>
      <c r="G5" s="89">
        <f>[3]Republic!$JW22</f>
        <v>2668</v>
      </c>
      <c r="H5" s="89">
        <f>[3]Republic_UA!$JW22</f>
        <v>4117</v>
      </c>
      <c r="I5" s="89">
        <f>'[3]American Eagle'!$JW22</f>
        <v>7425</v>
      </c>
      <c r="J5" s="89">
        <f>'Other Regional'!H5</f>
        <v>4797</v>
      </c>
      <c r="K5" s="82">
        <f>SUM(B5:J5)</f>
        <v>208921</v>
      </c>
    </row>
    <row r="6" spans="1:14" s="6" customFormat="1" x14ac:dyDescent="0.2">
      <c r="A6" s="43" t="s">
        <v>31</v>
      </c>
      <c r="B6" s="81">
        <f>[3]Pinnacle!$JW23+[3]Pinnacle!$JW33</f>
        <v>60478</v>
      </c>
      <c r="C6" s="81">
        <f>[3]MESA_UA!$JW23</f>
        <v>1839</v>
      </c>
      <c r="D6" s="89">
        <f>'[3]Sky West'!$JW23+'[3]Sky West'!$JW33</f>
        <v>124006</v>
      </c>
      <c r="E6" s="89">
        <f>'[3]Sky West_UA'!$JW23</f>
        <v>1265</v>
      </c>
      <c r="F6" s="89">
        <f>'[3]Sky West_AA'!$JW23</f>
        <v>401</v>
      </c>
      <c r="G6" s="89">
        <f>[3]Republic!$JW23</f>
        <v>2778</v>
      </c>
      <c r="H6" s="89">
        <f>[3]Republic_UA!$JW23</f>
        <v>4145</v>
      </c>
      <c r="I6" s="89">
        <f>'[3]American Eagle'!$JW23</f>
        <v>6861</v>
      </c>
      <c r="J6" s="89">
        <f>'Other Regional'!H6</f>
        <v>5066</v>
      </c>
      <c r="K6" s="86">
        <f>SUM(B6:J6)</f>
        <v>206839</v>
      </c>
    </row>
    <row r="7" spans="1:14" ht="15" thickBot="1" x14ac:dyDescent="0.25">
      <c r="A7" s="52" t="s">
        <v>7</v>
      </c>
      <c r="B7" s="99">
        <f>SUM(B5:B6)</f>
        <v>122813</v>
      </c>
      <c r="C7" s="99">
        <f t="shared" ref="C7:J7" si="0">SUM(C5:C6)</f>
        <v>3218</v>
      </c>
      <c r="D7" s="99">
        <f t="shared" si="0"/>
        <v>248599</v>
      </c>
      <c r="E7" s="99">
        <f t="shared" si="0"/>
        <v>2445</v>
      </c>
      <c r="F7" s="99">
        <f t="shared" ref="F7" si="1">SUM(F5:F6)</f>
        <v>828</v>
      </c>
      <c r="G7" s="99">
        <f t="shared" si="0"/>
        <v>5446</v>
      </c>
      <c r="H7" s="99">
        <f t="shared" si="0"/>
        <v>8262</v>
      </c>
      <c r="I7" s="99">
        <f t="shared" si="0"/>
        <v>14286</v>
      </c>
      <c r="J7" s="99">
        <f t="shared" si="0"/>
        <v>9863</v>
      </c>
      <c r="K7" s="100">
        <f>SUM(B7:J7)</f>
        <v>415760</v>
      </c>
    </row>
    <row r="8" spans="1:14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101"/>
      <c r="N8" s="89"/>
    </row>
    <row r="9" spans="1:14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2"/>
    </row>
    <row r="10" spans="1:14" x14ac:dyDescent="0.2">
      <c r="A10" s="43" t="s">
        <v>30</v>
      </c>
      <c r="B10" s="81">
        <f>[3]Pinnacle!$JW27+[3]Pinnacle!$JW37</f>
        <v>2254</v>
      </c>
      <c r="C10" s="81">
        <f>[3]MESA_UA!$JW27</f>
        <v>88</v>
      </c>
      <c r="D10" s="89">
        <f>'[3]Sky West'!$JW27+'[3]Sky West'!$JW37</f>
        <v>4464</v>
      </c>
      <c r="E10" s="89">
        <f>'[3]Sky West_UA'!$JW27</f>
        <v>41</v>
      </c>
      <c r="F10" s="89">
        <f>'[3]Sky West_AA'!$JW27</f>
        <v>8</v>
      </c>
      <c r="G10" s="89">
        <f>[3]Republic!$JW27</f>
        <v>95</v>
      </c>
      <c r="H10" s="89">
        <f>[3]Republic_UA!$JW27</f>
        <v>155</v>
      </c>
      <c r="I10" s="89">
        <f>'[3]American Eagle'!$JW27</f>
        <v>383</v>
      </c>
      <c r="J10" s="89">
        <f>'Other Regional'!H10</f>
        <v>172</v>
      </c>
      <c r="K10" s="82">
        <f>SUM(B10:J10)</f>
        <v>7660</v>
      </c>
    </row>
    <row r="11" spans="1:14" x14ac:dyDescent="0.2">
      <c r="A11" s="43" t="s">
        <v>33</v>
      </c>
      <c r="B11" s="81">
        <f>[3]Pinnacle!$JW28+[3]Pinnacle!$JW38</f>
        <v>2226</v>
      </c>
      <c r="C11" s="81">
        <f>[3]MESA_UA!$JW28</f>
        <v>89</v>
      </c>
      <c r="D11" s="89">
        <f>'[3]Sky West'!$JW28+'[3]Sky West'!$JW38</f>
        <v>4282</v>
      </c>
      <c r="E11" s="89">
        <f>'[3]Sky West_UA'!$JW28</f>
        <v>53</v>
      </c>
      <c r="F11" s="89">
        <f>'[3]Sky West_AA'!$JW28</f>
        <v>18</v>
      </c>
      <c r="G11" s="89">
        <f>[3]Republic!$JW28</f>
        <v>106</v>
      </c>
      <c r="H11" s="89">
        <f>[3]Republic_UA!$JW28</f>
        <v>157</v>
      </c>
      <c r="I11" s="89">
        <f>'[3]American Eagle'!$JW28</f>
        <v>363</v>
      </c>
      <c r="J11" s="89">
        <f>'Other Regional'!H11</f>
        <v>162</v>
      </c>
      <c r="K11" s="86">
        <f>SUM(B11:J11)</f>
        <v>7456</v>
      </c>
    </row>
    <row r="12" spans="1:14" ht="15" thickBot="1" x14ac:dyDescent="0.25">
      <c r="A12" s="53" t="s">
        <v>34</v>
      </c>
      <c r="B12" s="102">
        <f t="shared" ref="B12:J12" si="2">SUM(B10:B11)</f>
        <v>4480</v>
      </c>
      <c r="C12" s="102">
        <f t="shared" si="2"/>
        <v>177</v>
      </c>
      <c r="D12" s="102">
        <f t="shared" si="2"/>
        <v>8746</v>
      </c>
      <c r="E12" s="102">
        <f t="shared" si="2"/>
        <v>94</v>
      </c>
      <c r="F12" s="102">
        <f t="shared" ref="F12" si="3">SUM(F10:F11)</f>
        <v>26</v>
      </c>
      <c r="G12" s="102">
        <f t="shared" si="2"/>
        <v>201</v>
      </c>
      <c r="H12" s="102">
        <f t="shared" si="2"/>
        <v>312</v>
      </c>
      <c r="I12" s="102">
        <f t="shared" si="2"/>
        <v>746</v>
      </c>
      <c r="J12" s="102">
        <f t="shared" si="2"/>
        <v>334</v>
      </c>
      <c r="K12" s="103">
        <f>SUM(B12:J12)</f>
        <v>15116</v>
      </c>
    </row>
    <row r="13" spans="1:14" ht="13.5" thickBot="1" x14ac:dyDescent="0.25">
      <c r="B13" s="89"/>
      <c r="C13" s="89"/>
      <c r="D13" s="89"/>
      <c r="E13" s="89"/>
      <c r="F13" s="89"/>
      <c r="G13" s="89"/>
      <c r="H13" s="89"/>
      <c r="I13" s="89"/>
    </row>
    <row r="14" spans="1:14" ht="15.75" thickTop="1" x14ac:dyDescent="0.25">
      <c r="A14" s="42" t="s">
        <v>9</v>
      </c>
      <c r="B14" s="422" t="s">
        <v>211</v>
      </c>
      <c r="C14" s="77"/>
      <c r="D14" s="76"/>
      <c r="E14" s="76"/>
      <c r="F14" s="76"/>
      <c r="G14" s="76"/>
      <c r="H14" s="76"/>
      <c r="I14" s="76"/>
      <c r="J14" s="76"/>
      <c r="K14" s="78"/>
    </row>
    <row r="15" spans="1:14" x14ac:dyDescent="0.2">
      <c r="A15" s="43" t="s">
        <v>52</v>
      </c>
      <c r="B15" s="11">
        <f>[3]Pinnacle!$JW4+[3]Pinnacle!$JW15</f>
        <v>1087</v>
      </c>
      <c r="C15" s="80">
        <f>[3]MESA_UA!$JW4</f>
        <v>31</v>
      </c>
      <c r="D15" s="79">
        <f>'[3]Sky West'!$JW4+'[3]Sky West'!$JW15</f>
        <v>2279</v>
      </c>
      <c r="E15" s="79">
        <f>'[3]Sky West_UA'!$JW4</f>
        <v>22</v>
      </c>
      <c r="F15" s="79">
        <f>'[3]Sky West_AA'!$JW4</f>
        <v>8</v>
      </c>
      <c r="G15" s="81">
        <f>[3]Republic!$JW4</f>
        <v>48</v>
      </c>
      <c r="H15" s="322">
        <f>[3]Republic_UA!$JW4</f>
        <v>74</v>
      </c>
      <c r="I15" s="81">
        <f>'[3]American Eagle'!$JW4</f>
        <v>125</v>
      </c>
      <c r="J15" s="80">
        <f>'Other Regional'!H15</f>
        <v>101</v>
      </c>
      <c r="K15" s="82">
        <f t="shared" ref="K15:K20" si="4">SUM(B15:J15)</f>
        <v>3775</v>
      </c>
    </row>
    <row r="16" spans="1:14" x14ac:dyDescent="0.2">
      <c r="A16" s="43" t="s">
        <v>53</v>
      </c>
      <c r="B16" s="7">
        <f>[3]Pinnacle!$JW5+[3]Pinnacle!$JW16</f>
        <v>1089</v>
      </c>
      <c r="C16" s="84">
        <f>[3]MESA_UA!$JW5</f>
        <v>32</v>
      </c>
      <c r="D16" s="83">
        <f>'[3]Sky West'!$JW5+'[3]Sky West'!$JW16</f>
        <v>2279</v>
      </c>
      <c r="E16" s="83">
        <f>'[3]Sky West_UA'!$JW5</f>
        <v>22</v>
      </c>
      <c r="F16" s="83">
        <f>'[3]Sky West_AA'!$JW5</f>
        <v>8</v>
      </c>
      <c r="G16" s="85">
        <f>[3]Republic!$JW5</f>
        <v>47</v>
      </c>
      <c r="H16" s="210">
        <f>[3]Republic_UA!$JW5</f>
        <v>75</v>
      </c>
      <c r="I16" s="85">
        <f>'[3]American Eagle'!$JW5</f>
        <v>125</v>
      </c>
      <c r="J16" s="84">
        <f>'Other Regional'!H16</f>
        <v>99</v>
      </c>
      <c r="K16" s="86">
        <f t="shared" si="4"/>
        <v>3776</v>
      </c>
      <c r="M16" s="89"/>
      <c r="N16" s="89"/>
    </row>
    <row r="17" spans="1:11" x14ac:dyDescent="0.2">
      <c r="A17" s="47" t="s">
        <v>54</v>
      </c>
      <c r="B17" s="87">
        <f t="shared" ref="B17:D17" si="5">SUM(B15:B16)</f>
        <v>2176</v>
      </c>
      <c r="C17" s="87">
        <f t="shared" si="5"/>
        <v>63</v>
      </c>
      <c r="D17" s="87">
        <f t="shared" si="5"/>
        <v>4558</v>
      </c>
      <c r="E17" s="87">
        <f>SUM(E15:E16)</f>
        <v>44</v>
      </c>
      <c r="F17" s="87">
        <f>SUM(F15:F16)</f>
        <v>16</v>
      </c>
      <c r="G17" s="87">
        <f>SUM(G15:G16)</f>
        <v>95</v>
      </c>
      <c r="H17" s="87">
        <f t="shared" ref="H17" si="6">SUM(H15:H16)</f>
        <v>149</v>
      </c>
      <c r="I17" s="87">
        <f>SUM(I15:I16)</f>
        <v>250</v>
      </c>
      <c r="J17" s="87">
        <f>SUM(J15:J16)</f>
        <v>200</v>
      </c>
      <c r="K17" s="88">
        <f t="shared" si="4"/>
        <v>7551</v>
      </c>
    </row>
    <row r="18" spans="1:11" x14ac:dyDescent="0.2">
      <c r="A18" s="43" t="s">
        <v>55</v>
      </c>
      <c r="B18" s="89">
        <f>[3]Pinnacle!$JW8</f>
        <v>1</v>
      </c>
      <c r="C18" s="81">
        <f>[3]MESA_UA!$JW8</f>
        <v>0</v>
      </c>
      <c r="D18" s="89">
        <f>'[3]Sky West'!$JW8</f>
        <v>0</v>
      </c>
      <c r="E18" s="89">
        <f>'[3]Sky West_UA'!$JW8</f>
        <v>2</v>
      </c>
      <c r="F18" s="89">
        <f>'[3]Sky West_AA'!$JW8</f>
        <v>0</v>
      </c>
      <c r="G18" s="89">
        <f>[3]Republic!$JW8</f>
        <v>0</v>
      </c>
      <c r="H18" s="89">
        <f>[3]Republic_UA!$JW8</f>
        <v>1</v>
      </c>
      <c r="I18" s="89">
        <f>'[3]American Eagle'!$JW8</f>
        <v>0</v>
      </c>
      <c r="J18" s="89">
        <f>'Other Regional'!H18</f>
        <v>0</v>
      </c>
      <c r="K18" s="82">
        <f t="shared" si="4"/>
        <v>4</v>
      </c>
    </row>
    <row r="19" spans="1:11" x14ac:dyDescent="0.2">
      <c r="A19" s="43" t="s">
        <v>56</v>
      </c>
      <c r="B19" s="90">
        <f>[3]Pinnacle!$JW9</f>
        <v>1</v>
      </c>
      <c r="C19" s="85">
        <f>[3]MESA_UA!$JW9</f>
        <v>0</v>
      </c>
      <c r="D19" s="90">
        <f>'[3]Sky West'!$JW9</f>
        <v>2</v>
      </c>
      <c r="E19" s="90">
        <f>'[3]Sky West_UA'!$JW9</f>
        <v>4</v>
      </c>
      <c r="F19" s="90">
        <f>'[3]Sky West_AA'!$JW9</f>
        <v>0</v>
      </c>
      <c r="G19" s="90">
        <f>[3]Republic!$JW9</f>
        <v>0</v>
      </c>
      <c r="H19" s="90">
        <f>[3]Republic_UA!$JW9</f>
        <v>0</v>
      </c>
      <c r="I19" s="90">
        <f>'[3]American Eagle'!$JW9</f>
        <v>0</v>
      </c>
      <c r="J19" s="90">
        <f>'Other Regional'!H19</f>
        <v>0</v>
      </c>
      <c r="K19" s="86">
        <f t="shared" si="4"/>
        <v>7</v>
      </c>
    </row>
    <row r="20" spans="1:11" x14ac:dyDescent="0.2">
      <c r="A20" s="47" t="s">
        <v>57</v>
      </c>
      <c r="B20" s="87">
        <f t="shared" ref="B20:J20" si="7">SUM(B18:B19)</f>
        <v>2</v>
      </c>
      <c r="C20" s="87">
        <f t="shared" si="7"/>
        <v>0</v>
      </c>
      <c r="D20" s="87">
        <f t="shared" si="7"/>
        <v>2</v>
      </c>
      <c r="E20" s="87">
        <f t="shared" si="7"/>
        <v>6</v>
      </c>
      <c r="F20" s="87">
        <f t="shared" ref="F20" si="8">SUM(F18:F19)</f>
        <v>0</v>
      </c>
      <c r="G20" s="87">
        <f t="shared" si="7"/>
        <v>0</v>
      </c>
      <c r="H20" s="87">
        <f t="shared" si="7"/>
        <v>1</v>
      </c>
      <c r="I20" s="87">
        <f t="shared" si="7"/>
        <v>0</v>
      </c>
      <c r="J20" s="87">
        <f t="shared" si="7"/>
        <v>0</v>
      </c>
      <c r="K20" s="88">
        <f t="shared" si="4"/>
        <v>11</v>
      </c>
    </row>
    <row r="21" spans="1:11" ht="15.75" thickBot="1" x14ac:dyDescent="0.3">
      <c r="A21" s="51" t="s">
        <v>28</v>
      </c>
      <c r="B21" s="91">
        <f>SUM(B20,B17)</f>
        <v>2178</v>
      </c>
      <c r="C21" s="91">
        <f t="shared" ref="C21:I21" si="9">SUM(C20,C17)</f>
        <v>63</v>
      </c>
      <c r="D21" s="91">
        <f t="shared" si="9"/>
        <v>4560</v>
      </c>
      <c r="E21" s="91">
        <f t="shared" si="9"/>
        <v>50</v>
      </c>
      <c r="F21" s="91">
        <f t="shared" ref="F21" si="10">SUM(F20,F17)</f>
        <v>16</v>
      </c>
      <c r="G21" s="91">
        <f t="shared" si="9"/>
        <v>95</v>
      </c>
      <c r="H21" s="91">
        <f t="shared" si="9"/>
        <v>150</v>
      </c>
      <c r="I21" s="91">
        <f t="shared" si="9"/>
        <v>250</v>
      </c>
      <c r="J21" s="91">
        <f>SUM(J20,J17)</f>
        <v>200</v>
      </c>
      <c r="K21" s="92">
        <f t="shared" ref="K21" si="11">SUM(B21:J21)</f>
        <v>7562</v>
      </c>
    </row>
    <row r="22" spans="1:11" ht="13.5" thickBot="1" x14ac:dyDescent="0.25"/>
    <row r="23" spans="1:11" ht="15.75" thickTop="1" x14ac:dyDescent="0.25">
      <c r="A23" s="46" t="s">
        <v>113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6"/>
    </row>
    <row r="24" spans="1:11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2"/>
    </row>
    <row r="25" spans="1:11" x14ac:dyDescent="0.2">
      <c r="A25" s="43" t="s">
        <v>37</v>
      </c>
      <c r="B25" s="89">
        <f>[3]Pinnacle!$JW47</f>
        <v>0</v>
      </c>
      <c r="C25" s="81">
        <f>[3]MESA_UA!$JW47</f>
        <v>0</v>
      </c>
      <c r="D25" s="89">
        <f>'[3]Sky West'!$JW47</f>
        <v>0</v>
      </c>
      <c r="E25" s="89">
        <f>'[3]Sky West_UA'!$JW47</f>
        <v>0</v>
      </c>
      <c r="F25" s="89">
        <f>'[3]Sky West_AA'!$JW47</f>
        <v>0</v>
      </c>
      <c r="G25" s="89">
        <f>[3]Republic!$JW47</f>
        <v>580</v>
      </c>
      <c r="H25" s="89">
        <f>[3]Republic_UA!$JW47</f>
        <v>0</v>
      </c>
      <c r="I25" s="89">
        <f>'[3]American Eagle'!$JW47</f>
        <v>496</v>
      </c>
      <c r="J25" s="89">
        <f>'Other Regional'!H25</f>
        <v>4857.5</v>
      </c>
      <c r="K25" s="82">
        <f>SUM(B25:J25)</f>
        <v>5933.5</v>
      </c>
    </row>
    <row r="26" spans="1:11" x14ac:dyDescent="0.2">
      <c r="A26" s="43" t="s">
        <v>38</v>
      </c>
      <c r="B26" s="89">
        <f>[3]Pinnacle!$JW48</f>
        <v>0</v>
      </c>
      <c r="C26" s="81">
        <f>[3]MESA_UA!$JW48</f>
        <v>0</v>
      </c>
      <c r="D26" s="89">
        <f>'[3]Sky West'!$JW48</f>
        <v>0</v>
      </c>
      <c r="E26" s="89">
        <f>'[3]Sky West_UA'!$JW48</f>
        <v>0</v>
      </c>
      <c r="F26" s="89">
        <f>'[3]Sky West_AA'!$JW48</f>
        <v>0</v>
      </c>
      <c r="G26" s="89">
        <f>[3]Republic!$JW48</f>
        <v>0</v>
      </c>
      <c r="H26" s="89">
        <f>[3]Republic_UA!$JW48</f>
        <v>0</v>
      </c>
      <c r="I26" s="89">
        <f>'[3]American Eagle'!$JW48</f>
        <v>0</v>
      </c>
      <c r="J26" s="89">
        <f>'Other Regional'!H26</f>
        <v>0</v>
      </c>
      <c r="K26" s="82">
        <f>SUM(B26:J26)</f>
        <v>0</v>
      </c>
    </row>
    <row r="27" spans="1:11" ht="15" thickBot="1" x14ac:dyDescent="0.25">
      <c r="A27" s="52" t="s">
        <v>39</v>
      </c>
      <c r="B27" s="99">
        <f t="shared" ref="B27:J27" si="12">SUM(B25:B26)</f>
        <v>0</v>
      </c>
      <c r="C27" s="99">
        <f t="shared" si="12"/>
        <v>0</v>
      </c>
      <c r="D27" s="99">
        <f t="shared" si="12"/>
        <v>0</v>
      </c>
      <c r="E27" s="99">
        <f t="shared" si="12"/>
        <v>0</v>
      </c>
      <c r="F27" s="99">
        <f t="shared" ref="F27" si="13">SUM(F25:F26)</f>
        <v>0</v>
      </c>
      <c r="G27" s="99">
        <f t="shared" si="12"/>
        <v>580</v>
      </c>
      <c r="H27" s="99">
        <f t="shared" si="12"/>
        <v>0</v>
      </c>
      <c r="I27" s="99">
        <f t="shared" si="12"/>
        <v>496</v>
      </c>
      <c r="J27" s="99">
        <f t="shared" si="12"/>
        <v>4857.5</v>
      </c>
      <c r="K27" s="100">
        <f>SUM(B27:J27)</f>
        <v>5933.5</v>
      </c>
    </row>
    <row r="28" spans="1:11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2"/>
    </row>
    <row r="29" spans="1:11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K29" s="82"/>
    </row>
    <row r="30" spans="1:11" x14ac:dyDescent="0.2">
      <c r="A30" s="43" t="s">
        <v>58</v>
      </c>
      <c r="B30" s="89">
        <f>[3]Pinnacle!$JW52</f>
        <v>0</v>
      </c>
      <c r="C30" s="81">
        <f>[3]MESA_UA!$JW52</f>
        <v>0</v>
      </c>
      <c r="D30" s="89">
        <f>'[3]Sky West'!$JW52</f>
        <v>0</v>
      </c>
      <c r="E30" s="89">
        <f>'[3]Sky West_UA'!$JW52</f>
        <v>0</v>
      </c>
      <c r="F30" s="89">
        <f>'[3]Sky West_AA'!$JW52</f>
        <v>0</v>
      </c>
      <c r="G30" s="89">
        <f>[3]Republic!$JW52</f>
        <v>100</v>
      </c>
      <c r="H30" s="89">
        <f>[3]Republic_UA!$JW52</f>
        <v>0</v>
      </c>
      <c r="I30" s="89">
        <f>'[3]American Eagle'!$JW52</f>
        <v>400</v>
      </c>
      <c r="J30" s="89">
        <f>'Other Regional'!H30</f>
        <v>5502</v>
      </c>
      <c r="K30" s="82">
        <f t="shared" ref="K30:K37" si="14">SUM(B30:J30)</f>
        <v>6002</v>
      </c>
    </row>
    <row r="31" spans="1:11" x14ac:dyDescent="0.2">
      <c r="A31" s="43" t="s">
        <v>59</v>
      </c>
      <c r="B31" s="89">
        <f>[3]Pinnacle!$JW53</f>
        <v>0</v>
      </c>
      <c r="C31" s="81">
        <f>[3]MESA_UA!$JW53</f>
        <v>0</v>
      </c>
      <c r="D31" s="89">
        <f>'[3]Sky West'!$JW53</f>
        <v>0</v>
      </c>
      <c r="E31" s="89">
        <f>'[3]Sky West_UA'!$JW53</f>
        <v>0</v>
      </c>
      <c r="F31" s="89">
        <f>'[3]Sky West_AA'!$JW53</f>
        <v>0</v>
      </c>
      <c r="G31" s="89">
        <f>[3]Republic!$JW53</f>
        <v>0</v>
      </c>
      <c r="H31" s="89">
        <f>[3]Republic_UA!$JW53</f>
        <v>0</v>
      </c>
      <c r="I31" s="89">
        <f>'[3]American Eagle'!$JW53</f>
        <v>0</v>
      </c>
      <c r="J31" s="89">
        <f>'Other Regional'!H31</f>
        <v>0</v>
      </c>
      <c r="K31" s="82">
        <f t="shared" si="14"/>
        <v>0</v>
      </c>
    </row>
    <row r="32" spans="1:11" ht="15" thickBot="1" x14ac:dyDescent="0.25">
      <c r="A32" s="52" t="s">
        <v>41</v>
      </c>
      <c r="B32" s="99">
        <f t="shared" ref="B32:I32" si="15">SUM(B30:B31)</f>
        <v>0</v>
      </c>
      <c r="C32" s="99">
        <f t="shared" si="15"/>
        <v>0</v>
      </c>
      <c r="D32" s="99">
        <f t="shared" si="15"/>
        <v>0</v>
      </c>
      <c r="E32" s="99">
        <f t="shared" si="15"/>
        <v>0</v>
      </c>
      <c r="F32" s="99">
        <f t="shared" ref="F32" si="16">SUM(F30:F31)</f>
        <v>0</v>
      </c>
      <c r="G32" s="99">
        <f t="shared" si="15"/>
        <v>100</v>
      </c>
      <c r="H32" s="99">
        <f t="shared" si="15"/>
        <v>0</v>
      </c>
      <c r="I32" s="99">
        <f t="shared" si="15"/>
        <v>400</v>
      </c>
      <c r="J32" s="99">
        <f>SUM(J30:J31)</f>
        <v>5502</v>
      </c>
      <c r="K32" s="100">
        <f t="shared" si="14"/>
        <v>6002</v>
      </c>
    </row>
    <row r="33" spans="1:11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2">
        <f t="shared" si="14"/>
        <v>0</v>
      </c>
    </row>
    <row r="34" spans="1:11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2">
        <f t="shared" si="14"/>
        <v>0</v>
      </c>
    </row>
    <row r="35" spans="1:11" ht="13.5" hidden="1" thickTop="1" x14ac:dyDescent="0.2">
      <c r="A35" s="43" t="s">
        <v>37</v>
      </c>
      <c r="B35" s="89">
        <f>[3]Pinnacle!$JW57</f>
        <v>0</v>
      </c>
      <c r="C35" s="81">
        <f>[3]MESA_UA!$JW57</f>
        <v>0</v>
      </c>
      <c r="D35" s="89">
        <f>'[3]Sky West'!$JW57</f>
        <v>0</v>
      </c>
      <c r="E35" s="89">
        <f>'[3]Sky West_UA'!$JW57</f>
        <v>0</v>
      </c>
      <c r="F35" s="89">
        <f>'[3]Sky West_AA'!$JW57</f>
        <v>0</v>
      </c>
      <c r="G35" s="89">
        <f>[3]Republic!$JW57</f>
        <v>0</v>
      </c>
      <c r="H35" s="89">
        <f>[3]Republic!$JW57</f>
        <v>0</v>
      </c>
      <c r="I35" s="89">
        <f>'[3]American Eagle'!$JW57</f>
        <v>0</v>
      </c>
      <c r="J35" s="89">
        <f>'Other Regional'!H35</f>
        <v>0</v>
      </c>
      <c r="K35" s="82">
        <f t="shared" si="14"/>
        <v>0</v>
      </c>
    </row>
    <row r="36" spans="1:11" ht="13.5" hidden="1" thickTop="1" x14ac:dyDescent="0.2">
      <c r="A36" s="43" t="s">
        <v>38</v>
      </c>
      <c r="B36" s="89">
        <f>[3]Pinnacle!$JW58</f>
        <v>0</v>
      </c>
      <c r="C36" s="81">
        <f>[3]MESA_UA!$JW58</f>
        <v>0</v>
      </c>
      <c r="D36" s="89">
        <f>'[3]Sky West'!$JW58</f>
        <v>0</v>
      </c>
      <c r="E36" s="89">
        <f>'[3]Sky West_UA'!$JW58</f>
        <v>0</v>
      </c>
      <c r="F36" s="89">
        <f>'[3]Sky West_AA'!$JW58</f>
        <v>0</v>
      </c>
      <c r="G36" s="89">
        <f>[3]Republic!$JW58</f>
        <v>0</v>
      </c>
      <c r="H36" s="89">
        <f>[3]Republic!$JW58</f>
        <v>0</v>
      </c>
      <c r="I36" s="89">
        <f>'[3]American Eagle'!$JW58</f>
        <v>0</v>
      </c>
      <c r="J36" s="89">
        <f>'Other Regional'!H36</f>
        <v>0</v>
      </c>
      <c r="K36" s="82">
        <f t="shared" si="14"/>
        <v>0</v>
      </c>
    </row>
    <row r="37" spans="1:11" ht="13.5" hidden="1" thickTop="1" x14ac:dyDescent="0.2">
      <c r="A37" s="54" t="s">
        <v>43</v>
      </c>
      <c r="B37" s="107">
        <f t="shared" ref="B37:I37" si="17">SUM(B35:B36)</f>
        <v>0</v>
      </c>
      <c r="C37" s="107">
        <f t="shared" si="17"/>
        <v>0</v>
      </c>
      <c r="D37" s="107">
        <f t="shared" si="17"/>
        <v>0</v>
      </c>
      <c r="E37" s="107">
        <f t="shared" si="17"/>
        <v>0</v>
      </c>
      <c r="F37" s="107">
        <f t="shared" ref="F37" si="18">SUM(F35:F36)</f>
        <v>0</v>
      </c>
      <c r="G37" s="107">
        <f t="shared" si="17"/>
        <v>0</v>
      </c>
      <c r="H37" s="107">
        <f t="shared" si="17"/>
        <v>0</v>
      </c>
      <c r="I37" s="107">
        <f t="shared" si="17"/>
        <v>0</v>
      </c>
      <c r="J37" s="107">
        <f>SUM(J35:J36)</f>
        <v>0</v>
      </c>
      <c r="K37" s="109">
        <f t="shared" si="14"/>
        <v>0</v>
      </c>
    </row>
    <row r="38" spans="1:11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2"/>
    </row>
    <row r="39" spans="1:11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2"/>
    </row>
    <row r="40" spans="1:11" x14ac:dyDescent="0.2">
      <c r="A40" s="43" t="s">
        <v>45</v>
      </c>
      <c r="B40" s="89">
        <f t="shared" ref="B40:H42" si="19">SUM(B35,B30,B25)</f>
        <v>0</v>
      </c>
      <c r="C40" s="89">
        <f>SUM(C35,C30,C25)</f>
        <v>0</v>
      </c>
      <c r="D40" s="89">
        <f t="shared" si="19"/>
        <v>0</v>
      </c>
      <c r="E40" s="89">
        <f t="shared" ref="E40:E42" si="20">SUM(E35,E30,E25)</f>
        <v>0</v>
      </c>
      <c r="F40" s="89">
        <f t="shared" ref="F40" si="21">SUM(F35,F30,F25)</f>
        <v>0</v>
      </c>
      <c r="G40" s="89">
        <f t="shared" si="19"/>
        <v>680</v>
      </c>
      <c r="H40" s="89">
        <f t="shared" si="19"/>
        <v>0</v>
      </c>
      <c r="I40" s="89">
        <f>SUM(I35,I30,I25)</f>
        <v>896</v>
      </c>
      <c r="J40" s="89">
        <f>J35+J30+J25</f>
        <v>10359.5</v>
      </c>
      <c r="K40" s="82">
        <f>SUM(B40:J40)</f>
        <v>11935.5</v>
      </c>
    </row>
    <row r="41" spans="1:11" x14ac:dyDescent="0.2">
      <c r="A41" s="43" t="s">
        <v>38</v>
      </c>
      <c r="B41" s="89">
        <f t="shared" si="19"/>
        <v>0</v>
      </c>
      <c r="C41" s="89">
        <f>SUM(C36,C31,C26)</f>
        <v>0</v>
      </c>
      <c r="D41" s="89">
        <f t="shared" si="19"/>
        <v>0</v>
      </c>
      <c r="E41" s="89">
        <f t="shared" si="20"/>
        <v>0</v>
      </c>
      <c r="F41" s="89">
        <f t="shared" ref="F41" si="22">SUM(F36,F31,F26)</f>
        <v>0</v>
      </c>
      <c r="G41" s="89">
        <f t="shared" si="19"/>
        <v>0</v>
      </c>
      <c r="H41" s="89">
        <f t="shared" si="19"/>
        <v>0</v>
      </c>
      <c r="I41" s="89">
        <f>SUM(I36,I31,I26)</f>
        <v>0</v>
      </c>
      <c r="J41" s="89">
        <f>J36+J31+J26</f>
        <v>0</v>
      </c>
      <c r="K41" s="82">
        <f>SUM(B41:J41)</f>
        <v>0</v>
      </c>
    </row>
    <row r="42" spans="1:11" ht="15" thickBot="1" x14ac:dyDescent="0.25">
      <c r="A42" s="53" t="s">
        <v>46</v>
      </c>
      <c r="B42" s="102">
        <f t="shared" si="19"/>
        <v>0</v>
      </c>
      <c r="C42" s="102">
        <f>SUM(C37,C32,C27)</f>
        <v>0</v>
      </c>
      <c r="D42" s="102">
        <f t="shared" si="19"/>
        <v>0</v>
      </c>
      <c r="E42" s="102">
        <f t="shared" si="20"/>
        <v>0</v>
      </c>
      <c r="F42" s="102">
        <f t="shared" ref="F42" si="23">SUM(F37,F32,F27)</f>
        <v>0</v>
      </c>
      <c r="G42" s="102">
        <f t="shared" si="19"/>
        <v>680</v>
      </c>
      <c r="H42" s="102">
        <f t="shared" si="19"/>
        <v>0</v>
      </c>
      <c r="I42" s="102">
        <f>SUM(I37,I32,I27)</f>
        <v>896</v>
      </c>
      <c r="J42" s="102">
        <f>SUM(J37,J32,J27)</f>
        <v>10359.5</v>
      </c>
      <c r="K42" s="103">
        <f>SUM(B42:J42)</f>
        <v>11935.5</v>
      </c>
    </row>
    <row r="44" spans="1:11" x14ac:dyDescent="0.2">
      <c r="A44" s="266" t="s">
        <v>119</v>
      </c>
      <c r="B44" s="232">
        <f>[3]Pinnacle!$JW70+[3]Pinnacle!$JW73</f>
        <v>23679</v>
      </c>
      <c r="D44" s="233">
        <f>'[3]Sky West'!$JW70+'[3]Sky West'!$JW73</f>
        <v>45228</v>
      </c>
      <c r="E44" s="2"/>
      <c r="F44" s="2"/>
      <c r="J44" s="233">
        <f>+'Other Regional'!H46</f>
        <v>0</v>
      </c>
      <c r="K44" s="222">
        <f>SUM(B44:J44)</f>
        <v>68907</v>
      </c>
    </row>
    <row r="45" spans="1:11" x14ac:dyDescent="0.2">
      <c r="A45" s="278" t="s">
        <v>120</v>
      </c>
      <c r="B45" s="232">
        <f>[3]Pinnacle!$JW71+[3]Pinnacle!$JW74</f>
        <v>36799</v>
      </c>
      <c r="D45" s="233">
        <f>'[3]Sky West'!$JW71+'[3]Sky West'!$JW74</f>
        <v>78778</v>
      </c>
      <c r="E45" s="2"/>
      <c r="F45" s="2"/>
      <c r="J45" s="233">
        <f>+'Other Regional'!H47</f>
        <v>0</v>
      </c>
      <c r="K45" s="222">
        <f>SUM(B45:J45)</f>
        <v>115577</v>
      </c>
    </row>
    <row r="46" spans="1:11" x14ac:dyDescent="0.2">
      <c r="A46" s="223" t="s">
        <v>121</v>
      </c>
      <c r="B46" s="224">
        <f>SUM(B44:B45)</f>
        <v>60478</v>
      </c>
      <c r="J46" s="2"/>
      <c r="K46" s="209"/>
    </row>
    <row r="47" spans="1:11" x14ac:dyDescent="0.2">
      <c r="A47" s="225"/>
      <c r="B47" s="226" t="b">
        <f>IF(B46=B6,TRUE,FALSE)</f>
        <v>1</v>
      </c>
    </row>
    <row r="50" spans="11:11" x14ac:dyDescent="0.2">
      <c r="K50" s="89"/>
    </row>
  </sheetData>
  <phoneticPr fontId="6" type="noConversion"/>
  <pageMargins left="0.75" right="0.75" top="1" bottom="1" header="0.5" footer="0.5"/>
  <pageSetup scale="84" orientation="landscape" r:id="rId1"/>
  <headerFooter alignWithMargins="0">
    <oddHeader>&amp;L
Schedule 4
&amp;CMinneapolis-St. Paul International Airport
&amp;"Arial,Bold"Regional Major
February 2026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zoomScaleNormal="100" zoomScaleSheetLayoutView="100" workbookViewId="0">
      <selection activeCell="I10" sqref="I10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28515625" customWidth="1"/>
    <col min="5" max="5" width="10" customWidth="1"/>
    <col min="6" max="6" width="10.28515625" customWidth="1"/>
    <col min="7" max="7" width="9.28515625" bestFit="1" customWidth="1"/>
    <col min="8" max="8" width="12.28515625" customWidth="1"/>
  </cols>
  <sheetData>
    <row r="1" spans="1:8" ht="12.75" customHeight="1" x14ac:dyDescent="0.2">
      <c r="A1" s="274"/>
    </row>
    <row r="2" spans="1:8" ht="55.5" customHeight="1" thickBot="1" x14ac:dyDescent="0.25">
      <c r="A2" s="383">
        <v>46054</v>
      </c>
      <c r="B2" s="391" t="s">
        <v>162</v>
      </c>
      <c r="C2" s="391" t="s">
        <v>161</v>
      </c>
      <c r="D2" s="391" t="s">
        <v>202</v>
      </c>
      <c r="E2" s="391" t="s">
        <v>168</v>
      </c>
      <c r="F2" s="391" t="s">
        <v>165</v>
      </c>
      <c r="G2" s="391" t="s">
        <v>156</v>
      </c>
      <c r="H2" s="391" t="s">
        <v>21</v>
      </c>
    </row>
    <row r="3" spans="1:8" ht="15" x14ac:dyDescent="0.25">
      <c r="A3" s="195" t="s">
        <v>3</v>
      </c>
      <c r="B3" s="290"/>
      <c r="C3" s="290"/>
      <c r="D3" s="290"/>
      <c r="E3" s="290"/>
      <c r="F3" s="291"/>
      <c r="G3" s="291"/>
      <c r="H3" s="345"/>
    </row>
    <row r="4" spans="1:8" x14ac:dyDescent="0.2">
      <c r="A4" s="43" t="s">
        <v>29</v>
      </c>
      <c r="B4" s="97"/>
      <c r="C4" s="97"/>
      <c r="D4" s="98"/>
      <c r="E4" s="98"/>
      <c r="F4" s="81"/>
      <c r="G4" s="81"/>
      <c r="H4" s="82"/>
    </row>
    <row r="5" spans="1:8" x14ac:dyDescent="0.2">
      <c r="A5" s="43" t="s">
        <v>30</v>
      </c>
      <c r="B5" s="81">
        <f>'[3]Shuttle America'!$JW22</f>
        <v>0</v>
      </c>
      <c r="C5" s="81">
        <f>'[3]Shuttle America_Delta'!$JW22</f>
        <v>0</v>
      </c>
      <c r="D5" s="322">
        <f>[3]Jazz_AC!$JW22+[3]Jazz_AC!$JW32</f>
        <v>1106</v>
      </c>
      <c r="E5" s="322">
        <f>[3]PSA!$JW22</f>
        <v>3691</v>
      </c>
      <c r="F5" s="81">
        <f>'[3]Continental Express'!$JW22</f>
        <v>0</v>
      </c>
      <c r="G5" s="11">
        <f>'[3]Go Jet'!$JW22+'[3]Go Jet'!$JW32</f>
        <v>0</v>
      </c>
      <c r="H5" s="82">
        <f>SUM(B5:G5)</f>
        <v>4797</v>
      </c>
    </row>
    <row r="6" spans="1:8" s="6" customFormat="1" x14ac:dyDescent="0.2">
      <c r="A6" s="43" t="s">
        <v>31</v>
      </c>
      <c r="B6" s="81">
        <f>'[3]Shuttle America'!$JW23</f>
        <v>0</v>
      </c>
      <c r="C6" s="81">
        <f>'[3]Shuttle America_Delta'!$JW23</f>
        <v>0</v>
      </c>
      <c r="D6" s="322">
        <f>[3]Jazz_AC!$JW23+[3]Jazz_AC!$JW33</f>
        <v>1226</v>
      </c>
      <c r="E6" s="322">
        <f>[3]PSA!$JW23</f>
        <v>3840</v>
      </c>
      <c r="F6" s="81">
        <f>'[3]Continental Express'!$JW23</f>
        <v>0</v>
      </c>
      <c r="G6" s="7">
        <f>'[3]Go Jet'!$JW23+'[3]Go Jet'!$JW33</f>
        <v>0</v>
      </c>
      <c r="H6" s="86">
        <f>SUM(B6:G6)</f>
        <v>5066</v>
      </c>
    </row>
    <row r="7" spans="1:8" ht="15" thickBot="1" x14ac:dyDescent="0.25">
      <c r="A7" s="52" t="s">
        <v>7</v>
      </c>
      <c r="B7" s="99">
        <f t="shared" ref="B7:F7" si="0">SUM(B5:B6)</f>
        <v>0</v>
      </c>
      <c r="C7" s="99">
        <f t="shared" si="0"/>
        <v>0</v>
      </c>
      <c r="D7" s="99">
        <f t="shared" ref="D7" si="1">SUM(D5:D6)</f>
        <v>2332</v>
      </c>
      <c r="E7" s="99">
        <f t="shared" si="0"/>
        <v>7531</v>
      </c>
      <c r="F7" s="99">
        <f t="shared" si="0"/>
        <v>0</v>
      </c>
      <c r="G7" s="99">
        <f>SUM(G5:G6)</f>
        <v>0</v>
      </c>
      <c r="H7" s="100">
        <f>SUM(B7:G7)</f>
        <v>9863</v>
      </c>
    </row>
    <row r="8" spans="1:8" ht="13.5" thickTop="1" x14ac:dyDescent="0.2">
      <c r="A8" s="43"/>
      <c r="B8" s="81"/>
      <c r="C8" s="81"/>
      <c r="D8" s="322"/>
      <c r="E8" s="322"/>
      <c r="F8" s="81"/>
      <c r="G8" s="240"/>
      <c r="H8" s="101"/>
    </row>
    <row r="9" spans="1:8" s="6" customFormat="1" x14ac:dyDescent="0.2">
      <c r="A9" s="43" t="s">
        <v>32</v>
      </c>
      <c r="B9" s="81"/>
      <c r="C9" s="81"/>
      <c r="D9" s="322"/>
      <c r="E9" s="322"/>
      <c r="F9" s="81"/>
      <c r="G9" s="11"/>
      <c r="H9" s="82"/>
    </row>
    <row r="10" spans="1:8" x14ac:dyDescent="0.2">
      <c r="A10" s="43" t="s">
        <v>30</v>
      </c>
      <c r="B10" s="81">
        <f>'[3]Shuttle America'!$JW27</f>
        <v>0</v>
      </c>
      <c r="C10" s="81">
        <f>'[3]Shuttle America_Delta'!$JW27</f>
        <v>0</v>
      </c>
      <c r="D10" s="322">
        <f>[3]Jazz_AC!$JW27+[3]Jazz_AC!$JW37</f>
        <v>41</v>
      </c>
      <c r="E10" s="322">
        <f>[3]PSA!$JW27</f>
        <v>131</v>
      </c>
      <c r="F10" s="81">
        <f>'[3]Continental Express'!$JW27</f>
        <v>0</v>
      </c>
      <c r="G10" s="11">
        <f>'[3]Go Jet'!$JW27+'[3]Go Jet'!$JW37</f>
        <v>0</v>
      </c>
      <c r="H10" s="82">
        <f>SUM(B10:G10)</f>
        <v>172</v>
      </c>
    </row>
    <row r="11" spans="1:8" x14ac:dyDescent="0.2">
      <c r="A11" s="43" t="s">
        <v>33</v>
      </c>
      <c r="B11" s="81">
        <f>'[3]Shuttle America'!$JW28</f>
        <v>0</v>
      </c>
      <c r="C11" s="81">
        <f>'[3]Shuttle America_Delta'!$JW28</f>
        <v>0</v>
      </c>
      <c r="D11" s="322">
        <f>[3]Jazz_AC!$JW28+[3]Jazz_AC!$JW38</f>
        <v>37</v>
      </c>
      <c r="E11" s="322">
        <f>[3]PSA!$JW28</f>
        <v>125</v>
      </c>
      <c r="F11" s="81">
        <f>'[3]Continental Express'!$JW28</f>
        <v>0</v>
      </c>
      <c r="G11" s="7">
        <f>'[3]Go Jet'!$JW28+'[3]Go Jet'!$JW38</f>
        <v>0</v>
      </c>
      <c r="H11" s="86">
        <f>SUM(B11:G11)</f>
        <v>162</v>
      </c>
    </row>
    <row r="12" spans="1:8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" si="2">SUM(D10:D11)</f>
        <v>78</v>
      </c>
      <c r="E12" s="102">
        <f t="shared" ref="E12" si="3">SUM(E10:E11)</f>
        <v>256</v>
      </c>
      <c r="F12" s="102">
        <f t="shared" ref="F12" si="4">SUM(F10:F11)</f>
        <v>0</v>
      </c>
      <c r="G12" s="102">
        <f t="shared" ref="G12" si="5">SUM(G10:G11)</f>
        <v>0</v>
      </c>
      <c r="H12" s="103">
        <f>SUM(B12:G12)</f>
        <v>334</v>
      </c>
    </row>
    <row r="13" spans="1:8" ht="13.5" thickBot="1" x14ac:dyDescent="0.25">
      <c r="D13" s="89"/>
      <c r="E13" s="89"/>
    </row>
    <row r="14" spans="1:8" ht="15.75" thickTop="1" x14ac:dyDescent="0.25">
      <c r="A14" s="42" t="s">
        <v>9</v>
      </c>
      <c r="B14" s="76"/>
      <c r="C14" s="76"/>
      <c r="D14" s="76"/>
      <c r="E14" s="76"/>
      <c r="F14" s="77"/>
      <c r="G14" s="76"/>
      <c r="H14" s="78"/>
    </row>
    <row r="15" spans="1:8" x14ac:dyDescent="0.2">
      <c r="A15" s="43" t="s">
        <v>52</v>
      </c>
      <c r="B15" s="79">
        <f>'[3]Shuttle America'!$JW4</f>
        <v>0</v>
      </c>
      <c r="C15" s="79">
        <f>'[3]Shuttle America_Delta'!$JW4</f>
        <v>0</v>
      </c>
      <c r="D15" s="323">
        <f>[3]Jazz_AC!$JW4+[3]Jazz_AC!$JW15</f>
        <v>24</v>
      </c>
      <c r="E15" s="323">
        <f>[3]PSA!$JW4</f>
        <v>77</v>
      </c>
      <c r="F15" s="80">
        <f>'[3]Continental Express'!$JW4</f>
        <v>0</v>
      </c>
      <c r="G15" s="11">
        <f>'[3]Go Jet'!$JW4+'[3]Go Jet'!$JW15</f>
        <v>0</v>
      </c>
      <c r="H15" s="82">
        <f>SUM(B15:G15)</f>
        <v>101</v>
      </c>
    </row>
    <row r="16" spans="1:8" x14ac:dyDescent="0.2">
      <c r="A16" s="43" t="s">
        <v>53</v>
      </c>
      <c r="B16" s="83">
        <f>'[3]Shuttle America'!$JW5</f>
        <v>0</v>
      </c>
      <c r="C16" s="83">
        <f>'[3]Shuttle America_Delta'!$JW5</f>
        <v>0</v>
      </c>
      <c r="D16" s="324">
        <f>[3]Jazz_AC!$JW5+[3]Jazz_AC!$JW16</f>
        <v>23</v>
      </c>
      <c r="E16" s="324">
        <f>[3]PSA!$JW5</f>
        <v>76</v>
      </c>
      <c r="F16" s="84">
        <f>'[3]Continental Express'!$JW5</f>
        <v>0</v>
      </c>
      <c r="G16" s="7">
        <f>'[3]Go Jet'!$JW5+'[3]Go Jet'!$JW16</f>
        <v>0</v>
      </c>
      <c r="H16" s="86">
        <f>SUM(B16:G16)</f>
        <v>99</v>
      </c>
    </row>
    <row r="17" spans="1:11" x14ac:dyDescent="0.2">
      <c r="A17" s="47" t="s">
        <v>54</v>
      </c>
      <c r="B17" s="87">
        <f>SUM(B15:B16)</f>
        <v>0</v>
      </c>
      <c r="C17" s="87">
        <f>SUM(C15:C16)</f>
        <v>0</v>
      </c>
      <c r="D17" s="87">
        <f t="shared" ref="D17" si="6">SUM(D15:D16)</f>
        <v>47</v>
      </c>
      <c r="E17" s="87">
        <f t="shared" ref="E17" si="7">SUM(E15:E16)</f>
        <v>153</v>
      </c>
      <c r="F17" s="87">
        <f t="shared" ref="F17" si="8">SUM(F15:F16)</f>
        <v>0</v>
      </c>
      <c r="G17" s="202">
        <f>SUM(G15:G16)</f>
        <v>0</v>
      </c>
      <c r="H17" s="88">
        <f>SUM(B17:G17)</f>
        <v>200</v>
      </c>
    </row>
    <row r="18" spans="1:11" x14ac:dyDescent="0.2">
      <c r="A18" s="43" t="s">
        <v>55</v>
      </c>
      <c r="B18" s="89">
        <f>'[3]Shuttle America'!$JW8</f>
        <v>0</v>
      </c>
      <c r="C18" s="89">
        <f>'[3]Shuttle America_Delta'!$JW8</f>
        <v>0</v>
      </c>
      <c r="D18" s="89">
        <f>[3]Jazz_AC!$JW8</f>
        <v>0</v>
      </c>
      <c r="E18" s="89">
        <f>[3]PSA!$JW8</f>
        <v>0</v>
      </c>
      <c r="F18" s="81">
        <f>'[3]Continental Express'!$JW8</f>
        <v>0</v>
      </c>
      <c r="G18" s="11">
        <f>'[3]Go Jet'!$JW8</f>
        <v>0</v>
      </c>
      <c r="H18" s="82">
        <f t="shared" ref="H18:H21" si="9">SUM(B18:G18)</f>
        <v>0</v>
      </c>
      <c r="K18" s="269"/>
    </row>
    <row r="19" spans="1:11" x14ac:dyDescent="0.2">
      <c r="A19" s="43" t="s">
        <v>56</v>
      </c>
      <c r="B19" s="90">
        <f>'[3]Shuttle America'!$JW9</f>
        <v>0</v>
      </c>
      <c r="C19" s="90">
        <f>'[3]Shuttle America_Delta'!$JW9</f>
        <v>0</v>
      </c>
      <c r="D19" s="90">
        <f>[3]Jazz_AC!$JW9</f>
        <v>0</v>
      </c>
      <c r="E19" s="90">
        <f>[3]PSA!$JW9</f>
        <v>0</v>
      </c>
      <c r="F19" s="85">
        <f>'[3]Continental Express'!$JW9</f>
        <v>0</v>
      </c>
      <c r="G19" s="7">
        <f>'[3]Go Jet'!$JW9</f>
        <v>0</v>
      </c>
      <c r="H19" s="86">
        <f t="shared" si="9"/>
        <v>0</v>
      </c>
    </row>
    <row r="20" spans="1:11" x14ac:dyDescent="0.2">
      <c r="A20" s="47" t="s">
        <v>57</v>
      </c>
      <c r="B20" s="87">
        <f>SUM(B18:B19)</f>
        <v>0</v>
      </c>
      <c r="C20" s="87">
        <f>SUM(C18:C19)</f>
        <v>0</v>
      </c>
      <c r="D20" s="87">
        <f t="shared" ref="D20" si="10">SUM(D18:D19)</f>
        <v>0</v>
      </c>
      <c r="E20" s="87">
        <f t="shared" ref="E20" si="11">SUM(E18:E19)</f>
        <v>0</v>
      </c>
      <c r="F20" s="87">
        <f t="shared" ref="F20" si="12">SUM(F18:F19)</f>
        <v>0</v>
      </c>
      <c r="G20" s="202">
        <f>SUM(G18:G19)</f>
        <v>0</v>
      </c>
      <c r="H20" s="88">
        <f t="shared" si="9"/>
        <v>0</v>
      </c>
    </row>
    <row r="21" spans="1:11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" si="13">SUM(D20,D17)</f>
        <v>47</v>
      </c>
      <c r="E21" s="91">
        <f t="shared" ref="E21" si="14">SUM(E20,E17)</f>
        <v>153</v>
      </c>
      <c r="F21" s="91">
        <f t="shared" ref="F21" si="15">SUM(F20,F17)</f>
        <v>0</v>
      </c>
      <c r="G21" s="91">
        <f t="shared" ref="G21" si="16">SUM(G20,G17)</f>
        <v>0</v>
      </c>
      <c r="H21" s="92">
        <f t="shared" si="9"/>
        <v>200</v>
      </c>
    </row>
    <row r="22" spans="1:11" ht="3.75" customHeight="1" thickBot="1" x14ac:dyDescent="0.25"/>
    <row r="23" spans="1:11" ht="15.75" thickTop="1" x14ac:dyDescent="0.25">
      <c r="A23" s="46" t="s">
        <v>113</v>
      </c>
      <c r="B23" s="104"/>
      <c r="C23" s="104"/>
      <c r="D23" s="104"/>
      <c r="E23" s="104"/>
      <c r="F23" s="105"/>
      <c r="G23" s="104"/>
      <c r="H23" s="106"/>
    </row>
    <row r="24" spans="1:11" x14ac:dyDescent="0.2">
      <c r="A24" s="43" t="s">
        <v>36</v>
      </c>
      <c r="B24" s="89"/>
      <c r="C24" s="89"/>
      <c r="D24" s="89"/>
      <c r="E24" s="89"/>
      <c r="F24" s="81"/>
      <c r="H24" s="82"/>
    </row>
    <row r="25" spans="1:11" x14ac:dyDescent="0.2">
      <c r="A25" s="43" t="s">
        <v>37</v>
      </c>
      <c r="B25" s="89">
        <f>'[3]Shuttle America'!$JW47</f>
        <v>0</v>
      </c>
      <c r="C25" s="89">
        <f>'[3]Shuttle America_Delta'!$JW47</f>
        <v>0</v>
      </c>
      <c r="D25" s="89">
        <f>[3]Jazz_AC!$JW47</f>
        <v>4817.5</v>
      </c>
      <c r="E25" s="89">
        <f>[3]PSA!$JW47</f>
        <v>40</v>
      </c>
      <c r="F25" s="81">
        <f>'[3]Continental Express'!$JW47</f>
        <v>0</v>
      </c>
      <c r="G25" s="89">
        <f>'[3]Go Jet'!$JW47</f>
        <v>0</v>
      </c>
      <c r="H25" s="82">
        <f>SUM(B25:G25)</f>
        <v>4857.5</v>
      </c>
    </row>
    <row r="26" spans="1:11" x14ac:dyDescent="0.2">
      <c r="A26" s="43" t="s">
        <v>38</v>
      </c>
      <c r="B26" s="89">
        <f>'[3]Shuttle America'!$JW48</f>
        <v>0</v>
      </c>
      <c r="C26" s="89">
        <f>'[3]Shuttle America_Delta'!$JW48</f>
        <v>0</v>
      </c>
      <c r="D26" s="89">
        <f>[3]Jazz_AC!$JW48</f>
        <v>0</v>
      </c>
      <c r="E26" s="89">
        <f>[3]PSA!$JW48</f>
        <v>0</v>
      </c>
      <c r="F26" s="81">
        <f>'[3]Continental Express'!$JW48</f>
        <v>0</v>
      </c>
      <c r="G26" s="89">
        <f>'[3]Go Jet'!$JW48</f>
        <v>0</v>
      </c>
      <c r="H26" s="82">
        <f>SUM(B26:G26)</f>
        <v>0</v>
      </c>
    </row>
    <row r="27" spans="1:11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" si="17">SUM(D25:D26)</f>
        <v>4817.5</v>
      </c>
      <c r="E27" s="99">
        <f t="shared" ref="E27" si="18">SUM(E25:E26)</f>
        <v>40</v>
      </c>
      <c r="F27" s="99">
        <f t="shared" ref="F27" si="19">SUM(F25:F26)</f>
        <v>0</v>
      </c>
      <c r="G27" s="99">
        <f>SUM(G25:G26)</f>
        <v>0</v>
      </c>
      <c r="H27" s="100">
        <f>SUM(B27:G27)</f>
        <v>4857.5</v>
      </c>
    </row>
    <row r="28" spans="1:11" ht="7.5" customHeight="1" thickTop="1" x14ac:dyDescent="0.2">
      <c r="A28" s="43"/>
      <c r="B28" s="89"/>
      <c r="C28" s="89"/>
      <c r="D28" s="89"/>
      <c r="E28" s="89"/>
      <c r="F28" s="81"/>
      <c r="G28" s="89"/>
      <c r="H28" s="82"/>
    </row>
    <row r="29" spans="1:11" x14ac:dyDescent="0.2">
      <c r="A29" s="43" t="s">
        <v>40</v>
      </c>
      <c r="B29" s="89"/>
      <c r="C29" s="89"/>
      <c r="D29" s="89"/>
      <c r="E29" s="89"/>
      <c r="F29" s="81"/>
      <c r="G29" s="89"/>
      <c r="H29" s="82"/>
    </row>
    <row r="30" spans="1:11" x14ac:dyDescent="0.2">
      <c r="A30" s="43" t="s">
        <v>58</v>
      </c>
      <c r="B30" s="89">
        <f>'[3]Shuttle America'!$JW52</f>
        <v>0</v>
      </c>
      <c r="C30" s="89">
        <f>'[3]Shuttle America_Delta'!$JW52</f>
        <v>0</v>
      </c>
      <c r="D30" s="89">
        <f>[3]Jazz_AC!$JW52</f>
        <v>5232</v>
      </c>
      <c r="E30" s="89">
        <f>[3]PSA!$JW52</f>
        <v>270</v>
      </c>
      <c r="F30" s="81">
        <f>'[3]Continental Express'!$JW52</f>
        <v>0</v>
      </c>
      <c r="G30" s="89">
        <f>'[3]Go Jet'!$JW52</f>
        <v>0</v>
      </c>
      <c r="H30" s="82">
        <f>SUM(B30:G30)</f>
        <v>5502</v>
      </c>
    </row>
    <row r="31" spans="1:11" x14ac:dyDescent="0.2">
      <c r="A31" s="43" t="s">
        <v>59</v>
      </c>
      <c r="B31" s="89">
        <f>'[3]Shuttle America'!$JW53</f>
        <v>0</v>
      </c>
      <c r="C31" s="89">
        <f>'[3]Shuttle America_Delta'!$JW53</f>
        <v>0</v>
      </c>
      <c r="D31" s="89">
        <f>[3]Jazz_AC!$JW53</f>
        <v>0</v>
      </c>
      <c r="E31" s="89">
        <f>[3]PSA!$JW53</f>
        <v>0</v>
      </c>
      <c r="F31" s="81">
        <f>'[3]Continental Express'!$JW53</f>
        <v>0</v>
      </c>
      <c r="G31" s="89">
        <f>'[3]Go Jet'!$JW53</f>
        <v>0</v>
      </c>
      <c r="H31" s="82">
        <f>SUM(B31:G31)</f>
        <v>0</v>
      </c>
    </row>
    <row r="32" spans="1:11" ht="15" thickBot="1" x14ac:dyDescent="0.25">
      <c r="A32" s="52" t="s">
        <v>41</v>
      </c>
      <c r="B32" s="99">
        <f t="shared" ref="B32:F32" si="20">SUM(B30:B31)</f>
        <v>0</v>
      </c>
      <c r="C32" s="99">
        <f t="shared" si="20"/>
        <v>0</v>
      </c>
      <c r="D32" s="99">
        <f t="shared" ref="D32" si="21">SUM(D30:D31)</f>
        <v>5232</v>
      </c>
      <c r="E32" s="99">
        <f t="shared" si="20"/>
        <v>270</v>
      </c>
      <c r="F32" s="99">
        <f t="shared" si="20"/>
        <v>0</v>
      </c>
      <c r="G32" s="99">
        <f t="shared" ref="G32" si="22">SUM(G30:G31)</f>
        <v>0</v>
      </c>
      <c r="H32" s="100">
        <f>SUM(B32:G32)</f>
        <v>5502</v>
      </c>
    </row>
    <row r="33" spans="1:8" ht="13.5" hidden="1" thickTop="1" x14ac:dyDescent="0.2">
      <c r="A33" s="43"/>
      <c r="B33" s="89"/>
      <c r="C33" s="89"/>
      <c r="D33" s="89"/>
      <c r="E33" s="89"/>
      <c r="F33" s="81"/>
      <c r="G33" s="89"/>
      <c r="H33" s="82"/>
    </row>
    <row r="34" spans="1:8" ht="13.5" hidden="1" thickTop="1" x14ac:dyDescent="0.2">
      <c r="A34" s="43" t="s">
        <v>42</v>
      </c>
      <c r="B34" s="89"/>
      <c r="C34" s="89"/>
      <c r="D34" s="89"/>
      <c r="E34" s="89"/>
      <c r="F34" s="81"/>
      <c r="G34" s="89"/>
      <c r="H34" s="82"/>
    </row>
    <row r="35" spans="1:8" ht="13.5" hidden="1" thickTop="1" x14ac:dyDescent="0.2">
      <c r="A35" s="43" t="s">
        <v>37</v>
      </c>
      <c r="B35" s="89">
        <f>'[3]Shuttle America'!$JW57</f>
        <v>0</v>
      </c>
      <c r="C35" s="89">
        <f>'[3]Shuttle America_Delta'!$JW57</f>
        <v>0</v>
      </c>
      <c r="D35" s="89">
        <f>[3]Jazz_AC!$JW57</f>
        <v>0</v>
      </c>
      <c r="E35" s="89">
        <f>[3]PSA!$JW57</f>
        <v>0</v>
      </c>
      <c r="F35" s="81">
        <f>'[3]Continental Express'!$JW57</f>
        <v>0</v>
      </c>
      <c r="G35" s="89">
        <f>'[3]Go Jet'!$JW57</f>
        <v>0</v>
      </c>
      <c r="H35" s="82">
        <f>SUM(B35:G35)</f>
        <v>0</v>
      </c>
    </row>
    <row r="36" spans="1:8" ht="13.5" hidden="1" thickTop="1" x14ac:dyDescent="0.2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[3]Jazz_AC!BF$58</f>
        <v>0</v>
      </c>
      <c r="E36" s="89">
        <f>[3]PSA!BG$58</f>
        <v>0</v>
      </c>
      <c r="F36" s="81">
        <f>'[3]Continental Express'!BG$58</f>
        <v>0</v>
      </c>
      <c r="G36" s="89">
        <f>'[3]Go Jet'!BK$58</f>
        <v>0</v>
      </c>
      <c r="H36" s="82">
        <f>SUM(B36:G36)</f>
        <v>0</v>
      </c>
    </row>
    <row r="37" spans="1:8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" si="23">SUM(D35:D36)</f>
        <v>0</v>
      </c>
      <c r="E37" s="107">
        <f t="shared" ref="E37" si="24">SUM(E35:E36)</f>
        <v>0</v>
      </c>
      <c r="F37" s="108">
        <f t="shared" ref="F37" si="25">SUM(F35:F36)</f>
        <v>0</v>
      </c>
      <c r="G37" s="107">
        <f>SUM(G35:G36)</f>
        <v>0</v>
      </c>
      <c r="H37" s="109">
        <f>SUM(B37:G37)</f>
        <v>0</v>
      </c>
    </row>
    <row r="38" spans="1:8" ht="6.75" customHeight="1" thickTop="1" x14ac:dyDescent="0.2">
      <c r="A38" s="43"/>
      <c r="B38" s="89"/>
      <c r="C38" s="89"/>
      <c r="D38" s="89"/>
      <c r="E38" s="89"/>
      <c r="F38" s="81"/>
      <c r="G38" s="89"/>
      <c r="H38" s="82"/>
    </row>
    <row r="39" spans="1:8" x14ac:dyDescent="0.2">
      <c r="A39" s="43" t="s">
        <v>44</v>
      </c>
      <c r="B39" s="89"/>
      <c r="C39" s="89"/>
      <c r="D39" s="89"/>
      <c r="E39" s="89"/>
      <c r="F39" s="81"/>
      <c r="G39" s="89"/>
      <c r="H39" s="82"/>
    </row>
    <row r="40" spans="1:8" x14ac:dyDescent="0.2">
      <c r="A40" s="43" t="s">
        <v>45</v>
      </c>
      <c r="B40" s="89">
        <f t="shared" ref="B40:F40" si="26">SUM(B35,B30,B25)</f>
        <v>0</v>
      </c>
      <c r="C40" s="89">
        <f>SUM(C35,C30,C25)</f>
        <v>0</v>
      </c>
      <c r="D40" s="89">
        <f t="shared" ref="D40" si="27">SUM(D35,D30,D25)</f>
        <v>10049.5</v>
      </c>
      <c r="E40" s="89">
        <f t="shared" ref="E40:E41" si="28">SUM(E35,E30,E25)</f>
        <v>310</v>
      </c>
      <c r="F40" s="89">
        <f t="shared" si="26"/>
        <v>0</v>
      </c>
      <c r="G40" s="89">
        <f t="shared" ref="G40" si="29">SUM(G35,G30,G25)</f>
        <v>0</v>
      </c>
      <c r="H40" s="82">
        <f>SUM(B40:G40)</f>
        <v>10359.5</v>
      </c>
    </row>
    <row r="41" spans="1:8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ref="D41" si="30">SUM(D36,D31,D26)</f>
        <v>0</v>
      </c>
      <c r="E41" s="89">
        <f t="shared" si="28"/>
        <v>0</v>
      </c>
      <c r="F41" s="89">
        <f t="shared" ref="F41" si="31">SUM(F36,F31,F26)</f>
        <v>0</v>
      </c>
      <c r="G41" s="89">
        <f t="shared" ref="G41" si="32">SUM(G36,G31,G26)</f>
        <v>0</v>
      </c>
      <c r="H41" s="82">
        <f>SUM(B41:G41)</f>
        <v>0</v>
      </c>
    </row>
    <row r="42" spans="1:8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" si="33">SUM(D40:D41)</f>
        <v>10049.5</v>
      </c>
      <c r="E42" s="102">
        <f t="shared" ref="E42" si="34">SUM(E40:E41)</f>
        <v>310</v>
      </c>
      <c r="F42" s="102">
        <f t="shared" ref="F42" si="35">SUM(F40:F41)</f>
        <v>0</v>
      </c>
      <c r="G42" s="102">
        <f t="shared" ref="G42" si="36">SUM(G40:G41)</f>
        <v>0</v>
      </c>
      <c r="H42" s="103">
        <f>SUM(B42:G42)</f>
        <v>10359.5</v>
      </c>
    </row>
    <row r="43" spans="1:8" ht="4.5" customHeight="1" x14ac:dyDescent="0.2"/>
    <row r="44" spans="1:8" hidden="1" x14ac:dyDescent="0.2">
      <c r="A44" s="234" t="s">
        <v>122</v>
      </c>
      <c r="G44" s="233">
        <f>'[3]Go Jet'!BK$70+'[3]Go Jet'!BK$73</f>
        <v>0</v>
      </c>
      <c r="H44" s="222" t="e">
        <f>SUM(#REF!)</f>
        <v>#REF!</v>
      </c>
    </row>
    <row r="45" spans="1:8" hidden="1" x14ac:dyDescent="0.2">
      <c r="A45" s="234" t="s">
        <v>123</v>
      </c>
      <c r="G45" s="233">
        <f>'[3]Go Jet'!BK$71+'[3]Go Jet'!BK$74</f>
        <v>0</v>
      </c>
      <c r="H45" s="222" t="e">
        <f>SUM(#REF!)</f>
        <v>#REF!</v>
      </c>
    </row>
    <row r="46" spans="1:8" x14ac:dyDescent="0.2">
      <c r="A46" s="266" t="s">
        <v>119</v>
      </c>
      <c r="C46" s="233">
        <f>'[3]Shuttle America_Delta'!$JW70+'[3]Shuttle America_Delta'!$JW73</f>
        <v>0</v>
      </c>
      <c r="G46" s="233">
        <f>'[3]Go Jet'!$JW70+'[3]Go Jet'!$JW73</f>
        <v>0</v>
      </c>
      <c r="H46" s="277">
        <f>SUM(B46:G46)</f>
        <v>0</v>
      </c>
    </row>
    <row r="47" spans="1:8" x14ac:dyDescent="0.2">
      <c r="A47" s="278" t="s">
        <v>120</v>
      </c>
      <c r="C47" s="233">
        <f>'[3]Shuttle America_Delta'!$JW71+'[3]Shuttle America_Delta'!$JW74</f>
        <v>0</v>
      </c>
      <c r="G47" s="233">
        <f>'[3]Go Jet'!$JW71+'[3]Go Jet'!$JW74</f>
        <v>0</v>
      </c>
      <c r="H47" s="277">
        <f>SUM(B47:G47)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February 2026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topLeftCell="A11" zoomScale="115" zoomScaleNormal="115" workbookViewId="0">
      <selection activeCell="L22" sqref="L22"/>
    </sheetView>
  </sheetViews>
  <sheetFormatPr defaultColWidth="9.7109375" defaultRowHeight="12.75" x14ac:dyDescent="0.2"/>
  <cols>
    <col min="1" max="1" width="21.28515625" bestFit="1" customWidth="1"/>
    <col min="2" max="2" width="10.5703125" bestFit="1" customWidth="1"/>
    <col min="3" max="4" width="10.28515625" bestFit="1" customWidth="1"/>
    <col min="5" max="5" width="11.5703125" customWidth="1"/>
    <col min="6" max="6" width="11.28515625" customWidth="1"/>
    <col min="7" max="8" width="11.28515625" bestFit="1" customWidth="1"/>
    <col min="9" max="9" width="12" customWidth="1"/>
    <col min="10" max="10" width="11.28515625" bestFit="1" customWidth="1"/>
    <col min="11" max="11" width="9.7109375" customWidth="1"/>
    <col min="12" max="13" width="11.28515625" bestFit="1" customWidth="1"/>
    <col min="14" max="14" width="11.42578125" bestFit="1" customWidth="1"/>
    <col min="15" max="15" width="12.28515625" bestFit="1" customWidth="1"/>
    <col min="16" max="16" width="8.7109375" bestFit="1" customWidth="1"/>
    <col min="19" max="19" width="16" bestFit="1" customWidth="1"/>
  </cols>
  <sheetData>
    <row r="2" spans="1:18" ht="26.25" thickBot="1" x14ac:dyDescent="0.25">
      <c r="A2" s="383">
        <v>46054</v>
      </c>
      <c r="B2" s="141" t="s">
        <v>115</v>
      </c>
      <c r="C2" s="141" t="s">
        <v>149</v>
      </c>
      <c r="D2" s="75" t="s">
        <v>76</v>
      </c>
      <c r="E2" s="75" t="s">
        <v>150</v>
      </c>
      <c r="F2" s="75" t="s">
        <v>210</v>
      </c>
      <c r="G2" s="141" t="s">
        <v>128</v>
      </c>
      <c r="H2" s="138" t="s">
        <v>77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2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2">
        <f>'[3]Charter Misc'!$JW22</f>
        <v>0</v>
      </c>
      <c r="C5" s="145">
        <f>[3]Ryan!$JW22</f>
        <v>0</v>
      </c>
      <c r="D5" s="145">
        <f>'[3]Charter Misc'!$JW32</f>
        <v>0</v>
      </c>
      <c r="E5" s="145">
        <f>[3]Omni!$JW32+[3]Omni!$JW22</f>
        <v>0</v>
      </c>
      <c r="F5" s="145">
        <f>'[3]Red Way'!$JW32+'[3]Red Way'!$JW22</f>
        <v>0</v>
      </c>
      <c r="G5" s="145">
        <f>[3]Xtra!$JW32+[3]Xtra!$JW22</f>
        <v>0</v>
      </c>
      <c r="H5" s="239">
        <f>SUM(B5:G5)</f>
        <v>0</v>
      </c>
    </row>
    <row r="6" spans="1:18" x14ac:dyDescent="0.2">
      <c r="A6" s="43" t="s">
        <v>31</v>
      </c>
      <c r="B6" s="303">
        <f>'[3]Charter Misc'!$JW23+'[3]Charter Misc'!$JW28+'[3]Charter Misc'!$JW38</f>
        <v>0</v>
      </c>
      <c r="C6" s="148">
        <f>[3]Ryan!$JW23</f>
        <v>0</v>
      </c>
      <c r="D6" s="148">
        <f>'[3]Charter Misc'!$JW33</f>
        <v>0</v>
      </c>
      <c r="E6" s="148">
        <f>[3]Omni!$JW23+[3]Omni!$JW33+[3]Omni!$JW28+[3]Omni!$JW38</f>
        <v>0</v>
      </c>
      <c r="F6" s="148">
        <f>'[3]Red Way'!$JW33+'[3]Red Way'!$JW23</f>
        <v>0</v>
      </c>
      <c r="G6" s="148">
        <f>[3]Xtra!$JW33+[3]Xtra!$JW23</f>
        <v>0</v>
      </c>
      <c r="H6" s="239">
        <f>SUM(B6:G6)</f>
        <v>0</v>
      </c>
    </row>
    <row r="7" spans="1:18" ht="15.75" thickBot="1" x14ac:dyDescent="0.3">
      <c r="A7" s="144" t="s">
        <v>7</v>
      </c>
      <c r="B7" s="304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.5" thickBot="1" x14ac:dyDescent="0.25"/>
    <row r="9" spans="1:18" x14ac:dyDescent="0.2">
      <c r="A9" s="142" t="s">
        <v>9</v>
      </c>
      <c r="B9" s="305"/>
      <c r="C9" s="28"/>
      <c r="D9" s="28"/>
      <c r="E9" s="28"/>
      <c r="F9" s="28"/>
      <c r="G9" s="28"/>
      <c r="H9" s="38"/>
    </row>
    <row r="10" spans="1:18" x14ac:dyDescent="0.2">
      <c r="A10" s="143" t="s">
        <v>78</v>
      </c>
      <c r="B10" s="302">
        <f>'[3]Charter Misc'!$JW4+'[3]Charter Misc'!$JW8</f>
        <v>0</v>
      </c>
      <c r="C10" s="145">
        <f>[3]Ryan!$JW4</f>
        <v>0</v>
      </c>
      <c r="D10" s="145">
        <f>'[3]Charter Misc'!$JW15</f>
        <v>0</v>
      </c>
      <c r="E10" s="145">
        <f>[3]Omni!$JW15+[3]Omni!$JW4</f>
        <v>0</v>
      </c>
      <c r="F10" s="145">
        <f>'[3]Red Way'!$JW15+'[3]Red Way'!$JW4</f>
        <v>0</v>
      </c>
      <c r="G10" s="145">
        <f>[3]Xtra!$JW15+[3]Xtra!$JW4</f>
        <v>0</v>
      </c>
      <c r="H10" s="238">
        <f>SUM(B10:G10)</f>
        <v>0</v>
      </c>
    </row>
    <row r="11" spans="1:18" x14ac:dyDescent="0.2">
      <c r="A11" s="143" t="s">
        <v>79</v>
      </c>
      <c r="B11" s="302">
        <f>'[3]Charter Misc'!$JW5+'[3]Charter Misc'!$JW9</f>
        <v>0</v>
      </c>
      <c r="C11" s="145">
        <f>[3]Ryan!$JW5</f>
        <v>0</v>
      </c>
      <c r="D11" s="145">
        <f>'[3]Charter Misc'!$JW16</f>
        <v>0</v>
      </c>
      <c r="E11" s="145">
        <f>[3]Omni!$JW16+[3]Omni!$JW5</f>
        <v>0</v>
      </c>
      <c r="F11" s="145">
        <f>'[3]Red Way'!$JW16+'[3]Red Way'!$JW5</f>
        <v>0</v>
      </c>
      <c r="G11" s="145">
        <f>[3]Xtra!$JW16+[3]Xtra!$JW5</f>
        <v>0</v>
      </c>
      <c r="H11" s="238">
        <f>SUM(B11:G11)</f>
        <v>0</v>
      </c>
    </row>
    <row r="12" spans="1:18" ht="15.75" thickBot="1" x14ac:dyDescent="0.3">
      <c r="A12" s="193" t="s">
        <v>28</v>
      </c>
      <c r="B12" s="306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x14ac:dyDescent="0.2">
      <c r="B17" s="458" t="s">
        <v>147</v>
      </c>
      <c r="C17" s="459"/>
      <c r="D17" s="459"/>
      <c r="E17" s="459"/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60"/>
    </row>
    <row r="18" spans="1:19" ht="13.5" thickBot="1" x14ac:dyDescent="0.25">
      <c r="A18" s="228"/>
      <c r="E18" s="163"/>
      <c r="G18" s="163"/>
      <c r="H18" s="163"/>
      <c r="L18" s="167"/>
      <c r="N18" s="4"/>
    </row>
    <row r="19" spans="1:19" ht="13.5" customHeight="1" thickBot="1" x14ac:dyDescent="0.25">
      <c r="A19" s="292"/>
      <c r="B19" s="461" t="s">
        <v>116</v>
      </c>
      <c r="C19" s="462"/>
      <c r="D19" s="462"/>
      <c r="E19" s="463"/>
      <c r="G19" s="461" t="s">
        <v>117</v>
      </c>
      <c r="H19" s="464"/>
      <c r="I19" s="464"/>
      <c r="J19" s="465"/>
      <c r="L19" s="466" t="s">
        <v>118</v>
      </c>
      <c r="M19" s="467"/>
      <c r="N19" s="467"/>
      <c r="O19" s="468"/>
      <c r="S19" s="378"/>
    </row>
    <row r="20" spans="1:19" ht="13.5" thickBot="1" x14ac:dyDescent="0.25">
      <c r="A20" s="169" t="s">
        <v>98</v>
      </c>
      <c r="B20" s="419" t="s">
        <v>99</v>
      </c>
      <c r="C20" s="419" t="s">
        <v>100</v>
      </c>
      <c r="D20" s="419" t="s">
        <v>240</v>
      </c>
      <c r="E20" s="419" t="s">
        <v>219</v>
      </c>
      <c r="F20" s="419" t="s">
        <v>95</v>
      </c>
      <c r="G20" s="419" t="s">
        <v>99</v>
      </c>
      <c r="H20" s="419" t="s">
        <v>100</v>
      </c>
      <c r="I20" s="419" t="s">
        <v>240</v>
      </c>
      <c r="J20" s="419" t="s">
        <v>219</v>
      </c>
      <c r="K20" s="419" t="s">
        <v>95</v>
      </c>
      <c r="L20" s="419" t="s">
        <v>99</v>
      </c>
      <c r="M20" s="419" t="s">
        <v>100</v>
      </c>
      <c r="N20" s="419" t="s">
        <v>240</v>
      </c>
      <c r="O20" s="419" t="s">
        <v>219</v>
      </c>
      <c r="P20" s="419" t="s">
        <v>95</v>
      </c>
      <c r="S20" s="378"/>
    </row>
    <row r="21" spans="1:19" ht="14.1" customHeight="1" x14ac:dyDescent="0.2">
      <c r="A21" s="174" t="s">
        <v>101</v>
      </c>
      <c r="B21" s="409">
        <f>+[2]Charter!$B$21</f>
        <v>165270</v>
      </c>
      <c r="C21" s="409">
        <f>+[2]Charter!$C$21</f>
        <v>158940</v>
      </c>
      <c r="D21" s="409">
        <f t="shared" ref="D21" si="2">SUM(B21:C21)</f>
        <v>324210</v>
      </c>
      <c r="E21" s="418">
        <f>[4]Charter!$D$21</f>
        <v>311790</v>
      </c>
      <c r="F21" s="410">
        <f t="shared" ref="F21:F32" si="3">(D21-E21)/E21</f>
        <v>3.9834503993072264E-2</v>
      </c>
      <c r="G21" s="409">
        <f>L21-B21</f>
        <v>1051371</v>
      </c>
      <c r="H21" s="409">
        <f>M21-C21</f>
        <v>1087442</v>
      </c>
      <c r="I21" s="409">
        <f>SUM(G21:H21)</f>
        <v>2138813</v>
      </c>
      <c r="J21" s="418">
        <f>[4]Charter!I21</f>
        <v>2244518</v>
      </c>
      <c r="K21" s="415">
        <f t="shared" ref="K21:K32" si="4">(I21-J21)/J21</f>
        <v>-4.7094743726715488E-2</v>
      </c>
      <c r="L21" s="409">
        <f>+[2]Charter!$L$21</f>
        <v>1216641</v>
      </c>
      <c r="M21" s="409">
        <f>+[2]Charter!$M$21</f>
        <v>1246382</v>
      </c>
      <c r="N21" s="418">
        <f t="shared" ref="N21" si="5">SUM(L21:M21)</f>
        <v>2463023</v>
      </c>
      <c r="O21" s="418">
        <f>[4]Charter!N21</f>
        <v>2556308</v>
      </c>
      <c r="P21" s="414">
        <f>(N21-O21)/O21</f>
        <v>-3.6492081548858746E-2</v>
      </c>
      <c r="R21" s="89">
        <f>+D21+I21-N21</f>
        <v>0</v>
      </c>
      <c r="S21" s="89">
        <f>+E21+J21-O21</f>
        <v>0</v>
      </c>
    </row>
    <row r="22" spans="1:19" ht="14.1" customHeight="1" x14ac:dyDescent="0.2">
      <c r="A22" s="175" t="s">
        <v>102</v>
      </c>
      <c r="B22" s="409">
        <f>+'Intl Detail'!$Q$4+'Intl Detail'!$Q$9</f>
        <v>153288</v>
      </c>
      <c r="C22" s="409">
        <f>+'Intl Detail'!$Q$5+'Intl Detail'!$Q$10</f>
        <v>156814</v>
      </c>
      <c r="D22" s="409">
        <f>SUM(B22:C22)</f>
        <v>310102</v>
      </c>
      <c r="E22" s="409">
        <f>[1]Charter!D22</f>
        <v>330848</v>
      </c>
      <c r="F22" s="443">
        <f t="shared" si="3"/>
        <v>-6.270553244994681E-2</v>
      </c>
      <c r="G22" s="409">
        <f>L22-B22</f>
        <v>1053803</v>
      </c>
      <c r="H22" s="409">
        <f>M22-C22</f>
        <v>1079908</v>
      </c>
      <c r="I22" s="409">
        <f>SUM(G22:H22)</f>
        <v>2133711</v>
      </c>
      <c r="J22" s="409">
        <f>[1]Charter!I22</f>
        <v>2156895</v>
      </c>
      <c r="K22" s="416">
        <f t="shared" si="4"/>
        <v>-1.0748784711355907E-2</v>
      </c>
      <c r="L22" s="409">
        <f>+'Monthly Summary'!$B$11</f>
        <v>1207091</v>
      </c>
      <c r="M22" s="409">
        <f>+'Monthly Summary'!$C$11</f>
        <v>1236722</v>
      </c>
      <c r="N22" s="418">
        <f>SUM(L22:M22)</f>
        <v>2443813</v>
      </c>
      <c r="O22" s="409">
        <f>[1]Charter!N22</f>
        <v>2487743</v>
      </c>
      <c r="P22" s="444">
        <f t="shared" ref="P22:P32" si="6">(N22-O22)/O22</f>
        <v>-1.7658576468710795E-2</v>
      </c>
      <c r="R22" s="89">
        <f>+D22+I22-N22</f>
        <v>0</v>
      </c>
      <c r="S22" s="89">
        <f>+E22+J22-O22</f>
        <v>0</v>
      </c>
    </row>
    <row r="23" spans="1:19" ht="14.1" customHeight="1" x14ac:dyDescent="0.2">
      <c r="A23" s="175" t="s">
        <v>103</v>
      </c>
      <c r="B23" s="409"/>
      <c r="C23" s="409"/>
      <c r="D23" s="409">
        <f t="shared" ref="D23" si="7">SUM(B23:C23)</f>
        <v>0</v>
      </c>
      <c r="E23" s="409">
        <f>[5]Charter!D23</f>
        <v>445342</v>
      </c>
      <c r="F23" s="416">
        <f t="shared" si="3"/>
        <v>-1</v>
      </c>
      <c r="G23" s="409">
        <f t="shared" ref="G23:G26" si="8">L23-B23</f>
        <v>0</v>
      </c>
      <c r="H23" s="409">
        <f t="shared" ref="H23:H26" si="9">M23-C23</f>
        <v>0</v>
      </c>
      <c r="I23" s="409">
        <f t="shared" ref="I23" si="10">SUM(G23:H23)</f>
        <v>0</v>
      </c>
      <c r="J23" s="409">
        <f>[5]Charter!I23</f>
        <v>2782115</v>
      </c>
      <c r="K23" s="416">
        <f t="shared" si="4"/>
        <v>-1</v>
      </c>
      <c r="L23" s="409"/>
      <c r="M23" s="409"/>
      <c r="N23" s="418">
        <f t="shared" ref="N23" si="11">SUM(L23:M23)</f>
        <v>0</v>
      </c>
      <c r="O23" s="409">
        <f>[5]Charter!N23</f>
        <v>3227457</v>
      </c>
      <c r="P23" s="444">
        <f t="shared" si="6"/>
        <v>-1</v>
      </c>
      <c r="S23" s="378"/>
    </row>
    <row r="24" spans="1:19" ht="14.1" customHeight="1" x14ac:dyDescent="0.2">
      <c r="A24" s="175" t="s">
        <v>104</v>
      </c>
      <c r="B24" s="409"/>
      <c r="C24" s="409"/>
      <c r="D24" s="409">
        <f t="shared" ref="D24" si="12">SUM(B24:C24)</f>
        <v>0</v>
      </c>
      <c r="E24" s="409">
        <f>[6]Charter!D24</f>
        <v>299497</v>
      </c>
      <c r="F24" s="416">
        <f t="shared" si="3"/>
        <v>-1</v>
      </c>
      <c r="G24" s="409">
        <f t="shared" si="8"/>
        <v>0</v>
      </c>
      <c r="H24" s="409">
        <f t="shared" si="9"/>
        <v>0</v>
      </c>
      <c r="I24" s="409">
        <f t="shared" ref="I24" si="13">SUM(G24:H24)</f>
        <v>0</v>
      </c>
      <c r="J24" s="409">
        <f>[6]Charter!I24</f>
        <v>2606555</v>
      </c>
      <c r="K24" s="416">
        <f t="shared" si="4"/>
        <v>-1</v>
      </c>
      <c r="L24" s="409"/>
      <c r="M24" s="409"/>
      <c r="N24" s="418">
        <f t="shared" ref="N24" si="14">SUM(L24:M24)</f>
        <v>0</v>
      </c>
      <c r="O24" s="409">
        <f>[6]Charter!N24</f>
        <v>2906052</v>
      </c>
      <c r="P24" s="444">
        <f t="shared" si="6"/>
        <v>-1</v>
      </c>
    </row>
    <row r="25" spans="1:19" ht="14.1" customHeight="1" x14ac:dyDescent="0.2">
      <c r="A25" s="168" t="s">
        <v>74</v>
      </c>
      <c r="B25" s="409"/>
      <c r="C25" s="409"/>
      <c r="D25" s="409">
        <f t="shared" ref="D25" si="15">SUM(B25:C25)</f>
        <v>0</v>
      </c>
      <c r="E25" s="409">
        <f>[7]Charter!D25</f>
        <v>261311</v>
      </c>
      <c r="F25" s="417">
        <f t="shared" si="3"/>
        <v>-1</v>
      </c>
      <c r="G25" s="409">
        <f t="shared" si="8"/>
        <v>0</v>
      </c>
      <c r="H25" s="409">
        <f t="shared" si="9"/>
        <v>0</v>
      </c>
      <c r="I25" s="409">
        <f t="shared" ref="I25" si="16">SUM(G25:H25)</f>
        <v>0</v>
      </c>
      <c r="J25" s="409">
        <f>[7]Charter!I25</f>
        <v>2785540</v>
      </c>
      <c r="K25" s="417">
        <f>(I25-J25)/J25</f>
        <v>-1</v>
      </c>
      <c r="L25" s="409"/>
      <c r="M25" s="409"/>
      <c r="N25" s="418">
        <f t="shared" ref="N25" si="17">SUM(L25:M25)</f>
        <v>0</v>
      </c>
      <c r="O25" s="409">
        <f>[7]Charter!N25</f>
        <v>3046851</v>
      </c>
      <c r="P25" s="445">
        <f t="shared" si="6"/>
        <v>-1</v>
      </c>
    </row>
    <row r="26" spans="1:19" ht="14.1" customHeight="1" x14ac:dyDescent="0.2">
      <c r="A26" s="175" t="s">
        <v>105</v>
      </c>
      <c r="B26" s="409"/>
      <c r="C26" s="409"/>
      <c r="D26" s="409">
        <f t="shared" ref="D26" si="18">SUM(B26:C26)</f>
        <v>0</v>
      </c>
      <c r="E26" s="409">
        <f>[8]Charter!D26</f>
        <v>310661</v>
      </c>
      <c r="F26" s="411">
        <f t="shared" si="3"/>
        <v>-1</v>
      </c>
      <c r="G26" s="409">
        <f t="shared" si="8"/>
        <v>0</v>
      </c>
      <c r="H26" s="409">
        <f t="shared" si="9"/>
        <v>0</v>
      </c>
      <c r="I26" s="409">
        <f t="shared" ref="I26" si="19">SUM(G26:H26)</f>
        <v>0</v>
      </c>
      <c r="J26" s="409">
        <f>[8]Charter!I26</f>
        <v>3133219</v>
      </c>
      <c r="K26" s="416">
        <f t="shared" si="4"/>
        <v>-1</v>
      </c>
      <c r="L26" s="409"/>
      <c r="M26" s="409"/>
      <c r="N26" s="418">
        <f t="shared" ref="N26" si="20">SUM(L26:M26)</f>
        <v>0</v>
      </c>
      <c r="O26" s="409">
        <f>[8]Charter!N26</f>
        <v>3443880</v>
      </c>
      <c r="P26" s="406">
        <f t="shared" si="6"/>
        <v>-1</v>
      </c>
    </row>
    <row r="27" spans="1:19" ht="14.1" customHeight="1" x14ac:dyDescent="0.2">
      <c r="A27" s="168" t="s">
        <v>106</v>
      </c>
      <c r="B27" s="409"/>
      <c r="C27" s="409"/>
      <c r="D27" s="409">
        <f t="shared" ref="D27" si="21">SUM(B27:C27)</f>
        <v>0</v>
      </c>
      <c r="E27" s="409">
        <f>[9]Charter!D27</f>
        <v>331340</v>
      </c>
      <c r="F27" s="412">
        <f t="shared" si="3"/>
        <v>-1</v>
      </c>
      <c r="G27" s="409">
        <f t="shared" ref="G27:G32" si="22">L27-B27</f>
        <v>0</v>
      </c>
      <c r="H27" s="409">
        <f t="shared" ref="H27:H32" si="23">M27-C27</f>
        <v>0</v>
      </c>
      <c r="I27" s="409">
        <f t="shared" ref="I27" si="24">SUM(G27:H27)</f>
        <v>0</v>
      </c>
      <c r="J27" s="409">
        <f>[9]Charter!I27</f>
        <v>3317080</v>
      </c>
      <c r="K27" s="417">
        <f t="shared" si="4"/>
        <v>-1</v>
      </c>
      <c r="L27" s="409"/>
      <c r="M27" s="409"/>
      <c r="N27" s="418">
        <f t="shared" ref="N27" si="25">SUM(L27:M27)</f>
        <v>0</v>
      </c>
      <c r="O27" s="409">
        <f>[9]Charter!N27</f>
        <v>3648420</v>
      </c>
      <c r="P27" s="407">
        <f t="shared" si="6"/>
        <v>-1</v>
      </c>
    </row>
    <row r="28" spans="1:19" ht="14.1" customHeight="1" x14ac:dyDescent="0.2">
      <c r="A28" s="175" t="s">
        <v>107</v>
      </c>
      <c r="B28" s="409"/>
      <c r="C28" s="409"/>
      <c r="D28" s="409">
        <f t="shared" ref="D28" si="26">SUM(B28:C28)</f>
        <v>0</v>
      </c>
      <c r="E28" s="409">
        <f>[10]Charter!D28</f>
        <v>330036</v>
      </c>
      <c r="F28" s="411">
        <f t="shared" si="3"/>
        <v>-1</v>
      </c>
      <c r="G28" s="409">
        <f t="shared" si="22"/>
        <v>0</v>
      </c>
      <c r="H28" s="409">
        <f t="shared" si="23"/>
        <v>0</v>
      </c>
      <c r="I28" s="409">
        <f t="shared" ref="I28" si="27">SUM(G28:H28)</f>
        <v>0</v>
      </c>
      <c r="J28" s="409">
        <f>[10]Charter!I28</f>
        <v>3121862</v>
      </c>
      <c r="K28" s="416">
        <f t="shared" si="4"/>
        <v>-1</v>
      </c>
      <c r="L28" s="409"/>
      <c r="M28" s="409"/>
      <c r="N28" s="418">
        <f t="shared" ref="N28" si="28">SUM(L28:M28)</f>
        <v>0</v>
      </c>
      <c r="O28" s="409">
        <f>[10]Charter!N28</f>
        <v>3451898</v>
      </c>
      <c r="P28" s="406">
        <f t="shared" si="6"/>
        <v>-1</v>
      </c>
    </row>
    <row r="29" spans="1:19" ht="14.1" customHeight="1" x14ac:dyDescent="0.2">
      <c r="A29" s="168" t="s">
        <v>108</v>
      </c>
      <c r="B29" s="409"/>
      <c r="C29" s="409"/>
      <c r="D29" s="409">
        <f t="shared" ref="D29" si="29">SUM(B29:C29)</f>
        <v>0</v>
      </c>
      <c r="E29" s="409">
        <f>[11]Charter!D29</f>
        <v>272028</v>
      </c>
      <c r="F29" s="412">
        <f t="shared" si="3"/>
        <v>-1</v>
      </c>
      <c r="G29" s="409">
        <f t="shared" si="22"/>
        <v>0</v>
      </c>
      <c r="H29" s="409">
        <f t="shared" si="23"/>
        <v>0</v>
      </c>
      <c r="I29" s="409">
        <f t="shared" ref="I29" si="30">SUM(G29:H29)</f>
        <v>0</v>
      </c>
      <c r="J29" s="409">
        <f>[11]Charter!I29</f>
        <v>2589499</v>
      </c>
      <c r="K29" s="417">
        <f t="shared" si="4"/>
        <v>-1</v>
      </c>
      <c r="L29" s="409"/>
      <c r="M29" s="409"/>
      <c r="N29" s="418">
        <f t="shared" ref="N29" si="31">SUM(L29:M29)</f>
        <v>0</v>
      </c>
      <c r="O29" s="409">
        <f>[11]Charter!N29</f>
        <v>2861527</v>
      </c>
      <c r="P29" s="407">
        <f t="shared" si="6"/>
        <v>-1</v>
      </c>
    </row>
    <row r="30" spans="1:19" ht="14.1" customHeight="1" x14ac:dyDescent="0.2">
      <c r="A30" s="175" t="s">
        <v>109</v>
      </c>
      <c r="B30" s="409"/>
      <c r="C30" s="409"/>
      <c r="D30" s="409">
        <f t="shared" ref="D30" si="32">SUM(B30:C30)</f>
        <v>0</v>
      </c>
      <c r="E30" s="409">
        <f>[12]Charter!D30</f>
        <v>258310</v>
      </c>
      <c r="F30" s="411">
        <f t="shared" si="3"/>
        <v>-1</v>
      </c>
      <c r="G30" s="409">
        <f t="shared" si="22"/>
        <v>0</v>
      </c>
      <c r="H30" s="409">
        <f t="shared" si="23"/>
        <v>0</v>
      </c>
      <c r="I30" s="409">
        <f t="shared" ref="I30" si="33">SUM(G30:H30)</f>
        <v>0</v>
      </c>
      <c r="J30" s="409">
        <f>[12]Charter!I30</f>
        <v>2816693</v>
      </c>
      <c r="K30" s="416">
        <f t="shared" si="4"/>
        <v>-1</v>
      </c>
      <c r="L30" s="409"/>
      <c r="M30" s="409"/>
      <c r="N30" s="418">
        <f t="shared" ref="N30" si="34">SUM(L30:M30)</f>
        <v>0</v>
      </c>
      <c r="O30" s="409">
        <f>[12]Charter!N30</f>
        <v>3075003</v>
      </c>
      <c r="P30" s="406">
        <f t="shared" si="6"/>
        <v>-1</v>
      </c>
    </row>
    <row r="31" spans="1:19" ht="14.1" customHeight="1" x14ac:dyDescent="0.2">
      <c r="A31" s="168" t="s">
        <v>110</v>
      </c>
      <c r="B31" s="409"/>
      <c r="C31" s="409"/>
      <c r="D31" s="409">
        <f t="shared" ref="D31" si="35">SUM(B31:C31)</f>
        <v>0</v>
      </c>
      <c r="E31" s="409">
        <f>[13]Charter!D31</f>
        <v>197850</v>
      </c>
      <c r="F31" s="412">
        <f t="shared" si="3"/>
        <v>-1</v>
      </c>
      <c r="G31" s="409">
        <f t="shared" si="22"/>
        <v>0</v>
      </c>
      <c r="H31" s="409">
        <f t="shared" si="23"/>
        <v>0</v>
      </c>
      <c r="I31" s="409">
        <f t="shared" ref="I31" si="36">SUM(G31:H31)</f>
        <v>0</v>
      </c>
      <c r="J31" s="409">
        <f>[13]Charter!I31</f>
        <v>2400689</v>
      </c>
      <c r="K31" s="417">
        <f t="shared" si="4"/>
        <v>-1</v>
      </c>
      <c r="L31" s="409"/>
      <c r="M31" s="409"/>
      <c r="N31" s="418">
        <f t="shared" ref="N31" si="37">SUM(L31:M31)</f>
        <v>0</v>
      </c>
      <c r="O31" s="409">
        <f>[13]Charter!N31</f>
        <v>2598539</v>
      </c>
      <c r="P31" s="407">
        <f t="shared" si="6"/>
        <v>-1</v>
      </c>
    </row>
    <row r="32" spans="1:19" ht="14.1" customHeight="1" x14ac:dyDescent="0.2">
      <c r="A32" s="176" t="s">
        <v>111</v>
      </c>
      <c r="B32" s="409"/>
      <c r="C32" s="409"/>
      <c r="D32" s="409">
        <f t="shared" ref="D32" si="38">SUM(B32:C32)</f>
        <v>0</v>
      </c>
      <c r="E32" s="409">
        <f>[14]Charter!D32</f>
        <v>260440</v>
      </c>
      <c r="F32" s="413">
        <f t="shared" si="3"/>
        <v>-1</v>
      </c>
      <c r="G32" s="409">
        <f t="shared" si="22"/>
        <v>0</v>
      </c>
      <c r="H32" s="409">
        <f t="shared" si="23"/>
        <v>0</v>
      </c>
      <c r="I32" s="409">
        <f t="shared" ref="I32" si="39">SUM(G32:H32)</f>
        <v>0</v>
      </c>
      <c r="J32" s="409">
        <f>[14]Charter!I32</f>
        <v>2507509</v>
      </c>
      <c r="K32" s="413">
        <f t="shared" si="4"/>
        <v>-1</v>
      </c>
      <c r="L32" s="409"/>
      <c r="M32" s="409"/>
      <c r="N32" s="418">
        <f t="shared" ref="N32" si="40">SUM(L32:M32)</f>
        <v>0</v>
      </c>
      <c r="O32" s="409">
        <f>[14]Charter!N32</f>
        <v>2767949</v>
      </c>
      <c r="P32" s="408">
        <f t="shared" si="6"/>
        <v>-1</v>
      </c>
    </row>
    <row r="33" spans="1:16" ht="13.5" thickBot="1" x14ac:dyDescent="0.25">
      <c r="A33" s="173" t="s">
        <v>75</v>
      </c>
      <c r="B33" s="179">
        <f>SUM(B21:B32)</f>
        <v>318558</v>
      </c>
      <c r="C33" s="180">
        <f>SUM(C21:C32)</f>
        <v>315754</v>
      </c>
      <c r="D33" s="180">
        <f>SUM(D21:D32)</f>
        <v>634312</v>
      </c>
      <c r="E33" s="181">
        <f>SUM(E21:E32)</f>
        <v>3609453</v>
      </c>
      <c r="F33" s="171">
        <f>(D33-E33)/E33</f>
        <v>-0.82426367651829791</v>
      </c>
      <c r="G33" s="182">
        <f>SUM(G21:G32)</f>
        <v>2105174</v>
      </c>
      <c r="H33" s="180">
        <f>SUM(H21:H32)</f>
        <v>2167350</v>
      </c>
      <c r="I33" s="180">
        <f>SUM(I21:I32)</f>
        <v>4272524</v>
      </c>
      <c r="J33" s="183">
        <f>SUM(J21:J32)</f>
        <v>32462174</v>
      </c>
      <c r="K33" s="172">
        <f>(I33-J33)/J33</f>
        <v>-0.86838453887900424</v>
      </c>
      <c r="L33" s="182">
        <f>SUM(L21:L32)</f>
        <v>2423732</v>
      </c>
      <c r="M33" s="180">
        <f>SUM(M21:M32)</f>
        <v>2483104</v>
      </c>
      <c r="N33" s="180">
        <f>SUM(N21:N32)</f>
        <v>4906836</v>
      </c>
      <c r="O33" s="181">
        <f>SUM(O21:O32)</f>
        <v>36071627</v>
      </c>
      <c r="P33" s="170">
        <f>(N33-O33)/O33</f>
        <v>-0.86396965127189851</v>
      </c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February 2026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topLeftCell="D1" zoomScaleNormal="100" workbookViewId="0">
      <selection activeCell="M9" sqref="M9"/>
    </sheetView>
  </sheetViews>
  <sheetFormatPr defaultRowHeight="12.75" x14ac:dyDescent="0.2"/>
  <cols>
    <col min="1" max="1" width="24.71093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28515625" bestFit="1" customWidth="1"/>
  </cols>
  <sheetData>
    <row r="1" spans="1:23" s="40" customFormat="1" ht="16.5" thickBot="1" x14ac:dyDescent="0.3">
      <c r="B1" s="472" t="s">
        <v>183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4"/>
    </row>
    <row r="2" spans="1:23" s="26" customFormat="1" ht="43.5" customHeight="1" thickBot="1" x14ac:dyDescent="0.25">
      <c r="A2" s="383">
        <v>46054</v>
      </c>
      <c r="B2" s="314" t="s">
        <v>179</v>
      </c>
      <c r="C2" s="314" t="s">
        <v>208</v>
      </c>
      <c r="D2" s="314" t="s">
        <v>199</v>
      </c>
      <c r="E2" s="346" t="s">
        <v>201</v>
      </c>
      <c r="F2" s="346" t="s">
        <v>200</v>
      </c>
      <c r="G2" s="314" t="s">
        <v>184</v>
      </c>
      <c r="H2" s="346" t="s">
        <v>207</v>
      </c>
      <c r="I2" s="346" t="s">
        <v>181</v>
      </c>
      <c r="J2" s="315" t="s">
        <v>80</v>
      </c>
      <c r="K2" s="346" t="s">
        <v>166</v>
      </c>
      <c r="L2" s="314" t="s">
        <v>185</v>
      </c>
      <c r="M2" s="346" t="s">
        <v>84</v>
      </c>
      <c r="N2" s="314" t="s">
        <v>205</v>
      </c>
      <c r="O2" s="314" t="s">
        <v>186</v>
      </c>
      <c r="P2" s="314" t="s">
        <v>187</v>
      </c>
      <c r="Q2" s="315" t="s">
        <v>81</v>
      </c>
      <c r="R2" s="346" t="s">
        <v>125</v>
      </c>
      <c r="S2" s="346" t="s">
        <v>21</v>
      </c>
    </row>
    <row r="3" spans="1:23" ht="15" x14ac:dyDescent="0.25">
      <c r="A3" s="151" t="s">
        <v>9</v>
      </c>
      <c r="B3" s="353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4"/>
      <c r="U3" s="329"/>
      <c r="V3" s="329"/>
      <c r="W3" s="329"/>
    </row>
    <row r="4" spans="1:23" x14ac:dyDescent="0.2">
      <c r="A4" s="36" t="s">
        <v>52</v>
      </c>
      <c r="B4" s="177">
        <f>'[3]Atlas Air'!$JW4</f>
        <v>2</v>
      </c>
      <c r="C4" s="126">
        <f>[3]DHL!$JW8+[3]DHL!$JW4</f>
        <v>0</v>
      </c>
      <c r="D4" s="126">
        <f>[3]Airborne!$JW4+[3]Airborne!$JW15</f>
        <v>21</v>
      </c>
      <c r="E4" s="89">
        <f>[3]DHL_Bemidji!$JW4</f>
        <v>38</v>
      </c>
      <c r="F4" s="89">
        <f>[3]Bemidji!$JW4</f>
        <v>112</v>
      </c>
      <c r="G4" s="126">
        <f>[3]DHL_Encore!$JW4+[3]DHL_Encore!$JW15</f>
        <v>0</v>
      </c>
      <c r="H4" s="126">
        <f>[3]DHL_Mesa!$JW4+[3]DHL_Mesa!$JW15</f>
        <v>0</v>
      </c>
      <c r="I4" s="126">
        <f>[3]Encore!$JW4+[3]Encore!$JW15</f>
        <v>0</v>
      </c>
      <c r="J4" s="126">
        <f>[3]FedEx!$JW4+[3]FedEx!$JW15</f>
        <v>72</v>
      </c>
      <c r="K4" s="126">
        <f>[3]IFL!$JW4+[3]IFL!$JW15</f>
        <v>16</v>
      </c>
      <c r="L4" s="126">
        <f>[3]DHL_Kalitta!$JW4+[3]DHL_Kalitta!$JW15</f>
        <v>1</v>
      </c>
      <c r="M4" s="89">
        <f>'[3]Mountain Cargo'!$JW4</f>
        <v>18</v>
      </c>
      <c r="N4" s="126">
        <f>[3]DHL_Amerijet!$JW4+[3]DHL_Amerijet!$JW15</f>
        <v>0</v>
      </c>
      <c r="O4" s="126">
        <f>[3]DHL_Swift!$JW4+[3]DHL_Swift!$JW15</f>
        <v>0</v>
      </c>
      <c r="P4" s="126">
        <f>+'[3]Sun Country Cargo'!$JW4+'[3]Sun Country Cargo'!$JW8+'[3]Sun Country Cargo'!$JW15</f>
        <v>78</v>
      </c>
      <c r="Q4" s="126">
        <f>[3]UPS!$JW4+[3]UPS!$JW15</f>
        <v>96</v>
      </c>
      <c r="R4" s="89">
        <f>'[3]Misc Cargo'!$JW4</f>
        <v>0</v>
      </c>
      <c r="S4" s="355">
        <f>SUM(B4:R4)</f>
        <v>454</v>
      </c>
      <c r="U4" s="329"/>
      <c r="V4" s="329"/>
      <c r="W4" s="209"/>
    </row>
    <row r="5" spans="1:23" x14ac:dyDescent="0.2">
      <c r="A5" s="36" t="s">
        <v>53</v>
      </c>
      <c r="B5" s="356">
        <f>'[3]Atlas Air'!$JW5</f>
        <v>2</v>
      </c>
      <c r="C5" s="150">
        <f>[3]DHL!$JW9+[3]DHL!$JW5</f>
        <v>0</v>
      </c>
      <c r="D5" s="150">
        <f>[3]Airborne!$JW5</f>
        <v>21</v>
      </c>
      <c r="E5" s="90">
        <f>[3]DHL_Bemidji!$JW5</f>
        <v>38</v>
      </c>
      <c r="F5" s="90">
        <f>[3]Bemidji!$JW5</f>
        <v>112</v>
      </c>
      <c r="G5" s="150">
        <f>[3]DHL_Encore!$JW5</f>
        <v>0</v>
      </c>
      <c r="H5" s="150">
        <f>[3]DHL_Mesa!$JW5</f>
        <v>0</v>
      </c>
      <c r="I5" s="150">
        <f>[3]Encore!$JW5</f>
        <v>0</v>
      </c>
      <c r="J5" s="150">
        <f>[3]FedEx!$JW5</f>
        <v>72</v>
      </c>
      <c r="K5" s="150">
        <f>[3]IFL!$JW5</f>
        <v>16</v>
      </c>
      <c r="L5" s="150">
        <f>[3]DHL_Kalitta!$JW5+[3]DHL_Kalitta!$JW16</f>
        <v>1</v>
      </c>
      <c r="M5" s="90">
        <f>'[3]Mountain Cargo'!$JW5</f>
        <v>18</v>
      </c>
      <c r="N5" s="150">
        <f>[3]DHL_Amerijet!$JW5</f>
        <v>0</v>
      </c>
      <c r="O5" s="150">
        <f>[3]DHL_Swift!$JW5</f>
        <v>0</v>
      </c>
      <c r="P5" s="150">
        <f>+'[3]Sun Country Cargo'!$JW5+'[3]Sun Country Cargo'!$JW9+'[3]Sun Country Cargo'!$JW16</f>
        <v>78</v>
      </c>
      <c r="Q5" s="150">
        <f>[3]UPS!$JW5+[3]UPS!$JW16</f>
        <v>96</v>
      </c>
      <c r="R5" s="90">
        <f>'[3]Misc Cargo'!$JW5</f>
        <v>0</v>
      </c>
      <c r="S5" s="355">
        <f>SUM(B5:R5)</f>
        <v>454</v>
      </c>
      <c r="U5" s="329"/>
      <c r="V5" s="329"/>
      <c r="W5" s="209"/>
    </row>
    <row r="6" spans="1:23" s="149" customFormat="1" x14ac:dyDescent="0.2">
      <c r="A6" s="153" t="s">
        <v>54</v>
      </c>
      <c r="B6" s="357">
        <f t="shared" ref="B6:R6" si="0">SUM(B4:B5)</f>
        <v>4</v>
      </c>
      <c r="C6" s="358">
        <f t="shared" si="0"/>
        <v>0</v>
      </c>
      <c r="D6" s="358">
        <f t="shared" ref="D6:E6" si="1">SUM(D4:D5)</f>
        <v>42</v>
      </c>
      <c r="E6" s="87">
        <f t="shared" si="1"/>
        <v>76</v>
      </c>
      <c r="F6" s="87">
        <f t="shared" si="0"/>
        <v>224</v>
      </c>
      <c r="G6" s="358">
        <f t="shared" si="0"/>
        <v>0</v>
      </c>
      <c r="H6" s="358">
        <f t="shared" ref="H6" si="2">SUM(H4:H5)</f>
        <v>0</v>
      </c>
      <c r="I6" s="358">
        <f t="shared" si="0"/>
        <v>0</v>
      </c>
      <c r="J6" s="358">
        <f t="shared" si="0"/>
        <v>144</v>
      </c>
      <c r="K6" s="358">
        <f t="shared" si="0"/>
        <v>32</v>
      </c>
      <c r="L6" s="358">
        <f t="shared" si="0"/>
        <v>2</v>
      </c>
      <c r="M6" s="87">
        <f t="shared" si="0"/>
        <v>36</v>
      </c>
      <c r="N6" s="358">
        <f t="shared" si="0"/>
        <v>0</v>
      </c>
      <c r="O6" s="358">
        <f t="shared" si="0"/>
        <v>0</v>
      </c>
      <c r="P6" s="358">
        <f t="shared" si="0"/>
        <v>156</v>
      </c>
      <c r="Q6" s="358">
        <f t="shared" si="0"/>
        <v>192</v>
      </c>
      <c r="R6" s="87">
        <f t="shared" si="0"/>
        <v>0</v>
      </c>
      <c r="S6" s="355">
        <f t="shared" ref="S6:S10" si="3">SUM(B6:R6)</f>
        <v>908</v>
      </c>
      <c r="W6" s="276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55"/>
      <c r="U7" s="312"/>
      <c r="V7" s="329"/>
      <c r="W7" s="209"/>
    </row>
    <row r="8" spans="1:23" x14ac:dyDescent="0.2">
      <c r="A8" s="36" t="s">
        <v>55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Cargo'!$JW8</f>
        <v>0</v>
      </c>
      <c r="S8" s="355">
        <f t="shared" si="3"/>
        <v>0</v>
      </c>
      <c r="U8" s="329"/>
      <c r="V8" s="329"/>
      <c r="W8" s="209"/>
    </row>
    <row r="9" spans="1:23" ht="15" x14ac:dyDescent="0.25">
      <c r="A9" s="36" t="s">
        <v>56</v>
      </c>
      <c r="B9" s="356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Cargo'!$JW9</f>
        <v>0</v>
      </c>
      <c r="S9" s="355">
        <f t="shared" si="3"/>
        <v>0</v>
      </c>
      <c r="U9" s="329"/>
      <c r="V9" s="8"/>
      <c r="W9" s="209"/>
    </row>
    <row r="10" spans="1:23" s="149" customFormat="1" x14ac:dyDescent="0.2">
      <c r="A10" s="153" t="s">
        <v>57</v>
      </c>
      <c r="B10" s="357">
        <f t="shared" ref="B10:R10" si="4">SUM(B8:B9)</f>
        <v>0</v>
      </c>
      <c r="C10" s="358">
        <f t="shared" si="4"/>
        <v>0</v>
      </c>
      <c r="D10" s="358">
        <f t="shared" ref="D10:E10" si="5">SUM(D8:D9)</f>
        <v>0</v>
      </c>
      <c r="E10" s="87">
        <f t="shared" si="5"/>
        <v>0</v>
      </c>
      <c r="F10" s="87">
        <f t="shared" si="4"/>
        <v>0</v>
      </c>
      <c r="G10" s="358">
        <f t="shared" si="4"/>
        <v>0</v>
      </c>
      <c r="H10" s="358">
        <f t="shared" ref="H10" si="6">SUM(H8:H9)</f>
        <v>0</v>
      </c>
      <c r="I10" s="358">
        <f t="shared" si="4"/>
        <v>0</v>
      </c>
      <c r="J10" s="358">
        <f t="shared" si="4"/>
        <v>0</v>
      </c>
      <c r="K10" s="358">
        <f t="shared" si="4"/>
        <v>0</v>
      </c>
      <c r="L10" s="358">
        <f t="shared" si="4"/>
        <v>0</v>
      </c>
      <c r="M10" s="87">
        <f t="shared" si="4"/>
        <v>0</v>
      </c>
      <c r="N10" s="358">
        <f t="shared" si="4"/>
        <v>0</v>
      </c>
      <c r="O10" s="358">
        <f t="shared" si="4"/>
        <v>0</v>
      </c>
      <c r="P10" s="358">
        <f t="shared" si="4"/>
        <v>0</v>
      </c>
      <c r="Q10" s="358">
        <f t="shared" si="4"/>
        <v>0</v>
      </c>
      <c r="R10" s="87">
        <f t="shared" si="4"/>
        <v>0</v>
      </c>
      <c r="S10" s="355">
        <f t="shared" si="3"/>
        <v>0</v>
      </c>
      <c r="W10" s="276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59"/>
      <c r="U11" s="329"/>
      <c r="V11" s="329"/>
      <c r="W11" s="209"/>
    </row>
    <row r="12" spans="1:23" ht="18" customHeight="1" thickBot="1" x14ac:dyDescent="0.25">
      <c r="A12" s="154" t="s">
        <v>28</v>
      </c>
      <c r="B12" s="360">
        <f t="shared" ref="B12:R12" si="7">B6+B10</f>
        <v>4</v>
      </c>
      <c r="C12" s="155">
        <f t="shared" si="7"/>
        <v>0</v>
      </c>
      <c r="D12" s="155">
        <f t="shared" ref="D12:E12" si="8">D6+D10</f>
        <v>42</v>
      </c>
      <c r="E12" s="156">
        <f t="shared" si="8"/>
        <v>76</v>
      </c>
      <c r="F12" s="156">
        <f t="shared" si="7"/>
        <v>224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144</v>
      </c>
      <c r="K12" s="155">
        <f t="shared" si="7"/>
        <v>32</v>
      </c>
      <c r="L12" s="155">
        <f t="shared" si="7"/>
        <v>2</v>
      </c>
      <c r="M12" s="156">
        <f t="shared" si="7"/>
        <v>36</v>
      </c>
      <c r="N12" s="155">
        <f t="shared" si="7"/>
        <v>0</v>
      </c>
      <c r="O12" s="155">
        <f t="shared" si="7"/>
        <v>0</v>
      </c>
      <c r="P12" s="155">
        <f t="shared" si="7"/>
        <v>156</v>
      </c>
      <c r="Q12" s="155">
        <f t="shared" si="7"/>
        <v>192</v>
      </c>
      <c r="R12" s="156">
        <f t="shared" si="7"/>
        <v>0</v>
      </c>
      <c r="S12" s="361">
        <f>SUM(B12:R12)</f>
        <v>908</v>
      </c>
      <c r="U12" s="329"/>
      <c r="V12" s="329"/>
      <c r="W12" s="209"/>
    </row>
    <row r="13" spans="1:23" ht="18" customHeight="1" thickBot="1" x14ac:dyDescent="0.25">
      <c r="A13" s="140"/>
      <c r="B13" s="362"/>
      <c r="C13" s="363"/>
      <c r="D13" s="363"/>
      <c r="E13" s="251"/>
      <c r="F13" s="251"/>
      <c r="G13" s="363"/>
      <c r="H13" s="363"/>
      <c r="I13" s="363"/>
      <c r="J13" s="363"/>
      <c r="K13" s="363"/>
      <c r="L13" s="363"/>
      <c r="M13" s="251"/>
      <c r="N13" s="363"/>
      <c r="O13" s="363"/>
      <c r="P13" s="363"/>
      <c r="Q13" s="363"/>
      <c r="R13" s="251"/>
      <c r="S13" s="2"/>
      <c r="U13" s="329"/>
      <c r="V13" s="329"/>
      <c r="W13" s="209"/>
    </row>
    <row r="14" spans="1:23" ht="15" x14ac:dyDescent="0.25">
      <c r="A14" s="157" t="s">
        <v>91</v>
      </c>
      <c r="B14" s="364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65"/>
      <c r="U14" s="329"/>
      <c r="V14" s="329"/>
      <c r="W14" s="209"/>
    </row>
    <row r="15" spans="1:23" x14ac:dyDescent="0.2">
      <c r="A15" s="159" t="s">
        <v>92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29"/>
      <c r="V15" s="329"/>
      <c r="W15" s="209"/>
    </row>
    <row r="16" spans="1:23" ht="12.75" customHeight="1" x14ac:dyDescent="0.2">
      <c r="A16" s="36" t="s">
        <v>37</v>
      </c>
      <c r="B16" s="177">
        <f>'[3]Atlas Air'!$JW47</f>
        <v>35</v>
      </c>
      <c r="C16" s="126">
        <f>[3]DHL!$JW47</f>
        <v>0</v>
      </c>
      <c r="D16" s="126">
        <f>[3]Airborne!$JW47</f>
        <v>766602</v>
      </c>
      <c r="E16" s="126">
        <f>[3]DHL_Bemidji!$JW47</f>
        <v>87070</v>
      </c>
      <c r="F16" s="469" t="s">
        <v>85</v>
      </c>
      <c r="G16" s="126">
        <f>[3]DHL_Encore!$JW47</f>
        <v>0</v>
      </c>
      <c r="H16" s="126">
        <f>[3]DHL_Mesa!$JW47</f>
        <v>0</v>
      </c>
      <c r="I16" s="126">
        <f>[3]Encore!$JW47</f>
        <v>0</v>
      </c>
      <c r="J16" s="126">
        <f>[3]FedEx!$JW47</f>
        <v>4818114</v>
      </c>
      <c r="K16" s="126">
        <f>[3]IFL!$JW47</f>
        <v>0</v>
      </c>
      <c r="L16" s="126">
        <f>[3]DHL_Kalitta!$JW47</f>
        <v>0</v>
      </c>
      <c r="M16" s="89">
        <f>'[3]Mountain Cargo'!$JW47</f>
        <v>0</v>
      </c>
      <c r="N16" s="126">
        <f>[3]DHL_Amerijet!$JW47</f>
        <v>0</v>
      </c>
      <c r="O16" s="126">
        <f>[3]DHL_Swift!$JW47</f>
        <v>0</v>
      </c>
      <c r="P16" s="126">
        <f>+'[3]Sun Country Cargo'!$JW47</f>
        <v>2095645</v>
      </c>
      <c r="Q16" s="126">
        <f>[3]UPS!$JW47</f>
        <v>3959508</v>
      </c>
      <c r="R16" s="89">
        <f>'[3]Misc Cargo'!$JW47</f>
        <v>0</v>
      </c>
      <c r="S16" s="355">
        <f>SUM(B16:E16)+SUM(G16:R16)</f>
        <v>11726974</v>
      </c>
      <c r="U16" s="329"/>
      <c r="V16" s="329"/>
      <c r="W16" s="209"/>
    </row>
    <row r="17" spans="1:23" x14ac:dyDescent="0.2">
      <c r="A17" s="36" t="s">
        <v>38</v>
      </c>
      <c r="B17" s="177">
        <f>'[3]Atlas Air'!$JW48</f>
        <v>0</v>
      </c>
      <c r="C17" s="126">
        <f>[3]DHL!$JW48</f>
        <v>0</v>
      </c>
      <c r="D17" s="126">
        <f>[3]Airborne!$JW48</f>
        <v>0</v>
      </c>
      <c r="E17" s="126">
        <f>[3]DHL_Bemidji!$JW48</f>
        <v>0</v>
      </c>
      <c r="F17" s="470"/>
      <c r="G17" s="126">
        <f>[3]DHL_Encore!$JW48</f>
        <v>0</v>
      </c>
      <c r="H17" s="126">
        <f>[3]DHL_Mesa!$JW48</f>
        <v>0</v>
      </c>
      <c r="I17" s="126">
        <f>[3]Encore!$JW48</f>
        <v>0</v>
      </c>
      <c r="J17" s="126">
        <f>[3]FedEx!$JW48</f>
        <v>0</v>
      </c>
      <c r="K17" s="126">
        <f>[3]IFL!$JW48</f>
        <v>0</v>
      </c>
      <c r="L17" s="126">
        <f>[3]DHL_Kalitta!$JW48</f>
        <v>0</v>
      </c>
      <c r="M17" s="89">
        <f>'[3]Mountain Cargo'!$JW48</f>
        <v>38345</v>
      </c>
      <c r="N17" s="126">
        <f>[3]DHL_Amerijet!$JW48</f>
        <v>0</v>
      </c>
      <c r="O17" s="126">
        <f>[3]DHL_Swift!$JW48</f>
        <v>0</v>
      </c>
      <c r="P17" s="126">
        <f>+'[3]Sun Country Cargo'!$JW48</f>
        <v>0</v>
      </c>
      <c r="Q17" s="126">
        <f>[3]UPS!$JW48</f>
        <v>2602776</v>
      </c>
      <c r="R17" s="89">
        <f>'[3]Misc Cargo'!$JW48</f>
        <v>0</v>
      </c>
      <c r="S17" s="355">
        <f>SUM(B17:E17)+SUM(G17:R17)</f>
        <v>2641121</v>
      </c>
      <c r="U17" s="329"/>
      <c r="V17" s="329"/>
      <c r="W17" s="209"/>
    </row>
    <row r="18" spans="1:23" ht="18" customHeight="1" x14ac:dyDescent="0.2">
      <c r="A18" s="160" t="s">
        <v>39</v>
      </c>
      <c r="B18" s="366">
        <f>SUM(B16:B17)</f>
        <v>35</v>
      </c>
      <c r="C18" s="215">
        <f>SUM(C16:C17)</f>
        <v>0</v>
      </c>
      <c r="D18" s="215">
        <f>SUM(D16:D17)</f>
        <v>766602</v>
      </c>
      <c r="E18" s="215">
        <f>SUM(E16:E17)</f>
        <v>87070</v>
      </c>
      <c r="F18" s="470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4818114</v>
      </c>
      <c r="K18" s="215">
        <f>SUM(K16:K17)</f>
        <v>0</v>
      </c>
      <c r="L18" s="215">
        <f t="shared" ref="L18:R18" si="10">SUM(L16:L17)</f>
        <v>0</v>
      </c>
      <c r="M18" s="216">
        <f t="shared" si="10"/>
        <v>38345</v>
      </c>
      <c r="N18" s="215">
        <f t="shared" si="10"/>
        <v>0</v>
      </c>
      <c r="O18" s="215">
        <f t="shared" si="10"/>
        <v>0</v>
      </c>
      <c r="P18" s="215">
        <f t="shared" si="10"/>
        <v>2095645</v>
      </c>
      <c r="Q18" s="215">
        <f t="shared" si="10"/>
        <v>6562284</v>
      </c>
      <c r="R18" s="216">
        <f t="shared" si="10"/>
        <v>0</v>
      </c>
      <c r="S18" s="367">
        <f>SUM(B18:D18)+SUM(G18:R18)</f>
        <v>14281025</v>
      </c>
      <c r="U18" s="329"/>
      <c r="V18" s="329"/>
      <c r="W18" s="209"/>
    </row>
    <row r="19" spans="1:23" x14ac:dyDescent="0.2">
      <c r="A19" s="36"/>
      <c r="B19" s="177"/>
      <c r="C19" s="126"/>
      <c r="D19" s="126"/>
      <c r="E19" s="126"/>
      <c r="F19" s="470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55"/>
      <c r="U19" s="312"/>
      <c r="V19" s="329"/>
      <c r="W19" s="209"/>
    </row>
    <row r="20" spans="1:23" x14ac:dyDescent="0.2">
      <c r="A20" s="159" t="s">
        <v>86</v>
      </c>
      <c r="B20" s="177"/>
      <c r="C20" s="126"/>
      <c r="D20" s="126"/>
      <c r="E20" s="126"/>
      <c r="F20" s="470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55"/>
      <c r="U20" s="312"/>
      <c r="V20" s="329"/>
      <c r="W20" s="209"/>
    </row>
    <row r="21" spans="1:23" x14ac:dyDescent="0.2">
      <c r="A21" s="36" t="s">
        <v>58</v>
      </c>
      <c r="B21" s="177">
        <f>'[3]Atlas Air'!$JW52</f>
        <v>23590</v>
      </c>
      <c r="C21" s="126">
        <f>[3]DHL!$JW52</f>
        <v>0</v>
      </c>
      <c r="D21" s="126">
        <f>[3]Airborne!$JW52</f>
        <v>600821</v>
      </c>
      <c r="E21" s="126">
        <f>[3]DHL_Bemidji!$JW52</f>
        <v>50076</v>
      </c>
      <c r="F21" s="470"/>
      <c r="G21" s="126">
        <f>[3]DHL_Encore!$JW52</f>
        <v>0</v>
      </c>
      <c r="H21" s="126">
        <f>[3]DHL_Mesa!$JW52</f>
        <v>0</v>
      </c>
      <c r="I21" s="126">
        <f>[3]Encore!$JW52</f>
        <v>0</v>
      </c>
      <c r="J21" s="126">
        <f>[3]FedEx!$JW52</f>
        <v>4638954</v>
      </c>
      <c r="K21" s="126">
        <f>[3]IFL!$JW52</f>
        <v>0</v>
      </c>
      <c r="L21" s="126">
        <f>[3]DHL_Kalitta!$JW52</f>
        <v>101146</v>
      </c>
      <c r="M21" s="89">
        <f>'[3]Mountain Cargo'!$JW52</f>
        <v>0</v>
      </c>
      <c r="N21" s="126">
        <f>[3]DHL_Amerijet!$JW52</f>
        <v>0</v>
      </c>
      <c r="O21" s="126">
        <f>[3]DHL_Swift!$JW52</f>
        <v>0</v>
      </c>
      <c r="P21" s="126">
        <f>+'[3]Sun Country Cargo'!$JW52</f>
        <v>2139348</v>
      </c>
      <c r="Q21" s="126">
        <f>[3]UPS!$JW52</f>
        <v>3265518</v>
      </c>
      <c r="R21" s="89">
        <f>'[3]Misc Cargo'!$JW52</f>
        <v>0</v>
      </c>
      <c r="S21" s="355">
        <f>SUM(B21:E21)+SUM(G21:R21)</f>
        <v>10819453</v>
      </c>
      <c r="U21" s="329"/>
      <c r="V21" s="329"/>
      <c r="W21" s="209"/>
    </row>
    <row r="22" spans="1:23" x14ac:dyDescent="0.2">
      <c r="A22" s="36" t="s">
        <v>59</v>
      </c>
      <c r="B22" s="177">
        <f>'[3]Atlas Air'!$JW53</f>
        <v>0</v>
      </c>
      <c r="C22" s="126">
        <f>[3]DHL!$JW53</f>
        <v>0</v>
      </c>
      <c r="D22" s="126">
        <f>[3]Airborne!$JW53</f>
        <v>0</v>
      </c>
      <c r="E22" s="126">
        <f>[3]DHL_Bemidji!$JW53</f>
        <v>0</v>
      </c>
      <c r="F22" s="470"/>
      <c r="G22" s="126">
        <f>[3]DHL_Encore!$JW53</f>
        <v>0</v>
      </c>
      <c r="H22" s="126">
        <f>[3]DHL_Mesa!$JW53</f>
        <v>0</v>
      </c>
      <c r="I22" s="126">
        <f>[3]Encore!$JW53</f>
        <v>0</v>
      </c>
      <c r="J22" s="126">
        <f>[3]FedEx!$JW53</f>
        <v>0</v>
      </c>
      <c r="K22" s="126">
        <f>[3]IFL!$JW53</f>
        <v>0</v>
      </c>
      <c r="L22" s="126">
        <f>[3]DHL_Kalitta!$JW53</f>
        <v>0</v>
      </c>
      <c r="M22" s="89">
        <f>'[3]Mountain Cargo'!$JW53</f>
        <v>70707</v>
      </c>
      <c r="N22" s="126">
        <f>[3]DHL_Amerijet!$JW53</f>
        <v>0</v>
      </c>
      <c r="O22" s="126">
        <f>[3]DHL_Swift!$JW53</f>
        <v>0</v>
      </c>
      <c r="P22" s="126">
        <f>+'[3]Sun Country Cargo'!$JW53</f>
        <v>0</v>
      </c>
      <c r="Q22" s="126">
        <f>[3]UPS!$JW53</f>
        <v>2293815</v>
      </c>
      <c r="R22" s="89">
        <f>'[3]Misc Cargo'!$JW53</f>
        <v>0</v>
      </c>
      <c r="S22" s="355">
        <f>SUM(B22:E22)+SUM(G22:R22)</f>
        <v>2364522</v>
      </c>
      <c r="U22" s="329"/>
      <c r="V22" s="329"/>
      <c r="W22" s="209"/>
    </row>
    <row r="23" spans="1:23" ht="18" customHeight="1" x14ac:dyDescent="0.2">
      <c r="A23" s="160" t="s">
        <v>41</v>
      </c>
      <c r="B23" s="366">
        <f>SUM(B21:B22)</f>
        <v>23590</v>
      </c>
      <c r="C23" s="215">
        <f>SUM(C21:C22)</f>
        <v>0</v>
      </c>
      <c r="D23" s="215">
        <f t="shared" ref="D23:E23" si="11">SUM(D21:D22)</f>
        <v>600821</v>
      </c>
      <c r="E23" s="215">
        <f t="shared" si="11"/>
        <v>50076</v>
      </c>
      <c r="F23" s="470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4638954</v>
      </c>
      <c r="K23" s="215">
        <f t="shared" si="12"/>
        <v>0</v>
      </c>
      <c r="L23" s="215">
        <f t="shared" si="12"/>
        <v>101146</v>
      </c>
      <c r="M23" s="216">
        <f t="shared" si="12"/>
        <v>70707</v>
      </c>
      <c r="N23" s="215">
        <f t="shared" si="12"/>
        <v>0</v>
      </c>
      <c r="O23" s="215">
        <f t="shared" si="12"/>
        <v>0</v>
      </c>
      <c r="P23" s="215">
        <f t="shared" si="12"/>
        <v>2139348</v>
      </c>
      <c r="Q23" s="215">
        <f t="shared" si="12"/>
        <v>5559333</v>
      </c>
      <c r="R23" s="216">
        <f t="shared" si="12"/>
        <v>0</v>
      </c>
      <c r="S23" s="367">
        <f>SUM(B23:D23)+SUM(G23:R23)</f>
        <v>13133899</v>
      </c>
      <c r="U23" s="329"/>
      <c r="V23" s="329"/>
      <c r="W23" s="209"/>
    </row>
    <row r="24" spans="1:23" x14ac:dyDescent="0.2">
      <c r="A24" s="36"/>
      <c r="B24" s="177"/>
      <c r="C24" s="126"/>
      <c r="D24" s="126"/>
      <c r="E24" s="126"/>
      <c r="F24" s="470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55"/>
      <c r="U24" s="329"/>
      <c r="V24" s="329"/>
      <c r="W24" s="209"/>
    </row>
    <row r="25" spans="1:23" x14ac:dyDescent="0.2">
      <c r="A25" s="159" t="s">
        <v>93</v>
      </c>
      <c r="B25" s="177"/>
      <c r="C25" s="126"/>
      <c r="D25" s="126"/>
      <c r="E25" s="126"/>
      <c r="F25" s="470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55"/>
      <c r="U25" s="329"/>
      <c r="V25" s="329"/>
      <c r="W25" s="209"/>
    </row>
    <row r="26" spans="1:23" x14ac:dyDescent="0.2">
      <c r="A26" s="36" t="s">
        <v>58</v>
      </c>
      <c r="B26" s="177">
        <f>'[3]Atlas Air'!$JW57</f>
        <v>0</v>
      </c>
      <c r="C26" s="126">
        <f>[3]DHL!$JW57</f>
        <v>0</v>
      </c>
      <c r="D26" s="126">
        <f>[3]Airborne!$JW57</f>
        <v>0</v>
      </c>
      <c r="E26" s="126">
        <f>[3]DHL_Bemidji!$JW57</f>
        <v>0</v>
      </c>
      <c r="F26" s="470"/>
      <c r="G26" s="126">
        <f>[3]DHL_Encore!$JW57</f>
        <v>0</v>
      </c>
      <c r="H26" s="126">
        <f>[3]DHL_Mesa!$JW57</f>
        <v>0</v>
      </c>
      <c r="I26" s="126">
        <f>[3]Encore!$JW57</f>
        <v>0</v>
      </c>
      <c r="J26" s="126">
        <f>[3]FedEx!$JW57</f>
        <v>0</v>
      </c>
      <c r="K26" s="126">
        <f>[3]IFL!$JW57</f>
        <v>0</v>
      </c>
      <c r="L26" s="126">
        <f>[3]DHL_Kalitta!$JW57</f>
        <v>0</v>
      </c>
      <c r="M26" s="89">
        <f>'[3]Mountain Cargo'!$JW57</f>
        <v>0</v>
      </c>
      <c r="N26" s="126">
        <f>[3]DHL_Amerijet!$JW57</f>
        <v>0</v>
      </c>
      <c r="O26" s="126">
        <f>[3]DHL_Swift!$JW57</f>
        <v>0</v>
      </c>
      <c r="P26" s="126">
        <f>+'[3]Sun Country Cargo'!$JW57</f>
        <v>0</v>
      </c>
      <c r="Q26" s="126">
        <f>[3]UPS!$JW57</f>
        <v>0</v>
      </c>
      <c r="R26" s="89">
        <f>'[3]Misc Cargo'!$JW57</f>
        <v>0</v>
      </c>
      <c r="S26" s="355">
        <f>SUM(B26:D26)+SUM(G26:R26)</f>
        <v>0</v>
      </c>
      <c r="U26" s="329"/>
      <c r="V26" s="329"/>
      <c r="W26" s="329"/>
    </row>
    <row r="27" spans="1:23" x14ac:dyDescent="0.2">
      <c r="A27" s="36" t="s">
        <v>59</v>
      </c>
      <c r="B27" s="177">
        <f>'[3]Atlas Air'!$JW58</f>
        <v>0</v>
      </c>
      <c r="C27" s="126">
        <f>[3]DHL!$JW58</f>
        <v>0</v>
      </c>
      <c r="D27" s="126">
        <f>[3]Airborne!$JW58</f>
        <v>0</v>
      </c>
      <c r="E27" s="126">
        <f>[3]DHL_Bemidji!$JW58</f>
        <v>0</v>
      </c>
      <c r="F27" s="470"/>
      <c r="G27" s="126">
        <f>[3]DHL_Encore!$JW58</f>
        <v>0</v>
      </c>
      <c r="H27" s="126">
        <f>[3]DHL_Mesa!$JW58</f>
        <v>0</v>
      </c>
      <c r="I27" s="126">
        <f>[3]Encore!$JW58</f>
        <v>0</v>
      </c>
      <c r="J27" s="126">
        <f>[3]FedEx!$JW58</f>
        <v>0</v>
      </c>
      <c r="K27" s="126">
        <f>[3]IFL!$JW58</f>
        <v>0</v>
      </c>
      <c r="L27" s="126">
        <f>[3]DHL_Kalitta!$JW58</f>
        <v>0</v>
      </c>
      <c r="M27" s="89">
        <f>'[3]Mountain Cargo'!$JW58</f>
        <v>0</v>
      </c>
      <c r="N27" s="126">
        <f>[3]DHL_Amerijet!$JW58</f>
        <v>0</v>
      </c>
      <c r="O27" s="126">
        <f>[3]DHL_Swift!$JW58</f>
        <v>0</v>
      </c>
      <c r="P27" s="126">
        <f>+'[3]Sun Country Cargo'!$JW58</f>
        <v>0</v>
      </c>
      <c r="Q27" s="126">
        <f>[3]UPS!$JW58</f>
        <v>0</v>
      </c>
      <c r="R27" s="89">
        <f>'[3]Misc Cargo'!$JW58</f>
        <v>0</v>
      </c>
      <c r="S27" s="355">
        <f>SUM(B27:D27)+SUM(G27:R27)</f>
        <v>0</v>
      </c>
      <c r="U27" s="329"/>
      <c r="V27" s="329"/>
      <c r="W27" s="209"/>
    </row>
    <row r="28" spans="1:23" ht="18" customHeight="1" x14ac:dyDescent="0.2">
      <c r="A28" s="160" t="s">
        <v>43</v>
      </c>
      <c r="B28" s="366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0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67">
        <f>SUM(B28:D28)+SUM(G28:R28)</f>
        <v>0</v>
      </c>
      <c r="U28" s="329"/>
      <c r="V28" s="329"/>
      <c r="W28" s="329"/>
    </row>
    <row r="29" spans="1:23" x14ac:dyDescent="0.2">
      <c r="A29" s="36"/>
      <c r="B29" s="177"/>
      <c r="C29" s="126"/>
      <c r="D29" s="126"/>
      <c r="E29" s="126"/>
      <c r="F29" s="470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55"/>
      <c r="U29" s="329"/>
      <c r="V29" s="329"/>
      <c r="W29" s="329"/>
    </row>
    <row r="30" spans="1:23" x14ac:dyDescent="0.2">
      <c r="A30" s="161" t="s">
        <v>44</v>
      </c>
      <c r="B30" s="177"/>
      <c r="C30" s="126"/>
      <c r="D30" s="126"/>
      <c r="E30" s="126"/>
      <c r="F30" s="470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55"/>
      <c r="U30" s="329"/>
      <c r="V30" s="329"/>
      <c r="W30" s="329"/>
    </row>
    <row r="31" spans="1:23" x14ac:dyDescent="0.2">
      <c r="A31" s="36" t="s">
        <v>87</v>
      </c>
      <c r="B31" s="177">
        <f>B26+B21+B16</f>
        <v>23625</v>
      </c>
      <c r="C31" s="126">
        <f t="shared" ref="C31:R33" si="17">C26+C21+C16</f>
        <v>0</v>
      </c>
      <c r="D31" s="126">
        <f t="shared" si="17"/>
        <v>1367423</v>
      </c>
      <c r="E31" s="126">
        <f t="shared" si="17"/>
        <v>137146</v>
      </c>
      <c r="F31" s="470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9457068</v>
      </c>
      <c r="K31" s="126">
        <f t="shared" si="18"/>
        <v>0</v>
      </c>
      <c r="L31" s="126">
        <f t="shared" si="18"/>
        <v>101146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4234993</v>
      </c>
      <c r="Q31" s="126">
        <f t="shared" si="17"/>
        <v>7225026</v>
      </c>
      <c r="R31" s="89">
        <f>R26+R21+R16</f>
        <v>0</v>
      </c>
      <c r="S31" s="355">
        <f>SUM(B31:E31)+SUM(G31:R31)</f>
        <v>22546427</v>
      </c>
    </row>
    <row r="32" spans="1:23" x14ac:dyDescent="0.2">
      <c r="A32" s="36" t="s">
        <v>59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1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109052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4896591</v>
      </c>
      <c r="R32" s="89">
        <f>R27+R22+R17</f>
        <v>0</v>
      </c>
      <c r="S32" s="355">
        <f>SUM(B32:E32)+SUM(G32:R32)</f>
        <v>5005643</v>
      </c>
    </row>
    <row r="33" spans="1:19" ht="18" customHeight="1" thickBot="1" x14ac:dyDescent="0.25">
      <c r="A33" s="154" t="s">
        <v>46</v>
      </c>
      <c r="B33" s="360">
        <f>B28+B23+B18</f>
        <v>23625</v>
      </c>
      <c r="C33" s="155">
        <f t="shared" ref="C33:I33" si="21">C28+C23+C18</f>
        <v>0</v>
      </c>
      <c r="D33" s="155">
        <f t="shared" si="21"/>
        <v>1367423</v>
      </c>
      <c r="E33" s="155">
        <f t="shared" si="21"/>
        <v>137146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9457068</v>
      </c>
      <c r="K33" s="155">
        <f t="shared" si="18"/>
        <v>0</v>
      </c>
      <c r="L33" s="155">
        <f t="shared" si="18"/>
        <v>101146</v>
      </c>
      <c r="M33" s="156">
        <f>M28+M23+M18</f>
        <v>109052</v>
      </c>
      <c r="N33" s="155">
        <f t="shared" si="18"/>
        <v>0</v>
      </c>
      <c r="O33" s="155">
        <f t="shared" si="18"/>
        <v>0</v>
      </c>
      <c r="P33" s="155">
        <f t="shared" si="17"/>
        <v>4234993</v>
      </c>
      <c r="Q33" s="155">
        <f t="shared" si="17"/>
        <v>12121617</v>
      </c>
      <c r="R33" s="156">
        <f t="shared" si="17"/>
        <v>0</v>
      </c>
      <c r="S33" s="361">
        <f>SUM(B33:E33)+SUM(G33:R33)</f>
        <v>27552070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89</v>
      </c>
    </row>
    <row r="37" spans="1:19" x14ac:dyDescent="0.2">
      <c r="A37" t="s">
        <v>90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6" orientation="landscape" r:id="rId1"/>
  <headerFooter alignWithMargins="0">
    <oddHeader>&amp;L
Schedule 7
&amp;CMinneapolis-St. Paul International Airport
&amp;"Arial,Bold"Cargo
February 2026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J21" sqref="J21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71093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28515625" style="3" bestFit="1" customWidth="1"/>
    <col min="13" max="13" width="4.7109375" style="378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8"/>
      <c r="N1" s="9"/>
      <c r="O1" s="9"/>
      <c r="P1" s="9"/>
      <c r="Q1" s="9"/>
      <c r="R1" s="9"/>
    </row>
    <row r="2" spans="1:18" s="9" customFormat="1" ht="30" customHeight="1" thickBot="1" x14ac:dyDescent="0.25">
      <c r="A2" s="383">
        <v>46054</v>
      </c>
      <c r="B2" s="55" t="s">
        <v>198</v>
      </c>
      <c r="C2" s="55" t="s">
        <v>62</v>
      </c>
      <c r="D2" s="55" t="s">
        <v>63</v>
      </c>
      <c r="E2" s="227" t="s">
        <v>73</v>
      </c>
      <c r="F2" s="56" t="s">
        <v>234</v>
      </c>
      <c r="G2" s="56" t="s">
        <v>220</v>
      </c>
      <c r="H2" s="57" t="s">
        <v>64</v>
      </c>
      <c r="I2" s="58" t="s">
        <v>228</v>
      </c>
      <c r="J2" s="58" t="s">
        <v>218</v>
      </c>
      <c r="K2" s="67" t="s">
        <v>2</v>
      </c>
      <c r="M2" s="388"/>
    </row>
    <row r="3" spans="1:18" ht="20.25" customHeight="1" x14ac:dyDescent="0.2">
      <c r="A3" s="64" t="s">
        <v>65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66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67</v>
      </c>
      <c r="B5" s="133">
        <f>'Major Airline Stats'!J28</f>
        <v>3932737</v>
      </c>
      <c r="C5" s="89">
        <f>'Regional Major'!K25</f>
        <v>5933.5</v>
      </c>
      <c r="D5" s="89">
        <f>Cargo!S16</f>
        <v>11726974</v>
      </c>
      <c r="E5" s="89">
        <f>SUM(B5:D5)</f>
        <v>15665644.5</v>
      </c>
      <c r="F5" s="89">
        <f>E5*0.00045359237</f>
        <v>7105.8168163324644</v>
      </c>
      <c r="G5" s="89">
        <f>'[1]Cargo Summary'!F5</f>
        <v>7311.8886381025868</v>
      </c>
      <c r="H5" s="73">
        <f>(F5-G5)/G5</f>
        <v>-2.8183118202357825E-2</v>
      </c>
      <c r="I5" s="89">
        <f>'[2]Cargo Summary'!$I$5+F5</f>
        <v>13964.343872232908</v>
      </c>
      <c r="J5" s="89">
        <f>+'[1]Cargo Summary'!I5</f>
        <v>14644.743358809024</v>
      </c>
      <c r="K5" s="63">
        <f>(I5-J5)/J5</f>
        <v>-4.6460321625701004E-2</v>
      </c>
      <c r="M5" s="12"/>
      <c r="O5" s="387"/>
    </row>
    <row r="6" spans="1:18" x14ac:dyDescent="0.2">
      <c r="A6" s="43" t="s">
        <v>16</v>
      </c>
      <c r="B6" s="133">
        <f>'Major Airline Stats'!J29</f>
        <v>374398</v>
      </c>
      <c r="C6" s="89">
        <f>'Regional Major'!K26</f>
        <v>0</v>
      </c>
      <c r="D6" s="89">
        <f>Cargo!S17</f>
        <v>2641121</v>
      </c>
      <c r="E6" s="89">
        <f>SUM(B6:D6)</f>
        <v>3015519</v>
      </c>
      <c r="F6" s="89">
        <f>E6*0.00045359237</f>
        <v>1367.81640999003</v>
      </c>
      <c r="G6" s="89">
        <f>'[1]Cargo Summary'!F6</f>
        <v>900.31508355635003</v>
      </c>
      <c r="H6" s="3">
        <f>(F6-G6)/G6</f>
        <v>0.5192641276062987</v>
      </c>
      <c r="I6" s="89">
        <f>'[2]Cargo Summary'!$I$6+F6</f>
        <v>2906.7342122372402</v>
      </c>
      <c r="J6" s="89">
        <f>+'[1]Cargo Summary'!I6</f>
        <v>1827.5114117360099</v>
      </c>
      <c r="K6" s="63">
        <f>(I6-J6)/J6</f>
        <v>0.59054230445326905</v>
      </c>
      <c r="M6" s="12"/>
    </row>
    <row r="7" spans="1:18" ht="18" customHeight="1" thickBot="1" x14ac:dyDescent="0.25">
      <c r="A7" s="52" t="s">
        <v>70</v>
      </c>
      <c r="B7" s="135">
        <f>SUM(B5:B6)</f>
        <v>4307135</v>
      </c>
      <c r="C7" s="99">
        <f t="shared" ref="C7:J7" si="0">SUM(C5:C6)</f>
        <v>5933.5</v>
      </c>
      <c r="D7" s="99">
        <f t="shared" si="0"/>
        <v>14368095</v>
      </c>
      <c r="E7" s="99">
        <f t="shared" si="0"/>
        <v>18681163.5</v>
      </c>
      <c r="F7" s="99">
        <f t="shared" si="0"/>
        <v>8473.633226322494</v>
      </c>
      <c r="G7" s="99">
        <f t="shared" si="0"/>
        <v>8212.203721658936</v>
      </c>
      <c r="H7" s="27">
        <f>(F7-G7)/G7</f>
        <v>3.1834269280736613E-2</v>
      </c>
      <c r="I7" s="99">
        <f t="shared" si="0"/>
        <v>16871.078084470148</v>
      </c>
      <c r="J7" s="99">
        <f t="shared" si="0"/>
        <v>16472.254770545034</v>
      </c>
      <c r="K7" s="229">
        <f>(I7-J7)/J7</f>
        <v>2.4211822818468769E-2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68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67</v>
      </c>
      <c r="B10" s="133">
        <f>'Major Airline Stats'!J33</f>
        <v>2236670.8199999998</v>
      </c>
      <c r="C10" s="89">
        <f>'Regional Major'!K30</f>
        <v>6002</v>
      </c>
      <c r="D10" s="89">
        <f>Cargo!S21</f>
        <v>10819453</v>
      </c>
      <c r="E10" s="89">
        <f>SUM(B10:D10)</f>
        <v>13062125.82</v>
      </c>
      <c r="F10" s="89">
        <f>E10*0.00045359237</f>
        <v>5924.8806079319938</v>
      </c>
      <c r="G10" s="89">
        <f>'[1]Cargo Summary'!F10</f>
        <v>5816.3393920211583</v>
      </c>
      <c r="H10" s="3">
        <f>(F10-G10)/G10</f>
        <v>1.8661430943959716E-2</v>
      </c>
      <c r="I10" s="89">
        <f>'[2]Cargo Summary'!$I$10+F10</f>
        <v>11823.738621597087</v>
      </c>
      <c r="J10" s="89">
        <f>+'[1]Cargo Summary'!I10</f>
        <v>11802.336800018918</v>
      </c>
      <c r="K10" s="63">
        <f>(I10-J10)/J10</f>
        <v>1.8133545873843041E-3</v>
      </c>
      <c r="M10" s="12"/>
      <c r="O10" s="387"/>
    </row>
    <row r="11" spans="1:18" x14ac:dyDescent="0.2">
      <c r="A11" s="43" t="s">
        <v>16</v>
      </c>
      <c r="B11" s="133">
        <f>'Major Airline Stats'!J34</f>
        <v>416319</v>
      </c>
      <c r="C11" s="89">
        <f>'Regional Major'!K31</f>
        <v>0</v>
      </c>
      <c r="D11" s="89">
        <f>Cargo!S22</f>
        <v>2364522</v>
      </c>
      <c r="E11" s="89">
        <f>SUM(B11:D11)</f>
        <v>2780841</v>
      </c>
      <c r="F11" s="89">
        <f>E11*0.00045359237</f>
        <v>1261.3682597831701</v>
      </c>
      <c r="G11" s="89">
        <f>'[1]Cargo Summary'!F11</f>
        <v>995.44791850118997</v>
      </c>
      <c r="H11" s="24">
        <f>(F11-G11)/G11</f>
        <v>0.26713636779949951</v>
      </c>
      <c r="I11" s="89">
        <f>'[2]Cargo Summary'!$I$11+F11</f>
        <v>2667.9532096370999</v>
      </c>
      <c r="J11" s="89">
        <f>+'[1]Cargo Summary'!I11</f>
        <v>2033.2287057097401</v>
      </c>
      <c r="K11" s="63">
        <f>(I11-J11)/J11</f>
        <v>0.31217565547098464</v>
      </c>
      <c r="M11" s="12"/>
    </row>
    <row r="12" spans="1:18" ht="18" customHeight="1" thickBot="1" x14ac:dyDescent="0.25">
      <c r="A12" s="52" t="s">
        <v>71</v>
      </c>
      <c r="B12" s="135">
        <f>SUM(B10:B11)</f>
        <v>2652989.8199999998</v>
      </c>
      <c r="C12" s="99">
        <f t="shared" ref="C12:J12" si="1">SUM(C10:C11)</f>
        <v>6002</v>
      </c>
      <c r="D12" s="99">
        <f t="shared" si="1"/>
        <v>13183975</v>
      </c>
      <c r="E12" s="99">
        <f t="shared" si="1"/>
        <v>15842966.82</v>
      </c>
      <c r="F12" s="99">
        <f t="shared" si="1"/>
        <v>7186.2488677151641</v>
      </c>
      <c r="G12" s="99">
        <f t="shared" si="1"/>
        <v>6811.787310522348</v>
      </c>
      <c r="H12" s="27">
        <f>(F12-G12)/G12</f>
        <v>5.4972585038639638E-2</v>
      </c>
      <c r="I12" s="99">
        <f>SUM(I10:I11)</f>
        <v>14491.691831234188</v>
      </c>
      <c r="J12" s="99">
        <f t="shared" si="1"/>
        <v>13835.565505728659</v>
      </c>
      <c r="K12" s="229">
        <f>(I12-J12)/J12</f>
        <v>4.7423166420906902E-2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69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67</v>
      </c>
      <c r="B15" s="133">
        <f>'Major Airline Stats'!J38</f>
        <v>0</v>
      </c>
      <c r="C15" s="89">
        <f>'Regional Major'!K35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s="421">
        <v>0</v>
      </c>
      <c r="I15" s="89">
        <f>+'[2]Cargo Summary'!$I$15+F15</f>
        <v>0</v>
      </c>
      <c r="J15" s="89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3">
        <f>'Major Airline Stats'!J39</f>
        <v>0</v>
      </c>
      <c r="C16" s="89">
        <f>'Regional Major'!K36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>
        <v>0</v>
      </c>
      <c r="I16" s="89">
        <f>'[2]Cargo Summary'!$I$16+F16</f>
        <v>0</v>
      </c>
      <c r="J16" s="89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72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/>
      <c r="I17" s="99">
        <f>SUM(I15:I16)</f>
        <v>0</v>
      </c>
      <c r="J17" s="99">
        <f t="shared" si="2"/>
        <v>0</v>
      </c>
      <c r="K17" s="229"/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67</v>
      </c>
      <c r="B20" s="133">
        <f t="shared" ref="B20:D21" si="3">B15+B10+B5</f>
        <v>6169407.8200000003</v>
      </c>
      <c r="C20" s="89">
        <f>C15+C10+C5</f>
        <v>11935.5</v>
      </c>
      <c r="D20" s="89">
        <f t="shared" si="3"/>
        <v>22546427</v>
      </c>
      <c r="E20" s="89">
        <f>SUM(B20:D20)</f>
        <v>28727770.32</v>
      </c>
      <c r="F20" s="89">
        <f>E20*0.00045359237</f>
        <v>13030.697424264457</v>
      </c>
      <c r="G20" s="89">
        <f>'[1]Cargo Summary'!F20</f>
        <v>13128.228030123744</v>
      </c>
      <c r="H20" s="3">
        <f>(F20-G20)/G20</f>
        <v>-7.429076158297623E-3</v>
      </c>
      <c r="I20" s="89">
        <f>'[2]Cargo Summary'!$I$20+F20</f>
        <v>25788.082493829992</v>
      </c>
      <c r="J20" s="89">
        <f>+'[1]Cargo Summary'!I20</f>
        <v>26447.080158827943</v>
      </c>
      <c r="K20" s="63">
        <f>(I20-J20)/J20</f>
        <v>-2.4917596235211607E-2</v>
      </c>
      <c r="M20" s="12"/>
    </row>
    <row r="21" spans="1:13" x14ac:dyDescent="0.2">
      <c r="A21" s="43" t="s">
        <v>16</v>
      </c>
      <c r="B21" s="133">
        <f t="shared" si="3"/>
        <v>790717</v>
      </c>
      <c r="C21" s="90">
        <f t="shared" si="3"/>
        <v>0</v>
      </c>
      <c r="D21" s="90">
        <f t="shared" si="3"/>
        <v>5005643</v>
      </c>
      <c r="E21" s="89">
        <f>SUM(B21:D21)</f>
        <v>5796360</v>
      </c>
      <c r="F21" s="89">
        <f>E21*0.00045359237</f>
        <v>2629.1846697731999</v>
      </c>
      <c r="G21" s="89">
        <f>'[1]Cargo Summary'!F21</f>
        <v>1895.76300205754</v>
      </c>
      <c r="H21" s="3">
        <f>(F21-G21)/G21</f>
        <v>0.38687413295841877</v>
      </c>
      <c r="I21" s="89">
        <f>'[2]Cargo Summary'!$I$21+F21</f>
        <v>5574.6874218743396</v>
      </c>
      <c r="J21" s="89">
        <f>+'[1]Cargo Summary'!I21</f>
        <v>3860.74011744575</v>
      </c>
      <c r="K21" s="63">
        <f>(I21-J21)/J21</f>
        <v>0.44394267738552945</v>
      </c>
      <c r="M21" s="12"/>
    </row>
    <row r="22" spans="1:13" ht="18" customHeight="1" thickBot="1" x14ac:dyDescent="0.25">
      <c r="A22" s="65" t="s">
        <v>61</v>
      </c>
      <c r="B22" s="136">
        <f>SUM(B20:B21)</f>
        <v>6960124.8200000003</v>
      </c>
      <c r="C22" s="137">
        <f t="shared" ref="C22:J22" si="4">SUM(C20:C21)</f>
        <v>11935.5</v>
      </c>
      <c r="D22" s="137">
        <f t="shared" si="4"/>
        <v>27552070</v>
      </c>
      <c r="E22" s="137">
        <f t="shared" si="4"/>
        <v>34524130.32</v>
      </c>
      <c r="F22" s="137">
        <f t="shared" si="4"/>
        <v>15659.882094037657</v>
      </c>
      <c r="G22" s="137">
        <f t="shared" si="4"/>
        <v>15023.991032181284</v>
      </c>
      <c r="H22" s="235">
        <f>(F22-G22)/G22</f>
        <v>4.2325042693003412E-2</v>
      </c>
      <c r="I22" s="137">
        <f>SUM(I20:I21)</f>
        <v>31362.769915704332</v>
      </c>
      <c r="J22" s="137">
        <f t="shared" si="4"/>
        <v>30307.820276273691</v>
      </c>
      <c r="K22" s="236">
        <f>(I22-J22)/J22</f>
        <v>3.4807836057299778E-2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8
&amp;CMinneapolis-St. Paul International Airport
&amp;"Arial,Bold"Cargo Summary
February 2026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topLeftCell="A20" zoomScale="115" zoomScaleNormal="115" workbookViewId="0">
      <selection activeCell="L34" sqref="L34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28515625" bestFit="1" customWidth="1"/>
    <col min="5" max="5" width="10.7109375" bestFit="1" customWidth="1"/>
    <col min="6" max="7" width="8.7109375" bestFit="1" customWidth="1"/>
    <col min="8" max="8" width="10.7109375" bestFit="1" customWidth="1"/>
    <col min="9" max="9" width="9.71093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7109375" bestFit="1" customWidth="1"/>
    <col min="15" max="15" width="14.42578125" bestFit="1" customWidth="1"/>
    <col min="16" max="16" width="14" bestFit="1" customWidth="1"/>
    <col min="17" max="17" width="10.71093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78"/>
    </row>
    <row r="2" spans="1:20" s="9" customFormat="1" ht="26.25" thickBot="1" x14ac:dyDescent="0.25">
      <c r="A2" s="481" t="s">
        <v>174</v>
      </c>
      <c r="B2" s="482"/>
      <c r="C2" s="325" t="s">
        <v>230</v>
      </c>
      <c r="D2" s="326" t="s">
        <v>221</v>
      </c>
      <c r="E2" s="381" t="s">
        <v>94</v>
      </c>
      <c r="F2" s="328" t="s">
        <v>231</v>
      </c>
      <c r="G2" s="326" t="s">
        <v>222</v>
      </c>
      <c r="H2" s="382" t="s">
        <v>95</v>
      </c>
      <c r="I2" s="327" t="s">
        <v>134</v>
      </c>
      <c r="J2" s="481" t="s">
        <v>170</v>
      </c>
      <c r="K2" s="482"/>
      <c r="L2" s="325" t="s">
        <v>232</v>
      </c>
      <c r="M2" s="326" t="s">
        <v>225</v>
      </c>
      <c r="N2" s="381" t="s">
        <v>94</v>
      </c>
      <c r="O2" s="328" t="s">
        <v>233</v>
      </c>
      <c r="P2" s="326" t="s">
        <v>226</v>
      </c>
      <c r="Q2" s="382" t="s">
        <v>95</v>
      </c>
      <c r="R2" s="327" t="s">
        <v>134</v>
      </c>
      <c r="T2" s="379"/>
    </row>
    <row r="3" spans="1:20" s="9" customFormat="1" ht="13.5" customHeight="1" thickBot="1" x14ac:dyDescent="0.25">
      <c r="A3" s="483">
        <v>46054</v>
      </c>
      <c r="B3" s="484"/>
      <c r="C3" s="485" t="s">
        <v>9</v>
      </c>
      <c r="D3" s="486"/>
      <c r="E3" s="486"/>
      <c r="F3" s="486"/>
      <c r="G3" s="486"/>
      <c r="H3" s="487"/>
      <c r="I3" s="352"/>
      <c r="J3" s="483">
        <f>+A3</f>
        <v>46054</v>
      </c>
      <c r="K3" s="484"/>
      <c r="L3" s="478" t="s">
        <v>171</v>
      </c>
      <c r="M3" s="479"/>
      <c r="N3" s="479"/>
      <c r="O3" s="479"/>
      <c r="P3" s="479"/>
      <c r="Q3" s="479"/>
      <c r="R3" s="480"/>
      <c r="T3" s="379"/>
    </row>
    <row r="4" spans="1:20" x14ac:dyDescent="0.2">
      <c r="A4" s="241"/>
      <c r="B4" s="242"/>
      <c r="C4" s="243"/>
      <c r="D4" s="244"/>
      <c r="E4" s="245"/>
      <c r="F4" s="368"/>
      <c r="G4" s="244"/>
      <c r="H4" s="337"/>
      <c r="I4" s="245"/>
      <c r="J4" s="246"/>
      <c r="K4" s="242"/>
      <c r="L4" s="253"/>
      <c r="M4" s="2"/>
      <c r="N4" s="63"/>
      <c r="O4" s="36"/>
      <c r="R4" s="37"/>
      <c r="T4" s="378"/>
    </row>
    <row r="5" spans="1:20" ht="14.1" customHeight="1" x14ac:dyDescent="0.2">
      <c r="A5" s="248" t="s">
        <v>188</v>
      </c>
      <c r="B5" s="37"/>
      <c r="C5" s="369">
        <f>SUM(C6:C7)</f>
        <v>160</v>
      </c>
      <c r="D5" s="369">
        <f>SUM(D6:D7)</f>
        <v>196</v>
      </c>
      <c r="E5" s="370">
        <f>(C5-D5)/D5</f>
        <v>-0.18367346938775511</v>
      </c>
      <c r="F5" s="369">
        <f>SUM(F6:F7)</f>
        <v>272</v>
      </c>
      <c r="G5" s="369">
        <f>SUM(G6:G7)</f>
        <v>392</v>
      </c>
      <c r="H5" s="371">
        <f>(F5-G5)/G5</f>
        <v>-0.30612244897959184</v>
      </c>
      <c r="I5" s="370">
        <f>+F5/$F$34</f>
        <v>0.15349887133182843</v>
      </c>
      <c r="J5" s="248" t="s">
        <v>188</v>
      </c>
      <c r="K5" s="37"/>
      <c r="L5" s="369">
        <f>SUM(L6:L7)</f>
        <v>4258618</v>
      </c>
      <c r="M5" s="369">
        <f>SUM(M6:M7)</f>
        <v>4813570</v>
      </c>
      <c r="N5" s="370">
        <f>(L5-M5)/M5</f>
        <v>-0.11528906819678533</v>
      </c>
      <c r="O5" s="369">
        <f>SUM(O6:O7)</f>
        <v>9451106</v>
      </c>
      <c r="P5" s="369">
        <f>SUM(P6:P7)</f>
        <v>9610016</v>
      </c>
      <c r="Q5" s="371">
        <f>(O5-P5)/P5</f>
        <v>-1.653587257294889E-2</v>
      </c>
      <c r="R5" s="370">
        <f>O5/$O$34</f>
        <v>0.16865139587131522</v>
      </c>
      <c r="T5" s="378"/>
    </row>
    <row r="6" spans="1:20" ht="14.1" customHeight="1" x14ac:dyDescent="0.2">
      <c r="A6" s="36"/>
      <c r="B6" s="307" t="s">
        <v>189</v>
      </c>
      <c r="C6" s="311">
        <f>+'[3]Atlas Air'!$JW$19</f>
        <v>4</v>
      </c>
      <c r="D6" s="209">
        <f>+'[3]Atlas Air'!$JI$19</f>
        <v>0</v>
      </c>
      <c r="E6" s="313">
        <f>IFERROR((C6-D6)/D6,0)</f>
        <v>0</v>
      </c>
      <c r="F6" s="311">
        <f>+SUM('[3]Atlas Air'!$JV$19:$JW$19)</f>
        <v>4</v>
      </c>
      <c r="G6" s="209">
        <f>+SUM('[3]Atlas Air'!$JH$19:$JI$19)</f>
        <v>8</v>
      </c>
      <c r="H6" s="312">
        <f>IFERROR((F6-G6)/G6,0)</f>
        <v>-0.5</v>
      </c>
      <c r="I6" s="313">
        <f>+F6/$F$34</f>
        <v>2.257336343115124E-3</v>
      </c>
      <c r="J6" s="36"/>
      <c r="K6" s="307" t="s">
        <v>189</v>
      </c>
      <c r="L6" s="311">
        <f>+'[3]Atlas Air'!$JW$64</f>
        <v>23625</v>
      </c>
      <c r="M6" s="209">
        <f>+'[3]Atlas Air'!$JI$64</f>
        <v>0</v>
      </c>
      <c r="N6" s="313">
        <f>IFERROR((L6-M6)/M6,0)</f>
        <v>0</v>
      </c>
      <c r="O6" s="209">
        <f>+SUM('[3]Atlas Air'!$JV$64:$JW$64)</f>
        <v>23625</v>
      </c>
      <c r="P6" s="209">
        <f>+SUM('[3]Atlas Air'!$JH$64:$JI$64)</f>
        <v>108656</v>
      </c>
      <c r="Q6" s="312">
        <f>IFERROR((O6-P6)/P6,0)</f>
        <v>-0.78257068178471512</v>
      </c>
      <c r="R6" s="313">
        <f>O6/$O$34</f>
        <v>4.2157914930377697E-4</v>
      </c>
      <c r="T6" s="378"/>
    </row>
    <row r="7" spans="1:20" ht="14.1" customHeight="1" x14ac:dyDescent="0.2">
      <c r="A7" s="36"/>
      <c r="B7" s="307" t="s">
        <v>49</v>
      </c>
      <c r="C7" s="311">
        <f>+'[3]Sun Country Cargo'!$JW$19</f>
        <v>156</v>
      </c>
      <c r="D7" s="209">
        <f>+'[3]Sun Country Cargo'!$JI$19</f>
        <v>196</v>
      </c>
      <c r="E7" s="313">
        <f>(C7-D7)/D7</f>
        <v>-0.20408163265306123</v>
      </c>
      <c r="F7" s="311">
        <f>+SUM('[3]Sun Country Cargo'!$JV$19:$JW$19)</f>
        <v>268</v>
      </c>
      <c r="G7" s="209">
        <f>+SUM('[3]Sun Country Cargo'!$JH$19:$JI$19)</f>
        <v>384</v>
      </c>
      <c r="H7" s="312">
        <f>(F7-G7)/G7</f>
        <v>-0.30208333333333331</v>
      </c>
      <c r="I7" s="313">
        <f>+F7/$F$34</f>
        <v>0.15124153498871332</v>
      </c>
      <c r="J7" s="36"/>
      <c r="K7" s="307" t="s">
        <v>49</v>
      </c>
      <c r="L7" s="311">
        <f>+'[3]Sun Country Cargo'!$JW$64</f>
        <v>4234993</v>
      </c>
      <c r="M7" s="209">
        <f>+'[3]Sun Country Cargo'!$JI$64</f>
        <v>4813570</v>
      </c>
      <c r="N7" s="313">
        <f>(L7-M7)/M7</f>
        <v>-0.12019706787270155</v>
      </c>
      <c r="O7" s="209">
        <f>+SUM('[3]Sun Country Cargo'!$JV$64:$JW$64)</f>
        <v>9427481</v>
      </c>
      <c r="P7" s="209">
        <f>+SUM('[3]Sun Country Cargo'!$JH$64:$JI$64)</f>
        <v>9501360</v>
      </c>
      <c r="Q7" s="312">
        <f>(O7-P7)/P7</f>
        <v>-7.775623700186079E-3</v>
      </c>
      <c r="R7" s="313">
        <f>O7/$O$34</f>
        <v>0.16822981672201145</v>
      </c>
      <c r="T7" s="378"/>
    </row>
    <row r="8" spans="1:20" ht="14.1" customHeight="1" x14ac:dyDescent="0.2">
      <c r="A8" s="36"/>
      <c r="B8" s="37"/>
      <c r="C8" s="2"/>
      <c r="D8" s="2"/>
      <c r="E8" s="3"/>
      <c r="F8" s="372"/>
      <c r="G8" s="2"/>
      <c r="H8" s="3"/>
      <c r="I8" s="63"/>
      <c r="J8" s="350"/>
      <c r="K8" s="37"/>
      <c r="L8" s="2"/>
      <c r="M8" s="2"/>
      <c r="N8" s="63"/>
      <c r="R8" s="37"/>
      <c r="T8" s="378"/>
    </row>
    <row r="9" spans="1:20" ht="14.1" customHeight="1" x14ac:dyDescent="0.2">
      <c r="A9" s="248" t="s">
        <v>190</v>
      </c>
      <c r="B9" s="37"/>
      <c r="C9" s="369">
        <f>SUM(C10:C18)</f>
        <v>120</v>
      </c>
      <c r="D9" s="369">
        <f>SUM(D10:D18)</f>
        <v>118</v>
      </c>
      <c r="E9" s="370">
        <f>(C9-D9)/D9</f>
        <v>1.6949152542372881E-2</v>
      </c>
      <c r="F9" s="369">
        <f>SUM(F10:F18)</f>
        <v>232</v>
      </c>
      <c r="G9" s="369">
        <f>SUM(G10:G18)</f>
        <v>238</v>
      </c>
      <c r="H9" s="371">
        <f>(F9-G9)/G9</f>
        <v>-2.5210084033613446E-2</v>
      </c>
      <c r="I9" s="370">
        <f t="shared" ref="I9:I18" si="0">+F9/$F$34</f>
        <v>0.1309255079006772</v>
      </c>
      <c r="J9" s="248" t="s">
        <v>190</v>
      </c>
      <c r="K9" s="37"/>
      <c r="L9" s="369">
        <f>SUM(L10:L18)</f>
        <v>1605715</v>
      </c>
      <c r="M9" s="369">
        <f>SUM(M10:M18)</f>
        <v>1111139</v>
      </c>
      <c r="N9" s="370">
        <f t="shared" ref="N9:N18" si="1">(L9-M9)/M9</f>
        <v>0.44510722780858203</v>
      </c>
      <c r="O9" s="369">
        <f>SUM(O10:O18)</f>
        <v>2920789</v>
      </c>
      <c r="P9" s="369">
        <f>SUM(P10:P18)</f>
        <v>2243827</v>
      </c>
      <c r="Q9" s="371">
        <f t="shared" ref="Q9:Q18" si="2">(O9-P9)/P9</f>
        <v>0.30169972997026956</v>
      </c>
      <c r="R9" s="370">
        <f t="shared" ref="R9:R18" si="3">O9/$O$34</f>
        <v>5.212037002818326E-2</v>
      </c>
      <c r="T9" s="378"/>
    </row>
    <row r="10" spans="1:20" ht="14.1" customHeight="1" x14ac:dyDescent="0.2">
      <c r="A10" s="248"/>
      <c r="B10" s="307" t="s">
        <v>191</v>
      </c>
      <c r="C10" s="311">
        <f>+[3]Airborne!$JW$19</f>
        <v>42</v>
      </c>
      <c r="D10" s="209">
        <f>+[3]Airborne!$JI$19</f>
        <v>8</v>
      </c>
      <c r="E10" s="313">
        <f>(C10-D10)/D10</f>
        <v>4.25</v>
      </c>
      <c r="F10" s="311">
        <f>+SUM([3]Airborne!$JV$19:$JW$19)</f>
        <v>78</v>
      </c>
      <c r="G10" s="209">
        <f>+SUM([3]Airborne!$JH$19:$JI$19)</f>
        <v>10</v>
      </c>
      <c r="H10" s="312">
        <f>(F10-G10)/G10</f>
        <v>6.8</v>
      </c>
      <c r="I10" s="313">
        <f t="shared" si="0"/>
        <v>4.4018058690744918E-2</v>
      </c>
      <c r="J10" s="248"/>
      <c r="K10" s="307" t="s">
        <v>191</v>
      </c>
      <c r="L10" s="311">
        <f>+[3]Airborne!$JW$64</f>
        <v>1367423</v>
      </c>
      <c r="M10" s="209">
        <f>+[3]Airborne!$JI$64</f>
        <v>259754</v>
      </c>
      <c r="N10" s="313">
        <f t="shared" si="1"/>
        <v>4.2643000685263752</v>
      </c>
      <c r="O10" s="311">
        <f>+SUM([3]Airborne!$JV$64:$JW$64)</f>
        <v>2482629</v>
      </c>
      <c r="P10" s="209">
        <f>+SUM([3]Airborne!$JH$64:$JI$64)</f>
        <v>374030</v>
      </c>
      <c r="Q10" s="312">
        <f t="shared" si="2"/>
        <v>5.6375130337138728</v>
      </c>
      <c r="R10" s="313">
        <f t="shared" si="3"/>
        <v>4.4301571295529592E-2</v>
      </c>
      <c r="T10" s="378"/>
    </row>
    <row r="11" spans="1:20" ht="14.1" customHeight="1" x14ac:dyDescent="0.2">
      <c r="A11" s="248"/>
      <c r="B11" s="37" t="s">
        <v>189</v>
      </c>
      <c r="C11" s="311">
        <f>+[3]DHL_Atlas!$JW$19</f>
        <v>0</v>
      </c>
      <c r="D11" s="209">
        <f>+[3]DHL_Atlas!$JI$19</f>
        <v>0</v>
      </c>
      <c r="E11" s="313">
        <f>IFERROR((C11-D11)/D11,0)</f>
        <v>0</v>
      </c>
      <c r="F11" s="311">
        <f>+SUM([3]DHL_Atlas!$JV$19:$JW$19)</f>
        <v>0</v>
      </c>
      <c r="G11" s="209">
        <f>+SUM([3]DHL_Atlas!$JH$19:$JI$19)</f>
        <v>0</v>
      </c>
      <c r="H11" s="312">
        <f>IFERROR((F11-G11)/G11,0)</f>
        <v>0</v>
      </c>
      <c r="I11" s="313">
        <f t="shared" si="0"/>
        <v>0</v>
      </c>
      <c r="J11" s="248"/>
      <c r="K11" s="37" t="s">
        <v>189</v>
      </c>
      <c r="L11" s="311">
        <f>+[3]DHL_Atlas!$JW$64</f>
        <v>0</v>
      </c>
      <c r="M11" s="209">
        <f>+[3]DHL_Atlas!$JI$64</f>
        <v>0</v>
      </c>
      <c r="N11" s="313">
        <f>IFERROR((L11-M11)/M11,0)</f>
        <v>0</v>
      </c>
      <c r="O11" s="311">
        <f>+SUM([3]DHL_Atlas!$JV$64:$JW$64)</f>
        <v>0</v>
      </c>
      <c r="P11" s="209">
        <f>+SUM([3]DHL_Atlas!$JH$64:$JI$64)</f>
        <v>0</v>
      </c>
      <c r="Q11" s="312">
        <f>IFERROR((O11-P11)/P11,0)</f>
        <v>0</v>
      </c>
      <c r="R11" s="313">
        <f t="shared" si="3"/>
        <v>0</v>
      </c>
      <c r="T11" s="378"/>
    </row>
    <row r="12" spans="1:20" ht="14.1" customHeight="1" x14ac:dyDescent="0.2">
      <c r="A12" s="248"/>
      <c r="B12" s="37" t="s">
        <v>216</v>
      </c>
      <c r="C12" s="311">
        <f>+[3]DHL!$JW$19</f>
        <v>0</v>
      </c>
      <c r="D12" s="209">
        <f>+[3]DHL!$JI$19</f>
        <v>0</v>
      </c>
      <c r="E12" s="313">
        <f>IFERROR((C12-D12)/D12,0)</f>
        <v>0</v>
      </c>
      <c r="F12" s="311">
        <f>+SUM([3]DHL!$JV$19:$JW$19)</f>
        <v>2</v>
      </c>
      <c r="G12" s="209">
        <f>+SUM([3]DHL!$JH$19:$JI$19)</f>
        <v>8</v>
      </c>
      <c r="H12" s="312">
        <f>IFERROR((F12-G12)/G12,0)</f>
        <v>-0.75</v>
      </c>
      <c r="I12" s="313">
        <f t="shared" si="0"/>
        <v>1.128668171557562E-3</v>
      </c>
      <c r="J12" s="248"/>
      <c r="K12" s="37" t="s">
        <v>216</v>
      </c>
      <c r="L12" s="311">
        <f>+[3]DHL!$JW$64</f>
        <v>0</v>
      </c>
      <c r="M12" s="209">
        <f>+[3]DHL!$JI$64</f>
        <v>0</v>
      </c>
      <c r="N12" s="313">
        <f>IFERROR((L12-M12)/M12,0)</f>
        <v>0</v>
      </c>
      <c r="O12" s="311">
        <f>+SUM([3]DHL!$JV$64:$JW$64)</f>
        <v>66634</v>
      </c>
      <c r="P12" s="209">
        <f>+SUM([3]DHL!$JH$64:$JI$64)</f>
        <v>205001</v>
      </c>
      <c r="Q12" s="312">
        <f>IFERROR((O12-P12)/P12,0)</f>
        <v>-0.67495768313325299</v>
      </c>
      <c r="R12" s="313">
        <f t="shared" si="3"/>
        <v>1.189058414167529E-3</v>
      </c>
      <c r="T12" s="378"/>
    </row>
    <row r="13" spans="1:20" ht="14.1" customHeight="1" x14ac:dyDescent="0.2">
      <c r="A13" s="248"/>
      <c r="B13" s="307" t="s">
        <v>82</v>
      </c>
      <c r="C13" s="311">
        <f>+[3]DHL_Bemidji!$JW$19</f>
        <v>76</v>
      </c>
      <c r="D13" s="209">
        <f>+[3]DHL_Bemidji!$JI$19</f>
        <v>78</v>
      </c>
      <c r="E13" s="313">
        <f>(C13-D13)/D13</f>
        <v>-2.564102564102564E-2</v>
      </c>
      <c r="F13" s="311">
        <f>+SUM([3]DHL_Bemidji!$JV$19:$JW$19)</f>
        <v>150</v>
      </c>
      <c r="G13" s="209">
        <f>+SUM([3]DHL_Bemidji!$JH$19:$JI$19)</f>
        <v>156</v>
      </c>
      <c r="H13" s="312">
        <f t="shared" ref="H13:H18" si="4">(F13-G13)/G13</f>
        <v>-3.8461538461538464E-2</v>
      </c>
      <c r="I13" s="313">
        <f t="shared" si="0"/>
        <v>8.4650112866817159E-2</v>
      </c>
      <c r="J13" s="248"/>
      <c r="K13" s="307" t="s">
        <v>82</v>
      </c>
      <c r="L13" s="311">
        <f>+[3]DHL_Bemidji!$JW$64</f>
        <v>137146</v>
      </c>
      <c r="M13" s="209">
        <f>+[3]DHL_Bemidji!$JI$64</f>
        <v>81418</v>
      </c>
      <c r="N13" s="313">
        <f t="shared" ref="N13" si="5">(L13-M13)/M13</f>
        <v>0.68446780810140262</v>
      </c>
      <c r="O13" s="311">
        <f>+SUM([3]DHL_Bemidji!$JV$64:$JW$64)</f>
        <v>270380</v>
      </c>
      <c r="P13" s="209">
        <f>+SUM([3]DHL_Bemidji!$JH$64:$JI$64)</f>
        <v>160574</v>
      </c>
      <c r="Q13" s="312">
        <f t="shared" ref="Q13" si="6">(O13-P13)/P13</f>
        <v>0.68383424464732767</v>
      </c>
      <c r="R13" s="313">
        <f t="shared" si="3"/>
        <v>4.8248283762436072E-3</v>
      </c>
      <c r="T13" s="378"/>
    </row>
    <row r="14" spans="1:20" ht="14.1" customHeight="1" x14ac:dyDescent="0.2">
      <c r="A14" s="248"/>
      <c r="B14" s="37" t="s">
        <v>180</v>
      </c>
      <c r="C14" s="311">
        <f>+[3]Encore!$JW$19+[3]DHL_Encore!$JW$12</f>
        <v>0</v>
      </c>
      <c r="D14" s="209">
        <f>+[3]Encore!$JI$19+[3]DHL_Encore!$JI$19</f>
        <v>0</v>
      </c>
      <c r="E14" s="313">
        <f>IFERROR((C14-D14)/D14,0)</f>
        <v>0</v>
      </c>
      <c r="F14" s="311">
        <f>+SUM([3]Encore!$JV$19:$JW$19)+SUM([3]DHL_Encore!$JV$19:$JW$19)</f>
        <v>0</v>
      </c>
      <c r="G14" s="209">
        <f>+SUM([3]Encore!$JH$19:$JI$19)+SUM([3]DHL_Encore!$JH$19:$JI$19)</f>
        <v>0</v>
      </c>
      <c r="H14" s="312">
        <f>IFERROR((F14-G14)/G14,0)</f>
        <v>0</v>
      </c>
      <c r="I14" s="313">
        <f t="shared" si="0"/>
        <v>0</v>
      </c>
      <c r="J14" s="248"/>
      <c r="K14" s="37" t="s">
        <v>180</v>
      </c>
      <c r="L14" s="311">
        <f>+[3]Encore!$JW$64+[3]DHL_Encore!$JW$64</f>
        <v>0</v>
      </c>
      <c r="M14" s="209">
        <f>+[3]Encore!$JI$64+[3]DHL_Encore!$JI$64</f>
        <v>0</v>
      </c>
      <c r="N14" s="313">
        <f>IFERROR((L14-M14)/M14,0)</f>
        <v>0</v>
      </c>
      <c r="O14" s="311">
        <f>+SUM([3]Encore!$JV$64:$JW$64)+SUM([3]DHL_Encore!$JV$64:$JW$64)</f>
        <v>0</v>
      </c>
      <c r="P14" s="209">
        <f>+SUM([3]Encore!$JH$64:$JI$64)+SUM([3]DHL_Encore!$JH$64:$JI$64)</f>
        <v>0</v>
      </c>
      <c r="Q14" s="312">
        <f>IFERROR((O14-P14)/P14,0)</f>
        <v>0</v>
      </c>
      <c r="R14" s="313">
        <f t="shared" si="3"/>
        <v>0</v>
      </c>
      <c r="T14" s="378"/>
    </row>
    <row r="15" spans="1:20" ht="14.1" customHeight="1" x14ac:dyDescent="0.2">
      <c r="A15" s="248"/>
      <c r="B15" s="37" t="s">
        <v>192</v>
      </c>
      <c r="C15" s="311">
        <f>+[3]DHL_Kalitta!$JW$19</f>
        <v>2</v>
      </c>
      <c r="D15" s="209">
        <f>+[3]DHL_Kalitta!$JI$19</f>
        <v>32</v>
      </c>
      <c r="E15" s="313">
        <f t="shared" ref="E15:E18" si="7">(C15-D15)/D15</f>
        <v>-0.9375</v>
      </c>
      <c r="F15" s="311">
        <f>+SUM([3]DHL_Kalitta!$JV$19:$JW$19)</f>
        <v>2</v>
      </c>
      <c r="G15" s="209">
        <f>+SUM([3]DHL_Kalitta!$JH$19:$JI$19)</f>
        <v>64</v>
      </c>
      <c r="H15" s="312">
        <f t="shared" si="4"/>
        <v>-0.96875</v>
      </c>
      <c r="I15" s="313">
        <f t="shared" si="0"/>
        <v>1.128668171557562E-3</v>
      </c>
      <c r="J15" s="248"/>
      <c r="K15" s="37" t="s">
        <v>192</v>
      </c>
      <c r="L15" s="311">
        <f>+[3]DHL_Kalitta!$JW$64</f>
        <v>101146</v>
      </c>
      <c r="M15" s="209">
        <f>+[3]DHL_Kalitta!$JI$64</f>
        <v>769967</v>
      </c>
      <c r="N15" s="313">
        <f t="shared" si="1"/>
        <v>-0.86863592855278215</v>
      </c>
      <c r="O15" s="311">
        <f>+SUM([3]DHL_Kalitta!$JV$64:$JW$64)</f>
        <v>101146</v>
      </c>
      <c r="P15" s="209">
        <f>+SUM([3]DHL_Kalitta!$JH$64:$JI$64)</f>
        <v>1504222</v>
      </c>
      <c r="Q15" s="312">
        <f t="shared" si="2"/>
        <v>-0.93275859547327455</v>
      </c>
      <c r="R15" s="313">
        <f t="shared" si="3"/>
        <v>1.8049119422425322E-3</v>
      </c>
      <c r="T15" s="378"/>
    </row>
    <row r="16" spans="1:20" ht="14.1" customHeight="1" x14ac:dyDescent="0.2">
      <c r="A16" s="248"/>
      <c r="B16" s="37" t="s">
        <v>50</v>
      </c>
      <c r="C16" s="311">
        <f>+[3]DHL_Mesa!$JW$19</f>
        <v>0</v>
      </c>
      <c r="D16" s="209">
        <f>+[3]DHL_Mesa!$JI$19</f>
        <v>0</v>
      </c>
      <c r="E16" s="313" t="e">
        <f t="shared" ref="E16" si="8">(C16-D16)/D16</f>
        <v>#DIV/0!</v>
      </c>
      <c r="F16" s="311">
        <f>+SUM([3]DHL_Mesa!$JV$19:$JW$19)</f>
        <v>0</v>
      </c>
      <c r="G16" s="209">
        <f>+SUM([3]DHL_Mesa!$JH$19:$JI$19)</f>
        <v>0</v>
      </c>
      <c r="H16" s="312" t="e">
        <f t="shared" ref="H16" si="9">(F16-G16)/G16</f>
        <v>#DIV/0!</v>
      </c>
      <c r="I16" s="313">
        <f t="shared" ref="I16" si="10">+F16/$F$34</f>
        <v>0</v>
      </c>
      <c r="J16" s="248"/>
      <c r="K16" s="37" t="s">
        <v>50</v>
      </c>
      <c r="L16" s="311">
        <f>+[3]DHL_Mesa!$JW$64</f>
        <v>0</v>
      </c>
      <c r="M16" s="209">
        <f>+[3]DHL_Mesa!$JI$64</f>
        <v>0</v>
      </c>
      <c r="N16" s="313" t="e">
        <f t="shared" ref="N16" si="11">(L16-M16)/M16</f>
        <v>#DIV/0!</v>
      </c>
      <c r="O16" s="311">
        <f>+SUM([3]DHL_Mesa!$JV$64:$JW$64)</f>
        <v>0</v>
      </c>
      <c r="P16" s="209">
        <f>+SUM([3]DHL_Mesa!$JH$64:$JI$64)</f>
        <v>0</v>
      </c>
      <c r="Q16" s="312" t="e">
        <f t="shared" ref="Q16" si="12">(O16-P16)/P16</f>
        <v>#DIV/0!</v>
      </c>
      <c r="R16" s="313">
        <f t="shared" ref="R16" si="13">O16/$O$34</f>
        <v>0</v>
      </c>
      <c r="T16" s="378"/>
    </row>
    <row r="17" spans="1:20" x14ac:dyDescent="0.2">
      <c r="A17" s="248"/>
      <c r="B17" s="37" t="s">
        <v>206</v>
      </c>
      <c r="C17" s="311">
        <f>+[3]DHL_Amerijet!$JW$19</f>
        <v>0</v>
      </c>
      <c r="D17" s="209">
        <f>+[3]DHL_Amerijet!$JI$19</f>
        <v>0</v>
      </c>
      <c r="E17" s="313">
        <f>IFERROR((C17-D17)/D17,0)</f>
        <v>0</v>
      </c>
      <c r="F17" s="311">
        <f>+SUM([3]DHL_Amerijet!$JV$19:$JW$19)</f>
        <v>0</v>
      </c>
      <c r="G17" s="209">
        <f>+SUM([3]DHL_Amerijet!$JH$19:$JI$19)</f>
        <v>0</v>
      </c>
      <c r="H17" s="312">
        <f>IFERROR((F17-G17)/G17,0)</f>
        <v>0</v>
      </c>
      <c r="I17" s="313">
        <f t="shared" si="0"/>
        <v>0</v>
      </c>
      <c r="J17" s="248"/>
      <c r="K17" s="37" t="s">
        <v>206</v>
      </c>
      <c r="L17" s="311">
        <f>+[3]DHL_Amerijet!$JW$64</f>
        <v>0</v>
      </c>
      <c r="M17" s="209">
        <f>+[3]DHL_Amerijet!$JI$64</f>
        <v>0</v>
      </c>
      <c r="N17" s="313">
        <f>IFERROR((L17-M17)/M17,0)</f>
        <v>0</v>
      </c>
      <c r="O17" s="311">
        <f>+SUM([3]DHL_Amerijet!$JV$64:$JW$64)</f>
        <v>0</v>
      </c>
      <c r="P17" s="209">
        <f>+SUM([3]DHL_Amerijet!$JH$64:$JI$64)</f>
        <v>0</v>
      </c>
      <c r="Q17" s="312">
        <f>IFERROR((O17-P17)/P17,0)</f>
        <v>0</v>
      </c>
      <c r="R17" s="313">
        <f t="shared" si="3"/>
        <v>0</v>
      </c>
      <c r="T17" s="378"/>
    </row>
    <row r="18" spans="1:20" ht="14.1" customHeight="1" x14ac:dyDescent="0.2">
      <c r="A18" s="248"/>
      <c r="B18" s="37" t="s">
        <v>193</v>
      </c>
      <c r="C18" s="311">
        <f>+[3]DHL_Swift!$JW$19</f>
        <v>0</v>
      </c>
      <c r="D18" s="209">
        <f>+[3]DHL_Swift!$JI$19</f>
        <v>0</v>
      </c>
      <c r="E18" s="313" t="e">
        <f t="shared" si="7"/>
        <v>#DIV/0!</v>
      </c>
      <c r="F18" s="311">
        <f>+SUM([3]DHL_Swift!$JV$19:$JW$19)</f>
        <v>0</v>
      </c>
      <c r="G18" s="209">
        <f>+SUM([3]DHL_Swift!$JH$19:$JI$19)</f>
        <v>0</v>
      </c>
      <c r="H18" s="312" t="e">
        <f t="shared" si="4"/>
        <v>#DIV/0!</v>
      </c>
      <c r="I18" s="313">
        <f t="shared" si="0"/>
        <v>0</v>
      </c>
      <c r="J18" s="248"/>
      <c r="K18" s="37" t="s">
        <v>193</v>
      </c>
      <c r="L18" s="311">
        <f>+[3]DHL_Swift!$JW$64</f>
        <v>0</v>
      </c>
      <c r="M18" s="209">
        <f>+[3]DHL_Swift!$JI$64</f>
        <v>0</v>
      </c>
      <c r="N18" s="313" t="e">
        <f t="shared" si="1"/>
        <v>#DIV/0!</v>
      </c>
      <c r="O18" s="311">
        <f>+SUM([3]DHL_Swift!$JV$64:$JW$64)</f>
        <v>0</v>
      </c>
      <c r="P18" s="209">
        <f>+SUM([3]DHL_Swift!$JH$64:$JI$64)</f>
        <v>0</v>
      </c>
      <c r="Q18" s="312" t="e">
        <f t="shared" si="2"/>
        <v>#DIV/0!</v>
      </c>
      <c r="R18" s="313">
        <f t="shared" si="3"/>
        <v>0</v>
      </c>
      <c r="T18" s="378"/>
    </row>
    <row r="19" spans="1:20" ht="14.1" customHeight="1" x14ac:dyDescent="0.2">
      <c r="A19" s="248"/>
      <c r="B19" s="37"/>
      <c r="C19" s="249"/>
      <c r="D19" s="251"/>
      <c r="E19" s="252"/>
      <c r="F19" s="249"/>
      <c r="G19" s="251"/>
      <c r="H19" s="250"/>
      <c r="I19" s="252"/>
      <c r="J19" s="248"/>
      <c r="K19" s="37"/>
      <c r="L19" s="253"/>
      <c r="M19" s="2"/>
      <c r="N19" s="63"/>
      <c r="O19" s="253"/>
      <c r="P19" s="251"/>
      <c r="Q19" s="3"/>
      <c r="R19" s="63"/>
      <c r="T19" s="378"/>
    </row>
    <row r="20" spans="1:20" ht="14.1" customHeight="1" x14ac:dyDescent="0.2">
      <c r="A20" s="248" t="s">
        <v>172</v>
      </c>
      <c r="B20" s="37"/>
      <c r="C20" s="373">
        <f>SUM(C21:C24)</f>
        <v>212</v>
      </c>
      <c r="D20" s="369">
        <f>SUM(D21:D24)</f>
        <v>190</v>
      </c>
      <c r="E20" s="370">
        <f>(C20-D20)/D20</f>
        <v>0.11578947368421053</v>
      </c>
      <c r="F20" s="373">
        <f>SUM(F21:F24)</f>
        <v>414</v>
      </c>
      <c r="G20" s="369">
        <f>SUM(G21:G24)</f>
        <v>394</v>
      </c>
      <c r="H20" s="371">
        <f t="shared" ref="H20:H21" si="14">(F20-G20)/G20</f>
        <v>5.0761421319796954E-2</v>
      </c>
      <c r="I20" s="370">
        <f>+F20/$F$34</f>
        <v>0.23363431151241534</v>
      </c>
      <c r="J20" s="248" t="s">
        <v>172</v>
      </c>
      <c r="K20" s="37"/>
      <c r="L20" s="373">
        <f>SUM(L21:L24)</f>
        <v>9566120</v>
      </c>
      <c r="M20" s="369">
        <f>SUM(M21:M24)</f>
        <v>9124076</v>
      </c>
      <c r="N20" s="370">
        <f>(L20-M20)/M20</f>
        <v>4.8448083948445846E-2</v>
      </c>
      <c r="O20" s="373">
        <f>SUM(O21:O24)</f>
        <v>18748679</v>
      </c>
      <c r="P20" s="369">
        <f>SUM(P21:P24)</f>
        <v>18910432</v>
      </c>
      <c r="Q20" s="371">
        <f t="shared" ref="Q20:Q22" si="15">(O20-P20)/P20</f>
        <v>-8.5536385419434091E-3</v>
      </c>
      <c r="R20" s="370">
        <f>O20/$O$34</f>
        <v>0.33456305368844819</v>
      </c>
      <c r="T20" s="378"/>
    </row>
    <row r="21" spans="1:20" ht="14.1" customHeight="1" x14ac:dyDescent="0.2">
      <c r="A21" s="36"/>
      <c r="B21" s="307" t="s">
        <v>172</v>
      </c>
      <c r="C21" s="311">
        <f>+[3]FedEx!$JW$19</f>
        <v>144</v>
      </c>
      <c r="D21" s="209">
        <f>+[3]FedEx!$JI$19</f>
        <v>124</v>
      </c>
      <c r="E21" s="313">
        <f>(C21-D21)/D21</f>
        <v>0.16129032258064516</v>
      </c>
      <c r="F21" s="311">
        <f>+SUM([3]FedEx!$JV$19:$JW$19)</f>
        <v>284</v>
      </c>
      <c r="G21" s="209">
        <f>+SUM([3]FedEx!$JH$19:$JI$19)</f>
        <v>250</v>
      </c>
      <c r="H21" s="312">
        <f t="shared" si="14"/>
        <v>0.13600000000000001</v>
      </c>
      <c r="I21" s="313">
        <f>+F21/$F$34</f>
        <v>0.16027088036117382</v>
      </c>
      <c r="J21" s="248"/>
      <c r="K21" s="307" t="s">
        <v>172</v>
      </c>
      <c r="L21" s="311">
        <f>+[3]FedEx!$JW$64</f>
        <v>9457068</v>
      </c>
      <c r="M21" s="209">
        <f>+[3]FedEx!$JI$64</f>
        <v>8936530</v>
      </c>
      <c r="N21" s="313">
        <f>(L21-M21)/M21</f>
        <v>5.8248335763433905E-2</v>
      </c>
      <c r="O21" s="311">
        <f>+SUM([3]FedEx!$JV$64:$JW$64)</f>
        <v>18482254</v>
      </c>
      <c r="P21" s="209">
        <f>+SUM([3]FedEx!$JH$64:$JI$64)</f>
        <v>18540301</v>
      </c>
      <c r="Q21" s="312">
        <f t="shared" si="15"/>
        <v>-3.1308553189077137E-3</v>
      </c>
      <c r="R21" s="313">
        <f>O21/$O$34</f>
        <v>0.3298088007846065</v>
      </c>
      <c r="T21" s="378"/>
    </row>
    <row r="22" spans="1:20" ht="14.1" customHeight="1" x14ac:dyDescent="0.2">
      <c r="A22" s="36"/>
      <c r="B22" s="307" t="s">
        <v>194</v>
      </c>
      <c r="C22" s="311">
        <f>+'[3]Mountain Cargo'!$JW$19</f>
        <v>36</v>
      </c>
      <c r="D22" s="209">
        <f>+'[3]Mountain Cargo'!$JI$19</f>
        <v>38</v>
      </c>
      <c r="E22" s="313">
        <f>(C22-D22)/D22</f>
        <v>-5.2631578947368418E-2</v>
      </c>
      <c r="F22" s="311">
        <f>+SUM('[3]Mountain Cargo'!$JV$19:$JW$19)</f>
        <v>74</v>
      </c>
      <c r="G22" s="209">
        <f>+SUM('[3]Mountain Cargo'!$JH$19:$JI$19)</f>
        <v>82</v>
      </c>
      <c r="H22" s="312">
        <f>(F22-G22)/G22</f>
        <v>-9.7560975609756101E-2</v>
      </c>
      <c r="I22" s="313">
        <f>+F22/$F$34</f>
        <v>4.17607223476298E-2</v>
      </c>
      <c r="J22" s="350"/>
      <c r="K22" s="307" t="s">
        <v>194</v>
      </c>
      <c r="L22" s="311">
        <f>+'[3]Mountain Cargo'!$JW$64</f>
        <v>109052</v>
      </c>
      <c r="M22" s="209">
        <f>+'[3]Mountain Cargo'!$JI$64</f>
        <v>134563</v>
      </c>
      <c r="N22" s="313">
        <f>(L22-M22)/M22</f>
        <v>-0.18958406099745101</v>
      </c>
      <c r="O22" s="311">
        <f>+SUM('[3]Mountain Cargo'!$JV$64:$JW$64)</f>
        <v>223185</v>
      </c>
      <c r="P22" s="209">
        <f>+SUM('[3]Mountain Cargo'!$JH$64:$JI$64)</f>
        <v>262388</v>
      </c>
      <c r="Q22" s="312">
        <f t="shared" si="15"/>
        <v>-0.14940850953549706</v>
      </c>
      <c r="R22" s="313">
        <f>O22/$O$34</f>
        <v>3.9826515317402528E-3</v>
      </c>
      <c r="T22" s="378"/>
    </row>
    <row r="23" spans="1:20" ht="14.1" customHeight="1" x14ac:dyDescent="0.2">
      <c r="A23" s="36"/>
      <c r="B23" s="307" t="s">
        <v>166</v>
      </c>
      <c r="C23" s="311">
        <f>+[3]IFL!$JW$19</f>
        <v>32</v>
      </c>
      <c r="D23" s="209">
        <f>+[3]IFL!$JI$19</f>
        <v>28</v>
      </c>
      <c r="E23" s="313">
        <f>(C23-D23)/D23</f>
        <v>0.14285714285714285</v>
      </c>
      <c r="F23" s="311">
        <f>+SUM([3]IFL!$JV$19:$JW$19)</f>
        <v>56</v>
      </c>
      <c r="G23" s="209">
        <f>+SUM([3]IFL!$JH$19:$JI$19)</f>
        <v>62</v>
      </c>
      <c r="H23" s="312">
        <f>(F23-G23)/G23</f>
        <v>-9.6774193548387094E-2</v>
      </c>
      <c r="I23" s="313">
        <f>+F23/$F$34</f>
        <v>3.160270880361174E-2</v>
      </c>
      <c r="J23" s="350"/>
      <c r="K23" s="307" t="s">
        <v>166</v>
      </c>
      <c r="L23" s="311">
        <f>+[3]IFL!$JW$64</f>
        <v>0</v>
      </c>
      <c r="M23" s="209">
        <f>+[3]IFL!$JI$64</f>
        <v>52983</v>
      </c>
      <c r="N23" s="313">
        <f>(L23-M23)/M23</f>
        <v>-1</v>
      </c>
      <c r="O23" s="311">
        <f>+SUM([3]IFL!$JV$64:$JW$64)</f>
        <v>43240</v>
      </c>
      <c r="P23" s="209">
        <f>+SUM([3]IFL!$JH$64:$JI$64)</f>
        <v>107743</v>
      </c>
      <c r="Q23" s="312">
        <f>(O23-P23)/P23</f>
        <v>-0.5986746238734767</v>
      </c>
      <c r="R23" s="313">
        <f>O23/$O$34</f>
        <v>7.716013721013891E-4</v>
      </c>
      <c r="T23" s="378"/>
    </row>
    <row r="24" spans="1:20" ht="14.1" customHeight="1" x14ac:dyDescent="0.2">
      <c r="A24" s="248"/>
      <c r="B24" s="307" t="s">
        <v>83</v>
      </c>
      <c r="C24" s="311">
        <f>+'[3]CSA Air'!$JW$19</f>
        <v>0</v>
      </c>
      <c r="D24" s="209">
        <f>+'[3]CSA Air'!$JI$19</f>
        <v>0</v>
      </c>
      <c r="E24" s="313">
        <f>IFERROR((C24-D24)/D24,)</f>
        <v>0</v>
      </c>
      <c r="F24" s="311">
        <f>+SUM('[3]CSA Air'!$JV$19:$JW$19)</f>
        <v>0</v>
      </c>
      <c r="G24" s="209">
        <f>+SUM('[3]CSA Air'!$JH$19:$JI$19)</f>
        <v>0</v>
      </c>
      <c r="H24" s="312">
        <f>IFERROR((F24-G24)/G24,0)</f>
        <v>0</v>
      </c>
      <c r="I24" s="313">
        <f>+F24/$F$34</f>
        <v>0</v>
      </c>
      <c r="J24" s="248"/>
      <c r="K24" s="307" t="s">
        <v>83</v>
      </c>
      <c r="L24" s="311">
        <f>+'[3]CSA Air'!$JW$64</f>
        <v>0</v>
      </c>
      <c r="M24" s="209">
        <f>+'[3]CSA Air'!$JI$64</f>
        <v>0</v>
      </c>
      <c r="N24" s="313">
        <f>IFERROR((L24-M24)/M24,0)</f>
        <v>0</v>
      </c>
      <c r="O24" s="311">
        <f>+SUM('[3]CSA Air'!$JV$64:$JW$64)</f>
        <v>0</v>
      </c>
      <c r="P24" s="209">
        <f>+SUM('[3]CSA Air'!$JH$64:$JI$64)</f>
        <v>0</v>
      </c>
      <c r="Q24" s="312">
        <f>IFERROR((O24-P24)/P24,0)</f>
        <v>0</v>
      </c>
      <c r="R24" s="313">
        <f>O24/$O$34</f>
        <v>0</v>
      </c>
      <c r="T24" s="378"/>
    </row>
    <row r="25" spans="1:20" ht="14.1" customHeight="1" x14ac:dyDescent="0.2">
      <c r="A25" s="248"/>
      <c r="B25" s="37"/>
      <c r="C25" s="249"/>
      <c r="D25" s="251"/>
      <c r="E25" s="252"/>
      <c r="F25" s="249"/>
      <c r="G25" s="251"/>
      <c r="H25" s="250"/>
      <c r="I25" s="252"/>
      <c r="J25" s="248"/>
      <c r="K25" s="37"/>
      <c r="L25" s="253"/>
      <c r="M25" s="2"/>
      <c r="N25" s="63"/>
      <c r="O25" s="253"/>
      <c r="P25" s="2"/>
      <c r="Q25" s="3"/>
      <c r="R25" s="63"/>
      <c r="S25" s="237"/>
      <c r="T25" s="378"/>
    </row>
    <row r="26" spans="1:20" ht="14.1" customHeight="1" x14ac:dyDescent="0.2">
      <c r="A26" s="248" t="s">
        <v>81</v>
      </c>
      <c r="B26" s="37"/>
      <c r="C26" s="369">
        <f>SUM(C27:C28)</f>
        <v>416</v>
      </c>
      <c r="D26" s="369">
        <f>SUM(D27:D28)</f>
        <v>492</v>
      </c>
      <c r="E26" s="370">
        <f>(C26-D26)/D26</f>
        <v>-0.15447154471544716</v>
      </c>
      <c r="F26" s="369">
        <f>SUM(F27:F28)</f>
        <v>854</v>
      </c>
      <c r="G26" s="369">
        <f>SUM(G27:G28)</f>
        <v>1026</v>
      </c>
      <c r="H26" s="371">
        <f>(F26-G26)/G26</f>
        <v>-0.16764132553606237</v>
      </c>
      <c r="I26" s="370">
        <f>+F26/$F$34</f>
        <v>0.481941309255079</v>
      </c>
      <c r="J26" s="248" t="s">
        <v>81</v>
      </c>
      <c r="K26" s="37"/>
      <c r="L26" s="369">
        <f>SUM(L27:L28)</f>
        <v>12121617</v>
      </c>
      <c r="M26" s="369">
        <f>SUM(M27:M28)</f>
        <v>11744528</v>
      </c>
      <c r="N26" s="370">
        <f>(L26-M26)/M26</f>
        <v>3.2107633444272941E-2</v>
      </c>
      <c r="O26" s="369">
        <f>SUM(O27:O28)</f>
        <v>24918725</v>
      </c>
      <c r="P26" s="369">
        <f>SUM(P27:P28)</f>
        <v>23748812</v>
      </c>
      <c r="Q26" s="371">
        <f>(O26-P26)/P26</f>
        <v>4.926195887187957E-2</v>
      </c>
      <c r="R26" s="370">
        <f>O26/$O$34</f>
        <v>0.44466518041205333</v>
      </c>
      <c r="S26" s="329"/>
      <c r="T26" s="380"/>
    </row>
    <row r="27" spans="1:20" ht="14.1" customHeight="1" x14ac:dyDescent="0.2">
      <c r="A27" s="248"/>
      <c r="B27" s="307" t="s">
        <v>81</v>
      </c>
      <c r="C27" s="311">
        <f>+[3]UPS!$JW$19</f>
        <v>192</v>
      </c>
      <c r="D27" s="209">
        <f>+[3]UPS!$JI$19</f>
        <v>214</v>
      </c>
      <c r="E27" s="313">
        <f>(C27-D27)/D27</f>
        <v>-0.10280373831775701</v>
      </c>
      <c r="F27" s="311">
        <f>+SUM([3]UPS!$JV$19:$JW$19)</f>
        <v>374</v>
      </c>
      <c r="G27" s="209">
        <f>+SUM([3]UPS!$JH$19:$JI$19)</f>
        <v>432</v>
      </c>
      <c r="H27" s="312">
        <f>(F27-G27)/G27</f>
        <v>-0.13425925925925927</v>
      </c>
      <c r="I27" s="313">
        <f>+F27/$F$34</f>
        <v>0.2110609480812641</v>
      </c>
      <c r="J27" s="248"/>
      <c r="K27" s="307" t="s">
        <v>81</v>
      </c>
      <c r="L27" s="311">
        <f>+[3]UPS!$JW$64</f>
        <v>12121617</v>
      </c>
      <c r="M27" s="209">
        <f>+[3]UPS!$JI$64</f>
        <v>11744528</v>
      </c>
      <c r="N27" s="313">
        <f>(L27-M27)/M27</f>
        <v>3.2107633444272941E-2</v>
      </c>
      <c r="O27" s="311">
        <f>+SUM([3]UPS!$JV$64:$JW$64)</f>
        <v>24918725</v>
      </c>
      <c r="P27" s="209">
        <f>+SUM([3]UPS!$JH$64:$JI$64)</f>
        <v>23748812</v>
      </c>
      <c r="Q27" s="312">
        <f>(O27-P27)/P27</f>
        <v>4.926195887187957E-2</v>
      </c>
      <c r="R27" s="313">
        <f>O27/$O$34</f>
        <v>0.44466518041205333</v>
      </c>
      <c r="S27" s="329"/>
      <c r="T27" s="380"/>
    </row>
    <row r="28" spans="1:20" x14ac:dyDescent="0.2">
      <c r="A28" s="248"/>
      <c r="B28" s="307" t="s">
        <v>82</v>
      </c>
      <c r="C28" s="311">
        <f>+[3]Bemidji!$JW$19</f>
        <v>224</v>
      </c>
      <c r="D28" s="209">
        <f>+[3]Bemidji!$JI$19</f>
        <v>278</v>
      </c>
      <c r="E28" s="313">
        <f>(C28-D28)/D28</f>
        <v>-0.19424460431654678</v>
      </c>
      <c r="F28" s="311">
        <f>+SUM([3]Bemidji!$JV$19:$JW$19)</f>
        <v>480</v>
      </c>
      <c r="G28" s="209">
        <f>+SUM([3]Bemidji!$JH$19:$JI$19)</f>
        <v>594</v>
      </c>
      <c r="H28" s="312">
        <f t="shared" ref="H28" si="16">(F28-G28)/G28</f>
        <v>-0.19191919191919191</v>
      </c>
      <c r="I28" s="313">
        <f>+F28/$F$34</f>
        <v>0.27088036117381492</v>
      </c>
      <c r="J28" s="248"/>
      <c r="K28" s="307" t="s">
        <v>82</v>
      </c>
      <c r="L28" s="475" t="s">
        <v>175</v>
      </c>
      <c r="M28" s="476"/>
      <c r="N28" s="476"/>
      <c r="O28" s="476"/>
      <c r="P28" s="476"/>
      <c r="Q28" s="476"/>
      <c r="R28" s="477"/>
      <c r="T28" s="378"/>
    </row>
    <row r="29" spans="1:20" x14ac:dyDescent="0.2">
      <c r="A29" s="36"/>
      <c r="B29" s="37"/>
      <c r="C29" s="249"/>
      <c r="D29" s="2"/>
      <c r="E29" s="63"/>
      <c r="F29" s="253"/>
      <c r="G29" s="2"/>
      <c r="H29" s="3"/>
      <c r="I29" s="63"/>
      <c r="J29" s="36"/>
      <c r="K29" s="37"/>
      <c r="L29" s="253"/>
      <c r="M29" s="2"/>
      <c r="N29" s="63"/>
      <c r="O29" s="253"/>
      <c r="P29" s="2"/>
      <c r="Q29" s="3"/>
      <c r="R29" s="63"/>
      <c r="T29" s="378"/>
    </row>
    <row r="30" spans="1:20" x14ac:dyDescent="0.2">
      <c r="A30" s="248" t="s">
        <v>125</v>
      </c>
      <c r="B30" s="37"/>
      <c r="C30" s="373">
        <f>+'[3]Misc Cargo'!$JW$19</f>
        <v>0</v>
      </c>
      <c r="D30" s="369">
        <f>+'[3]Misc Cargo'!$JI$19</f>
        <v>0</v>
      </c>
      <c r="E30" s="370">
        <f>IFERROR((C30-D30)/D30,0)</f>
        <v>0</v>
      </c>
      <c r="F30" s="373">
        <f>+SUM('[3]Misc Cargo'!$JV$19:$JW$19)</f>
        <v>0</v>
      </c>
      <c r="G30" s="369">
        <f>+SUM('[3]Misc Cargo'!$JH$19:$JI$19)</f>
        <v>2</v>
      </c>
      <c r="H30" s="371">
        <f>IFERROR((F30-G30)/G30,0)</f>
        <v>-1</v>
      </c>
      <c r="I30" s="370">
        <f>+F30/$F$34</f>
        <v>0</v>
      </c>
      <c r="J30" s="248" t="s">
        <v>125</v>
      </c>
      <c r="K30" s="37"/>
      <c r="L30" s="373">
        <f>+'[3]Misc Cargo'!$JW$64</f>
        <v>0</v>
      </c>
      <c r="M30" s="369">
        <f>+'[3]Misc Cargo'!$JI$64</f>
        <v>0</v>
      </c>
      <c r="N30" s="370">
        <f>IFERROR((L30-M30)/M30,0)</f>
        <v>0</v>
      </c>
      <c r="O30" s="373">
        <f>+SUM('[3]Misc Cargo'!$JV$64:$JW$64)</f>
        <v>0</v>
      </c>
      <c r="P30" s="369">
        <f>+SUM('[3]Misc Cargo'!$JH$64:$JI$64)</f>
        <v>38035</v>
      </c>
      <c r="Q30" s="371">
        <f>IFERROR((O30-P30)/P30,0)</f>
        <v>-1</v>
      </c>
      <c r="R30" s="370">
        <f>O30/$O$34</f>
        <v>0</v>
      </c>
      <c r="T30" s="378"/>
    </row>
    <row r="31" spans="1:20" x14ac:dyDescent="0.2">
      <c r="A31" s="36"/>
      <c r="B31" s="37"/>
      <c r="C31" s="249"/>
      <c r="D31" s="2"/>
      <c r="E31" s="63"/>
      <c r="F31" s="253"/>
      <c r="G31" s="2"/>
      <c r="H31" s="3"/>
      <c r="I31" s="63"/>
      <c r="J31" s="36"/>
      <c r="K31" s="37"/>
      <c r="L31" s="253"/>
      <c r="M31" s="2"/>
      <c r="N31" s="63"/>
      <c r="O31" s="253"/>
      <c r="P31" s="2"/>
      <c r="Q31" s="3"/>
      <c r="R31" s="63"/>
      <c r="T31" s="378"/>
    </row>
    <row r="32" spans="1:20" ht="13.5" thickBot="1" x14ac:dyDescent="0.25">
      <c r="A32" s="330"/>
      <c r="B32" s="331"/>
      <c r="C32" s="374"/>
      <c r="D32" s="375"/>
      <c r="E32" s="376"/>
      <c r="F32" s="374"/>
      <c r="G32" s="375"/>
      <c r="H32" s="377"/>
      <c r="I32" s="376"/>
      <c r="J32" s="248"/>
      <c r="K32" s="37"/>
      <c r="L32" s="257"/>
      <c r="M32" s="259"/>
      <c r="N32" s="260"/>
      <c r="O32" s="257"/>
      <c r="P32" s="259"/>
      <c r="Q32" s="258"/>
      <c r="R32" s="331"/>
      <c r="T32" s="378"/>
    </row>
    <row r="33" spans="2:20" ht="13.5" thickBot="1" x14ac:dyDescent="0.25">
      <c r="C33" s="2"/>
      <c r="D33" s="3"/>
      <c r="E33" s="3"/>
      <c r="F33" s="2"/>
      <c r="L33" s="2"/>
      <c r="T33" s="378"/>
    </row>
    <row r="34" spans="2:20" ht="15.75" thickBot="1" x14ac:dyDescent="0.3">
      <c r="B34" s="332" t="s">
        <v>173</v>
      </c>
      <c r="C34" s="333">
        <f>+C30+C26+C20+C9+C5</f>
        <v>908</v>
      </c>
      <c r="D34" s="333">
        <f>+D30+D26+D20+D9+D5</f>
        <v>996</v>
      </c>
      <c r="E34" s="334">
        <f>(C34-D34)/D34</f>
        <v>-8.8353413654618476E-2</v>
      </c>
      <c r="F34" s="333">
        <f>+F30+F26+F20+F9+F5</f>
        <v>1772</v>
      </c>
      <c r="G34" s="333">
        <f>+G30+G26+G20+G9+G5</f>
        <v>2052</v>
      </c>
      <c r="H34" s="335">
        <f>(F34-G34)/G34</f>
        <v>-0.1364522417153996</v>
      </c>
      <c r="I34" s="340"/>
      <c r="K34" s="332" t="s">
        <v>173</v>
      </c>
      <c r="L34" s="333">
        <f>+L30+L26+L20+L9+L5</f>
        <v>27552070</v>
      </c>
      <c r="M34" s="333">
        <f>+M30+M26+M20+M9+M5</f>
        <v>26793313</v>
      </c>
      <c r="N34" s="336">
        <f>(L34-M34)/M34</f>
        <v>2.8318894345018102E-2</v>
      </c>
      <c r="O34" s="333">
        <f>+O30+O26+O20+O9+O5</f>
        <v>56039299</v>
      </c>
      <c r="P34" s="333">
        <f>+P30+P26+P20+P9+P5</f>
        <v>54551122</v>
      </c>
      <c r="Q34" s="335">
        <f t="shared" ref="Q34" si="17">(O34-P34)/P34</f>
        <v>2.7280410474417007E-2</v>
      </c>
      <c r="R34" s="340"/>
      <c r="T34" s="378"/>
    </row>
    <row r="35" spans="2:20" x14ac:dyDescent="0.2">
      <c r="C35" s="2"/>
      <c r="D35" s="3"/>
      <c r="E35" s="3"/>
      <c r="T35" s="378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8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February 2026</oddHeader>
  </headerFooter>
</worksheet>
</file>

<file path=docMetadata/LabelInfo.xml><?xml version="1.0" encoding="utf-8"?>
<clbl:labelList xmlns:clbl="http://schemas.microsoft.com/office/2020/mipLabelMetadata">
  <clbl:label id="{5d7e2cd6-db7a-47be-bcc5-6bded478bab2}" enabled="0" method="" siteId="{5d7e2cd6-db7a-47be-bcc5-6bded478ba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2026-02-23T16:43:16Z</cp:lastPrinted>
  <dcterms:created xsi:type="dcterms:W3CDTF">2007-09-24T12:26:24Z</dcterms:created>
  <dcterms:modified xsi:type="dcterms:W3CDTF">2026-05-15T16:14:18Z</dcterms:modified>
</cp:coreProperties>
</file>