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25\"/>
    </mc:Choice>
  </mc:AlternateContent>
  <xr:revisionPtr revIDLastSave="0" documentId="13_ncr:1_{12419498-3816-4917-ABC7-5470108C739B}" xr6:coauthVersionLast="47" xr6:coauthVersionMax="47" xr10:uidLastSave="{00000000-0000-0000-0000-000000000000}"/>
  <bookViews>
    <workbookView xWindow="-120" yWindow="-120" windowWidth="29040" windowHeight="15840" tabRatio="871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YTD" sheetId="17" r:id="rId9"/>
    <sheet name="Intl Detail" sheetId="16" r:id="rId10"/>
    <sheet name="Ops+Rev Pax Activity" sheetId="9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xlnm.Print_Area" localSheetId="6">Cargo!$A$1:$S$37</definedName>
    <definedName name="_xlnm.Print_Area" localSheetId="7">'Cargo Summary'!$A$2:$K$23</definedName>
    <definedName name="_xlnm.Print_Area" localSheetId="8">'Cargo YTD'!$A$1:$R$35</definedName>
    <definedName name="_xlnm.Print_Area" localSheetId="5">Charter!$A$1:$P$34</definedName>
    <definedName name="_xlnm.Print_Area" localSheetId="1">'Major Airline Stats'!$A$1:$L$52</definedName>
    <definedName name="_xlnm.Print_Area" localSheetId="0">'Monthly Summary'!$A$1:$I$41</definedName>
    <definedName name="_xlnm.Print_Area" localSheetId="10">'Ops+Rev Pax Activity'!$A$1:$AJ$61</definedName>
    <definedName name="_xlnm.Print_Area" localSheetId="2">'Other Major Airline Stats'!$A$2:$K$50</definedName>
    <definedName name="_xlnm.Print_Area" localSheetId="4">'Other Regional'!$A$1:$I$48</definedName>
    <definedName name="_xlnm.Print_Area" localSheetId="3">'Regional Major'!$A$1:$K$46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" i="7" l="1"/>
  <c r="B5" i="7"/>
  <c r="D6" i="7"/>
  <c r="D5" i="7"/>
  <c r="D11" i="7"/>
  <c r="D10" i="7"/>
  <c r="E19" i="2" l="1"/>
  <c r="AH55" i="9"/>
  <c r="AE55" i="9"/>
  <c r="Y55" i="9"/>
  <c r="V55" i="9"/>
  <c r="P55" i="9"/>
  <c r="M55" i="9"/>
  <c r="G55" i="9"/>
  <c r="D55" i="9"/>
  <c r="AH53" i="9"/>
  <c r="AE53" i="9"/>
  <c r="Y53" i="9"/>
  <c r="V53" i="9"/>
  <c r="P53" i="9"/>
  <c r="M53" i="9"/>
  <c r="G53" i="9"/>
  <c r="D53" i="9"/>
  <c r="AH52" i="9"/>
  <c r="AE52" i="9"/>
  <c r="Y52" i="9"/>
  <c r="V52" i="9"/>
  <c r="P52" i="9"/>
  <c r="M52" i="9"/>
  <c r="G52" i="9"/>
  <c r="D52" i="9"/>
  <c r="AH51" i="9"/>
  <c r="AE51" i="9"/>
  <c r="Y51" i="9"/>
  <c r="V51" i="9"/>
  <c r="P51" i="9"/>
  <c r="M51" i="9"/>
  <c r="G51" i="9"/>
  <c r="D51" i="9"/>
  <c r="AH50" i="9"/>
  <c r="AE50" i="9"/>
  <c r="Y50" i="9"/>
  <c r="V50" i="9"/>
  <c r="P50" i="9"/>
  <c r="M50" i="9"/>
  <c r="G50" i="9"/>
  <c r="D50" i="9"/>
  <c r="AH47" i="9"/>
  <c r="AE47" i="9"/>
  <c r="Y47" i="9"/>
  <c r="V47" i="9"/>
  <c r="P47" i="9"/>
  <c r="M47" i="9"/>
  <c r="G47" i="9"/>
  <c r="D47" i="9"/>
  <c r="AH45" i="9"/>
  <c r="AE45" i="9"/>
  <c r="Y45" i="9"/>
  <c r="V45" i="9"/>
  <c r="P45" i="9"/>
  <c r="M45" i="9"/>
  <c r="G45" i="9"/>
  <c r="D45" i="9"/>
  <c r="AH43" i="9"/>
  <c r="AE43" i="9"/>
  <c r="Y43" i="9"/>
  <c r="V43" i="9"/>
  <c r="P43" i="9"/>
  <c r="M43" i="9"/>
  <c r="G43" i="9"/>
  <c r="D43" i="9"/>
  <c r="AH41" i="9"/>
  <c r="AE41" i="9"/>
  <c r="Y41" i="9"/>
  <c r="V41" i="9"/>
  <c r="P41" i="9"/>
  <c r="M41" i="9"/>
  <c r="G41" i="9"/>
  <c r="D41" i="9"/>
  <c r="AH39" i="9"/>
  <c r="AE39" i="9"/>
  <c r="Y39" i="9"/>
  <c r="V39" i="9"/>
  <c r="P39" i="9"/>
  <c r="M39" i="9"/>
  <c r="G39" i="9"/>
  <c r="D39" i="9"/>
  <c r="AH37" i="9"/>
  <c r="AE37" i="9"/>
  <c r="Y37" i="9"/>
  <c r="V37" i="9"/>
  <c r="P37" i="9"/>
  <c r="M37" i="9"/>
  <c r="G37" i="9"/>
  <c r="D37" i="9"/>
  <c r="AH35" i="9"/>
  <c r="AE35" i="9"/>
  <c r="Y35" i="9"/>
  <c r="V35" i="9"/>
  <c r="P35" i="9"/>
  <c r="M35" i="9"/>
  <c r="G35" i="9"/>
  <c r="D35" i="9"/>
  <c r="AH33" i="9"/>
  <c r="AE33" i="9"/>
  <c r="Y33" i="9"/>
  <c r="V33" i="9"/>
  <c r="P33" i="9"/>
  <c r="M33" i="9"/>
  <c r="G33" i="9"/>
  <c r="D33" i="9"/>
  <c r="AH31" i="9"/>
  <c r="AE31" i="9"/>
  <c r="Y31" i="9"/>
  <c r="V31" i="9"/>
  <c r="P31" i="9"/>
  <c r="M31" i="9"/>
  <c r="G31" i="9"/>
  <c r="D31" i="9"/>
  <c r="AH30" i="9"/>
  <c r="AE30" i="9"/>
  <c r="Y30" i="9"/>
  <c r="V30" i="9"/>
  <c r="P30" i="9"/>
  <c r="M30" i="9"/>
  <c r="G30" i="9"/>
  <c r="D30" i="9"/>
  <c r="AH29" i="9"/>
  <c r="AE29" i="9"/>
  <c r="Y29" i="9"/>
  <c r="V29" i="9"/>
  <c r="P29" i="9"/>
  <c r="M29" i="9"/>
  <c r="G29" i="9"/>
  <c r="D29" i="9"/>
  <c r="AH26" i="9"/>
  <c r="AE26" i="9"/>
  <c r="Y26" i="9"/>
  <c r="V26" i="9"/>
  <c r="P26" i="9"/>
  <c r="M26" i="9"/>
  <c r="G26" i="9"/>
  <c r="D26" i="9"/>
  <c r="AH24" i="9"/>
  <c r="AE24" i="9"/>
  <c r="Y24" i="9"/>
  <c r="V24" i="9"/>
  <c r="P24" i="9"/>
  <c r="M24" i="9"/>
  <c r="G24" i="9"/>
  <c r="D24" i="9"/>
  <c r="AH22" i="9"/>
  <c r="AE22" i="9"/>
  <c r="Y22" i="9"/>
  <c r="V22" i="9"/>
  <c r="P22" i="9"/>
  <c r="M22" i="9"/>
  <c r="G22" i="9"/>
  <c r="D22" i="9"/>
  <c r="AH21" i="9"/>
  <c r="AE21" i="9"/>
  <c r="Y21" i="9"/>
  <c r="V21" i="9"/>
  <c r="P21" i="9"/>
  <c r="M21" i="9"/>
  <c r="G21" i="9"/>
  <c r="D21" i="9"/>
  <c r="AH20" i="9"/>
  <c r="AE20" i="9"/>
  <c r="Y20" i="9"/>
  <c r="V20" i="9"/>
  <c r="P20" i="9"/>
  <c r="M20" i="9"/>
  <c r="G20" i="9"/>
  <c r="D20" i="9"/>
  <c r="AH19" i="9"/>
  <c r="AE19" i="9"/>
  <c r="Y19" i="9"/>
  <c r="V19" i="9"/>
  <c r="P19" i="9"/>
  <c r="M19" i="9"/>
  <c r="G19" i="9"/>
  <c r="D19" i="9"/>
  <c r="AH18" i="9"/>
  <c r="AE18" i="9"/>
  <c r="Y18" i="9"/>
  <c r="V18" i="9"/>
  <c r="P18" i="9"/>
  <c r="M18" i="9"/>
  <c r="G18" i="9"/>
  <c r="D18" i="9"/>
  <c r="AH17" i="9"/>
  <c r="AE17" i="9"/>
  <c r="Y17" i="9"/>
  <c r="V17" i="9"/>
  <c r="P17" i="9"/>
  <c r="M17" i="9"/>
  <c r="G17" i="9"/>
  <c r="D17" i="9"/>
  <c r="AH14" i="9"/>
  <c r="AE14" i="9"/>
  <c r="Y14" i="9"/>
  <c r="V14" i="9"/>
  <c r="P14" i="9"/>
  <c r="M14" i="9"/>
  <c r="G14" i="9"/>
  <c r="D14" i="9"/>
  <c r="AH11" i="9"/>
  <c r="AE11" i="9"/>
  <c r="Y11" i="9"/>
  <c r="V11" i="9"/>
  <c r="P11" i="9"/>
  <c r="M11" i="9"/>
  <c r="G11" i="9"/>
  <c r="D11" i="9"/>
  <c r="AH9" i="9"/>
  <c r="AE9" i="9"/>
  <c r="Y9" i="9"/>
  <c r="V9" i="9"/>
  <c r="P9" i="9"/>
  <c r="M9" i="9"/>
  <c r="G9" i="9"/>
  <c r="D9" i="9"/>
  <c r="AH7" i="9"/>
  <c r="AE7" i="9"/>
  <c r="Y7" i="9"/>
  <c r="V7" i="9"/>
  <c r="P7" i="9"/>
  <c r="M7" i="9"/>
  <c r="G7" i="9"/>
  <c r="D7" i="9"/>
  <c r="AH5" i="9"/>
  <c r="AE5" i="9"/>
  <c r="Y5" i="9"/>
  <c r="V5" i="9"/>
  <c r="P5" i="9"/>
  <c r="M5" i="9"/>
  <c r="G5" i="9"/>
  <c r="D5" i="9"/>
  <c r="AG55" i="9"/>
  <c r="AD55" i="9"/>
  <c r="X55" i="9"/>
  <c r="U55" i="9"/>
  <c r="O55" i="9"/>
  <c r="L55" i="9"/>
  <c r="F55" i="9"/>
  <c r="C55" i="9"/>
  <c r="AG53" i="9"/>
  <c r="AD53" i="9"/>
  <c r="X53" i="9"/>
  <c r="U53" i="9"/>
  <c r="O53" i="9"/>
  <c r="L53" i="9"/>
  <c r="F53" i="9"/>
  <c r="C53" i="9"/>
  <c r="AG52" i="9"/>
  <c r="AD52" i="9"/>
  <c r="X52" i="9"/>
  <c r="U52" i="9"/>
  <c r="O52" i="9"/>
  <c r="L52" i="9"/>
  <c r="F52" i="9"/>
  <c r="C52" i="9"/>
  <c r="AG51" i="9"/>
  <c r="AD51" i="9"/>
  <c r="X51" i="9"/>
  <c r="U51" i="9"/>
  <c r="O51" i="9"/>
  <c r="L51" i="9"/>
  <c r="F51" i="9"/>
  <c r="C51" i="9"/>
  <c r="AG50" i="9"/>
  <c r="AD50" i="9"/>
  <c r="X50" i="9"/>
  <c r="U50" i="9"/>
  <c r="O50" i="9"/>
  <c r="L50" i="9"/>
  <c r="F50" i="9"/>
  <c r="C50" i="9"/>
  <c r="AG47" i="9"/>
  <c r="AD47" i="9"/>
  <c r="X47" i="9"/>
  <c r="U47" i="9"/>
  <c r="O47" i="9"/>
  <c r="L47" i="9"/>
  <c r="F47" i="9"/>
  <c r="C47" i="9"/>
  <c r="AG45" i="9"/>
  <c r="AD45" i="9"/>
  <c r="X45" i="9"/>
  <c r="U45" i="9"/>
  <c r="O45" i="9"/>
  <c r="L45" i="9"/>
  <c r="F45" i="9"/>
  <c r="C45" i="9"/>
  <c r="AG43" i="9"/>
  <c r="AD43" i="9"/>
  <c r="X43" i="9"/>
  <c r="U43" i="9"/>
  <c r="O43" i="9"/>
  <c r="L43" i="9"/>
  <c r="F43" i="9"/>
  <c r="C43" i="9"/>
  <c r="AG41" i="9"/>
  <c r="AD41" i="9"/>
  <c r="X41" i="9"/>
  <c r="U41" i="9"/>
  <c r="O41" i="9"/>
  <c r="L41" i="9"/>
  <c r="F41" i="9"/>
  <c r="C41" i="9"/>
  <c r="AG39" i="9"/>
  <c r="AD39" i="9"/>
  <c r="X39" i="9"/>
  <c r="U39" i="9"/>
  <c r="O39" i="9"/>
  <c r="L39" i="9"/>
  <c r="F39" i="9"/>
  <c r="C39" i="9"/>
  <c r="AG37" i="9"/>
  <c r="AD37" i="9"/>
  <c r="X37" i="9"/>
  <c r="U37" i="9"/>
  <c r="O37" i="9"/>
  <c r="L37" i="9"/>
  <c r="F37" i="9"/>
  <c r="C37" i="9"/>
  <c r="AG35" i="9"/>
  <c r="AD35" i="9"/>
  <c r="X35" i="9"/>
  <c r="U35" i="9"/>
  <c r="O35" i="9"/>
  <c r="L35" i="9"/>
  <c r="F35" i="9"/>
  <c r="C35" i="9"/>
  <c r="AG33" i="9"/>
  <c r="AD33" i="9"/>
  <c r="X33" i="9"/>
  <c r="U33" i="9"/>
  <c r="O33" i="9"/>
  <c r="L33" i="9"/>
  <c r="F33" i="9"/>
  <c r="C33" i="9"/>
  <c r="AG31" i="9"/>
  <c r="AD31" i="9"/>
  <c r="X31" i="9"/>
  <c r="U31" i="9"/>
  <c r="O31" i="9"/>
  <c r="L31" i="9"/>
  <c r="F31" i="9"/>
  <c r="C31" i="9"/>
  <c r="AG30" i="9"/>
  <c r="AD30" i="9"/>
  <c r="X30" i="9"/>
  <c r="U30" i="9"/>
  <c r="O30" i="9"/>
  <c r="L30" i="9"/>
  <c r="F30" i="9"/>
  <c r="C30" i="9"/>
  <c r="AG29" i="9"/>
  <c r="AD29" i="9"/>
  <c r="X29" i="9"/>
  <c r="U29" i="9"/>
  <c r="O29" i="9"/>
  <c r="L29" i="9"/>
  <c r="F29" i="9"/>
  <c r="C29" i="9"/>
  <c r="AG26" i="9"/>
  <c r="AD26" i="9"/>
  <c r="X26" i="9"/>
  <c r="U26" i="9"/>
  <c r="O26" i="9"/>
  <c r="L26" i="9"/>
  <c r="F26" i="9"/>
  <c r="C26" i="9"/>
  <c r="AG24" i="9"/>
  <c r="AD24" i="9"/>
  <c r="X24" i="9"/>
  <c r="U24" i="9"/>
  <c r="O24" i="9"/>
  <c r="L24" i="9"/>
  <c r="F24" i="9"/>
  <c r="C24" i="9"/>
  <c r="AG22" i="9"/>
  <c r="AD22" i="9"/>
  <c r="X22" i="9"/>
  <c r="U22" i="9"/>
  <c r="O22" i="9"/>
  <c r="L22" i="9"/>
  <c r="F22" i="9"/>
  <c r="C22" i="9"/>
  <c r="AG21" i="9"/>
  <c r="AD21" i="9"/>
  <c r="X21" i="9"/>
  <c r="U21" i="9"/>
  <c r="O21" i="9"/>
  <c r="L21" i="9"/>
  <c r="F21" i="9"/>
  <c r="C21" i="9"/>
  <c r="AG20" i="9"/>
  <c r="AD20" i="9"/>
  <c r="X20" i="9"/>
  <c r="U20" i="9"/>
  <c r="O20" i="9"/>
  <c r="L20" i="9"/>
  <c r="F20" i="9"/>
  <c r="C20" i="9"/>
  <c r="AG19" i="9"/>
  <c r="AD19" i="9"/>
  <c r="X19" i="9"/>
  <c r="U19" i="9"/>
  <c r="O19" i="9"/>
  <c r="L19" i="9"/>
  <c r="F19" i="9"/>
  <c r="C19" i="9"/>
  <c r="AG18" i="9"/>
  <c r="AD18" i="9"/>
  <c r="X18" i="9"/>
  <c r="U18" i="9"/>
  <c r="O18" i="9"/>
  <c r="L18" i="9"/>
  <c r="F18" i="9"/>
  <c r="C18" i="9"/>
  <c r="AG17" i="9"/>
  <c r="AD17" i="9"/>
  <c r="X17" i="9"/>
  <c r="U17" i="9"/>
  <c r="O17" i="9"/>
  <c r="L17" i="9"/>
  <c r="F17" i="9"/>
  <c r="C17" i="9"/>
  <c r="AG14" i="9"/>
  <c r="AD14" i="9"/>
  <c r="X14" i="9"/>
  <c r="U14" i="9"/>
  <c r="O14" i="9"/>
  <c r="L14" i="9"/>
  <c r="F14" i="9"/>
  <c r="C14" i="9"/>
  <c r="AG11" i="9"/>
  <c r="AD11" i="9"/>
  <c r="X11" i="9"/>
  <c r="U11" i="9"/>
  <c r="O11" i="9"/>
  <c r="L11" i="9"/>
  <c r="F11" i="9"/>
  <c r="C11" i="9"/>
  <c r="AG9" i="9"/>
  <c r="AD9" i="9"/>
  <c r="X9" i="9"/>
  <c r="U9" i="9"/>
  <c r="O9" i="9"/>
  <c r="L9" i="9"/>
  <c r="F9" i="9"/>
  <c r="C9" i="9"/>
  <c r="AG7" i="9"/>
  <c r="AD7" i="9"/>
  <c r="X7" i="9"/>
  <c r="U7" i="9"/>
  <c r="O7" i="9"/>
  <c r="L7" i="9"/>
  <c r="F7" i="9"/>
  <c r="C7" i="9"/>
  <c r="AG5" i="9"/>
  <c r="AD5" i="9"/>
  <c r="X5" i="9"/>
  <c r="U5" i="9"/>
  <c r="O5" i="9"/>
  <c r="L5" i="9"/>
  <c r="F5" i="9"/>
  <c r="C5" i="9"/>
  <c r="Q36" i="16"/>
  <c r="P36" i="16"/>
  <c r="O36" i="16"/>
  <c r="N36" i="16"/>
  <c r="M36" i="16"/>
  <c r="L36" i="16"/>
  <c r="K36" i="16"/>
  <c r="J36" i="16"/>
  <c r="I36" i="16"/>
  <c r="H36" i="16"/>
  <c r="G36" i="16"/>
  <c r="F36" i="16"/>
  <c r="E36" i="16"/>
  <c r="D36" i="16"/>
  <c r="C36" i="16"/>
  <c r="B36" i="16"/>
  <c r="Q35" i="16"/>
  <c r="P35" i="16"/>
  <c r="O35" i="16"/>
  <c r="N35" i="16"/>
  <c r="M35" i="16"/>
  <c r="L35" i="16"/>
  <c r="K35" i="16"/>
  <c r="J35" i="16"/>
  <c r="I35" i="16"/>
  <c r="H35" i="16"/>
  <c r="G35" i="16"/>
  <c r="F35" i="16"/>
  <c r="E35" i="16"/>
  <c r="D35" i="16"/>
  <c r="C35" i="16"/>
  <c r="B35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B29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B28" i="16"/>
  <c r="Q23" i="16"/>
  <c r="P23" i="16"/>
  <c r="O23" i="16"/>
  <c r="N23" i="16"/>
  <c r="M23" i="16"/>
  <c r="L23" i="16"/>
  <c r="K23" i="16"/>
  <c r="J23" i="16"/>
  <c r="I23" i="16"/>
  <c r="H23" i="16"/>
  <c r="G23" i="16"/>
  <c r="F23" i="16"/>
  <c r="E23" i="16"/>
  <c r="D23" i="16"/>
  <c r="C23" i="16"/>
  <c r="B23" i="16"/>
  <c r="Q22" i="16"/>
  <c r="P22" i="16"/>
  <c r="O22" i="16"/>
  <c r="N22" i="16"/>
  <c r="M22" i="16"/>
  <c r="L22" i="16"/>
  <c r="K22" i="16"/>
  <c r="J22" i="16"/>
  <c r="I22" i="16"/>
  <c r="H22" i="16"/>
  <c r="G22" i="16"/>
  <c r="F22" i="16"/>
  <c r="E22" i="16"/>
  <c r="D22" i="16"/>
  <c r="C22" i="16"/>
  <c r="B22" i="16"/>
  <c r="Q18" i="16"/>
  <c r="P18" i="16"/>
  <c r="O18" i="16"/>
  <c r="N18" i="16"/>
  <c r="M18" i="16"/>
  <c r="L18" i="16"/>
  <c r="K18" i="16"/>
  <c r="J18" i="16"/>
  <c r="I18" i="16"/>
  <c r="H18" i="16"/>
  <c r="G18" i="16"/>
  <c r="F18" i="16"/>
  <c r="E18" i="16"/>
  <c r="D18" i="16"/>
  <c r="C18" i="16"/>
  <c r="B18" i="16"/>
  <c r="Q17" i="16"/>
  <c r="P17" i="16"/>
  <c r="O17" i="16"/>
  <c r="N17" i="16"/>
  <c r="M17" i="16"/>
  <c r="L17" i="16"/>
  <c r="K17" i="16"/>
  <c r="J17" i="16"/>
  <c r="I17" i="16"/>
  <c r="H17" i="16"/>
  <c r="G17" i="16"/>
  <c r="F17" i="16"/>
  <c r="E17" i="16"/>
  <c r="D17" i="16"/>
  <c r="C17" i="16"/>
  <c r="B17" i="16"/>
  <c r="Q10" i="16"/>
  <c r="P10" i="16"/>
  <c r="O10" i="16"/>
  <c r="N10" i="16"/>
  <c r="M10" i="16"/>
  <c r="L10" i="16"/>
  <c r="K10" i="16"/>
  <c r="J10" i="16"/>
  <c r="I10" i="16"/>
  <c r="H10" i="16"/>
  <c r="G10" i="16"/>
  <c r="F10" i="16"/>
  <c r="E10" i="16"/>
  <c r="D10" i="16"/>
  <c r="C10" i="16"/>
  <c r="B10" i="16"/>
  <c r="Q9" i="16"/>
  <c r="P9" i="16"/>
  <c r="O9" i="16"/>
  <c r="N9" i="16"/>
  <c r="M9" i="16"/>
  <c r="L9" i="16"/>
  <c r="K9" i="16"/>
  <c r="J9" i="16"/>
  <c r="I9" i="16"/>
  <c r="H9" i="16"/>
  <c r="G9" i="16"/>
  <c r="F9" i="16"/>
  <c r="E9" i="16"/>
  <c r="D9" i="16"/>
  <c r="C9" i="16"/>
  <c r="B9" i="16"/>
  <c r="Q5" i="16"/>
  <c r="P5" i="16"/>
  <c r="O5" i="16"/>
  <c r="N5" i="16"/>
  <c r="M5" i="16"/>
  <c r="L5" i="16"/>
  <c r="K5" i="16"/>
  <c r="J5" i="16"/>
  <c r="I5" i="16"/>
  <c r="H5" i="16"/>
  <c r="G5" i="16"/>
  <c r="F5" i="16"/>
  <c r="E5" i="16"/>
  <c r="D5" i="16"/>
  <c r="C5" i="16"/>
  <c r="B5" i="16"/>
  <c r="Q4" i="16"/>
  <c r="P4" i="16"/>
  <c r="O4" i="16"/>
  <c r="N4" i="16"/>
  <c r="M4" i="16"/>
  <c r="L4" i="16"/>
  <c r="K4" i="16"/>
  <c r="J4" i="16"/>
  <c r="I4" i="16"/>
  <c r="H4" i="16"/>
  <c r="G4" i="16"/>
  <c r="F4" i="16"/>
  <c r="E4" i="16"/>
  <c r="D4" i="16"/>
  <c r="C4" i="16"/>
  <c r="B4" i="16"/>
  <c r="P30" i="17"/>
  <c r="M30" i="17"/>
  <c r="G30" i="17"/>
  <c r="D30" i="17"/>
  <c r="G28" i="17"/>
  <c r="D28" i="17"/>
  <c r="P27" i="17"/>
  <c r="M27" i="17"/>
  <c r="G27" i="17"/>
  <c r="D27" i="17"/>
  <c r="P24" i="17"/>
  <c r="M24" i="17"/>
  <c r="G24" i="17"/>
  <c r="D24" i="17"/>
  <c r="P23" i="17"/>
  <c r="M23" i="17"/>
  <c r="G23" i="17"/>
  <c r="D23" i="17"/>
  <c r="P22" i="17"/>
  <c r="M22" i="17"/>
  <c r="G22" i="17"/>
  <c r="D22" i="17"/>
  <c r="P21" i="17"/>
  <c r="M21" i="17"/>
  <c r="G21" i="17"/>
  <c r="D21" i="17"/>
  <c r="P18" i="17"/>
  <c r="M18" i="17"/>
  <c r="G18" i="17"/>
  <c r="D18" i="17"/>
  <c r="P17" i="17"/>
  <c r="M17" i="17"/>
  <c r="G17" i="17"/>
  <c r="D17" i="17"/>
  <c r="P16" i="17"/>
  <c r="M16" i="17"/>
  <c r="G16" i="17"/>
  <c r="D16" i="17"/>
  <c r="P15" i="17"/>
  <c r="M15" i="17"/>
  <c r="G15" i="17"/>
  <c r="D15" i="17"/>
  <c r="P14" i="17"/>
  <c r="M14" i="17"/>
  <c r="G14" i="17"/>
  <c r="D14" i="17"/>
  <c r="P13" i="17"/>
  <c r="M13" i="17"/>
  <c r="G13" i="17"/>
  <c r="D13" i="17"/>
  <c r="P12" i="17"/>
  <c r="M12" i="17"/>
  <c r="G12" i="17"/>
  <c r="D12" i="17"/>
  <c r="P11" i="17"/>
  <c r="M11" i="17"/>
  <c r="G11" i="17"/>
  <c r="D11" i="17"/>
  <c r="P10" i="17"/>
  <c r="M10" i="17"/>
  <c r="G10" i="17"/>
  <c r="D10" i="17"/>
  <c r="P7" i="17"/>
  <c r="M7" i="17"/>
  <c r="G7" i="17"/>
  <c r="D7" i="17"/>
  <c r="P6" i="17"/>
  <c r="M6" i="17"/>
  <c r="G6" i="17"/>
  <c r="D6" i="17"/>
  <c r="O30" i="17"/>
  <c r="L30" i="17"/>
  <c r="F30" i="17"/>
  <c r="C30" i="17"/>
  <c r="F28" i="17"/>
  <c r="C28" i="17"/>
  <c r="O27" i="17"/>
  <c r="L27" i="17"/>
  <c r="F27" i="17"/>
  <c r="C27" i="17"/>
  <c r="O24" i="17"/>
  <c r="L24" i="17"/>
  <c r="F24" i="17"/>
  <c r="C24" i="17"/>
  <c r="O23" i="17"/>
  <c r="L23" i="17"/>
  <c r="F23" i="17"/>
  <c r="C23" i="17"/>
  <c r="O22" i="17"/>
  <c r="L22" i="17"/>
  <c r="F22" i="17"/>
  <c r="C22" i="17"/>
  <c r="O21" i="17"/>
  <c r="L21" i="17"/>
  <c r="F21" i="17"/>
  <c r="C21" i="17"/>
  <c r="O18" i="17"/>
  <c r="L18" i="17"/>
  <c r="F18" i="17"/>
  <c r="C18" i="17"/>
  <c r="O17" i="17"/>
  <c r="L17" i="17"/>
  <c r="F17" i="17"/>
  <c r="C17" i="17"/>
  <c r="O16" i="17"/>
  <c r="L16" i="17"/>
  <c r="F16" i="17"/>
  <c r="C16" i="17"/>
  <c r="O15" i="17"/>
  <c r="L15" i="17"/>
  <c r="F15" i="17"/>
  <c r="C15" i="17"/>
  <c r="O14" i="17"/>
  <c r="L14" i="17"/>
  <c r="F14" i="17"/>
  <c r="C14" i="17"/>
  <c r="O13" i="17"/>
  <c r="L13" i="17"/>
  <c r="F13" i="17"/>
  <c r="C13" i="17"/>
  <c r="O12" i="17"/>
  <c r="L12" i="17"/>
  <c r="F12" i="17"/>
  <c r="C12" i="17"/>
  <c r="O11" i="17"/>
  <c r="L11" i="17"/>
  <c r="F11" i="17"/>
  <c r="C11" i="17"/>
  <c r="O10" i="17"/>
  <c r="L10" i="17"/>
  <c r="F10" i="17"/>
  <c r="C10" i="17"/>
  <c r="O7" i="17"/>
  <c r="L7" i="17"/>
  <c r="F7" i="17"/>
  <c r="C7" i="17"/>
  <c r="O6" i="17"/>
  <c r="L6" i="17"/>
  <c r="F6" i="17"/>
  <c r="C6" i="17"/>
  <c r="J21" i="5"/>
  <c r="G21" i="5"/>
  <c r="J20" i="5"/>
  <c r="G20" i="5"/>
  <c r="J16" i="5"/>
  <c r="G16" i="5"/>
  <c r="J15" i="5"/>
  <c r="G15" i="5"/>
  <c r="J11" i="5"/>
  <c r="G11" i="5"/>
  <c r="J10" i="5"/>
  <c r="G10" i="5"/>
  <c r="J6" i="5"/>
  <c r="G6" i="5"/>
  <c r="J5" i="5"/>
  <c r="G5" i="5"/>
  <c r="R27" i="8"/>
  <c r="Q27" i="8"/>
  <c r="P27" i="8"/>
  <c r="O27" i="8"/>
  <c r="N27" i="8"/>
  <c r="M27" i="8"/>
  <c r="L27" i="8"/>
  <c r="K27" i="8"/>
  <c r="J27" i="8"/>
  <c r="I27" i="8"/>
  <c r="H27" i="8"/>
  <c r="G27" i="8"/>
  <c r="E27" i="8"/>
  <c r="D27" i="8"/>
  <c r="C27" i="8"/>
  <c r="B27" i="8"/>
  <c r="R26" i="8"/>
  <c r="Q26" i="8"/>
  <c r="P26" i="8"/>
  <c r="O26" i="8"/>
  <c r="N26" i="8"/>
  <c r="M26" i="8"/>
  <c r="L26" i="8"/>
  <c r="K26" i="8"/>
  <c r="J26" i="8"/>
  <c r="I26" i="8"/>
  <c r="H26" i="8"/>
  <c r="G26" i="8"/>
  <c r="E26" i="8"/>
  <c r="D26" i="8"/>
  <c r="C26" i="8"/>
  <c r="B26" i="8"/>
  <c r="R22" i="8"/>
  <c r="Q22" i="8"/>
  <c r="P22" i="8"/>
  <c r="O22" i="8"/>
  <c r="N22" i="8"/>
  <c r="M22" i="8"/>
  <c r="L22" i="8"/>
  <c r="K22" i="8"/>
  <c r="J22" i="8"/>
  <c r="I22" i="8"/>
  <c r="H22" i="8"/>
  <c r="G22" i="8"/>
  <c r="E22" i="8"/>
  <c r="D22" i="8"/>
  <c r="C22" i="8"/>
  <c r="B22" i="8"/>
  <c r="R21" i="8"/>
  <c r="Q21" i="8"/>
  <c r="P21" i="8"/>
  <c r="O21" i="8"/>
  <c r="N21" i="8"/>
  <c r="M21" i="8"/>
  <c r="L21" i="8"/>
  <c r="K21" i="8"/>
  <c r="J21" i="8"/>
  <c r="I21" i="8"/>
  <c r="H21" i="8"/>
  <c r="G21" i="8"/>
  <c r="E21" i="8"/>
  <c r="D21" i="8"/>
  <c r="C21" i="8"/>
  <c r="B21" i="8"/>
  <c r="R17" i="8"/>
  <c r="Q17" i="8"/>
  <c r="P17" i="8"/>
  <c r="O17" i="8"/>
  <c r="N17" i="8"/>
  <c r="M17" i="8"/>
  <c r="L17" i="8"/>
  <c r="K17" i="8"/>
  <c r="J17" i="8"/>
  <c r="I17" i="8"/>
  <c r="H17" i="8"/>
  <c r="G17" i="8"/>
  <c r="E17" i="8"/>
  <c r="D17" i="8"/>
  <c r="C17" i="8"/>
  <c r="B17" i="8"/>
  <c r="R16" i="8"/>
  <c r="Q16" i="8"/>
  <c r="P16" i="8"/>
  <c r="O16" i="8"/>
  <c r="N16" i="8"/>
  <c r="M16" i="8"/>
  <c r="L16" i="8"/>
  <c r="K16" i="8"/>
  <c r="J16" i="8"/>
  <c r="I16" i="8"/>
  <c r="H16" i="8"/>
  <c r="G16" i="8"/>
  <c r="E16" i="8"/>
  <c r="D16" i="8"/>
  <c r="C16" i="8"/>
  <c r="B16" i="8"/>
  <c r="R9" i="8"/>
  <c r="R8" i="8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/>
  <c r="B5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C4" i="8"/>
  <c r="B4" i="8"/>
  <c r="M22" i="7"/>
  <c r="L22" i="7"/>
  <c r="C22" i="7"/>
  <c r="B22" i="7"/>
  <c r="D22" i="7" s="1"/>
  <c r="G11" i="7"/>
  <c r="F11" i="7"/>
  <c r="E11" i="7"/>
  <c r="C11" i="7"/>
  <c r="B11" i="7"/>
  <c r="G10" i="7"/>
  <c r="F10" i="7"/>
  <c r="E10" i="7"/>
  <c r="C10" i="7"/>
  <c r="B10" i="7"/>
  <c r="G6" i="7"/>
  <c r="F6" i="7"/>
  <c r="E6" i="7"/>
  <c r="C6" i="7"/>
  <c r="G5" i="7"/>
  <c r="F5" i="7"/>
  <c r="E5" i="7"/>
  <c r="C5" i="7"/>
  <c r="H47" i="15"/>
  <c r="C47" i="15"/>
  <c r="H46" i="15"/>
  <c r="C46" i="15"/>
  <c r="H35" i="15"/>
  <c r="G35" i="15"/>
  <c r="F35" i="15"/>
  <c r="E35" i="15"/>
  <c r="D35" i="15"/>
  <c r="C35" i="15"/>
  <c r="B35" i="15"/>
  <c r="H31" i="15"/>
  <c r="G31" i="15"/>
  <c r="F31" i="15"/>
  <c r="E31" i="15"/>
  <c r="D31" i="15"/>
  <c r="C31" i="15"/>
  <c r="B31" i="15"/>
  <c r="H30" i="15"/>
  <c r="G30" i="15"/>
  <c r="F30" i="15"/>
  <c r="E30" i="15"/>
  <c r="D30" i="15"/>
  <c r="C30" i="15"/>
  <c r="B30" i="15"/>
  <c r="H26" i="15"/>
  <c r="G26" i="15"/>
  <c r="F26" i="15"/>
  <c r="E26" i="15"/>
  <c r="D26" i="15"/>
  <c r="C26" i="15"/>
  <c r="B26" i="15"/>
  <c r="H25" i="15"/>
  <c r="G25" i="15"/>
  <c r="F25" i="15"/>
  <c r="E25" i="15"/>
  <c r="D25" i="15"/>
  <c r="C25" i="15"/>
  <c r="B25" i="15"/>
  <c r="H19" i="15"/>
  <c r="G19" i="15"/>
  <c r="F19" i="15"/>
  <c r="E19" i="15"/>
  <c r="D19" i="15"/>
  <c r="C19" i="15"/>
  <c r="B19" i="15"/>
  <c r="H18" i="15"/>
  <c r="G18" i="15"/>
  <c r="F18" i="15"/>
  <c r="E18" i="15"/>
  <c r="D18" i="15"/>
  <c r="C18" i="15"/>
  <c r="B18" i="15"/>
  <c r="H16" i="15"/>
  <c r="G16" i="15"/>
  <c r="F16" i="15"/>
  <c r="E16" i="15"/>
  <c r="D16" i="15"/>
  <c r="C16" i="15"/>
  <c r="B16" i="15"/>
  <c r="H15" i="15"/>
  <c r="G15" i="15"/>
  <c r="F15" i="15"/>
  <c r="E15" i="15"/>
  <c r="D15" i="15"/>
  <c r="C15" i="15"/>
  <c r="B15" i="15"/>
  <c r="H11" i="15"/>
  <c r="G11" i="15"/>
  <c r="F11" i="15"/>
  <c r="E11" i="15"/>
  <c r="D11" i="15"/>
  <c r="C11" i="15"/>
  <c r="B11" i="15"/>
  <c r="H10" i="15"/>
  <c r="G10" i="15"/>
  <c r="F10" i="15"/>
  <c r="E10" i="15"/>
  <c r="D10" i="15"/>
  <c r="C10" i="15"/>
  <c r="B10" i="15"/>
  <c r="H6" i="15"/>
  <c r="G6" i="15"/>
  <c r="F6" i="15"/>
  <c r="E6" i="15"/>
  <c r="D6" i="15"/>
  <c r="C6" i="15"/>
  <c r="B6" i="15"/>
  <c r="H5" i="15"/>
  <c r="G5" i="15"/>
  <c r="F5" i="15"/>
  <c r="E5" i="15"/>
  <c r="D5" i="15"/>
  <c r="C5" i="15"/>
  <c r="B5" i="15"/>
  <c r="D45" i="4"/>
  <c r="B45" i="4"/>
  <c r="D44" i="4"/>
  <c r="B44" i="4"/>
  <c r="I36" i="4"/>
  <c r="H36" i="4"/>
  <c r="G36" i="4"/>
  <c r="F36" i="4"/>
  <c r="E36" i="4"/>
  <c r="D36" i="4"/>
  <c r="C36" i="4"/>
  <c r="B36" i="4"/>
  <c r="I35" i="4"/>
  <c r="H35" i="4"/>
  <c r="G35" i="4"/>
  <c r="F35" i="4"/>
  <c r="E35" i="4"/>
  <c r="D35" i="4"/>
  <c r="C35" i="4"/>
  <c r="B35" i="4"/>
  <c r="I31" i="4"/>
  <c r="H31" i="4"/>
  <c r="G31" i="4"/>
  <c r="F31" i="4"/>
  <c r="E31" i="4"/>
  <c r="D31" i="4"/>
  <c r="C31" i="4"/>
  <c r="B31" i="4"/>
  <c r="I30" i="4"/>
  <c r="H30" i="4"/>
  <c r="G30" i="4"/>
  <c r="F30" i="4"/>
  <c r="E30" i="4"/>
  <c r="D30" i="4"/>
  <c r="C30" i="4"/>
  <c r="B30" i="4"/>
  <c r="I26" i="4"/>
  <c r="H26" i="4"/>
  <c r="G26" i="4"/>
  <c r="F26" i="4"/>
  <c r="E26" i="4"/>
  <c r="D26" i="4"/>
  <c r="C26" i="4"/>
  <c r="B26" i="4"/>
  <c r="I25" i="4"/>
  <c r="H25" i="4"/>
  <c r="G25" i="4"/>
  <c r="F25" i="4"/>
  <c r="E25" i="4"/>
  <c r="D25" i="4"/>
  <c r="C25" i="4"/>
  <c r="B25" i="4"/>
  <c r="I19" i="4"/>
  <c r="H19" i="4"/>
  <c r="G19" i="4"/>
  <c r="F19" i="4"/>
  <c r="E19" i="4"/>
  <c r="D19" i="4"/>
  <c r="C19" i="4"/>
  <c r="B19" i="4"/>
  <c r="I18" i="4"/>
  <c r="H18" i="4"/>
  <c r="G18" i="4"/>
  <c r="F18" i="4"/>
  <c r="E18" i="4"/>
  <c r="D18" i="4"/>
  <c r="C18" i="4"/>
  <c r="B18" i="4"/>
  <c r="I16" i="4"/>
  <c r="H16" i="4"/>
  <c r="G16" i="4"/>
  <c r="F16" i="4"/>
  <c r="E16" i="4"/>
  <c r="D16" i="4"/>
  <c r="C16" i="4"/>
  <c r="B16" i="4"/>
  <c r="I15" i="4"/>
  <c r="H15" i="4"/>
  <c r="G15" i="4"/>
  <c r="F15" i="4"/>
  <c r="E15" i="4"/>
  <c r="D15" i="4"/>
  <c r="C15" i="4"/>
  <c r="B15" i="4"/>
  <c r="I11" i="4"/>
  <c r="H11" i="4"/>
  <c r="G11" i="4"/>
  <c r="F11" i="4"/>
  <c r="E11" i="4"/>
  <c r="D11" i="4"/>
  <c r="C11" i="4"/>
  <c r="B11" i="4"/>
  <c r="I10" i="4"/>
  <c r="H10" i="4"/>
  <c r="G10" i="4"/>
  <c r="F10" i="4"/>
  <c r="E10" i="4"/>
  <c r="D10" i="4"/>
  <c r="C10" i="4"/>
  <c r="B10" i="4"/>
  <c r="I6" i="4"/>
  <c r="H6" i="4"/>
  <c r="G6" i="4"/>
  <c r="F6" i="4"/>
  <c r="E6" i="4"/>
  <c r="D6" i="4"/>
  <c r="C6" i="4"/>
  <c r="B6" i="4"/>
  <c r="I5" i="4"/>
  <c r="H5" i="4"/>
  <c r="G5" i="4"/>
  <c r="F5" i="4"/>
  <c r="E5" i="4"/>
  <c r="D5" i="4"/>
  <c r="C5" i="4"/>
  <c r="B5" i="4"/>
  <c r="I49" i="3"/>
  <c r="H49" i="3"/>
  <c r="I48" i="3"/>
  <c r="H48" i="3"/>
  <c r="J39" i="3"/>
  <c r="I39" i="3"/>
  <c r="H39" i="3"/>
  <c r="G39" i="3"/>
  <c r="F39" i="3"/>
  <c r="E39" i="3"/>
  <c r="D39" i="3"/>
  <c r="C39" i="3"/>
  <c r="B39" i="3"/>
  <c r="J38" i="3"/>
  <c r="I38" i="3"/>
  <c r="H38" i="3"/>
  <c r="G38" i="3"/>
  <c r="F38" i="3"/>
  <c r="E38" i="3"/>
  <c r="D38" i="3"/>
  <c r="C38" i="3"/>
  <c r="B38" i="3"/>
  <c r="J34" i="3"/>
  <c r="I34" i="3"/>
  <c r="H34" i="3"/>
  <c r="G34" i="3"/>
  <c r="F34" i="3"/>
  <c r="E34" i="3"/>
  <c r="D34" i="3"/>
  <c r="C34" i="3"/>
  <c r="B34" i="3"/>
  <c r="J33" i="3"/>
  <c r="I33" i="3"/>
  <c r="H33" i="3"/>
  <c r="G33" i="3"/>
  <c r="F33" i="3"/>
  <c r="E33" i="3"/>
  <c r="D33" i="3"/>
  <c r="C33" i="3"/>
  <c r="B33" i="3"/>
  <c r="J29" i="3"/>
  <c r="I29" i="3"/>
  <c r="H29" i="3"/>
  <c r="G29" i="3"/>
  <c r="F29" i="3"/>
  <c r="E29" i="3"/>
  <c r="D29" i="3"/>
  <c r="C29" i="3"/>
  <c r="B29" i="3"/>
  <c r="J28" i="3"/>
  <c r="I28" i="3"/>
  <c r="H28" i="3"/>
  <c r="G28" i="3"/>
  <c r="F28" i="3"/>
  <c r="E28" i="3"/>
  <c r="D28" i="3"/>
  <c r="C28" i="3"/>
  <c r="B28" i="3"/>
  <c r="J21" i="3"/>
  <c r="I21" i="3"/>
  <c r="H21" i="3"/>
  <c r="G21" i="3"/>
  <c r="F21" i="3"/>
  <c r="E21" i="3"/>
  <c r="D21" i="3"/>
  <c r="C21" i="3"/>
  <c r="B21" i="3"/>
  <c r="J20" i="3"/>
  <c r="I20" i="3"/>
  <c r="H20" i="3"/>
  <c r="G20" i="3"/>
  <c r="F20" i="3"/>
  <c r="E20" i="3"/>
  <c r="D20" i="3"/>
  <c r="C20" i="3"/>
  <c r="B20" i="3"/>
  <c r="J17" i="3"/>
  <c r="I17" i="3"/>
  <c r="H17" i="3"/>
  <c r="G17" i="3"/>
  <c r="F17" i="3"/>
  <c r="E17" i="3"/>
  <c r="D17" i="3"/>
  <c r="C17" i="3"/>
  <c r="B17" i="3"/>
  <c r="J16" i="3"/>
  <c r="I16" i="3"/>
  <c r="H16" i="3"/>
  <c r="G16" i="3"/>
  <c r="F16" i="3"/>
  <c r="E16" i="3"/>
  <c r="D16" i="3"/>
  <c r="C16" i="3"/>
  <c r="B16" i="3"/>
  <c r="J11" i="3"/>
  <c r="I11" i="3"/>
  <c r="H11" i="3"/>
  <c r="G11" i="3"/>
  <c r="F11" i="3"/>
  <c r="E11" i="3"/>
  <c r="D11" i="3"/>
  <c r="C11" i="3"/>
  <c r="B11" i="3"/>
  <c r="J10" i="3"/>
  <c r="I10" i="3"/>
  <c r="H10" i="3"/>
  <c r="G10" i="3"/>
  <c r="F10" i="3"/>
  <c r="E10" i="3"/>
  <c r="D10" i="3"/>
  <c r="C10" i="3"/>
  <c r="B10" i="3"/>
  <c r="J6" i="3"/>
  <c r="I6" i="3"/>
  <c r="H6" i="3"/>
  <c r="G6" i="3"/>
  <c r="F6" i="3"/>
  <c r="E6" i="3"/>
  <c r="D6" i="3"/>
  <c r="C6" i="3"/>
  <c r="B6" i="3"/>
  <c r="J5" i="3"/>
  <c r="I5" i="3"/>
  <c r="H5" i="3"/>
  <c r="G5" i="3"/>
  <c r="F5" i="3"/>
  <c r="E5" i="3"/>
  <c r="D5" i="3"/>
  <c r="C5" i="3"/>
  <c r="B5" i="3"/>
  <c r="E51" i="2"/>
  <c r="C51" i="2"/>
  <c r="E50" i="2"/>
  <c r="C50" i="2"/>
  <c r="C48" i="2"/>
  <c r="C47" i="2"/>
  <c r="J39" i="2"/>
  <c r="I39" i="2"/>
  <c r="H39" i="2"/>
  <c r="G39" i="2"/>
  <c r="F39" i="2"/>
  <c r="E39" i="2"/>
  <c r="D39" i="2"/>
  <c r="C39" i="2"/>
  <c r="B39" i="2"/>
  <c r="J38" i="2"/>
  <c r="I38" i="2"/>
  <c r="H38" i="2"/>
  <c r="G38" i="2"/>
  <c r="F38" i="2"/>
  <c r="E38" i="2"/>
  <c r="D38" i="2"/>
  <c r="C38" i="2"/>
  <c r="B38" i="2"/>
  <c r="J34" i="2"/>
  <c r="I34" i="2"/>
  <c r="H34" i="2"/>
  <c r="G34" i="2"/>
  <c r="F34" i="2"/>
  <c r="E34" i="2"/>
  <c r="D34" i="2"/>
  <c r="C34" i="2"/>
  <c r="B34" i="2"/>
  <c r="J33" i="2"/>
  <c r="I33" i="2"/>
  <c r="H33" i="2"/>
  <c r="G33" i="2"/>
  <c r="F33" i="2"/>
  <c r="E33" i="2"/>
  <c r="D33" i="2"/>
  <c r="C33" i="2"/>
  <c r="B33" i="2"/>
  <c r="J29" i="2"/>
  <c r="I29" i="2"/>
  <c r="H29" i="2"/>
  <c r="G29" i="2"/>
  <c r="F29" i="2"/>
  <c r="E29" i="2"/>
  <c r="D29" i="2"/>
  <c r="C29" i="2"/>
  <c r="B29" i="2"/>
  <c r="J28" i="2"/>
  <c r="I28" i="2"/>
  <c r="H28" i="2"/>
  <c r="G28" i="2"/>
  <c r="F28" i="2"/>
  <c r="E28" i="2"/>
  <c r="D28" i="2"/>
  <c r="C28" i="2"/>
  <c r="B28" i="2"/>
  <c r="J20" i="2"/>
  <c r="I20" i="2"/>
  <c r="H20" i="2"/>
  <c r="G20" i="2"/>
  <c r="F20" i="2"/>
  <c r="E20" i="2"/>
  <c r="D20" i="2"/>
  <c r="C20" i="2"/>
  <c r="B20" i="2"/>
  <c r="J19" i="2"/>
  <c r="I19" i="2"/>
  <c r="H19" i="2"/>
  <c r="G19" i="2"/>
  <c r="F19" i="2"/>
  <c r="D19" i="2"/>
  <c r="C19" i="2"/>
  <c r="B19" i="2"/>
  <c r="J16" i="2"/>
  <c r="I16" i="2"/>
  <c r="H16" i="2"/>
  <c r="G16" i="2"/>
  <c r="F16" i="2"/>
  <c r="E16" i="2"/>
  <c r="D16" i="2"/>
  <c r="C16" i="2"/>
  <c r="B16" i="2"/>
  <c r="J15" i="2"/>
  <c r="I15" i="2"/>
  <c r="H15" i="2"/>
  <c r="G15" i="2"/>
  <c r="F15" i="2"/>
  <c r="E15" i="2"/>
  <c r="D15" i="2"/>
  <c r="C15" i="2"/>
  <c r="B15" i="2"/>
  <c r="J10" i="2"/>
  <c r="I10" i="2"/>
  <c r="H10" i="2"/>
  <c r="G10" i="2"/>
  <c r="F10" i="2"/>
  <c r="E10" i="2"/>
  <c r="D10" i="2"/>
  <c r="C10" i="2"/>
  <c r="B10" i="2"/>
  <c r="J9" i="2"/>
  <c r="I9" i="2"/>
  <c r="H9" i="2"/>
  <c r="G9" i="2"/>
  <c r="F9" i="2"/>
  <c r="E9" i="2"/>
  <c r="D9" i="2"/>
  <c r="C9" i="2"/>
  <c r="B9" i="2"/>
  <c r="J5" i="2"/>
  <c r="I5" i="2"/>
  <c r="H5" i="2"/>
  <c r="G5" i="2"/>
  <c r="F5" i="2"/>
  <c r="E5" i="2"/>
  <c r="D5" i="2"/>
  <c r="C5" i="2"/>
  <c r="B5" i="2"/>
  <c r="J4" i="2"/>
  <c r="I4" i="2"/>
  <c r="H4" i="2"/>
  <c r="G4" i="2"/>
  <c r="F4" i="2"/>
  <c r="E4" i="2"/>
  <c r="D4" i="2"/>
  <c r="C4" i="2"/>
  <c r="B4" i="2"/>
  <c r="C21" i="1"/>
  <c r="B21" i="1"/>
  <c r="C20" i="1"/>
  <c r="B20" i="1" l="1"/>
  <c r="D37" i="1"/>
  <c r="B37" i="1"/>
  <c r="D36" i="1"/>
  <c r="B36" i="1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9" i="1"/>
  <c r="H8" i="1"/>
  <c r="H7" i="1"/>
  <c r="E7" i="1"/>
  <c r="H6" i="1"/>
  <c r="E6" i="1"/>
  <c r="H5" i="1"/>
  <c r="E5" i="1"/>
  <c r="G9" i="1"/>
  <c r="M21" i="7"/>
  <c r="L21" i="7"/>
  <c r="C21" i="7"/>
  <c r="B21" i="7"/>
  <c r="AF7" i="9" l="1"/>
  <c r="O32" i="7"/>
  <c r="O31" i="7"/>
  <c r="O30" i="7"/>
  <c r="O29" i="7"/>
  <c r="O28" i="7"/>
  <c r="O27" i="7"/>
  <c r="O26" i="7"/>
  <c r="O25" i="7"/>
  <c r="O24" i="7"/>
  <c r="O23" i="7"/>
  <c r="O22" i="7"/>
  <c r="O21" i="7"/>
  <c r="J32" i="7"/>
  <c r="J31" i="7"/>
  <c r="J30" i="7"/>
  <c r="J29" i="7"/>
  <c r="J28" i="7"/>
  <c r="J27" i="7"/>
  <c r="J26" i="7"/>
  <c r="J25" i="7"/>
  <c r="J24" i="7"/>
  <c r="J23" i="7"/>
  <c r="J22" i="7"/>
  <c r="J21" i="7"/>
  <c r="E32" i="7"/>
  <c r="E31" i="7"/>
  <c r="E30" i="7"/>
  <c r="E29" i="7"/>
  <c r="E28" i="7"/>
  <c r="E27" i="7"/>
  <c r="E26" i="7"/>
  <c r="E25" i="7"/>
  <c r="E24" i="7"/>
  <c r="E23" i="7"/>
  <c r="E22" i="7"/>
  <c r="E21" i="7"/>
  <c r="E21" i="9" l="1"/>
  <c r="W26" i="9"/>
  <c r="W52" i="9"/>
  <c r="N21" i="9"/>
  <c r="O59" i="9"/>
  <c r="C59" i="9"/>
  <c r="U59" i="9"/>
  <c r="AD59" i="9"/>
  <c r="D59" i="9"/>
  <c r="M59" i="9"/>
  <c r="F59" i="9"/>
  <c r="V59" i="9"/>
  <c r="G59" i="9"/>
  <c r="AE59" i="9"/>
  <c r="AH59" i="9"/>
  <c r="L59" i="9"/>
  <c r="P59" i="9"/>
  <c r="X59" i="9"/>
  <c r="Y59" i="9"/>
  <c r="AG59" i="9"/>
  <c r="AF21" i="9"/>
  <c r="W18" i="9"/>
  <c r="AF41" i="9"/>
  <c r="W37" i="9"/>
  <c r="W51" i="9"/>
  <c r="N7" i="9"/>
  <c r="W55" i="9"/>
  <c r="W7" i="9"/>
  <c r="Z47" i="9"/>
  <c r="E7" i="9"/>
  <c r="W21" i="9"/>
  <c r="W33" i="9"/>
  <c r="E41" i="9"/>
  <c r="W47" i="9"/>
  <c r="E9" i="9"/>
  <c r="AF9" i="9"/>
  <c r="W11" i="9"/>
  <c r="W31" i="9"/>
  <c r="W45" i="9"/>
  <c r="W9" i="9"/>
  <c r="E24" i="9"/>
  <c r="W30" i="9"/>
  <c r="W41" i="9"/>
  <c r="W53" i="9"/>
  <c r="AF24" i="9"/>
  <c r="N41" i="9"/>
  <c r="N9" i="9"/>
  <c r="AI24" i="9"/>
  <c r="Z37" i="9"/>
  <c r="Z55" i="9"/>
  <c r="AI21" i="9"/>
  <c r="H14" i="17"/>
  <c r="Z33" i="9"/>
  <c r="Z18" i="9"/>
  <c r="AI7" i="9"/>
  <c r="Z41" i="9"/>
  <c r="H6" i="17"/>
  <c r="H24" i="17"/>
  <c r="H24" i="9"/>
  <c r="Z24" i="9"/>
  <c r="N24" i="9"/>
  <c r="W24" i="9"/>
  <c r="N6" i="17"/>
  <c r="N24" i="17"/>
  <c r="Z21" i="9"/>
  <c r="Z45" i="9"/>
  <c r="Q21" i="9"/>
  <c r="E17" i="17"/>
  <c r="Q24" i="9"/>
  <c r="Z26" i="9"/>
  <c r="Z7" i="9"/>
  <c r="Z51" i="9"/>
  <c r="Q7" i="9"/>
  <c r="AI9" i="9"/>
  <c r="Q41" i="9"/>
  <c r="Z9" i="9"/>
  <c r="Z30" i="9"/>
  <c r="Z52" i="9"/>
  <c r="Q9" i="9"/>
  <c r="AI41" i="9"/>
  <c r="Z11" i="9"/>
  <c r="Z31" i="9"/>
  <c r="Z53" i="9"/>
  <c r="N14" i="17"/>
  <c r="E14" i="17"/>
  <c r="H17" i="17"/>
  <c r="E6" i="17"/>
  <c r="E24" i="17"/>
  <c r="H41" i="9"/>
  <c r="Q11" i="17"/>
  <c r="Q12" i="17"/>
  <c r="N12" i="17"/>
  <c r="H21" i="9"/>
  <c r="N17" i="17"/>
  <c r="E30" i="17"/>
  <c r="E11" i="17"/>
  <c r="N30" i="17"/>
  <c r="H7" i="9"/>
  <c r="H11" i="17"/>
  <c r="H30" i="17"/>
  <c r="Q17" i="17"/>
  <c r="N11" i="17"/>
  <c r="H9" i="9"/>
  <c r="H12" i="17"/>
  <c r="E12" i="17"/>
  <c r="Q6" i="17"/>
  <c r="Q24" i="17"/>
  <c r="Q30" i="17"/>
  <c r="Q14" i="17"/>
  <c r="D31" i="7"/>
  <c r="N31" i="7"/>
  <c r="N30" i="7" l="1"/>
  <c r="D30" i="7"/>
  <c r="N29" i="7" l="1"/>
  <c r="D27" i="7" l="1"/>
  <c r="N26" i="7" l="1"/>
  <c r="D26" i="7"/>
  <c r="J31" i="16" l="1"/>
  <c r="J17" i="2"/>
  <c r="J43" i="2"/>
  <c r="J11" i="2"/>
  <c r="J6" i="2"/>
  <c r="J35" i="2"/>
  <c r="J19" i="16"/>
  <c r="J40" i="2"/>
  <c r="J30" i="2"/>
  <c r="J21" i="2"/>
  <c r="J24" i="16"/>
  <c r="J6" i="16"/>
  <c r="J11" i="16"/>
  <c r="J38" i="16"/>
  <c r="J44" i="2"/>
  <c r="J23" i="2" l="1"/>
  <c r="J45" i="2"/>
  <c r="AI29" i="9" l="1"/>
  <c r="AI18" i="9" l="1"/>
  <c r="E22" i="1" l="1"/>
  <c r="AI20" i="9"/>
  <c r="AI26" i="9"/>
  <c r="AI35" i="9"/>
  <c r="AE13" i="9"/>
  <c r="AF5" i="9"/>
  <c r="AF11" i="9"/>
  <c r="AF17" i="9"/>
  <c r="AF19" i="9"/>
  <c r="AF29" i="9"/>
  <c r="AF31" i="9"/>
  <c r="AF33" i="9"/>
  <c r="AF37" i="9"/>
  <c r="AF43" i="9"/>
  <c r="AF47" i="9"/>
  <c r="AF52" i="9"/>
  <c r="AF55" i="9"/>
  <c r="AH16" i="9"/>
  <c r="AF22" i="9"/>
  <c r="AF51" i="9"/>
  <c r="AI39" i="9"/>
  <c r="AI17" i="9"/>
  <c r="AI52" i="9"/>
  <c r="AH4" i="9"/>
  <c r="AE4" i="9"/>
  <c r="AE16" i="9"/>
  <c r="AE28" i="9"/>
  <c r="AI51" i="9"/>
  <c r="AF14" i="9"/>
  <c r="AF18" i="9"/>
  <c r="AF20" i="9"/>
  <c r="AF26" i="9"/>
  <c r="AF30" i="9"/>
  <c r="AF35" i="9"/>
  <c r="AF39" i="9"/>
  <c r="AF45" i="9"/>
  <c r="AF53" i="9"/>
  <c r="AI31" i="9"/>
  <c r="AI37" i="9"/>
  <c r="AF50" i="9"/>
  <c r="AI55" i="9"/>
  <c r="AI53" i="9"/>
  <c r="AH13" i="9"/>
  <c r="AH28" i="9"/>
  <c r="AH49" i="9"/>
  <c r="AI11" i="9"/>
  <c r="AI43" i="9"/>
  <c r="AD4" i="9"/>
  <c r="AD13" i="9"/>
  <c r="AD49" i="9"/>
  <c r="AI19" i="9"/>
  <c r="AG28" i="9"/>
  <c r="AI30" i="9"/>
  <c r="AI45" i="9"/>
  <c r="AI47" i="9"/>
  <c r="AG16" i="9"/>
  <c r="AI5" i="9"/>
  <c r="AG4" i="9"/>
  <c r="AE49" i="9"/>
  <c r="AG13" i="9"/>
  <c r="AI22" i="9"/>
  <c r="AD28" i="9"/>
  <c r="AI33" i="9"/>
  <c r="AG49" i="9"/>
  <c r="AI14" i="9"/>
  <c r="AD16" i="9"/>
  <c r="AI50" i="9"/>
  <c r="AE60" i="9" l="1"/>
  <c r="AE58" i="9" s="1"/>
  <c r="AD60" i="9"/>
  <c r="AD58" i="9" s="1"/>
  <c r="AH60" i="9"/>
  <c r="AH58" i="9" s="1"/>
  <c r="AG60" i="9"/>
  <c r="H22" i="1"/>
  <c r="AF13" i="9"/>
  <c r="AF28" i="9"/>
  <c r="AF4" i="9"/>
  <c r="AF16" i="9"/>
  <c r="AF59" i="9"/>
  <c r="AI13" i="9"/>
  <c r="AI59" i="9"/>
  <c r="AF49" i="9"/>
  <c r="AI28" i="9"/>
  <c r="AI49" i="9"/>
  <c r="AI4" i="9"/>
  <c r="AI16" i="9"/>
  <c r="AJ49" i="9" l="1"/>
  <c r="AG58" i="9"/>
  <c r="AJ41" i="9"/>
  <c r="AJ9" i="9"/>
  <c r="AJ59" i="9"/>
  <c r="AJ4" i="9"/>
  <c r="AJ13" i="9"/>
  <c r="AJ16" i="9"/>
  <c r="AJ22" i="9"/>
  <c r="AJ47" i="9"/>
  <c r="AJ11" i="9"/>
  <c r="AJ17" i="9"/>
  <c r="AJ18" i="9"/>
  <c r="AJ7" i="9"/>
  <c r="AJ21" i="9"/>
  <c r="AJ26" i="9"/>
  <c r="AJ45" i="9"/>
  <c r="AJ52" i="9"/>
  <c r="AJ31" i="9"/>
  <c r="AJ24" i="9"/>
  <c r="AJ29" i="9"/>
  <c r="AJ30" i="9"/>
  <c r="AJ20" i="9"/>
  <c r="AJ33" i="9"/>
  <c r="AJ55" i="9"/>
  <c r="AJ35" i="9"/>
  <c r="AJ19" i="9"/>
  <c r="AJ51" i="9"/>
  <c r="AJ39" i="9"/>
  <c r="AJ43" i="9"/>
  <c r="AJ37" i="9"/>
  <c r="AJ53" i="9"/>
  <c r="AJ5" i="9"/>
  <c r="AJ50" i="9"/>
  <c r="AJ14" i="9"/>
  <c r="AJ28" i="9"/>
  <c r="AF60" i="9"/>
  <c r="AF58" i="9"/>
  <c r="AI60" i="9"/>
  <c r="AJ60" i="9" s="1"/>
  <c r="AJ58" i="9" l="1"/>
  <c r="AI58" i="9"/>
  <c r="H6" i="7" l="1"/>
  <c r="H5" i="7"/>
  <c r="I5" i="15"/>
  <c r="N55" i="9"/>
  <c r="Q55" i="9"/>
  <c r="F12" i="7"/>
  <c r="F7" i="7"/>
  <c r="E55" i="9"/>
  <c r="H55" i="9"/>
  <c r="K16" i="3" l="1"/>
  <c r="K17" i="3"/>
  <c r="K20" i="3"/>
  <c r="E59" i="9" l="1"/>
  <c r="G9" i="17"/>
  <c r="N53" i="9" l="1"/>
  <c r="N51" i="9"/>
  <c r="E35" i="9"/>
  <c r="H33" i="9"/>
  <c r="W22" i="9"/>
  <c r="N22" i="9"/>
  <c r="N18" i="9"/>
  <c r="L13" i="9"/>
  <c r="W5" i="9"/>
  <c r="E5" i="9"/>
  <c r="J2" i="9"/>
  <c r="S2" i="9" s="1"/>
  <c r="AB2" i="9" s="1"/>
  <c r="M38" i="16"/>
  <c r="D38" i="16"/>
  <c r="G28" i="9" l="1"/>
  <c r="Q11" i="9"/>
  <c r="Q51" i="9"/>
  <c r="N11" i="9"/>
  <c r="E14" i="9"/>
  <c r="L4" i="9"/>
  <c r="Q19" i="9"/>
  <c r="Q38" i="16"/>
  <c r="V13" i="9"/>
  <c r="C4" i="9"/>
  <c r="H38" i="16"/>
  <c r="X13" i="9"/>
  <c r="Z17" i="9"/>
  <c r="Z19" i="9"/>
  <c r="H30" i="9"/>
  <c r="Q33" i="9"/>
  <c r="C38" i="16"/>
  <c r="L38" i="16"/>
  <c r="D13" i="9"/>
  <c r="N35" i="9"/>
  <c r="E37" i="9"/>
  <c r="W43" i="9"/>
  <c r="E51" i="9"/>
  <c r="X4" i="9"/>
  <c r="V4" i="9"/>
  <c r="N26" i="9"/>
  <c r="Q45" i="9"/>
  <c r="P38" i="16"/>
  <c r="D4" i="9"/>
  <c r="N43" i="9"/>
  <c r="H47" i="9"/>
  <c r="G38" i="16"/>
  <c r="Z14" i="9"/>
  <c r="P16" i="9"/>
  <c r="N30" i="9"/>
  <c r="H39" i="9"/>
  <c r="N47" i="9"/>
  <c r="E50" i="9"/>
  <c r="O38" i="16"/>
  <c r="M16" i="9"/>
  <c r="K38" i="16"/>
  <c r="Q47" i="9"/>
  <c r="V49" i="9"/>
  <c r="F38" i="16"/>
  <c r="F16" i="9"/>
  <c r="Q31" i="9"/>
  <c r="G49" i="9"/>
  <c r="Y49" i="9"/>
  <c r="G4" i="9"/>
  <c r="L49" i="9"/>
  <c r="Q39" i="9"/>
  <c r="H43" i="9"/>
  <c r="E47" i="9"/>
  <c r="H52" i="9"/>
  <c r="E38" i="16"/>
  <c r="N38" i="16"/>
  <c r="P13" i="9"/>
  <c r="M13" i="9"/>
  <c r="N13" i="9" s="1"/>
  <c r="N19" i="9"/>
  <c r="E22" i="9"/>
  <c r="E26" i="9"/>
  <c r="Y28" i="9"/>
  <c r="E31" i="9"/>
  <c r="H45" i="9"/>
  <c r="N50" i="9"/>
  <c r="E52" i="9"/>
  <c r="W14" i="9"/>
  <c r="E20" i="9"/>
  <c r="P28" i="9"/>
  <c r="N39" i="9"/>
  <c r="E43" i="9"/>
  <c r="Y4" i="9"/>
  <c r="C16" i="9"/>
  <c r="M28" i="9"/>
  <c r="H31" i="9"/>
  <c r="N33" i="9"/>
  <c r="N45" i="9"/>
  <c r="Q50" i="9"/>
  <c r="U49" i="9"/>
  <c r="U4" i="9"/>
  <c r="P49" i="9"/>
  <c r="I38" i="16"/>
  <c r="R36" i="16"/>
  <c r="G13" i="9"/>
  <c r="Y13" i="9"/>
  <c r="H17" i="9"/>
  <c r="E19" i="9"/>
  <c r="N31" i="9"/>
  <c r="W35" i="9"/>
  <c r="N37" i="9"/>
  <c r="E39" i="9"/>
  <c r="W50" i="9"/>
  <c r="N52" i="9"/>
  <c r="R35" i="16"/>
  <c r="P4" i="9"/>
  <c r="E11" i="9"/>
  <c r="U13" i="9"/>
  <c r="N14" i="9"/>
  <c r="W19" i="9"/>
  <c r="C28" i="9"/>
  <c r="Q30" i="9"/>
  <c r="W39" i="9"/>
  <c r="H51" i="9"/>
  <c r="D49" i="9"/>
  <c r="N17" i="9"/>
  <c r="D28" i="9"/>
  <c r="E30" i="9"/>
  <c r="E33" i="9"/>
  <c r="Q37" i="9"/>
  <c r="E45" i="9"/>
  <c r="M4" i="9"/>
  <c r="L16" i="9"/>
  <c r="N20" i="9"/>
  <c r="N29" i="9"/>
  <c r="L28" i="9"/>
  <c r="O4" i="9"/>
  <c r="N5" i="9"/>
  <c r="H19" i="9"/>
  <c r="G16" i="9"/>
  <c r="D16" i="9"/>
  <c r="E18" i="9"/>
  <c r="C13" i="9"/>
  <c r="Q14" i="9"/>
  <c r="O13" i="9"/>
  <c r="W17" i="9"/>
  <c r="U16" i="9"/>
  <c r="X16" i="9"/>
  <c r="Y16" i="9"/>
  <c r="F4" i="9"/>
  <c r="H11" i="9"/>
  <c r="V16" i="9"/>
  <c r="W20" i="9"/>
  <c r="V28" i="9"/>
  <c r="W29" i="9"/>
  <c r="C49" i="9"/>
  <c r="M49" i="9"/>
  <c r="Z50" i="9"/>
  <c r="E53" i="9"/>
  <c r="U28" i="9"/>
  <c r="Z5" i="9"/>
  <c r="H14" i="9"/>
  <c r="Q18" i="9"/>
  <c r="Z22" i="9"/>
  <c r="Q26" i="9"/>
  <c r="E29" i="9"/>
  <c r="H37" i="9"/>
  <c r="Z43" i="9"/>
  <c r="O49" i="9"/>
  <c r="H50" i="9"/>
  <c r="Q53" i="9"/>
  <c r="X49" i="9"/>
  <c r="Q5" i="9"/>
  <c r="F13" i="9"/>
  <c r="E17" i="9"/>
  <c r="H18" i="9"/>
  <c r="Z20" i="9"/>
  <c r="Q22" i="9"/>
  <c r="H26" i="9"/>
  <c r="Z29" i="9"/>
  <c r="Z35" i="9"/>
  <c r="Q43" i="9"/>
  <c r="F49" i="9"/>
  <c r="H53" i="9"/>
  <c r="H5" i="9"/>
  <c r="Q20" i="9"/>
  <c r="H22" i="9"/>
  <c r="X28" i="9"/>
  <c r="Q29" i="9"/>
  <c r="Q35" i="9"/>
  <c r="Q17" i="9"/>
  <c r="H20" i="9"/>
  <c r="O28" i="9"/>
  <c r="H29" i="9"/>
  <c r="H35" i="9"/>
  <c r="Z39" i="9"/>
  <c r="Q52" i="9"/>
  <c r="O16" i="9"/>
  <c r="F28" i="9"/>
  <c r="B38" i="16"/>
  <c r="O60" i="9" l="1"/>
  <c r="O58" i="9" s="1"/>
  <c r="M60" i="9"/>
  <c r="M58" i="9" s="1"/>
  <c r="F60" i="9"/>
  <c r="F58" i="9" s="1"/>
  <c r="D60" i="9"/>
  <c r="D58" i="9" s="1"/>
  <c r="P60" i="9"/>
  <c r="P58" i="9" s="1"/>
  <c r="V60" i="9"/>
  <c r="V58" i="9" s="1"/>
  <c r="Y60" i="9"/>
  <c r="Y58" i="9" s="1"/>
  <c r="G60" i="9"/>
  <c r="G58" i="9" s="1"/>
  <c r="L60" i="9"/>
  <c r="L58" i="9" s="1"/>
  <c r="C60" i="9"/>
  <c r="C58" i="9" s="1"/>
  <c r="X60" i="9"/>
  <c r="X58" i="9" s="1"/>
  <c r="U60" i="9"/>
  <c r="U58" i="9" s="1"/>
  <c r="W4" i="9"/>
  <c r="W13" i="9"/>
  <c r="N28" i="9"/>
  <c r="N4" i="9"/>
  <c r="Z13" i="9"/>
  <c r="E4" i="9"/>
  <c r="Z4" i="9"/>
  <c r="N16" i="9"/>
  <c r="E13" i="9"/>
  <c r="E28" i="9"/>
  <c r="E16" i="9"/>
  <c r="W49" i="9"/>
  <c r="N49" i="9"/>
  <c r="W59" i="9"/>
  <c r="R38" i="16"/>
  <c r="N59" i="9"/>
  <c r="W16" i="9"/>
  <c r="Q59" i="9"/>
  <c r="H16" i="9"/>
  <c r="Z49" i="9"/>
  <c r="Q49" i="9"/>
  <c r="Q4" i="9"/>
  <c r="H49" i="9"/>
  <c r="Z59" i="9"/>
  <c r="Q28" i="9"/>
  <c r="E49" i="9"/>
  <c r="Z16" i="9"/>
  <c r="Z28" i="9"/>
  <c r="H28" i="9"/>
  <c r="Q13" i="9"/>
  <c r="H59" i="9"/>
  <c r="Q16" i="9"/>
  <c r="H4" i="9"/>
  <c r="H13" i="9"/>
  <c r="W28" i="9"/>
  <c r="R9" i="9" l="1"/>
  <c r="I9" i="9"/>
  <c r="I41" i="9"/>
  <c r="AA41" i="9"/>
  <c r="R41" i="9"/>
  <c r="AA9" i="9"/>
  <c r="E58" i="9"/>
  <c r="E60" i="9"/>
  <c r="Z60" i="9"/>
  <c r="AA60" i="9" s="1"/>
  <c r="W60" i="9"/>
  <c r="AA59" i="9"/>
  <c r="AA55" i="9"/>
  <c r="I49" i="9"/>
  <c r="I55" i="9"/>
  <c r="R4" i="9"/>
  <c r="R55" i="9"/>
  <c r="R28" i="9"/>
  <c r="R49" i="9"/>
  <c r="R13" i="9"/>
  <c r="R16" i="9"/>
  <c r="R59" i="9"/>
  <c r="AA52" i="9"/>
  <c r="AA24" i="9"/>
  <c r="AA50" i="9"/>
  <c r="AA37" i="9"/>
  <c r="AA21" i="9"/>
  <c r="AA14" i="9"/>
  <c r="AA51" i="9"/>
  <c r="AA45" i="9"/>
  <c r="AA31" i="9"/>
  <c r="AA47" i="9"/>
  <c r="AA33" i="9"/>
  <c r="AA19" i="9"/>
  <c r="AA11" i="9"/>
  <c r="AA7" i="9"/>
  <c r="AA35" i="9"/>
  <c r="AA17" i="9"/>
  <c r="AA5" i="9"/>
  <c r="AA4" i="9"/>
  <c r="AA18" i="9"/>
  <c r="AA30" i="9"/>
  <c r="AA29" i="9"/>
  <c r="AA22" i="9"/>
  <c r="AA43" i="9"/>
  <c r="AA39" i="9"/>
  <c r="AA53" i="9"/>
  <c r="AA20" i="9"/>
  <c r="AA13" i="9"/>
  <c r="AA16" i="9"/>
  <c r="I4" i="9"/>
  <c r="AA49" i="9"/>
  <c r="I43" i="9"/>
  <c r="I47" i="9"/>
  <c r="I11" i="9"/>
  <c r="I19" i="9"/>
  <c r="I33" i="9"/>
  <c r="I39" i="9"/>
  <c r="I30" i="9"/>
  <c r="H60" i="9"/>
  <c r="I60" i="9" s="1"/>
  <c r="I52" i="9"/>
  <c r="I24" i="9"/>
  <c r="I17" i="9"/>
  <c r="I29" i="9"/>
  <c r="I53" i="9"/>
  <c r="I7" i="9"/>
  <c r="I50" i="9"/>
  <c r="I51" i="9"/>
  <c r="I45" i="9"/>
  <c r="I31" i="9"/>
  <c r="I20" i="9"/>
  <c r="I14" i="9"/>
  <c r="I18" i="9"/>
  <c r="I37" i="9"/>
  <c r="I35" i="9"/>
  <c r="I16" i="9"/>
  <c r="I21" i="9"/>
  <c r="I22" i="9"/>
  <c r="I5" i="9"/>
  <c r="I26" i="9"/>
  <c r="I13" i="9"/>
  <c r="I28" i="9"/>
  <c r="W58" i="9"/>
  <c r="AA28" i="9"/>
  <c r="I59" i="9"/>
  <c r="Q60" i="9"/>
  <c r="R60" i="9" s="1"/>
  <c r="R45" i="9"/>
  <c r="R31" i="9"/>
  <c r="R51" i="9"/>
  <c r="R46" i="9"/>
  <c r="R47" i="9"/>
  <c r="R33" i="9"/>
  <c r="R19" i="9"/>
  <c r="R39" i="9"/>
  <c r="R30" i="9"/>
  <c r="R29" i="9"/>
  <c r="R26" i="9"/>
  <c r="R14" i="9"/>
  <c r="R43" i="9"/>
  <c r="R37" i="9"/>
  <c r="R17" i="9"/>
  <c r="R21" i="9"/>
  <c r="R18" i="9"/>
  <c r="R11" i="9"/>
  <c r="R53" i="9"/>
  <c r="R20" i="9"/>
  <c r="R50" i="9"/>
  <c r="R52" i="9"/>
  <c r="R24" i="9"/>
  <c r="R5" i="9"/>
  <c r="R7" i="9"/>
  <c r="R35" i="9"/>
  <c r="R22" i="9"/>
  <c r="N60" i="9"/>
  <c r="N58" i="9" l="1"/>
  <c r="I58" i="9"/>
  <c r="H58" i="9"/>
  <c r="R58" i="9"/>
  <c r="Q58" i="9"/>
  <c r="AA58" i="9"/>
  <c r="Z58" i="9"/>
  <c r="AA26" i="9"/>
  <c r="H16" i="17" l="1"/>
  <c r="N16" i="17"/>
  <c r="E16" i="17"/>
  <c r="Q16" i="17"/>
  <c r="R10" i="16" l="1"/>
  <c r="R9" i="16"/>
  <c r="R4" i="16"/>
  <c r="R5" i="16"/>
  <c r="C23" i="7" s="1"/>
  <c r="H23" i="8"/>
  <c r="H6" i="8"/>
  <c r="H12" i="8" s="1"/>
  <c r="H10" i="8"/>
  <c r="B23" i="7" l="1"/>
  <c r="D23" i="7" s="1"/>
  <c r="H18" i="8"/>
  <c r="H31" i="8"/>
  <c r="H32" i="8"/>
  <c r="H28" i="8"/>
  <c r="D21" i="7" l="1"/>
  <c r="D32" i="7"/>
  <c r="D29" i="7"/>
  <c r="H33" i="8"/>
  <c r="P31" i="16" l="1"/>
  <c r="P11" i="16"/>
  <c r="P6" i="16"/>
  <c r="I11" i="16"/>
  <c r="I6" i="16"/>
  <c r="P24" i="16"/>
  <c r="P19" i="16"/>
  <c r="B40" i="3" l="1"/>
  <c r="B30" i="3"/>
  <c r="B35" i="3"/>
  <c r="B22" i="3"/>
  <c r="B12" i="3"/>
  <c r="B44" i="3"/>
  <c r="B18" i="3"/>
  <c r="B7" i="3"/>
  <c r="B43" i="3"/>
  <c r="B23" i="3" l="1"/>
  <c r="B45" i="3"/>
  <c r="K6" i="3" l="1"/>
  <c r="E36" i="15" l="1"/>
  <c r="E32" i="15" l="1"/>
  <c r="E20" i="15"/>
  <c r="E17" i="15"/>
  <c r="E12" i="15"/>
  <c r="E7" i="15"/>
  <c r="Q13" i="17"/>
  <c r="E18" i="8"/>
  <c r="E23" i="8" l="1"/>
  <c r="E27" i="15"/>
  <c r="E32" i="8"/>
  <c r="E40" i="15"/>
  <c r="E37" i="15"/>
  <c r="N13" i="17"/>
  <c r="E41" i="15"/>
  <c r="E21" i="15"/>
  <c r="E31" i="8"/>
  <c r="E28" i="8"/>
  <c r="E10" i="8"/>
  <c r="E6" i="8"/>
  <c r="E12" i="8" s="1"/>
  <c r="E33" i="8" l="1"/>
  <c r="E42" i="15"/>
  <c r="D9" i="17" l="1"/>
  <c r="S17" i="8" l="1"/>
  <c r="S16" i="8"/>
  <c r="S22" i="8"/>
  <c r="S21" i="8"/>
  <c r="S5" i="8"/>
  <c r="S4" i="8"/>
  <c r="D10" i="8" l="1"/>
  <c r="D23" i="8" l="1"/>
  <c r="S27" i="8"/>
  <c r="D6" i="8"/>
  <c r="D12" i="8" s="1"/>
  <c r="D18" i="8"/>
  <c r="S26" i="8"/>
  <c r="D31" i="8"/>
  <c r="D28" i="8"/>
  <c r="D32" i="8"/>
  <c r="D33" i="8" l="1"/>
  <c r="K21" i="3" l="1"/>
  <c r="I17" i="4" l="1"/>
  <c r="G17" i="4"/>
  <c r="E12" i="3" l="1"/>
  <c r="E35" i="3"/>
  <c r="E18" i="3" l="1"/>
  <c r="E7" i="3"/>
  <c r="E30" i="3"/>
  <c r="E44" i="3"/>
  <c r="E22" i="3"/>
  <c r="E40" i="3"/>
  <c r="E43" i="3"/>
  <c r="E45" i="3" l="1"/>
  <c r="E23" i="3"/>
  <c r="D36" i="15"/>
  <c r="D37" i="15" s="1"/>
  <c r="D17" i="15"/>
  <c r="D41" i="15" l="1"/>
  <c r="D7" i="15"/>
  <c r="D27" i="15"/>
  <c r="D32" i="15"/>
  <c r="D12" i="15"/>
  <c r="D40" i="15"/>
  <c r="D20" i="15"/>
  <c r="D21" i="15" s="1"/>
  <c r="D42" i="15" l="1"/>
  <c r="K5" i="3" l="1"/>
  <c r="G5" i="17" l="1"/>
  <c r="H21" i="17"/>
  <c r="P26" i="17"/>
  <c r="M26" i="17"/>
  <c r="H15" i="17"/>
  <c r="L26" i="17"/>
  <c r="N18" i="17"/>
  <c r="Q15" i="17"/>
  <c r="N15" i="17"/>
  <c r="Q10" i="17"/>
  <c r="J3" i="17"/>
  <c r="K23" i="8"/>
  <c r="C18" i="8"/>
  <c r="S9" i="8"/>
  <c r="C19" i="1" s="1"/>
  <c r="S8" i="8"/>
  <c r="F33" i="8"/>
  <c r="Q10" i="8"/>
  <c r="P10" i="8"/>
  <c r="O10" i="8"/>
  <c r="N10" i="8"/>
  <c r="M10" i="8"/>
  <c r="L10" i="8"/>
  <c r="K10" i="8"/>
  <c r="J10" i="8"/>
  <c r="I10" i="8"/>
  <c r="G10" i="8"/>
  <c r="F10" i="8"/>
  <c r="C10" i="8"/>
  <c r="B10" i="8"/>
  <c r="N10" i="17" l="1"/>
  <c r="P5" i="17"/>
  <c r="J6" i="8"/>
  <c r="J12" i="8" s="1"/>
  <c r="R6" i="8"/>
  <c r="M23" i="8"/>
  <c r="K28" i="8"/>
  <c r="L6" i="8"/>
  <c r="L12" i="8" s="1"/>
  <c r="O18" i="8"/>
  <c r="N31" i="16"/>
  <c r="B6" i="8"/>
  <c r="B12" i="8" s="1"/>
  <c r="M6" i="8"/>
  <c r="M12" i="8" s="1"/>
  <c r="G18" i="8"/>
  <c r="P31" i="8"/>
  <c r="B23" i="8"/>
  <c r="N23" i="8"/>
  <c r="L28" i="8"/>
  <c r="O32" i="8"/>
  <c r="H10" i="17"/>
  <c r="C6" i="8"/>
  <c r="C12" i="8" s="1"/>
  <c r="N6" i="8"/>
  <c r="N12" i="8" s="1"/>
  <c r="I18" i="8"/>
  <c r="C23" i="8"/>
  <c r="R23" i="8"/>
  <c r="P32" i="8"/>
  <c r="P9" i="17"/>
  <c r="M20" i="17"/>
  <c r="M9" i="17"/>
  <c r="M18" i="8"/>
  <c r="I28" i="8"/>
  <c r="E15" i="17"/>
  <c r="E18" i="17"/>
  <c r="G26" i="17"/>
  <c r="K6" i="8"/>
  <c r="K12" i="8" s="1"/>
  <c r="C20" i="17"/>
  <c r="F6" i="8"/>
  <c r="F12" i="8" s="1"/>
  <c r="J18" i="8"/>
  <c r="R18" i="8"/>
  <c r="G23" i="8"/>
  <c r="P23" i="8"/>
  <c r="N28" i="8"/>
  <c r="Q28" i="8"/>
  <c r="F20" i="17"/>
  <c r="G6" i="8"/>
  <c r="G12" i="8" s="1"/>
  <c r="P6" i="8"/>
  <c r="P12" i="8" s="1"/>
  <c r="K18" i="8"/>
  <c r="D6" i="5"/>
  <c r="I23" i="8"/>
  <c r="Q23" i="8"/>
  <c r="L32" i="8"/>
  <c r="C31" i="8"/>
  <c r="O31" i="8"/>
  <c r="J32" i="8"/>
  <c r="R28" i="8"/>
  <c r="L5" i="17"/>
  <c r="D5" i="17"/>
  <c r="D20" i="17"/>
  <c r="D26" i="17"/>
  <c r="N6" i="16"/>
  <c r="G20" i="17"/>
  <c r="Q21" i="17"/>
  <c r="L23" i="8"/>
  <c r="B32" i="8"/>
  <c r="O6" i="8"/>
  <c r="O12" i="8" s="1"/>
  <c r="K32" i="8"/>
  <c r="B31" i="8"/>
  <c r="E23" i="17"/>
  <c r="E27" i="17"/>
  <c r="N7" i="17"/>
  <c r="N23" i="17"/>
  <c r="P18" i="8"/>
  <c r="I6" i="8"/>
  <c r="I12" i="8" s="1"/>
  <c r="Q6" i="8"/>
  <c r="Q12" i="8" s="1"/>
  <c r="L18" i="8"/>
  <c r="J23" i="8"/>
  <c r="G31" i="8"/>
  <c r="P28" i="8"/>
  <c r="O5" i="17"/>
  <c r="J28" i="8"/>
  <c r="R32" i="8"/>
  <c r="N18" i="8"/>
  <c r="Q18" i="8"/>
  <c r="O23" i="8"/>
  <c r="M32" i="8"/>
  <c r="N11" i="16"/>
  <c r="M31" i="8"/>
  <c r="G32" i="8"/>
  <c r="N32" i="8"/>
  <c r="M5" i="17"/>
  <c r="P20" i="17"/>
  <c r="N21" i="17"/>
  <c r="N26" i="17"/>
  <c r="E21" i="17"/>
  <c r="N22" i="17"/>
  <c r="N27" i="17"/>
  <c r="Q7" i="17"/>
  <c r="Q18" i="17"/>
  <c r="E22" i="17"/>
  <c r="Q23" i="17"/>
  <c r="L9" i="17"/>
  <c r="H18" i="17"/>
  <c r="L20" i="17"/>
  <c r="H23" i="17"/>
  <c r="E10" i="17"/>
  <c r="Q22" i="17"/>
  <c r="O26" i="17"/>
  <c r="Q27" i="17"/>
  <c r="H22" i="17"/>
  <c r="H27" i="17"/>
  <c r="O9" i="17"/>
  <c r="O20" i="17"/>
  <c r="C32" i="8"/>
  <c r="B28" i="8"/>
  <c r="M28" i="8"/>
  <c r="Q32" i="8"/>
  <c r="I32" i="8"/>
  <c r="C28" i="8"/>
  <c r="R10" i="8"/>
  <c r="S10" i="8" s="1"/>
  <c r="G28" i="8"/>
  <c r="N31" i="8"/>
  <c r="O28" i="8"/>
  <c r="B19" i="1"/>
  <c r="D16" i="5"/>
  <c r="D15" i="5"/>
  <c r="I31" i="8"/>
  <c r="Q31" i="8"/>
  <c r="J31" i="8"/>
  <c r="R31" i="8"/>
  <c r="K31" i="8"/>
  <c r="B18" i="8"/>
  <c r="L31" i="8"/>
  <c r="N19" i="16"/>
  <c r="N24" i="16"/>
  <c r="O34" i="17" l="1"/>
  <c r="R16" i="17" s="1"/>
  <c r="S31" i="8"/>
  <c r="S32" i="8"/>
  <c r="E20" i="17"/>
  <c r="S18" i="8"/>
  <c r="S23" i="8"/>
  <c r="S28" i="8"/>
  <c r="Q5" i="17"/>
  <c r="P34" i="17"/>
  <c r="N20" i="17"/>
  <c r="R33" i="8"/>
  <c r="I33" i="8"/>
  <c r="K33" i="8"/>
  <c r="N9" i="17"/>
  <c r="N33" i="8"/>
  <c r="L33" i="8"/>
  <c r="Q33" i="8"/>
  <c r="C33" i="8"/>
  <c r="O33" i="8"/>
  <c r="M33" i="8"/>
  <c r="G33" i="8"/>
  <c r="D34" i="17"/>
  <c r="S6" i="8"/>
  <c r="J33" i="8"/>
  <c r="G34" i="17"/>
  <c r="H20" i="17"/>
  <c r="N5" i="17"/>
  <c r="D10" i="5"/>
  <c r="P33" i="8"/>
  <c r="D11" i="5"/>
  <c r="D5" i="5"/>
  <c r="M34" i="17"/>
  <c r="Q20" i="17"/>
  <c r="L34" i="17"/>
  <c r="Q9" i="17"/>
  <c r="Q26" i="17"/>
  <c r="R12" i="8"/>
  <c r="S12" i="8" s="1"/>
  <c r="B33" i="8"/>
  <c r="S33" i="8" l="1"/>
  <c r="R24" i="17"/>
  <c r="R13" i="17"/>
  <c r="R9" i="17"/>
  <c r="R11" i="17"/>
  <c r="R22" i="17"/>
  <c r="Q34" i="17"/>
  <c r="N34" i="17"/>
  <c r="R23" i="17"/>
  <c r="R27" i="17"/>
  <c r="R18" i="17"/>
  <c r="R10" i="17"/>
  <c r="R26" i="17"/>
  <c r="R17" i="17"/>
  <c r="R15" i="17"/>
  <c r="R6" i="17"/>
  <c r="R5" i="17"/>
  <c r="R21" i="17"/>
  <c r="R20" i="17"/>
  <c r="R12" i="17"/>
  <c r="R14" i="17"/>
  <c r="R7" i="17"/>
  <c r="R30" i="17"/>
  <c r="D18" i="3"/>
  <c r="D7" i="3"/>
  <c r="D40" i="3"/>
  <c r="D12" i="3"/>
  <c r="D35" i="3"/>
  <c r="D22" i="3"/>
  <c r="D44" i="3"/>
  <c r="D43" i="3"/>
  <c r="D30" i="3"/>
  <c r="D23" i="3" l="1"/>
  <c r="D45" i="3"/>
  <c r="H11" i="2" l="1"/>
  <c r="H21" i="2"/>
  <c r="H35" i="2"/>
  <c r="H6" i="2"/>
  <c r="H17" i="2"/>
  <c r="H43" i="2"/>
  <c r="H30" i="2"/>
  <c r="H44" i="2"/>
  <c r="H40" i="2"/>
  <c r="H23" i="2" l="1"/>
  <c r="H45" i="2"/>
  <c r="I21" i="2" l="1"/>
  <c r="I17" i="2"/>
  <c r="I11" i="2"/>
  <c r="I6" i="2"/>
  <c r="I40" i="2"/>
  <c r="I35" i="2"/>
  <c r="I43" i="2" l="1"/>
  <c r="I44" i="2"/>
  <c r="I23" i="2"/>
  <c r="I30" i="2"/>
  <c r="I45" i="2" l="1"/>
  <c r="F17" i="4"/>
  <c r="F27" i="4"/>
  <c r="F12" i="4"/>
  <c r="F20" i="4"/>
  <c r="F32" i="4"/>
  <c r="F7" i="4"/>
  <c r="F41" i="4"/>
  <c r="I31" i="16"/>
  <c r="L11" i="16"/>
  <c r="L24" i="16"/>
  <c r="F37" i="4"/>
  <c r="I24" i="16"/>
  <c r="L6" i="16"/>
  <c r="L19" i="16"/>
  <c r="L31" i="16"/>
  <c r="F40" i="4"/>
  <c r="I19" i="16"/>
  <c r="F21" i="4" l="1"/>
  <c r="F42" i="4"/>
  <c r="H45" i="15" l="1"/>
  <c r="H44" i="15"/>
  <c r="H36" i="15"/>
  <c r="H37" i="15" l="1"/>
  <c r="F11" i="16"/>
  <c r="H12" i="15"/>
  <c r="H20" i="15"/>
  <c r="H32" i="15"/>
  <c r="F31" i="16"/>
  <c r="H7" i="15"/>
  <c r="H27" i="15"/>
  <c r="F24" i="16"/>
  <c r="H17" i="15"/>
  <c r="H41" i="15"/>
  <c r="F6" i="16"/>
  <c r="F19" i="16"/>
  <c r="H40" i="15"/>
  <c r="H21" i="15" l="1"/>
  <c r="H42" i="15"/>
  <c r="F36" i="15"/>
  <c r="F17" i="15" l="1"/>
  <c r="C18" i="3"/>
  <c r="F27" i="15"/>
  <c r="C30" i="3"/>
  <c r="F22" i="3"/>
  <c r="H17" i="4"/>
  <c r="H37" i="4"/>
  <c r="F44" i="3"/>
  <c r="C44" i="3"/>
  <c r="F7" i="15"/>
  <c r="F12" i="15"/>
  <c r="F20" i="15"/>
  <c r="F32" i="15"/>
  <c r="C22" i="3"/>
  <c r="C7" i="3"/>
  <c r="C40" i="3"/>
  <c r="F7" i="3"/>
  <c r="F18" i="3"/>
  <c r="F30" i="3"/>
  <c r="F41" i="15"/>
  <c r="F12" i="3"/>
  <c r="F35" i="3"/>
  <c r="H20" i="4"/>
  <c r="C12" i="3"/>
  <c r="C35" i="3"/>
  <c r="H7" i="4"/>
  <c r="H27" i="4"/>
  <c r="F40" i="15"/>
  <c r="F37" i="15"/>
  <c r="H12" i="4"/>
  <c r="H32" i="4"/>
  <c r="H41" i="4"/>
  <c r="H40" i="4"/>
  <c r="F40" i="3"/>
  <c r="F43" i="3"/>
  <c r="C43" i="3"/>
  <c r="F21" i="15" l="1"/>
  <c r="F23" i="3"/>
  <c r="C23" i="3"/>
  <c r="C45" i="3"/>
  <c r="H42" i="4"/>
  <c r="F45" i="3"/>
  <c r="H21" i="4"/>
  <c r="F42" i="15"/>
  <c r="I10" i="15" l="1"/>
  <c r="I18" i="15"/>
  <c r="I15" i="15"/>
  <c r="I6" i="15"/>
  <c r="I16" i="15"/>
  <c r="I11" i="15"/>
  <c r="I19" i="15"/>
  <c r="G36" i="15" l="1"/>
  <c r="C36" i="15"/>
  <c r="B36" i="15"/>
  <c r="M24" i="16" l="1"/>
  <c r="F11" i="2"/>
  <c r="F21" i="2"/>
  <c r="F35" i="2"/>
  <c r="G6" i="2"/>
  <c r="G17" i="2"/>
  <c r="G30" i="2"/>
  <c r="G40" i="2"/>
  <c r="M31" i="16"/>
  <c r="M6" i="16"/>
  <c r="G43" i="2"/>
  <c r="F6" i="2"/>
  <c r="F17" i="2"/>
  <c r="F30" i="2"/>
  <c r="F40" i="2"/>
  <c r="G11" i="2"/>
  <c r="G35" i="2"/>
  <c r="M19" i="16"/>
  <c r="G21" i="2"/>
  <c r="M11" i="16"/>
  <c r="F43" i="2"/>
  <c r="G44" i="2"/>
  <c r="F44" i="2"/>
  <c r="F45" i="2" l="1"/>
  <c r="G23" i="2"/>
  <c r="F23" i="2"/>
  <c r="G45" i="2"/>
  <c r="D30" i="2" l="1"/>
  <c r="C27" i="4"/>
  <c r="I27" i="4"/>
  <c r="D35" i="2"/>
  <c r="G35" i="3"/>
  <c r="I35" i="3"/>
  <c r="E32" i="4"/>
  <c r="B32" i="15"/>
  <c r="D17" i="4"/>
  <c r="D20" i="4"/>
  <c r="B20" i="15"/>
  <c r="C17" i="2"/>
  <c r="G18" i="3"/>
  <c r="J18" i="3"/>
  <c r="D21" i="2"/>
  <c r="I22" i="3"/>
  <c r="C11" i="2"/>
  <c r="D11" i="2"/>
  <c r="I12" i="4"/>
  <c r="C12" i="15"/>
  <c r="B7" i="15"/>
  <c r="K49" i="3"/>
  <c r="K51" i="2" s="1"/>
  <c r="O33" i="7"/>
  <c r="J33" i="7"/>
  <c r="E33" i="7"/>
  <c r="L47" i="2"/>
  <c r="I45" i="15"/>
  <c r="I44" i="15"/>
  <c r="R21" i="16"/>
  <c r="R8" i="16"/>
  <c r="L42" i="2"/>
  <c r="L37" i="2"/>
  <c r="L36" i="2"/>
  <c r="L32" i="2"/>
  <c r="L8" i="2"/>
  <c r="K34" i="4"/>
  <c r="K33" i="4"/>
  <c r="K14" i="4"/>
  <c r="I18" i="3" l="1"/>
  <c r="I23" i="3" s="1"/>
  <c r="C17" i="4"/>
  <c r="I37" i="4"/>
  <c r="I44" i="3"/>
  <c r="K48" i="3"/>
  <c r="K50" i="2" s="1"/>
  <c r="L50" i="2" s="1"/>
  <c r="D31" i="16"/>
  <c r="H31" i="16"/>
  <c r="Q11" i="16"/>
  <c r="I41" i="4"/>
  <c r="C24" i="16"/>
  <c r="I20" i="4"/>
  <c r="B46" i="4"/>
  <c r="B47" i="4" s="1"/>
  <c r="D44" i="2"/>
  <c r="O19" i="16"/>
  <c r="D6" i="16"/>
  <c r="C7" i="7"/>
  <c r="H18" i="3"/>
  <c r="E40" i="2"/>
  <c r="B40" i="2"/>
  <c r="G40" i="15"/>
  <c r="Q19" i="16"/>
  <c r="B27" i="15"/>
  <c r="B31" i="16"/>
  <c r="E31" i="16"/>
  <c r="O31" i="16"/>
  <c r="K19" i="16"/>
  <c r="E6" i="2"/>
  <c r="J22" i="3"/>
  <c r="J23" i="3" s="1"/>
  <c r="B17" i="15"/>
  <c r="G12" i="7"/>
  <c r="B12" i="7"/>
  <c r="D20" i="1"/>
  <c r="G20" i="1" s="1"/>
  <c r="B41" i="15"/>
  <c r="D41" i="4"/>
  <c r="I40" i="4"/>
  <c r="H19" i="16"/>
  <c r="E43" i="2"/>
  <c r="B43" i="2"/>
  <c r="G32" i="15"/>
  <c r="C32" i="15"/>
  <c r="H44" i="3"/>
  <c r="B24" i="16"/>
  <c r="G11" i="16"/>
  <c r="E6" i="16"/>
  <c r="B6" i="16"/>
  <c r="K11" i="16"/>
  <c r="H6" i="16"/>
  <c r="G12" i="4"/>
  <c r="H12" i="3"/>
  <c r="C21" i="2"/>
  <c r="C23" i="2" s="1"/>
  <c r="G20" i="4"/>
  <c r="D32" i="4"/>
  <c r="J35" i="3"/>
  <c r="K28" i="3"/>
  <c r="K28" i="2" s="1"/>
  <c r="L28" i="2" s="1"/>
  <c r="C31" i="16"/>
  <c r="G31" i="16"/>
  <c r="H7" i="3"/>
  <c r="E7" i="7"/>
  <c r="C12" i="7"/>
  <c r="I32" i="4"/>
  <c r="D27" i="4"/>
  <c r="H24" i="16"/>
  <c r="G6" i="16"/>
  <c r="C6" i="16"/>
  <c r="G7" i="3"/>
  <c r="J7" i="3"/>
  <c r="B40" i="4"/>
  <c r="K24" i="16"/>
  <c r="I7" i="4"/>
  <c r="C7" i="4"/>
  <c r="K10" i="3"/>
  <c r="K9" i="2" s="1"/>
  <c r="B17" i="2"/>
  <c r="D21" i="1"/>
  <c r="G21" i="1" s="1"/>
  <c r="G41" i="15"/>
  <c r="I36" i="15"/>
  <c r="J36" i="4" s="1"/>
  <c r="K36" i="4" s="1"/>
  <c r="C16" i="5" s="1"/>
  <c r="B37" i="4"/>
  <c r="D40" i="4"/>
  <c r="I40" i="3"/>
  <c r="D40" i="2"/>
  <c r="G44" i="3"/>
  <c r="D12" i="4"/>
  <c r="H40" i="3"/>
  <c r="C40" i="2"/>
  <c r="B7" i="1"/>
  <c r="G12" i="15"/>
  <c r="E12" i="4"/>
  <c r="B12" i="4"/>
  <c r="E21" i="2"/>
  <c r="E17" i="2"/>
  <c r="G20" i="15"/>
  <c r="C20" i="15"/>
  <c r="E20" i="4"/>
  <c r="B20" i="4"/>
  <c r="G17" i="15"/>
  <c r="B17" i="4"/>
  <c r="L48" i="2"/>
  <c r="C49" i="2"/>
  <c r="L49" i="2" s="1"/>
  <c r="C7" i="1"/>
  <c r="K11" i="3"/>
  <c r="K10" i="2" s="1"/>
  <c r="L10" i="2" s="1"/>
  <c r="H11" i="7"/>
  <c r="C18" i="1" s="1"/>
  <c r="I26" i="15"/>
  <c r="J26" i="4" s="1"/>
  <c r="K26" i="4" s="1"/>
  <c r="C6" i="5" s="1"/>
  <c r="O24" i="16"/>
  <c r="D37" i="4"/>
  <c r="B40" i="15"/>
  <c r="K19" i="2"/>
  <c r="L19" i="2" s="1"/>
  <c r="H43" i="3"/>
  <c r="B27" i="4"/>
  <c r="J19" i="4"/>
  <c r="K19" i="4" s="1"/>
  <c r="D7" i="4"/>
  <c r="K39" i="3"/>
  <c r="K39" i="2" s="1"/>
  <c r="L39" i="2" s="1"/>
  <c r="B16" i="5" s="1"/>
  <c r="B32" i="4"/>
  <c r="E35" i="2"/>
  <c r="B35" i="2"/>
  <c r="D43" i="2"/>
  <c r="E24" i="16"/>
  <c r="O11" i="16"/>
  <c r="C40" i="4"/>
  <c r="G43" i="3"/>
  <c r="B41" i="4"/>
  <c r="C32" i="4"/>
  <c r="B19" i="16"/>
  <c r="E19" i="16"/>
  <c r="R22" i="16"/>
  <c r="I7" i="3"/>
  <c r="C6" i="2"/>
  <c r="G7" i="15"/>
  <c r="E7" i="4"/>
  <c r="K15" i="2"/>
  <c r="L15" i="2" s="1"/>
  <c r="C44" i="2"/>
  <c r="G24" i="16"/>
  <c r="K4" i="2"/>
  <c r="L4" i="2" s="1"/>
  <c r="C7" i="15"/>
  <c r="J5" i="4"/>
  <c r="K5" i="4" s="1"/>
  <c r="J16" i="4"/>
  <c r="K16" i="4" s="1"/>
  <c r="J30" i="3"/>
  <c r="J43" i="3"/>
  <c r="K34" i="3"/>
  <c r="K34" i="2" s="1"/>
  <c r="L34" i="2" s="1"/>
  <c r="K29" i="3"/>
  <c r="K29" i="2" s="1"/>
  <c r="G12" i="3"/>
  <c r="H35" i="3"/>
  <c r="I31" i="15"/>
  <c r="J31" i="4" s="1"/>
  <c r="C30" i="2"/>
  <c r="J40" i="3"/>
  <c r="J44" i="3"/>
  <c r="K31" i="16"/>
  <c r="R29" i="16"/>
  <c r="R18" i="16"/>
  <c r="G19" i="16"/>
  <c r="D24" i="16"/>
  <c r="G40" i="4"/>
  <c r="G37" i="4"/>
  <c r="K38" i="3"/>
  <c r="K38" i="2" s="1"/>
  <c r="G40" i="3"/>
  <c r="G37" i="15"/>
  <c r="J18" i="4"/>
  <c r="K18" i="4" s="1"/>
  <c r="B11" i="16"/>
  <c r="L51" i="2"/>
  <c r="K20" i="2"/>
  <c r="L20" i="2" s="1"/>
  <c r="H22" i="3"/>
  <c r="G41" i="4"/>
  <c r="C37" i="15"/>
  <c r="H30" i="3"/>
  <c r="I46" i="15"/>
  <c r="J44" i="4" s="1"/>
  <c r="K44" i="4" s="1"/>
  <c r="E11" i="16"/>
  <c r="I47" i="15"/>
  <c r="J45" i="4" s="1"/>
  <c r="K45" i="4" s="1"/>
  <c r="G22" i="3"/>
  <c r="G23" i="3" s="1"/>
  <c r="B21" i="2"/>
  <c r="E37" i="4"/>
  <c r="I30" i="15"/>
  <c r="J30" i="4" s="1"/>
  <c r="K30" i="4" s="1"/>
  <c r="C10" i="5" s="1"/>
  <c r="G27" i="15"/>
  <c r="C41" i="15"/>
  <c r="E41" i="4"/>
  <c r="G30" i="3"/>
  <c r="K6" i="16"/>
  <c r="H11" i="16"/>
  <c r="D11" i="16"/>
  <c r="D6" i="2"/>
  <c r="J6" i="4"/>
  <c r="K6" i="4" s="1"/>
  <c r="G7" i="7"/>
  <c r="E11" i="2"/>
  <c r="B11" i="2"/>
  <c r="C20" i="4"/>
  <c r="B37" i="15"/>
  <c r="G27" i="4"/>
  <c r="Q6" i="16"/>
  <c r="K5" i="2"/>
  <c r="G7" i="4"/>
  <c r="D7" i="7"/>
  <c r="J12" i="3"/>
  <c r="D17" i="2"/>
  <c r="D23" i="2" s="1"/>
  <c r="C17" i="15"/>
  <c r="E17" i="4"/>
  <c r="D12" i="7"/>
  <c r="E12" i="7"/>
  <c r="G32" i="4"/>
  <c r="H29" i="1"/>
  <c r="B38" i="1"/>
  <c r="C36" i="1" s="1"/>
  <c r="G12" i="5"/>
  <c r="J17" i="5"/>
  <c r="E8" i="1"/>
  <c r="E11" i="1" s="1"/>
  <c r="E29" i="1"/>
  <c r="G17" i="5"/>
  <c r="J7" i="5"/>
  <c r="D38" i="1"/>
  <c r="E37" i="1" s="1"/>
  <c r="G7" i="5"/>
  <c r="G22" i="5"/>
  <c r="B6" i="2"/>
  <c r="K16" i="2"/>
  <c r="L16" i="2" s="1"/>
  <c r="C41" i="4"/>
  <c r="C40" i="15"/>
  <c r="I25" i="15"/>
  <c r="J25" i="4" s="1"/>
  <c r="C27" i="15"/>
  <c r="E40" i="4"/>
  <c r="E27" i="4"/>
  <c r="Q31" i="16"/>
  <c r="R28" i="16"/>
  <c r="R17" i="16"/>
  <c r="D19" i="16"/>
  <c r="Q24" i="16"/>
  <c r="R23" i="16"/>
  <c r="J12" i="5"/>
  <c r="C11" i="16"/>
  <c r="B12" i="15"/>
  <c r="J10" i="4"/>
  <c r="K10" i="4" s="1"/>
  <c r="I35" i="15"/>
  <c r="J35" i="4" s="1"/>
  <c r="E44" i="2"/>
  <c r="E30" i="2"/>
  <c r="B44" i="2"/>
  <c r="B30" i="2"/>
  <c r="K33" i="3"/>
  <c r="K33" i="2" s="1"/>
  <c r="J11" i="4"/>
  <c r="K11" i="4" s="1"/>
  <c r="J15" i="4"/>
  <c r="K15" i="4" s="1"/>
  <c r="O6" i="16"/>
  <c r="B7" i="7"/>
  <c r="C43" i="2"/>
  <c r="C35" i="2"/>
  <c r="D21" i="4"/>
  <c r="C19" i="16"/>
  <c r="B7" i="4"/>
  <c r="C12" i="4"/>
  <c r="I12" i="3"/>
  <c r="H10" i="7"/>
  <c r="B18" i="1" s="1"/>
  <c r="C37" i="4"/>
  <c r="I43" i="3"/>
  <c r="I30" i="3"/>
  <c r="H11" i="1" l="1"/>
  <c r="K18" i="3"/>
  <c r="B33" i="1"/>
  <c r="D33" i="1" s="1"/>
  <c r="F31" i="7"/>
  <c r="K22" i="3"/>
  <c r="B21" i="4"/>
  <c r="F20" i="1"/>
  <c r="K7" i="3"/>
  <c r="F21" i="1"/>
  <c r="K12" i="3"/>
  <c r="K6" i="2"/>
  <c r="B5" i="5"/>
  <c r="B11" i="5"/>
  <c r="B5" i="1"/>
  <c r="L5" i="2"/>
  <c r="C5" i="1" s="1"/>
  <c r="I20" i="15"/>
  <c r="I7" i="15"/>
  <c r="B21" i="15"/>
  <c r="I17" i="15"/>
  <c r="I12" i="15"/>
  <c r="C6" i="1"/>
  <c r="B6" i="1"/>
  <c r="G21" i="4"/>
  <c r="G21" i="15"/>
  <c r="B42" i="15"/>
  <c r="I42" i="4"/>
  <c r="J7" i="4"/>
  <c r="K7" i="4" s="1"/>
  <c r="I21" i="4"/>
  <c r="J45" i="3"/>
  <c r="C21" i="4"/>
  <c r="B23" i="2"/>
  <c r="I45" i="3"/>
  <c r="H45" i="3"/>
  <c r="D45" i="2"/>
  <c r="H23" i="3"/>
  <c r="K23" i="3" s="1"/>
  <c r="G42" i="15"/>
  <c r="B42" i="4"/>
  <c r="D7" i="1"/>
  <c r="G7" i="1" s="1"/>
  <c r="K17" i="2"/>
  <c r="L17" i="2" s="1"/>
  <c r="K44" i="3"/>
  <c r="E45" i="2"/>
  <c r="E21" i="4"/>
  <c r="D17" i="5"/>
  <c r="G45" i="3"/>
  <c r="D18" i="1"/>
  <c r="G18" i="1" s="1"/>
  <c r="C10" i="1"/>
  <c r="J27" i="4"/>
  <c r="K27" i="4" s="1"/>
  <c r="C21" i="15"/>
  <c r="D42" i="4"/>
  <c r="K11" i="2"/>
  <c r="L11" i="2" s="1"/>
  <c r="L9" i="2"/>
  <c r="K35" i="3"/>
  <c r="K40" i="3"/>
  <c r="K44" i="2"/>
  <c r="L44" i="2" s="1"/>
  <c r="I32" i="15"/>
  <c r="K25" i="4"/>
  <c r="C5" i="5" s="1"/>
  <c r="K30" i="3"/>
  <c r="R6" i="16"/>
  <c r="H12" i="7"/>
  <c r="R11" i="16"/>
  <c r="J22" i="5"/>
  <c r="L29" i="2"/>
  <c r="K21" i="2"/>
  <c r="L21" i="2" s="1"/>
  <c r="G42" i="4"/>
  <c r="R24" i="16"/>
  <c r="J32" i="4"/>
  <c r="K32" i="4" s="1"/>
  <c r="C37" i="1"/>
  <c r="E23" i="2"/>
  <c r="I27" i="15"/>
  <c r="B16" i="1"/>
  <c r="C17" i="1"/>
  <c r="J41" i="4"/>
  <c r="K41" i="4" s="1"/>
  <c r="R19" i="16"/>
  <c r="D19" i="1"/>
  <c r="G19" i="1" s="1"/>
  <c r="J20" i="4"/>
  <c r="K20" i="4" s="1"/>
  <c r="H7" i="7"/>
  <c r="R31" i="16"/>
  <c r="L38" i="2"/>
  <c r="B15" i="5" s="1"/>
  <c r="B17" i="5" s="1"/>
  <c r="K40" i="2"/>
  <c r="L40" i="2" s="1"/>
  <c r="K31" i="4"/>
  <c r="C28" i="1" s="1"/>
  <c r="K30" i="2"/>
  <c r="L30" i="2" s="1"/>
  <c r="E36" i="1"/>
  <c r="C45" i="2"/>
  <c r="K35" i="2"/>
  <c r="L35" i="2" s="1"/>
  <c r="K43" i="2"/>
  <c r="L33" i="2"/>
  <c r="I37" i="15"/>
  <c r="J17" i="4"/>
  <c r="K17" i="4" s="1"/>
  <c r="E42" i="4"/>
  <c r="C42" i="15"/>
  <c r="I40" i="15"/>
  <c r="I41" i="15"/>
  <c r="B45" i="2"/>
  <c r="J37" i="4"/>
  <c r="J40" i="4"/>
  <c r="K40" i="4" s="1"/>
  <c r="K35" i="4"/>
  <c r="C15" i="5" s="1"/>
  <c r="J12" i="4"/>
  <c r="K12" i="4" s="1"/>
  <c r="E16" i="5"/>
  <c r="F16" i="5" s="1"/>
  <c r="I16" i="5" s="1"/>
  <c r="C16" i="1"/>
  <c r="C42" i="4"/>
  <c r="K43" i="3"/>
  <c r="F19" i="1" l="1"/>
  <c r="F18" i="1"/>
  <c r="I7" i="1"/>
  <c r="F7" i="1"/>
  <c r="I18" i="1"/>
  <c r="C20" i="5"/>
  <c r="D16" i="1"/>
  <c r="C22" i="1"/>
  <c r="I21" i="15"/>
  <c r="F22" i="7"/>
  <c r="F32" i="7"/>
  <c r="F30" i="7"/>
  <c r="F29" i="7"/>
  <c r="F27" i="7"/>
  <c r="F26" i="7"/>
  <c r="B6" i="5"/>
  <c r="B7" i="5" s="1"/>
  <c r="B28" i="1"/>
  <c r="B10" i="5"/>
  <c r="C27" i="1"/>
  <c r="B27" i="1"/>
  <c r="L6" i="2"/>
  <c r="D5" i="1" s="1"/>
  <c r="G5" i="1" s="1"/>
  <c r="B8" i="1"/>
  <c r="D6" i="1"/>
  <c r="G6" i="1" s="1"/>
  <c r="C8" i="1"/>
  <c r="C11" i="1" s="1"/>
  <c r="B10" i="1"/>
  <c r="K45" i="2"/>
  <c r="L45" i="2" s="1"/>
  <c r="K45" i="3"/>
  <c r="K23" i="2"/>
  <c r="L23" i="2" s="1"/>
  <c r="J42" i="4"/>
  <c r="K42" i="4" s="1"/>
  <c r="I42" i="15"/>
  <c r="B17" i="1"/>
  <c r="D17" i="1" s="1"/>
  <c r="G17" i="1" s="1"/>
  <c r="L43" i="2"/>
  <c r="C11" i="5"/>
  <c r="K37" i="4"/>
  <c r="J21" i="4"/>
  <c r="K21" i="4" s="1"/>
  <c r="C17" i="5"/>
  <c r="E15" i="5"/>
  <c r="D12" i="5"/>
  <c r="D20" i="5"/>
  <c r="D21" i="5"/>
  <c r="D7" i="5"/>
  <c r="C7" i="5"/>
  <c r="E5" i="5"/>
  <c r="F5" i="5" s="1"/>
  <c r="I5" i="5" s="1"/>
  <c r="H22" i="7" l="1"/>
  <c r="M23" i="7"/>
  <c r="H23" i="7" s="1"/>
  <c r="G16" i="1"/>
  <c r="F17" i="1"/>
  <c r="B12" i="5"/>
  <c r="E10" i="5"/>
  <c r="F10" i="5" s="1"/>
  <c r="I10" i="5" s="1"/>
  <c r="B11" i="1"/>
  <c r="L23" i="7" s="1"/>
  <c r="D27" i="1"/>
  <c r="G27" i="1" s="1"/>
  <c r="D22" i="1"/>
  <c r="B22" i="1"/>
  <c r="C33" i="1"/>
  <c r="B32" i="1"/>
  <c r="D32" i="1" s="1"/>
  <c r="B20" i="5"/>
  <c r="E20" i="5" s="1"/>
  <c r="F20" i="5" s="1"/>
  <c r="I20" i="5" s="1"/>
  <c r="D10" i="1"/>
  <c r="G10" i="1" s="1"/>
  <c r="E6" i="5"/>
  <c r="F6" i="5" s="1"/>
  <c r="I6" i="5" s="1"/>
  <c r="B21" i="5"/>
  <c r="F5" i="1"/>
  <c r="D8" i="1"/>
  <c r="G8" i="1" s="1"/>
  <c r="F6" i="1"/>
  <c r="D28" i="1"/>
  <c r="G28" i="1" s="1"/>
  <c r="B29" i="1"/>
  <c r="C12" i="5"/>
  <c r="C21" i="5"/>
  <c r="E11" i="5"/>
  <c r="F11" i="5" s="1"/>
  <c r="I11" i="5" s="1"/>
  <c r="C29" i="1"/>
  <c r="F16" i="1"/>
  <c r="D22" i="5"/>
  <c r="F15" i="5"/>
  <c r="I15" i="5" s="1"/>
  <c r="E17" i="5"/>
  <c r="N23" i="7" l="1"/>
  <c r="G23" i="7"/>
  <c r="I23" i="7" s="1"/>
  <c r="N22" i="7"/>
  <c r="G22" i="7"/>
  <c r="I22" i="7" s="1"/>
  <c r="F8" i="1"/>
  <c r="N32" i="7"/>
  <c r="P31" i="7"/>
  <c r="I31" i="7"/>
  <c r="P29" i="7"/>
  <c r="I27" i="7"/>
  <c r="N27" i="7"/>
  <c r="P27" i="7" s="1"/>
  <c r="D11" i="1"/>
  <c r="F11" i="1" s="1"/>
  <c r="F22" i="1"/>
  <c r="B22" i="5"/>
  <c r="C32" i="1"/>
  <c r="H6" i="5"/>
  <c r="F28" i="1"/>
  <c r="F10" i="1"/>
  <c r="E7" i="5"/>
  <c r="E21" i="5"/>
  <c r="F21" i="5" s="1"/>
  <c r="I21" i="5" s="1"/>
  <c r="E12" i="5"/>
  <c r="C22" i="5"/>
  <c r="H11" i="5"/>
  <c r="F27" i="1"/>
  <c r="D29" i="1"/>
  <c r="F29" i="1" s="1"/>
  <c r="H5" i="5"/>
  <c r="F7" i="5"/>
  <c r="H7" i="5" s="1"/>
  <c r="F17" i="5"/>
  <c r="F12" i="5"/>
  <c r="H12" i="5" s="1"/>
  <c r="H10" i="5"/>
  <c r="I32" i="7" l="1"/>
  <c r="I30" i="7"/>
  <c r="K30" i="7" s="1"/>
  <c r="I29" i="7"/>
  <c r="K29" i="7" s="1"/>
  <c r="I26" i="7"/>
  <c r="P32" i="7"/>
  <c r="K31" i="7"/>
  <c r="K27" i="7"/>
  <c r="P26" i="7"/>
  <c r="K22" i="7"/>
  <c r="P30" i="7"/>
  <c r="P22" i="7"/>
  <c r="H21" i="5"/>
  <c r="E22" i="5"/>
  <c r="F22" i="5"/>
  <c r="H22" i="5" s="1"/>
  <c r="H20" i="5"/>
  <c r="K26" i="7" l="1"/>
  <c r="K32" i="7"/>
  <c r="F23" i="7" l="1"/>
  <c r="P23" i="7" l="1"/>
  <c r="K23" i="7" l="1"/>
  <c r="D24" i="7" l="1"/>
  <c r="F24" i="7" l="1"/>
  <c r="N24" i="7" l="1"/>
  <c r="I24" i="7" l="1"/>
  <c r="P24" i="7"/>
  <c r="K24" i="7" l="1"/>
  <c r="E28" i="17" l="1"/>
  <c r="C26" i="17"/>
  <c r="E26" i="17" s="1"/>
  <c r="F26" i="17"/>
  <c r="H26" i="17" s="1"/>
  <c r="H28" i="17"/>
  <c r="E13" i="17"/>
  <c r="H13" i="17"/>
  <c r="C9" i="17" l="1"/>
  <c r="E9" i="17" s="1"/>
  <c r="F9" i="17"/>
  <c r="H9" i="17" s="1"/>
  <c r="H7" i="17"/>
  <c r="F5" i="17"/>
  <c r="E7" i="17"/>
  <c r="C5" i="17"/>
  <c r="E5" i="17" l="1"/>
  <c r="C34" i="17"/>
  <c r="E34" i="17" s="1"/>
  <c r="H5" i="17"/>
  <c r="F34" i="17"/>
  <c r="I5" i="17" s="1"/>
  <c r="I10" i="17" l="1"/>
  <c r="I12" i="17"/>
  <c r="I15" i="17"/>
  <c r="I26" i="17"/>
  <c r="I23" i="17"/>
  <c r="I21" i="17"/>
  <c r="H34" i="17"/>
  <c r="I22" i="17"/>
  <c r="I6" i="17"/>
  <c r="I14" i="17"/>
  <c r="I20" i="17"/>
  <c r="I16" i="17"/>
  <c r="I28" i="17"/>
  <c r="I30" i="17"/>
  <c r="I13" i="17"/>
  <c r="I17" i="17"/>
  <c r="I9" i="17"/>
  <c r="I24" i="17"/>
  <c r="I11" i="17"/>
  <c r="I18" i="17"/>
  <c r="I27" i="17"/>
  <c r="I7" i="17"/>
  <c r="D25" i="7" l="1"/>
  <c r="F25" i="7" l="1"/>
  <c r="N25" i="7" l="1"/>
  <c r="I25" i="7" l="1"/>
  <c r="P25" i="7"/>
  <c r="K25" i="7" l="1"/>
  <c r="D28" i="7" l="1"/>
  <c r="F28" i="7" l="1"/>
  <c r="I20" i="1" l="1"/>
  <c r="I21" i="1" l="1"/>
  <c r="I17" i="1"/>
  <c r="I19" i="1" l="1"/>
  <c r="K5" i="5"/>
  <c r="D34" i="1"/>
  <c r="K6" i="5"/>
  <c r="I28" i="1"/>
  <c r="K11" i="5"/>
  <c r="I6" i="1" l="1"/>
  <c r="I16" i="1"/>
  <c r="G22" i="1"/>
  <c r="I22" i="1" s="1"/>
  <c r="I5" i="1"/>
  <c r="E32" i="1"/>
  <c r="E33" i="1"/>
  <c r="K10" i="5"/>
  <c r="I12" i="5"/>
  <c r="K12" i="5" s="1"/>
  <c r="I27" i="1"/>
  <c r="G29" i="1"/>
  <c r="I29" i="1" s="1"/>
  <c r="I7" i="5"/>
  <c r="K7" i="5" s="1"/>
  <c r="I17" i="5"/>
  <c r="K21" i="5"/>
  <c r="I10" i="1" l="1"/>
  <c r="G11" i="1"/>
  <c r="I11" i="1" s="1"/>
  <c r="I8" i="1"/>
  <c r="N28" i="7"/>
  <c r="K20" i="5"/>
  <c r="I22" i="5"/>
  <c r="K22" i="5" s="1"/>
  <c r="P28" i="7" l="1"/>
  <c r="I28" i="7"/>
  <c r="K28" i="7" l="1"/>
  <c r="C33" i="7" l="1"/>
  <c r="B33" i="7" l="1"/>
  <c r="F21" i="7" l="1"/>
  <c r="D33" i="7"/>
  <c r="F33" i="7" l="1"/>
  <c r="G21" i="7" l="1"/>
  <c r="L33" i="7"/>
  <c r="G33" i="7" l="1"/>
  <c r="H21" i="7"/>
  <c r="M33" i="7"/>
  <c r="N21" i="7"/>
  <c r="P21" i="7" l="1"/>
  <c r="N33" i="7"/>
  <c r="P33" i="7" s="1"/>
  <c r="I21" i="7"/>
  <c r="H33" i="7"/>
  <c r="K21" i="7" l="1"/>
  <c r="I33" i="7"/>
  <c r="K33" i="7" l="1"/>
</calcChain>
</file>

<file path=xl/sharedStrings.xml><?xml version="1.0" encoding="utf-8"?>
<sst xmlns="http://schemas.openxmlformats.org/spreadsheetml/2006/main" count="710" uniqueCount="245">
  <si>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</si>
  <si>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</si>
  <si>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</si>
  <si>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</si>
  <si>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</si>
  <si>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</si>
  <si>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</si>
  <si>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</si>
  <si>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</si>
  <si>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</si>
  <si>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</si>
  <si>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</si>
  <si>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</si>
  <si>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</si>
  <si>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</si>
  <si>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</si>
  <si>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</si>
  <si>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</si>
  <si>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</si>
  <si>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</si>
  <si>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</si>
  <si>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</si>
  <si>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</si>
  <si>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</si>
  <si>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</si>
  <si>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</si>
  <si>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</si>
  <si>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</si>
  <si>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</si>
  <si>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</si>
  <si>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</si>
  <si>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</si>
  <si>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</si>
  <si>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</si>
  <si>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</si>
  <si>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</si>
  <si>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</si>
  <si>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</si>
  <si>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</si>
  <si>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</si>
  <si>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</si>
  <si>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</si>
  <si>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</si>
  <si>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</si>
  <si>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</si>
  <si>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</si>
  <si>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</si>
  <si>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</si>
  <si>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</si>
  <si>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</si>
  <si>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</si>
  <si>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</si>
  <si>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</si>
  <si>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</si>
  <si>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</si>
  <si>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</si>
  <si>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</si>
  <si>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</si>
  <si>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</si>
  <si>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</si>
  <si>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</si>
  <si>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</si>
  <si>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</si>
  <si>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</si>
  <si>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</si>
  <si>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</si>
  <si>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</si>
  <si>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</si>
  <si>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</si>
  <si>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</si>
  <si>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</si>
  <si>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</si>
  <si>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</si>
  <si>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</si>
  <si>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</si>
  <si>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</si>
  <si>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</si>
  <si>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</si>
  <si>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</si>
  <si>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</si>
  <si>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</si>
  <si>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</si>
  <si>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</si>
  <si>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</si>
  <si>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</si>
  <si>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</si>
  <si>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</si>
  <si>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</si>
  <si>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</si>
  <si>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</si>
  <si>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</si>
  <si>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</si>
  <si>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</si>
  <si>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</si>
  <si>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</si>
  <si>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</si>
  <si>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</si>
  <si>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</si>
  <si>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</si>
  <si>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</si>
  <si>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</si>
  <si>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</si>
  <si>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</si>
  <si>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</si>
  <si>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</si>
  <si>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</si>
  <si>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</si>
  <si>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</si>
  <si>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</si>
  <si>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</si>
  <si>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</si>
  <si>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</si>
  <si>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</si>
  <si>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</si>
  <si>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</si>
  <si>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</si>
  <si>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</si>
  <si>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</si>
  <si>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</si>
  <si>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</si>
  <si>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</si>
  <si>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</si>
  <si>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</si>
  <si>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</si>
  <si>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</si>
  <si>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</si>
  <si>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</si>
  <si>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</si>
  <si>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</si>
  <si>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</si>
  <si>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</si>
  <si>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</si>
  <si>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</si>
  <si>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</si>
  <si>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</si>
  <si>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</si>
  <si>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</si>
  <si>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Charters</t>
  </si>
  <si>
    <t>INTERNATIONAL PASSENGER DETAILS - Current Month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</si>
  <si>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</si>
  <si>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</si>
  <si>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</si>
  <si>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</si>
  <si>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</si>
  <si>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</si>
  <si>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</si>
  <si>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</si>
  <si>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</si>
  <si>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</si>
  <si>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</si>
  <si>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</si>
  <si>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</si>
  <si>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Spirit</t>
  </si>
  <si>
    <t>Air France</t>
  </si>
  <si>
    <t>Endeavor Air- Delta</t>
  </si>
  <si>
    <t>Endeavor Air</t>
  </si>
  <si>
    <t>Mesa - United</t>
  </si>
  <si>
    <t>Condor</t>
  </si>
  <si>
    <t>Go Jet - Delta</t>
  </si>
  <si>
    <t>Sky West - Delta</t>
  </si>
  <si>
    <t>Envoy</t>
  </si>
  <si>
    <t>SkyWest - United</t>
  </si>
  <si>
    <t>SkyWest - Delta</t>
  </si>
  <si>
    <t>Shuttle America - Delta</t>
  </si>
  <si>
    <t>Shuttle America - United</t>
  </si>
  <si>
    <t>Envoy - American</t>
  </si>
  <si>
    <t>Republic - American</t>
  </si>
  <si>
    <t>Express Jet - United</t>
  </si>
  <si>
    <t>IFL</t>
  </si>
  <si>
    <t>Republic- United</t>
  </si>
  <si>
    <t>PSA - American</t>
  </si>
  <si>
    <t>PSA</t>
  </si>
  <si>
    <t>Cargo Volume</t>
  </si>
  <si>
    <t>TOTAL CARGO IN POUNDS</t>
  </si>
  <si>
    <t>FedEx</t>
  </si>
  <si>
    <t>Total</t>
  </si>
  <si>
    <t>Cargo Operations</t>
  </si>
  <si>
    <t>Included in UPS</t>
  </si>
  <si>
    <t>KLM</t>
  </si>
  <si>
    <t>Atlantic Southeast - Delta</t>
  </si>
  <si>
    <t>Sky Regional - Air Canada</t>
  </si>
  <si>
    <t>Sky West - American</t>
  </si>
  <si>
    <t>Jet Blue</t>
  </si>
  <si>
    <t>Atlas Air -Amazon</t>
  </si>
  <si>
    <t>Encore</t>
  </si>
  <si>
    <t>Encore Air Cargo</t>
  </si>
  <si>
    <t>Aer Lingus</t>
  </si>
  <si>
    <t>MSP Cargo</t>
  </si>
  <si>
    <t>Encore -DHL</t>
  </si>
  <si>
    <t>Kalitta - DHL</t>
  </si>
  <si>
    <t>Swift Air - DHL</t>
  </si>
  <si>
    <t>Sun Country - Amazon</t>
  </si>
  <si>
    <t xml:space="preserve">Amazon </t>
  </si>
  <si>
    <t>Atlas Air</t>
  </si>
  <si>
    <t>DHL</t>
  </si>
  <si>
    <t>ABX Air</t>
  </si>
  <si>
    <t>Kalitta</t>
  </si>
  <si>
    <t>Swift</t>
  </si>
  <si>
    <t>Mountain Air</t>
  </si>
  <si>
    <t>Belly Cargo/Mail In Pounds</t>
  </si>
  <si>
    <t>Belly Cargo/Mail in Pounds</t>
  </si>
  <si>
    <t>Denver Air</t>
  </si>
  <si>
    <t>Major</t>
  </si>
  <si>
    <t>ABX Air - DHL</t>
  </si>
  <si>
    <t>Bemidji - UPS</t>
  </si>
  <si>
    <t>Bemidji - DHL</t>
  </si>
  <si>
    <t>Jazz - Air Canada</t>
  </si>
  <si>
    <t>Jazz</t>
  </si>
  <si>
    <t>Allegiant</t>
  </si>
  <si>
    <t>Amerijet - DHL</t>
  </si>
  <si>
    <t>Amerijet</t>
  </si>
  <si>
    <t>Mesa - DHL</t>
  </si>
  <si>
    <t>ATI -DHL</t>
  </si>
  <si>
    <t>WestJet</t>
  </si>
  <si>
    <t>Red Way</t>
  </si>
  <si>
    <t>.</t>
  </si>
  <si>
    <t>Air Wisconsin-American</t>
  </si>
  <si>
    <t>Jazz_AC- Air Canada</t>
  </si>
  <si>
    <t>Monthly Total 2024</t>
  </si>
  <si>
    <t>Y-T-D 2024</t>
  </si>
  <si>
    <t>Total 2024</t>
  </si>
  <si>
    <t>Metric Tons 2024</t>
  </si>
  <si>
    <t>Monthly Ops 2024</t>
  </si>
  <si>
    <t>Ops YTD 2024</t>
  </si>
  <si>
    <t>Monthly Cargo 2024</t>
  </si>
  <si>
    <t>Cargo YTD 2024</t>
  </si>
  <si>
    <t>Current Month 2024</t>
  </si>
  <si>
    <t>YTD 2024</t>
  </si>
  <si>
    <t>Landing</t>
  </si>
  <si>
    <t>Departure</t>
  </si>
  <si>
    <t>Lufthansa</t>
  </si>
  <si>
    <t>ATI - 21 Air</t>
  </si>
  <si>
    <t>Monthly Total 2025</t>
  </si>
  <si>
    <t>Y-T-D 2025</t>
  </si>
  <si>
    <t xml:space="preserve">2024 YTD </t>
  </si>
  <si>
    <t>Total 2025</t>
  </si>
  <si>
    <t>Metric Tons 2025</t>
  </si>
  <si>
    <t>Monthly Ops 2025</t>
  </si>
  <si>
    <t>Ops YTD 2025</t>
  </si>
  <si>
    <t>2025 Market Share</t>
  </si>
  <si>
    <t>Current Month 2025</t>
  </si>
  <si>
    <t>YTD 2025</t>
  </si>
  <si>
    <t>Monthly Cargo 2025</t>
  </si>
  <si>
    <t>Cargo YTD 2025</t>
  </si>
  <si>
    <t>March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</si>
</sst>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E0A3FF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0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10" fontId="0" fillId="0" borderId="0" xfId="0" applyNumberFormat="1"/>
    <xf numFmtId="164" fontId="0" fillId="0" borderId="0" xfId="0" applyNumberFormat="1"/>
    <xf numFmtId="0" fontId="4" fillId="0" borderId="0" xfId="0" applyFont="1" applyAlignment="1">
      <alignment horizontal="center"/>
    </xf>
    <xf numFmtId="0" fontId="3" fillId="0" borderId="0" xfId="0" applyFont="1"/>
    <xf numFmtId="165" fontId="0" fillId="0" borderId="1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2" fillId="0" borderId="0" xfId="0" applyFont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/>
    <xf numFmtId="0" fontId="12" fillId="0" borderId="0" xfId="0" applyFont="1"/>
    <xf numFmtId="0" fontId="2" fillId="0" borderId="9" xfId="0" applyFont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0" fontId="0" fillId="0" borderId="15" xfId="0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/>
    <xf numFmtId="0" fontId="7" fillId="0" borderId="16" xfId="0" applyFont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7" fillId="0" borderId="18" xfId="0" applyFont="1" applyBorder="1" applyAlignment="1">
      <alignment horizontal="center"/>
    </xf>
    <xf numFmtId="0" fontId="5" fillId="0" borderId="16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18" xfId="0" applyFont="1" applyBorder="1" applyAlignment="1">
      <alignment horizontal="right"/>
    </xf>
    <xf numFmtId="0" fontId="4" fillId="0" borderId="16" xfId="0" applyFont="1" applyBorder="1" applyAlignment="1">
      <alignment horizontal="right"/>
    </xf>
    <xf numFmtId="3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 wrapText="1"/>
    </xf>
    <xf numFmtId="10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0" fontId="4" fillId="4" borderId="17" xfId="0" applyFont="1" applyFill="1" applyBorder="1"/>
    <xf numFmtId="0" fontId="11" fillId="0" borderId="18" xfId="0" applyFont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Border="1" applyAlignment="1">
      <alignment horizontal="center"/>
    </xf>
    <xf numFmtId="10" fontId="7" fillId="3" borderId="23" xfId="3" applyNumberFormat="1" applyFont="1" applyFill="1" applyBorder="1"/>
    <xf numFmtId="10" fontId="0" fillId="0" borderId="0" xfId="0" applyNumberFormat="1" applyAlignment="1">
      <alignment horizontal="right"/>
    </xf>
    <xf numFmtId="10" fontId="7" fillId="3" borderId="25" xfId="0" applyNumberFormat="1" applyFont="1" applyFill="1" applyBorder="1"/>
    <xf numFmtId="10" fontId="0" fillId="0" borderId="0" xfId="3" applyNumberFormat="1" applyFont="1" applyBorder="1"/>
    <xf numFmtId="10" fontId="0" fillId="0" borderId="15" xfId="3" applyNumberFormat="1" applyFont="1" applyBorder="1"/>
    <xf numFmtId="3" fontId="4" fillId="0" borderId="0" xfId="0" applyNumberFormat="1" applyFont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Alignment="1">
      <alignment horizontal="right"/>
    </xf>
    <xf numFmtId="41" fontId="3" fillId="0" borderId="0" xfId="0" applyNumberFormat="1" applyFont="1" applyAlignment="1">
      <alignment horizontal="right" wrapText="1"/>
    </xf>
    <xf numFmtId="41" fontId="3" fillId="0" borderId="0" xfId="0" applyNumberFormat="1" applyFont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/>
    <xf numFmtId="41" fontId="5" fillId="0" borderId="5" xfId="0" applyNumberFormat="1" applyFont="1" applyBorder="1" applyAlignment="1">
      <alignment horizontal="right"/>
    </xf>
    <xf numFmtId="41" fontId="0" fillId="0" borderId="0" xfId="0" applyNumberFormat="1"/>
    <xf numFmtId="41" fontId="0" fillId="0" borderId="1" xfId="0" applyNumberFormat="1" applyBorder="1"/>
    <xf numFmtId="41" fontId="7" fillId="3" borderId="27" xfId="0" applyNumberFormat="1" applyFont="1" applyFill="1" applyBorder="1"/>
    <xf numFmtId="41" fontId="7" fillId="3" borderId="28" xfId="0" applyNumberFormat="1" applyFont="1" applyFill="1" applyBorder="1"/>
    <xf numFmtId="41" fontId="7" fillId="0" borderId="0" xfId="0" applyNumberFormat="1" applyFont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10" fillId="3" borderId="10" xfId="0" applyNumberFormat="1" applyFont="1" applyFill="1" applyBorder="1"/>
    <xf numFmtId="41" fontId="10" fillId="3" borderId="29" xfId="0" applyNumberFormat="1" applyFont="1" applyFill="1" applyBorder="1"/>
    <xf numFmtId="41" fontId="3" fillId="0" borderId="30" xfId="0" applyNumberFormat="1" applyFont="1" applyBorder="1" applyAlignment="1">
      <alignment horizontal="right"/>
    </xf>
    <xf numFmtId="41" fontId="10" fillId="3" borderId="27" xfId="0" applyNumberFormat="1" applyFont="1" applyFill="1" applyBorder="1"/>
    <xf numFmtId="41" fontId="10" fillId="3" borderId="28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2" xfId="0" applyNumberFormat="1" applyBorder="1"/>
    <xf numFmtId="41" fontId="3" fillId="0" borderId="22" xfId="0" applyNumberFormat="1" applyFont="1" applyBorder="1"/>
    <xf numFmtId="41" fontId="0" fillId="0" borderId="31" xfId="0" applyNumberFormat="1" applyBorder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5" xfId="1" applyNumberFormat="1" applyFont="1" applyBorder="1"/>
    <xf numFmtId="41" fontId="5" fillId="0" borderId="22" xfId="0" applyNumberFormat="1" applyFont="1" applyBorder="1"/>
    <xf numFmtId="41" fontId="0" fillId="0" borderId="31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2" xfId="1" applyNumberFormat="1" applyFont="1" applyFill="1" applyBorder="1" applyAlignment="1">
      <alignment horizontal="center"/>
    </xf>
    <xf numFmtId="41" fontId="7" fillId="3" borderId="31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8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Alignment="1">
      <alignment horizontal="center"/>
    </xf>
    <xf numFmtId="41" fontId="5" fillId="0" borderId="22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31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7" xfId="1" applyNumberFormat="1" applyFont="1" applyFill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2" xfId="0" applyNumberFormat="1" applyFont="1" applyFill="1" applyBorder="1"/>
    <xf numFmtId="41" fontId="11" fillId="3" borderId="33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Alignment="1">
      <alignment horizontal="center" wrapText="1"/>
    </xf>
    <xf numFmtId="165" fontId="0" fillId="0" borderId="31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4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5" fillId="0" borderId="0" xfId="0" applyFont="1"/>
    <xf numFmtId="41" fontId="0" fillId="0" borderId="1" xfId="0" applyNumberFormat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5" fillId="0" borderId="13" xfId="0" applyFont="1" applyBorder="1"/>
    <xf numFmtId="0" fontId="4" fillId="0" borderId="35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3" borderId="14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0" fontId="15" fillId="0" borderId="13" xfId="0" applyFont="1" applyBorder="1"/>
    <xf numFmtId="1" fontId="0" fillId="0" borderId="36" xfId="0" applyNumberFormat="1" applyBorder="1"/>
    <xf numFmtId="0" fontId="4" fillId="0" borderId="0" xfId="0" applyFont="1"/>
    <xf numFmtId="0" fontId="2" fillId="0" borderId="0" xfId="0" applyFont="1"/>
    <xf numFmtId="1" fontId="0" fillId="0" borderId="0" xfId="0" applyNumberFormat="1"/>
    <xf numFmtId="0" fontId="0" fillId="0" borderId="37" xfId="0" applyBorder="1"/>
    <xf numFmtId="2" fontId="0" fillId="0" borderId="0" xfId="0" applyNumberFormat="1"/>
    <xf numFmtId="17" fontId="0" fillId="0" borderId="0" xfId="0" applyNumberFormat="1"/>
    <xf numFmtId="0" fontId="4" fillId="0" borderId="0" xfId="0" applyFont="1" applyAlignment="1">
      <alignment wrapText="1"/>
    </xf>
    <xf numFmtId="10" fontId="4" fillId="3" borderId="38" xfId="3" applyNumberFormat="1" applyFont="1" applyFill="1" applyBorder="1" applyAlignment="1">
      <alignment horizontal="center"/>
    </xf>
    <xf numFmtId="10" fontId="4" fillId="3" borderId="39" xfId="3" applyNumberFormat="1" applyFont="1" applyFill="1" applyBorder="1" applyAlignment="1">
      <alignment horizontal="center"/>
    </xf>
    <xf numFmtId="10" fontId="4" fillId="3" borderId="40" xfId="3" applyNumberFormat="1" applyFont="1" applyFill="1" applyBorder="1" applyAlignment="1">
      <alignment horizontal="center"/>
    </xf>
    <xf numFmtId="0" fontId="4" fillId="3" borderId="42" xfId="0" applyFont="1" applyFill="1" applyBorder="1"/>
    <xf numFmtId="17" fontId="0" fillId="0" borderId="43" xfId="0" applyNumberFormat="1" applyBorder="1"/>
    <xf numFmtId="17" fontId="0" fillId="0" borderId="44" xfId="0" applyNumberFormat="1" applyBorder="1"/>
    <xf numFmtId="17" fontId="0" fillId="0" borderId="45" xfId="0" applyNumberFormat="1" applyBorder="1"/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46" xfId="0" applyNumberFormat="1" applyFont="1" applyFill="1" applyBorder="1" applyAlignment="1">
      <alignment horizontal="center"/>
    </xf>
    <xf numFmtId="41" fontId="16" fillId="3" borderId="21" xfId="0" applyNumberFormat="1" applyFont="1" applyFill="1" applyBorder="1" applyAlignment="1">
      <alignment horizontal="center"/>
    </xf>
    <xf numFmtId="41" fontId="16" fillId="3" borderId="40" xfId="0" applyNumberFormat="1" applyFont="1" applyFill="1" applyBorder="1" applyAlignment="1">
      <alignment horizontal="center"/>
    </xf>
    <xf numFmtId="41" fontId="16" fillId="3" borderId="46" xfId="0" applyNumberFormat="1" applyFont="1" applyFill="1" applyBorder="1" applyAlignment="1">
      <alignment horizontal="center"/>
    </xf>
    <xf numFmtId="41" fontId="16" fillId="3" borderId="47" xfId="0" applyNumberFormat="1" applyFont="1" applyFill="1" applyBorder="1" applyAlignment="1">
      <alignment horizontal="center"/>
    </xf>
    <xf numFmtId="164" fontId="0" fillId="2" borderId="12" xfId="0" applyNumberFormat="1" applyFill="1" applyBorder="1"/>
    <xf numFmtId="10" fontId="0" fillId="0" borderId="15" xfId="0" applyNumberFormat="1" applyBorder="1" applyAlignment="1">
      <alignment horizontal="right"/>
    </xf>
    <xf numFmtId="41" fontId="0" fillId="5" borderId="12" xfId="0" applyNumberFormat="1" applyFill="1" applyBorder="1" applyAlignment="1">
      <alignment horizontal="center"/>
    </xf>
    <xf numFmtId="10" fontId="7" fillId="3" borderId="23" xfId="3" applyNumberFormat="1" applyFont="1" applyFill="1" applyBorder="1" applyAlignment="1">
      <alignment horizontal="right"/>
    </xf>
    <xf numFmtId="10" fontId="7" fillId="3" borderId="25" xfId="0" applyNumberFormat="1" applyFont="1" applyFill="1" applyBorder="1" applyAlignment="1">
      <alignment horizontal="right"/>
    </xf>
    <xf numFmtId="41" fontId="7" fillId="3" borderId="23" xfId="0" applyNumberFormat="1" applyFont="1" applyFill="1" applyBorder="1"/>
    <xf numFmtId="41" fontId="7" fillId="3" borderId="23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4" xfId="1" applyNumberFormat="1" applyFont="1" applyBorder="1"/>
    <xf numFmtId="165" fontId="7" fillId="3" borderId="15" xfId="1" applyNumberFormat="1" applyFont="1" applyFill="1" applyBorder="1"/>
    <xf numFmtId="165" fontId="7" fillId="3" borderId="23" xfId="1" applyNumberFormat="1" applyFont="1" applyFill="1" applyBorder="1" applyAlignment="1">
      <alignment horizontal="center"/>
    </xf>
    <xf numFmtId="165" fontId="7" fillId="3" borderId="25" xfId="1" applyNumberFormat="1" applyFont="1" applyFill="1" applyBorder="1"/>
    <xf numFmtId="165" fontId="5" fillId="0" borderId="22" xfId="1" applyNumberFormat="1" applyFont="1" applyBorder="1" applyAlignment="1">
      <alignment horizontal="center"/>
    </xf>
    <xf numFmtId="165" fontId="5" fillId="0" borderId="31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7" xfId="1" applyNumberFormat="1" applyFont="1" applyFill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6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6" xfId="0" applyNumberFormat="1" applyFont="1" applyFill="1" applyBorder="1" applyAlignment="1">
      <alignment horizontal="center"/>
    </xf>
    <xf numFmtId="41" fontId="4" fillId="3" borderId="22" xfId="0" applyNumberFormat="1" applyFont="1" applyFill="1" applyBorder="1" applyAlignment="1">
      <alignment horizontal="center"/>
    </xf>
    <xf numFmtId="41" fontId="4" fillId="3" borderId="22" xfId="0" applyNumberFormat="1" applyFont="1" applyFill="1" applyBorder="1"/>
    <xf numFmtId="41" fontId="4" fillId="3" borderId="23" xfId="0" applyNumberFormat="1" applyFont="1" applyFill="1" applyBorder="1"/>
    <xf numFmtId="3" fontId="1" fillId="0" borderId="0" xfId="0" applyNumberFormat="1" applyFont="1" applyAlignment="1">
      <alignment horizontal="right"/>
    </xf>
    <xf numFmtId="165" fontId="5" fillId="0" borderId="0" xfId="1" applyNumberFormat="1" applyFont="1"/>
    <xf numFmtId="165" fontId="17" fillId="0" borderId="0" xfId="1" applyNumberFormat="1" applyFont="1"/>
    <xf numFmtId="165" fontId="0" fillId="0" borderId="0" xfId="0" applyNumberFormat="1"/>
    <xf numFmtId="3" fontId="20" fillId="0" borderId="0" xfId="0" applyNumberFormat="1" applyFont="1"/>
    <xf numFmtId="0" fontId="21" fillId="0" borderId="0" xfId="0" applyFont="1" applyAlignment="1">
      <alignment horizontal="right"/>
    </xf>
    <xf numFmtId="3" fontId="22" fillId="0" borderId="0" xfId="0" applyNumberFormat="1" applyFont="1"/>
    <xf numFmtId="0" fontId="19" fillId="0" borderId="0" xfId="0" applyFont="1"/>
    <xf numFmtId="3" fontId="23" fillId="0" borderId="0" xfId="0" applyNumberFormat="1" applyFont="1"/>
    <xf numFmtId="3" fontId="4" fillId="0" borderId="19" xfId="0" applyNumberFormat="1" applyFont="1" applyBorder="1" applyAlignment="1">
      <alignment horizontal="center" wrapText="1"/>
    </xf>
    <xf numFmtId="17" fontId="3" fillId="0" borderId="0" xfId="0" applyNumberFormat="1" applyFont="1"/>
    <xf numFmtId="10" fontId="10" fillId="3" borderId="50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6" xfId="3" applyNumberFormat="1" applyFont="1" applyFill="1" applyBorder="1"/>
    <xf numFmtId="0" fontId="0" fillId="0" borderId="0" xfId="0" applyAlignment="1">
      <alignment horizontal="left" wrapText="1"/>
    </xf>
    <xf numFmtId="0" fontId="0" fillId="0" borderId="15" xfId="0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54" xfId="1" applyNumberFormat="1" applyFont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Border="1"/>
    <xf numFmtId="10" fontId="4" fillId="0" borderId="0" xfId="0" applyNumberFormat="1" applyFont="1"/>
    <xf numFmtId="3" fontId="4" fillId="0" borderId="0" xfId="0" applyNumberFormat="1" applyFont="1"/>
    <xf numFmtId="10" fontId="4" fillId="0" borderId="15" xfId="0" applyNumberFormat="1" applyFont="1" applyBorder="1"/>
    <xf numFmtId="3" fontId="0" fillId="0" borderId="13" xfId="0" applyNumberFormat="1" applyBorder="1"/>
    <xf numFmtId="41" fontId="4" fillId="0" borderId="0" xfId="0" applyNumberFormat="1" applyFont="1"/>
    <xf numFmtId="0" fontId="4" fillId="0" borderId="15" xfId="0" applyFont="1" applyBorder="1"/>
    <xf numFmtId="0" fontId="0" fillId="0" borderId="15" xfId="0" applyBorder="1" applyAlignment="1">
      <alignment wrapText="1"/>
    </xf>
    <xf numFmtId="3" fontId="0" fillId="0" borderId="35" xfId="0" applyNumberFormat="1" applyBorder="1"/>
    <xf numFmtId="10" fontId="0" fillId="0" borderId="23" xfId="0" applyNumberFormat="1" applyBorder="1"/>
    <xf numFmtId="3" fontId="0" fillId="0" borderId="23" xfId="0" applyNumberFormat="1" applyBorder="1"/>
    <xf numFmtId="10" fontId="0" fillId="0" borderId="25" xfId="0" applyNumberFormat="1" applyBorder="1"/>
    <xf numFmtId="10" fontId="2" fillId="0" borderId="0" xfId="0" applyNumberFormat="1" applyFont="1"/>
    <xf numFmtId="3" fontId="2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10" fontId="13" fillId="0" borderId="15" xfId="0" applyNumberFormat="1" applyFont="1" applyBorder="1"/>
    <xf numFmtId="0" fontId="5" fillId="0" borderId="19" xfId="0" applyFont="1" applyBorder="1"/>
    <xf numFmtId="0" fontId="5" fillId="0" borderId="55" xfId="0" applyFont="1" applyBorder="1"/>
    <xf numFmtId="0" fontId="18" fillId="0" borderId="56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0" fontId="25" fillId="0" borderId="0" xfId="0" applyFont="1"/>
    <xf numFmtId="0" fontId="26" fillId="0" borderId="0" xfId="0" applyFont="1"/>
    <xf numFmtId="165" fontId="7" fillId="0" borderId="0" xfId="0" applyNumberFormat="1" applyFont="1"/>
    <xf numFmtId="3" fontId="5" fillId="0" borderId="0" xfId="0" applyNumberFormat="1" applyFont="1"/>
    <xf numFmtId="0" fontId="20" fillId="0" borderId="0" xfId="0" applyFont="1"/>
    <xf numFmtId="0" fontId="5" fillId="0" borderId="56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5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0" fillId="0" borderId="0" xfId="0" applyNumberFormat="1" applyFont="1"/>
    <xf numFmtId="41" fontId="0" fillId="5" borderId="0" xfId="0" applyNumberFormat="1" applyFill="1"/>
    <xf numFmtId="41" fontId="3" fillId="5" borderId="0" xfId="0" applyNumberFormat="1" applyFont="1" applyFill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Border="1"/>
    <xf numFmtId="43" fontId="0" fillId="0" borderId="0" xfId="1" applyFont="1" applyAlignment="1">
      <alignment horizontal="center"/>
    </xf>
    <xf numFmtId="165" fontId="20" fillId="0" borderId="0" xfId="0" applyNumberFormat="1" applyFont="1"/>
    <xf numFmtId="3" fontId="0" fillId="0" borderId="13" xfId="0" applyNumberFormat="1" applyBorder="1" applyAlignment="1">
      <alignment horizontal="center"/>
    </xf>
    <xf numFmtId="3" fontId="0" fillId="0" borderId="57" xfId="0" applyNumberFormat="1" applyBorder="1" applyAlignment="1">
      <alignment horizontal="center"/>
    </xf>
    <xf numFmtId="3" fontId="7" fillId="3" borderId="33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3" xfId="0" applyNumberFormat="1" applyFont="1" applyFill="1" applyBorder="1" applyAlignment="1">
      <alignment horizontal="center"/>
    </xf>
    <xf numFmtId="0" fontId="1" fillId="0" borderId="15" xfId="0" applyFont="1" applyBorder="1"/>
    <xf numFmtId="1" fontId="4" fillId="0" borderId="0" xfId="0" applyNumberFormat="1" applyFont="1"/>
    <xf numFmtId="0" fontId="0" fillId="0" borderId="35" xfId="0" applyBorder="1"/>
    <xf numFmtId="0" fontId="0" fillId="0" borderId="25" xfId="0" applyBorder="1" applyAlignment="1">
      <alignment wrapText="1"/>
    </xf>
    <xf numFmtId="3" fontId="1" fillId="0" borderId="13" xfId="0" applyNumberFormat="1" applyFont="1" applyBorder="1"/>
    <xf numFmtId="10" fontId="1" fillId="0" borderId="0" xfId="0" applyNumberFormat="1" applyFont="1"/>
    <xf numFmtId="10" fontId="1" fillId="0" borderId="15" xfId="0" applyNumberFormat="1" applyFont="1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13" fillId="0" borderId="20" xfId="0" applyNumberFormat="1" applyFont="1" applyBorder="1"/>
    <xf numFmtId="10" fontId="13" fillId="0" borderId="12" xfId="0" applyNumberFormat="1" applyFont="1" applyBorder="1"/>
    <xf numFmtId="3" fontId="13" fillId="0" borderId="13" xfId="0" applyNumberFormat="1" applyFont="1" applyBorder="1"/>
    <xf numFmtId="3" fontId="13" fillId="0" borderId="35" xfId="0" applyNumberFormat="1" applyFont="1" applyBorder="1"/>
    <xf numFmtId="10" fontId="13" fillId="0" borderId="25" xfId="0" applyNumberFormat="1" applyFont="1" applyBorder="1"/>
    <xf numFmtId="3" fontId="4" fillId="2" borderId="49" xfId="0" applyNumberFormat="1" applyFont="1" applyFill="1" applyBorder="1" applyAlignment="1">
      <alignment horizontal="center" wrapText="1"/>
    </xf>
    <xf numFmtId="41" fontId="1" fillId="0" borderId="0" xfId="0" applyNumberFormat="1" applyFont="1"/>
    <xf numFmtId="41" fontId="1" fillId="0" borderId="0" xfId="0" applyNumberFormat="1" applyFont="1" applyAlignment="1">
      <alignment horizontal="right" wrapText="1"/>
    </xf>
    <xf numFmtId="41" fontId="1" fillId="0" borderId="1" xfId="0" applyNumberFormat="1" applyFont="1" applyBorder="1" applyAlignment="1">
      <alignment horizontal="right" wrapText="1"/>
    </xf>
    <xf numFmtId="3" fontId="4" fillId="10" borderId="41" xfId="0" applyNumberFormat="1" applyFont="1" applyFill="1" applyBorder="1" applyAlignment="1">
      <alignment horizontal="center" wrapText="1"/>
    </xf>
    <xf numFmtId="3" fontId="4" fillId="10" borderId="48" xfId="0" applyNumberFormat="1" applyFont="1" applyFill="1" applyBorder="1" applyAlignment="1">
      <alignment horizontal="center" wrapText="1"/>
    </xf>
    <xf numFmtId="10" fontId="4" fillId="10" borderId="49" xfId="0" applyNumberFormat="1" applyFont="1" applyFill="1" applyBorder="1" applyAlignment="1">
      <alignment horizontal="center" wrapText="1"/>
    </xf>
    <xf numFmtId="1" fontId="4" fillId="10" borderId="48" xfId="0" applyNumberFormat="1" applyFont="1" applyFill="1" applyBorder="1" applyAlignment="1">
      <alignment horizontal="center" wrapText="1"/>
    </xf>
    <xf numFmtId="0" fontId="1" fillId="0" borderId="0" xfId="0" applyFont="1"/>
    <xf numFmtId="0" fontId="4" fillId="0" borderId="35" xfId="0" applyFont="1" applyBorder="1"/>
    <xf numFmtId="0" fontId="0" fillId="0" borderId="25" xfId="0" applyBorder="1"/>
    <xf numFmtId="0" fontId="27" fillId="11" borderId="0" xfId="0" applyFont="1" applyFill="1" applyAlignment="1">
      <alignment horizontal="center"/>
    </xf>
    <xf numFmtId="3" fontId="28" fillId="0" borderId="60" xfId="0" applyNumberFormat="1" applyFont="1" applyBorder="1"/>
    <xf numFmtId="10" fontId="28" fillId="0" borderId="60" xfId="0" applyNumberFormat="1" applyFont="1" applyBorder="1"/>
    <xf numFmtId="10" fontId="28" fillId="0" borderId="49" xfId="3" applyNumberFormat="1" applyFont="1" applyBorder="1"/>
    <xf numFmtId="10" fontId="28" fillId="0" borderId="49" xfId="0" applyNumberFormat="1" applyFont="1" applyBorder="1"/>
    <xf numFmtId="10" fontId="0" fillId="0" borderId="11" xfId="0" applyNumberFormat="1" applyBorder="1"/>
    <xf numFmtId="9" fontId="0" fillId="0" borderId="0" xfId="3" applyFont="1" applyBorder="1"/>
    <xf numFmtId="10" fontId="13" fillId="0" borderId="0" xfId="0" applyNumberFormat="1" applyFont="1"/>
    <xf numFmtId="10" fontId="13" fillId="0" borderId="11" xfId="0" applyNumberFormat="1" applyFont="1" applyBorder="1"/>
    <xf numFmtId="10" fontId="30" fillId="13" borderId="49" xfId="3" applyNumberFormat="1" applyFont="1" applyFill="1" applyBorder="1"/>
    <xf numFmtId="10" fontId="13" fillId="0" borderId="17" xfId="0" applyNumberFormat="1" applyFont="1" applyBorder="1"/>
    <xf numFmtId="10" fontId="13" fillId="0" borderId="16" xfId="0" applyNumberFormat="1" applyFont="1" applyBorder="1"/>
    <xf numFmtId="10" fontId="13" fillId="0" borderId="18" xfId="0" applyNumberFormat="1" applyFont="1" applyBorder="1"/>
    <xf numFmtId="0" fontId="0" fillId="5" borderId="0" xfId="0" applyFill="1"/>
    <xf numFmtId="41" fontId="3" fillId="5" borderId="5" xfId="0" applyNumberFormat="1" applyFont="1" applyFill="1" applyBorder="1" applyAlignment="1">
      <alignment horizontal="right"/>
    </xf>
    <xf numFmtId="3" fontId="4" fillId="0" borderId="0" xfId="0" applyNumberFormat="1" applyFont="1" applyAlignment="1">
      <alignment horizontal="center" vertical="center" wrapText="1"/>
    </xf>
    <xf numFmtId="41" fontId="0" fillId="0" borderId="0" xfId="1" applyNumberFormat="1" applyFont="1" applyAlignment="1">
      <alignment horizontal="center"/>
    </xf>
    <xf numFmtId="41" fontId="7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41" fontId="5" fillId="0" borderId="0" xfId="1" applyNumberFormat="1" applyFont="1" applyAlignment="1">
      <alignment horizontal="center"/>
    </xf>
    <xf numFmtId="10" fontId="0" fillId="0" borderId="13" xfId="0" applyNumberFormat="1" applyBorder="1"/>
    <xf numFmtId="0" fontId="4" fillId="0" borderId="23" xfId="0" applyFont="1" applyBorder="1" applyAlignment="1">
      <alignment horizontal="center" vertical="center" wrapText="1"/>
    </xf>
    <xf numFmtId="3" fontId="29" fillId="11" borderId="48" xfId="0" applyNumberFormat="1" applyFont="1" applyFill="1" applyBorder="1" applyAlignment="1">
      <alignment horizontal="center" wrapText="1"/>
    </xf>
    <xf numFmtId="0" fontId="0" fillId="2" borderId="20" xfId="0" applyFill="1" applyBorder="1" applyAlignment="1">
      <alignment horizontal="center"/>
    </xf>
    <xf numFmtId="3" fontId="0" fillId="2" borderId="17" xfId="0" applyNumberFormat="1" applyFill="1" applyBorder="1"/>
    <xf numFmtId="41" fontId="4" fillId="0" borderId="16" xfId="0" applyNumberFormat="1" applyFont="1" applyBorder="1"/>
    <xf numFmtId="41" fontId="0" fillId="0" borderId="57" xfId="0" applyNumberFormat="1" applyBorder="1" applyAlignment="1">
      <alignment horizontal="center"/>
    </xf>
    <xf numFmtId="41" fontId="5" fillId="0" borderId="13" xfId="0" applyNumberFormat="1" applyFont="1" applyBorder="1" applyAlignment="1">
      <alignment horizontal="center"/>
    </xf>
    <xf numFmtId="41" fontId="5" fillId="0" borderId="0" xfId="0" applyNumberFormat="1" applyFont="1" applyAlignment="1">
      <alignment horizontal="center"/>
    </xf>
    <xf numFmtId="41" fontId="0" fillId="0" borderId="16" xfId="0" applyNumberFormat="1" applyBorder="1"/>
    <xf numFmtId="41" fontId="4" fillId="3" borderId="33" xfId="0" applyNumberFormat="1" applyFont="1" applyFill="1" applyBorder="1" applyAlignment="1">
      <alignment horizontal="center"/>
    </xf>
    <xf numFmtId="41" fontId="4" fillId="3" borderId="61" xfId="0" applyNumberFormat="1" applyFont="1" applyFill="1" applyBorder="1"/>
    <xf numFmtId="41" fontId="4" fillId="0" borderId="13" xfId="0" applyNumberFormat="1" applyFont="1" applyBorder="1" applyAlignment="1">
      <alignment horizontal="center"/>
    </xf>
    <xf numFmtId="41" fontId="4" fillId="0" borderId="0" xfId="0" applyNumberFormat="1" applyFont="1" applyAlignment="1">
      <alignment horizontal="center"/>
    </xf>
    <xf numFmtId="41" fontId="0" fillId="4" borderId="20" xfId="0" applyNumberFormat="1" applyFill="1" applyBorder="1" applyAlignment="1">
      <alignment horizontal="center"/>
    </xf>
    <xf numFmtId="3" fontId="0" fillId="4" borderId="17" xfId="0" applyNumberFormat="1" applyFill="1" applyBorder="1"/>
    <xf numFmtId="41" fontId="4" fillId="3" borderId="62" xfId="0" applyNumberFormat="1" applyFont="1" applyFill="1" applyBorder="1" applyAlignment="1">
      <alignment horizontal="center"/>
    </xf>
    <xf numFmtId="41" fontId="4" fillId="3" borderId="63" xfId="0" applyNumberFormat="1" applyFont="1" applyFill="1" applyBorder="1"/>
    <xf numFmtId="1" fontId="0" fillId="0" borderId="20" xfId="0" applyNumberFormat="1" applyBorder="1"/>
    <xf numFmtId="3" fontId="4" fillId="14" borderId="0" xfId="0" applyNumberFormat="1" applyFont="1" applyFill="1"/>
    <xf numFmtId="10" fontId="4" fillId="14" borderId="15" xfId="0" applyNumberFormat="1" applyFont="1" applyFill="1" applyBorder="1"/>
    <xf numFmtId="10" fontId="4" fillId="14" borderId="0" xfId="0" applyNumberFormat="1" applyFont="1" applyFill="1"/>
    <xf numFmtId="1" fontId="0" fillId="0" borderId="13" xfId="0" applyNumberFormat="1" applyBorder="1"/>
    <xf numFmtId="3" fontId="4" fillId="14" borderId="13" xfId="0" applyNumberFormat="1" applyFont="1" applyFill="1" applyBorder="1"/>
    <xf numFmtId="3" fontId="4" fillId="0" borderId="35" xfId="0" applyNumberFormat="1" applyFont="1" applyBorder="1"/>
    <xf numFmtId="3" fontId="4" fillId="0" borderId="23" xfId="0" applyNumberFormat="1" applyFont="1" applyBorder="1"/>
    <xf numFmtId="10" fontId="4" fillId="0" borderId="25" xfId="0" applyNumberFormat="1" applyFont="1" applyBorder="1"/>
    <xf numFmtId="10" fontId="4" fillId="0" borderId="23" xfId="0" applyNumberFormat="1" applyFont="1" applyBorder="1"/>
    <xf numFmtId="165" fontId="0" fillId="0" borderId="0" xfId="1" applyNumberFormat="1" applyFont="1"/>
    <xf numFmtId="165" fontId="2" fillId="0" borderId="0" xfId="1" applyNumberFormat="1" applyFont="1" applyAlignment="1">
      <alignment horizontal="right"/>
    </xf>
    <xf numFmtId="165" fontId="0" fillId="0" borderId="0" xfId="1" applyNumberFormat="1" applyFont="1" applyFill="1"/>
    <xf numFmtId="10" fontId="4" fillId="10" borderId="49" xfId="0" applyNumberFormat="1" applyFont="1" applyFill="1" applyBorder="1" applyAlignment="1">
      <alignment horizontal="center" vertical="center" wrapText="1"/>
    </xf>
    <xf numFmtId="10" fontId="4" fillId="10" borderId="48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/>
    </xf>
    <xf numFmtId="10" fontId="13" fillId="0" borderId="23" xfId="0" applyNumberFormat="1" applyFont="1" applyBorder="1"/>
    <xf numFmtId="10" fontId="4" fillId="0" borderId="17" xfId="3" applyNumberFormat="1" applyFont="1" applyBorder="1"/>
    <xf numFmtId="10" fontId="4" fillId="0" borderId="16" xfId="3" applyNumberFormat="1" applyFont="1" applyBorder="1"/>
    <xf numFmtId="43" fontId="0" fillId="0" borderId="0" xfId="1" applyFont="1"/>
    <xf numFmtId="165" fontId="2" fillId="0" borderId="0" xfId="1" applyNumberFormat="1" applyFont="1" applyFill="1" applyBorder="1" applyAlignment="1">
      <alignment horizontal="right"/>
    </xf>
    <xf numFmtId="3" fontId="0" fillId="0" borderId="65" xfId="0" applyNumberFormat="1" applyBorder="1"/>
    <xf numFmtId="0" fontId="4" fillId="0" borderId="2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10" fontId="4" fillId="2" borderId="49" xfId="0" applyNumberFormat="1" applyFont="1" applyFill="1" applyBorder="1" applyAlignment="1">
      <alignment horizontal="center" vertical="center" wrapText="1"/>
    </xf>
    <xf numFmtId="3" fontId="4" fillId="2" borderId="60" xfId="0" applyNumberFormat="1" applyFont="1" applyFill="1" applyBorder="1" applyAlignment="1">
      <alignment horizontal="center" vertical="center" wrapText="1"/>
    </xf>
    <xf numFmtId="1" fontId="4" fillId="2" borderId="60" xfId="0" applyNumberFormat="1" applyFont="1" applyFill="1" applyBorder="1" applyAlignment="1">
      <alignment horizontal="center" vertical="center" wrapText="1"/>
    </xf>
    <xf numFmtId="10" fontId="4" fillId="2" borderId="60" xfId="0" applyNumberFormat="1" applyFont="1" applyFill="1" applyBorder="1" applyAlignment="1">
      <alignment horizontal="center" vertical="center" wrapText="1"/>
    </xf>
    <xf numFmtId="3" fontId="4" fillId="5" borderId="60" xfId="0" applyNumberFormat="1" applyFont="1" applyFill="1" applyBorder="1" applyAlignment="1">
      <alignment horizontal="center" vertical="center" wrapText="1"/>
    </xf>
    <xf numFmtId="10" fontId="4" fillId="5" borderId="60" xfId="0" applyNumberFormat="1" applyFont="1" applyFill="1" applyBorder="1" applyAlignment="1">
      <alignment horizontal="center" vertical="center"/>
    </xf>
    <xf numFmtId="0" fontId="4" fillId="5" borderId="60" xfId="0" applyFont="1" applyFill="1" applyBorder="1" applyAlignment="1">
      <alignment horizontal="center" vertical="center" wrapText="1"/>
    </xf>
    <xf numFmtId="0" fontId="4" fillId="5" borderId="60" xfId="0" applyFont="1" applyFill="1" applyBorder="1" applyAlignment="1">
      <alignment horizontal="center" vertical="center"/>
    </xf>
    <xf numFmtId="10" fontId="4" fillId="5" borderId="60" xfId="0" applyNumberFormat="1" applyFont="1" applyFill="1" applyBorder="1" applyAlignment="1">
      <alignment horizontal="center" vertical="center" wrapText="1"/>
    </xf>
    <xf numFmtId="3" fontId="4" fillId="15" borderId="60" xfId="0" applyNumberFormat="1" applyFont="1" applyFill="1" applyBorder="1" applyAlignment="1">
      <alignment horizontal="center" vertical="center" wrapText="1"/>
    </xf>
    <xf numFmtId="10" fontId="4" fillId="15" borderId="60" xfId="0" applyNumberFormat="1" applyFont="1" applyFill="1" applyBorder="1" applyAlignment="1">
      <alignment horizontal="center" vertical="center"/>
    </xf>
    <xf numFmtId="0" fontId="4" fillId="15" borderId="60" xfId="0" applyFont="1" applyFill="1" applyBorder="1" applyAlignment="1">
      <alignment horizontal="center" vertical="center" wrapText="1"/>
    </xf>
    <xf numFmtId="0" fontId="4" fillId="15" borderId="60" xfId="0" applyFont="1" applyFill="1" applyBorder="1" applyAlignment="1">
      <alignment horizontal="center" vertical="center"/>
    </xf>
    <xf numFmtId="10" fontId="4" fillId="15" borderId="60" xfId="0" applyNumberFormat="1" applyFont="1" applyFill="1" applyBorder="1" applyAlignment="1">
      <alignment horizontal="center" vertical="center" wrapText="1"/>
    </xf>
    <xf numFmtId="164" fontId="1" fillId="0" borderId="66" xfId="3" applyNumberFormat="1" applyBorder="1" applyAlignment="1">
      <alignment horizontal="center"/>
    </xf>
    <xf numFmtId="164" fontId="1" fillId="0" borderId="15" xfId="3" applyNumberFormat="1" applyBorder="1" applyAlignment="1">
      <alignment horizontal="center"/>
    </xf>
    <xf numFmtId="10" fontId="1" fillId="0" borderId="67" xfId="3" applyNumberFormat="1" applyBorder="1" applyAlignment="1">
      <alignment horizontal="center"/>
    </xf>
    <xf numFmtId="41" fontId="0" fillId="0" borderId="2" xfId="0" applyNumberFormat="1" applyBorder="1" applyAlignment="1">
      <alignment horizontal="center"/>
    </xf>
    <xf numFmtId="10" fontId="1" fillId="0" borderId="53" xfId="3" applyNumberFormat="1" applyBorder="1" applyAlignment="1">
      <alignment horizontal="center"/>
    </xf>
    <xf numFmtId="164" fontId="1" fillId="0" borderId="44" xfId="3" applyNumberFormat="1" applyBorder="1" applyAlignment="1">
      <alignment horizontal="center"/>
    </xf>
    <xf numFmtId="164" fontId="1" fillId="0" borderId="0" xfId="3" applyNumberFormat="1" applyBorder="1" applyAlignment="1">
      <alignment horizontal="center"/>
    </xf>
    <xf numFmtId="10" fontId="1" fillId="0" borderId="68" xfId="3" applyNumberFormat="1" applyBorder="1" applyAlignment="1">
      <alignment horizontal="center"/>
    </xf>
    <xf numFmtId="10" fontId="1" fillId="0" borderId="69" xfId="3" applyNumberFormat="1" applyBorder="1" applyAlignment="1">
      <alignment horizontal="center"/>
    </xf>
    <xf numFmtId="10" fontId="1" fillId="0" borderId="70" xfId="3" applyNumberFormat="1" applyBorder="1" applyAlignment="1">
      <alignment horizontal="center"/>
    </xf>
    <xf numFmtId="10" fontId="1" fillId="0" borderId="44" xfId="3" applyNumberFormat="1" applyBorder="1" applyAlignment="1">
      <alignment horizontal="center"/>
    </xf>
    <xf numFmtId="10" fontId="1" fillId="0" borderId="0" xfId="3" applyNumberFormat="1" applyBorder="1" applyAlignment="1">
      <alignment horizontal="center"/>
    </xf>
    <xf numFmtId="41" fontId="0" fillId="0" borderId="56" xfId="0" applyNumberFormat="1" applyBorder="1" applyAlignment="1">
      <alignment horizontal="center"/>
    </xf>
    <xf numFmtId="0" fontId="4" fillId="0" borderId="60" xfId="0" applyFont="1" applyBorder="1" applyAlignment="1">
      <alignment horizontal="center"/>
    </xf>
    <xf numFmtId="165" fontId="0" fillId="0" borderId="0" xfId="1" applyNumberFormat="1" applyFont="1" applyFill="1" applyBorder="1" applyAlignment="1">
      <alignment horizontal="center"/>
    </xf>
    <xf numFmtId="10" fontId="0" fillId="0" borderId="0" xfId="3" applyNumberFormat="1" applyFont="1"/>
    <xf numFmtId="41" fontId="1" fillId="2" borderId="3" xfId="0" applyNumberFormat="1" applyFont="1" applyFill="1" applyBorder="1"/>
    <xf numFmtId="3" fontId="4" fillId="16" borderId="60" xfId="0" applyNumberFormat="1" applyFont="1" applyFill="1" applyBorder="1" applyAlignment="1">
      <alignment horizontal="center" vertical="center" wrapText="1"/>
    </xf>
    <xf numFmtId="10" fontId="4" fillId="16" borderId="60" xfId="0" applyNumberFormat="1" applyFont="1" applyFill="1" applyBorder="1" applyAlignment="1">
      <alignment horizontal="center" vertical="center"/>
    </xf>
    <xf numFmtId="0" fontId="4" fillId="16" borderId="60" xfId="0" applyFont="1" applyFill="1" applyBorder="1" applyAlignment="1">
      <alignment horizontal="center" vertical="center" wrapText="1"/>
    </xf>
    <xf numFmtId="0" fontId="4" fillId="16" borderId="60" xfId="0" applyFont="1" applyFill="1" applyBorder="1" applyAlignment="1">
      <alignment horizontal="center" vertical="center"/>
    </xf>
    <xf numFmtId="10" fontId="4" fillId="16" borderId="60" xfId="0" applyNumberFormat="1" applyFont="1" applyFill="1" applyBorder="1" applyAlignment="1">
      <alignment horizontal="center" vertical="center" wrapText="1"/>
    </xf>
    <xf numFmtId="41" fontId="1" fillId="0" borderId="71" xfId="0" applyNumberFormat="1" applyFont="1" applyBorder="1"/>
    <xf numFmtId="41" fontId="1" fillId="0" borderId="65" xfId="0" applyNumberFormat="1" applyFont="1" applyBorder="1"/>
    <xf numFmtId="41" fontId="0" fillId="0" borderId="65" xfId="0" applyNumberFormat="1" applyBorder="1"/>
    <xf numFmtId="10" fontId="0" fillId="0" borderId="65" xfId="0" applyNumberFormat="1" applyBorder="1"/>
    <xf numFmtId="10" fontId="0" fillId="0" borderId="72" xfId="0" applyNumberFormat="1" applyBorder="1"/>
    <xf numFmtId="3" fontId="0" fillId="0" borderId="71" xfId="0" applyNumberFormat="1" applyBorder="1" applyAlignment="1">
      <alignment horizontal="right"/>
    </xf>
    <xf numFmtId="3" fontId="0" fillId="0" borderId="65" xfId="0" applyNumberFormat="1" applyBorder="1" applyAlignment="1">
      <alignment horizontal="right"/>
    </xf>
    <xf numFmtId="10" fontId="0" fillId="0" borderId="65" xfId="0" applyNumberFormat="1" applyBorder="1" applyAlignment="1">
      <alignment horizontal="right"/>
    </xf>
    <xf numFmtId="10" fontId="0" fillId="0" borderId="72" xfId="0" applyNumberFormat="1" applyBorder="1" applyAlignment="1">
      <alignment horizontal="right"/>
    </xf>
    <xf numFmtId="165" fontId="7" fillId="3" borderId="23" xfId="0" applyNumberFormat="1" applyFont="1" applyFill="1" applyBorder="1"/>
    <xf numFmtId="10" fontId="7" fillId="3" borderId="25" xfId="3" applyNumberFormat="1" applyFont="1" applyFill="1" applyBorder="1"/>
    <xf numFmtId="165" fontId="0" fillId="0" borderId="71" xfId="1" applyNumberFormat="1" applyFont="1" applyBorder="1"/>
    <xf numFmtId="165" fontId="0" fillId="0" borderId="65" xfId="1" applyNumberFormat="1" applyFont="1" applyBorder="1"/>
    <xf numFmtId="10" fontId="0" fillId="0" borderId="65" xfId="3" applyNumberFormat="1" applyFont="1" applyBorder="1"/>
    <xf numFmtId="10" fontId="0" fillId="0" borderId="72" xfId="3" applyNumberFormat="1" applyFont="1" applyBorder="1"/>
    <xf numFmtId="10" fontId="1" fillId="0" borderId="43" xfId="3" applyNumberFormat="1" applyBorder="1" applyAlignment="1">
      <alignment horizontal="center"/>
    </xf>
    <xf numFmtId="10" fontId="1" fillId="0" borderId="66" xfId="3" applyNumberFormat="1" applyBorder="1" applyAlignment="1">
      <alignment horizontal="center"/>
    </xf>
    <xf numFmtId="10" fontId="1" fillId="0" borderId="15" xfId="3" applyNumberFormat="1" applyBorder="1" applyAlignment="1">
      <alignment horizontal="center"/>
    </xf>
    <xf numFmtId="3" fontId="13" fillId="0" borderId="18" xfId="0" applyNumberFormat="1" applyFont="1" applyBorder="1"/>
    <xf numFmtId="10" fontId="5" fillId="0" borderId="0" xfId="0" applyNumberFormat="1" applyFont="1"/>
    <xf numFmtId="10" fontId="5" fillId="0" borderId="15" xfId="0" applyNumberFormat="1" applyFont="1" applyBorder="1"/>
    <xf numFmtId="3" fontId="0" fillId="0" borderId="71" xfId="0" applyNumberFormat="1" applyBorder="1"/>
    <xf numFmtId="3" fontId="1" fillId="0" borderId="65" xfId="0" applyNumberFormat="1" applyFont="1" applyBorder="1"/>
    <xf numFmtId="17" fontId="4" fillId="0" borderId="41" xfId="0" quotePrefix="1" applyNumberFormat="1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23" xfId="0" applyFont="1" applyBorder="1" applyAlignment="1">
      <alignment horizontal="center" wrapText="1"/>
    </xf>
    <xf numFmtId="0" fontId="4" fillId="6" borderId="58" xfId="0" applyFont="1" applyFill="1" applyBorder="1" applyAlignment="1">
      <alignment horizontal="center"/>
    </xf>
    <xf numFmtId="0" fontId="4" fillId="6" borderId="52" xfId="0" applyFont="1" applyFill="1" applyBorder="1" applyAlignment="1">
      <alignment horizontal="center"/>
    </xf>
    <xf numFmtId="0" fontId="4" fillId="6" borderId="59" xfId="0" applyFont="1" applyFill="1" applyBorder="1" applyAlignment="1">
      <alignment horizontal="center"/>
    </xf>
    <xf numFmtId="0" fontId="4" fillId="6" borderId="41" xfId="0" applyFont="1" applyFill="1" applyBorder="1" applyAlignment="1">
      <alignment horizontal="center" wrapText="1"/>
    </xf>
    <xf numFmtId="0" fontId="0" fillId="0" borderId="48" xfId="0" applyBorder="1" applyAlignment="1">
      <alignment horizontal="center" wrapText="1"/>
    </xf>
    <xf numFmtId="0" fontId="0" fillId="0" borderId="49" xfId="0" applyBorder="1" applyAlignment="1">
      <alignment horizontal="center" wrapText="1"/>
    </xf>
    <xf numFmtId="0" fontId="0" fillId="0" borderId="48" xfId="0" applyBorder="1" applyAlignment="1">
      <alignment wrapText="1"/>
    </xf>
    <xf numFmtId="0" fontId="0" fillId="0" borderId="49" xfId="0" applyBorder="1" applyAlignment="1">
      <alignment wrapText="1"/>
    </xf>
    <xf numFmtId="0" fontId="4" fillId="3" borderId="41" xfId="0" applyFont="1" applyFill="1" applyBorder="1" applyAlignment="1">
      <alignment horizontal="center" wrapText="1"/>
    </xf>
    <xf numFmtId="0" fontId="0" fillId="3" borderId="48" xfId="0" applyFill="1" applyBorder="1" applyAlignment="1">
      <alignment horizontal="center" wrapText="1"/>
    </xf>
    <xf numFmtId="0" fontId="0" fillId="3" borderId="49" xfId="0" applyFill="1" applyBorder="1" applyAlignment="1">
      <alignment horizontal="center" wrapText="1"/>
    </xf>
    <xf numFmtId="3" fontId="0" fillId="7" borderId="19" xfId="0" applyNumberFormat="1" applyFill="1" applyBorder="1" applyAlignment="1">
      <alignment vertical="center" textRotation="255"/>
    </xf>
    <xf numFmtId="0" fontId="0" fillId="7" borderId="55" xfId="0" applyFill="1" applyBorder="1" applyAlignment="1">
      <alignment vertical="center" textRotation="255"/>
    </xf>
    <xf numFmtId="0" fontId="0" fillId="7" borderId="56" xfId="0" applyFill="1" applyBorder="1" applyAlignment="1">
      <alignment vertical="center" textRotation="255"/>
    </xf>
    <xf numFmtId="0" fontId="31" fillId="6" borderId="41" xfId="0" applyFont="1" applyFill="1" applyBorder="1" applyAlignment="1">
      <alignment horizontal="center"/>
    </xf>
    <xf numFmtId="0" fontId="31" fillId="6" borderId="48" xfId="0" applyFont="1" applyFill="1" applyBorder="1" applyAlignment="1">
      <alignment horizontal="center"/>
    </xf>
    <xf numFmtId="0" fontId="31" fillId="6" borderId="49" xfId="0" applyFont="1" applyFill="1" applyBorder="1" applyAlignment="1">
      <alignment horizontal="center"/>
    </xf>
    <xf numFmtId="3" fontId="4" fillId="0" borderId="51" xfId="0" applyNumberFormat="1" applyFont="1" applyBorder="1" applyAlignment="1">
      <alignment horizontal="center"/>
    </xf>
    <xf numFmtId="3" fontId="4" fillId="0" borderId="52" xfId="0" applyNumberFormat="1" applyFont="1" applyBorder="1" applyAlignment="1">
      <alignment horizontal="center"/>
    </xf>
    <xf numFmtId="3" fontId="4" fillId="0" borderId="64" xfId="0" applyNumberFormat="1" applyFont="1" applyBorder="1" applyAlignment="1">
      <alignment horizontal="center"/>
    </xf>
    <xf numFmtId="3" fontId="4" fillId="12" borderId="41" xfId="0" applyNumberFormat="1" applyFont="1" applyFill="1" applyBorder="1" applyAlignment="1">
      <alignment horizontal="center" wrapText="1"/>
    </xf>
    <xf numFmtId="3" fontId="4" fillId="12" borderId="48" xfId="0" applyNumberFormat="1" applyFont="1" applyFill="1" applyBorder="1" applyAlignment="1">
      <alignment horizontal="center" wrapText="1"/>
    </xf>
    <xf numFmtId="3" fontId="4" fillId="12" borderId="49" xfId="0" applyNumberFormat="1" applyFont="1" applyFill="1" applyBorder="1" applyAlignment="1">
      <alignment horizontal="center" wrapText="1"/>
    </xf>
    <xf numFmtId="0" fontId="13" fillId="10" borderId="41" xfId="0" applyFont="1" applyFill="1" applyBorder="1" applyAlignment="1">
      <alignment horizontal="center"/>
    </xf>
    <xf numFmtId="0" fontId="13" fillId="10" borderId="49" xfId="0" applyFont="1" applyFill="1" applyBorder="1" applyAlignment="1">
      <alignment horizontal="center"/>
    </xf>
    <xf numFmtId="166" fontId="1" fillId="0" borderId="41" xfId="0" applyNumberFormat="1" applyFont="1" applyBorder="1" applyAlignment="1">
      <alignment horizontal="center"/>
    </xf>
    <xf numFmtId="166" fontId="1" fillId="0" borderId="49" xfId="0" applyNumberFormat="1" applyFont="1" applyBorder="1" applyAlignment="1">
      <alignment horizontal="center"/>
    </xf>
    <xf numFmtId="3" fontId="29" fillId="11" borderId="41" xfId="0" applyNumberFormat="1" applyFont="1" applyFill="1" applyBorder="1" applyAlignment="1">
      <alignment horizontal="center" wrapText="1"/>
    </xf>
    <xf numFmtId="3" fontId="29" fillId="11" borderId="48" xfId="0" applyNumberFormat="1" applyFont="1" applyFill="1" applyBorder="1" applyAlignment="1">
      <alignment horizontal="center" wrapText="1"/>
    </xf>
    <xf numFmtId="3" fontId="29" fillId="11" borderId="49" xfId="0" applyNumberFormat="1" applyFont="1" applyFill="1" applyBorder="1" applyAlignment="1">
      <alignment horizontal="center" wrapText="1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4" fillId="8" borderId="2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24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4" fillId="9" borderId="20" xfId="0" applyFont="1" applyFill="1" applyBorder="1" applyAlignment="1">
      <alignment horizontal="center"/>
    </xf>
    <xf numFmtId="0" fontId="24" fillId="9" borderId="11" xfId="0" applyFont="1" applyFill="1" applyBorder="1" applyAlignment="1">
      <alignment horizontal="center"/>
    </xf>
    <xf numFmtId="0" fontId="24" fillId="9" borderId="12" xfId="0" applyFont="1" applyFill="1" applyBorder="1" applyAlignment="1">
      <alignment horizontal="center"/>
    </xf>
    <xf numFmtId="3" fontId="4" fillId="5" borderId="41" xfId="0" applyNumberFormat="1" applyFont="1" applyFill="1" applyBorder="1" applyAlignment="1">
      <alignment horizontal="center" wrapText="1"/>
    </xf>
    <xf numFmtId="3" fontId="4" fillId="5" borderId="48" xfId="0" applyNumberFormat="1" applyFont="1" applyFill="1" applyBorder="1" applyAlignment="1">
      <alignment horizontal="center" wrapText="1"/>
    </xf>
    <xf numFmtId="3" fontId="4" fillId="5" borderId="49" xfId="0" applyNumberFormat="1" applyFont="1" applyFill="1" applyBorder="1" applyAlignment="1">
      <alignment horizontal="center" wrapText="1"/>
    </xf>
    <xf numFmtId="0" fontId="13" fillId="2" borderId="41" xfId="0" applyFont="1" applyFill="1" applyBorder="1" applyAlignment="1">
      <alignment horizontal="center"/>
    </xf>
    <xf numFmtId="0" fontId="13" fillId="2" borderId="49" xfId="0" applyFont="1" applyFill="1" applyBorder="1" applyAlignment="1">
      <alignment horizontal="center"/>
    </xf>
    <xf numFmtId="3" fontId="4" fillId="2" borderId="41" xfId="0" applyNumberFormat="1" applyFont="1" applyFill="1" applyBorder="1" applyAlignment="1">
      <alignment horizontal="center" wrapText="1"/>
    </xf>
    <xf numFmtId="3" fontId="4" fillId="2" borderId="48" xfId="0" applyNumberFormat="1" applyFont="1" applyFill="1" applyBorder="1" applyAlignment="1">
      <alignment horizontal="center" wrapText="1"/>
    </xf>
    <xf numFmtId="0" fontId="13" fillId="5" borderId="41" xfId="0" applyFont="1" applyFill="1" applyBorder="1" applyAlignment="1">
      <alignment horizontal="center"/>
    </xf>
    <xf numFmtId="0" fontId="13" fillId="5" borderId="49" xfId="0" applyFont="1" applyFill="1" applyBorder="1" applyAlignment="1">
      <alignment horizontal="center"/>
    </xf>
    <xf numFmtId="0" fontId="13" fillId="16" borderId="41" xfId="0" applyFont="1" applyFill="1" applyBorder="1" applyAlignment="1">
      <alignment horizontal="center" vertical="center" wrapText="1"/>
    </xf>
    <xf numFmtId="0" fontId="13" fillId="16" borderId="49" xfId="0" applyFont="1" applyFill="1" applyBorder="1" applyAlignment="1">
      <alignment horizontal="center" vertical="center" wrapText="1"/>
    </xf>
    <xf numFmtId="3" fontId="4" fillId="16" borderId="41" xfId="0" applyNumberFormat="1" applyFont="1" applyFill="1" applyBorder="1" applyAlignment="1">
      <alignment horizontal="center" wrapText="1"/>
    </xf>
    <xf numFmtId="3" fontId="4" fillId="16" borderId="48" xfId="0" applyNumberFormat="1" applyFont="1" applyFill="1" applyBorder="1" applyAlignment="1">
      <alignment horizontal="center" wrapText="1"/>
    </xf>
    <xf numFmtId="3" fontId="4" fillId="16" borderId="49" xfId="0" applyNumberFormat="1" applyFont="1" applyFill="1" applyBorder="1" applyAlignment="1">
      <alignment horizontal="center" wrapText="1"/>
    </xf>
    <xf numFmtId="0" fontId="13" fillId="15" borderId="41" xfId="0" applyFont="1" applyFill="1" applyBorder="1" applyAlignment="1">
      <alignment horizontal="center" vertical="center" wrapText="1"/>
    </xf>
    <xf numFmtId="0" fontId="13" fillId="15" borderId="49" xfId="0" applyFont="1" applyFill="1" applyBorder="1" applyAlignment="1">
      <alignment horizontal="center" vertical="center" wrapText="1"/>
    </xf>
    <xf numFmtId="3" fontId="4" fillId="15" borderId="41" xfId="0" applyNumberFormat="1" applyFont="1" applyFill="1" applyBorder="1" applyAlignment="1">
      <alignment horizontal="center" wrapText="1"/>
    </xf>
    <xf numFmtId="3" fontId="4" fillId="15" borderId="48" xfId="0" applyNumberFormat="1" applyFont="1" applyFill="1" applyBorder="1" applyAlignment="1">
      <alignment horizontal="center" wrapText="1"/>
    </xf>
    <xf numFmtId="3" fontId="4" fillId="15" borderId="49" xfId="0" applyNumberFormat="1" applyFont="1" applyFill="1" applyBorder="1" applyAlignment="1">
      <alignment horizont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8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colors>
    <mruColors>
      <color rgb="FFE0A3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March%202024.xlsx" TargetMode="External"/><Relationship Id="rId1" Type="http://schemas.openxmlformats.org/officeDocument/2006/relationships/externalLinkPath" Target="/data/Finance%20Stats/Monthly%20Operations%20report/2024/MSP%20March%202024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July%202024.xlsx" TargetMode="External"/><Relationship Id="rId1" Type="http://schemas.openxmlformats.org/officeDocument/2006/relationships/externalLinkPath" Target="/data/Finance%20Stats/Monthly%20Operations%20report/2024/MSP%20July%202024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August%202024.xlsx" TargetMode="External"/><Relationship Id="rId1" Type="http://schemas.openxmlformats.org/officeDocument/2006/relationships/externalLinkPath" Target="/data/Finance%20Stats/Monthly%20Operations%20report/2024/MSP%20August%202024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September%202024.xlsx" TargetMode="External"/><Relationship Id="rId1" Type="http://schemas.openxmlformats.org/officeDocument/2006/relationships/externalLinkPath" Target="/data/Finance%20Stats/Monthly%20Operations%20report/2024/MSP%20September%202024.xls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October%202024.xlsx" TargetMode="External"/><Relationship Id="rId1" Type="http://schemas.openxmlformats.org/officeDocument/2006/relationships/externalLinkPath" Target="/data/Finance%20Stats/Monthly%20Operations%20report/2024/MSP%20October%202024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November%202024.xlsx" TargetMode="External"/><Relationship Id="rId1" Type="http://schemas.openxmlformats.org/officeDocument/2006/relationships/externalLinkPath" Target="/data/Finance%20Stats/Monthly%20Operations%20report/2024/MSP%20November%202024.xlsx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December%202024.xlsx" TargetMode="External"/><Relationship Id="rId1" Type="http://schemas.openxmlformats.org/officeDocument/2006/relationships/externalLinkPath" Target="/data/Finance%20Stats/Monthly%20Operations%20report/2024/MSP%20December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February%202025.xlsx" TargetMode="External"/><Relationship Id="rId1" Type="http://schemas.openxmlformats.org/officeDocument/2006/relationships/externalLinkPath" Target="MSP%20February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Airline%20Stats\carier%20data%20entry.xlsx" TargetMode="External"/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January%202025.xlsx" TargetMode="External"/><Relationship Id="rId1" Type="http://schemas.openxmlformats.org/officeDocument/2006/relationships/externalLinkPath" Target="MSP%20January%202025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January%202024.xlsx" TargetMode="External"/><Relationship Id="rId1" Type="http://schemas.openxmlformats.org/officeDocument/2006/relationships/externalLinkPath" Target="/data/Finance%20Stats/Monthly%20Operations%20report/2024/MSP%20January%202024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February%202024.xlsx" TargetMode="External"/><Relationship Id="rId1" Type="http://schemas.openxmlformats.org/officeDocument/2006/relationships/externalLinkPath" Target="/data/Finance%20Stats/Monthly%20Operations%20report/2024/MSP%20February%202024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April%202024.xlsx" TargetMode="External"/><Relationship Id="rId1" Type="http://schemas.openxmlformats.org/officeDocument/2006/relationships/externalLinkPath" Target="/data/Finance%20Stats/Monthly%20Operations%20report/2024/MSP%20April%202024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May%202024.xlsx" TargetMode="External"/><Relationship Id="rId1" Type="http://schemas.openxmlformats.org/officeDocument/2006/relationships/externalLinkPath" Target="/data/Finance%20Stats/Monthly%20Operations%20report/2024/MSP%20May%202024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June%202024.xlsx" TargetMode="External"/><Relationship Id="rId1" Type="http://schemas.openxmlformats.org/officeDocument/2006/relationships/externalLinkPath" Target="/data/Finance%20Stats/Monthly%20Operations%20report/2024/MSP%20Jun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D5">
            <v>2756803</v>
          </cell>
          <cell r="G5">
            <v>7058297</v>
          </cell>
        </row>
        <row r="6">
          <cell r="D6">
            <v>402043</v>
          </cell>
          <cell r="G6">
            <v>1073219</v>
          </cell>
        </row>
        <row r="7">
          <cell r="D7">
            <v>261</v>
          </cell>
          <cell r="G7">
            <v>501</v>
          </cell>
        </row>
        <row r="8">
          <cell r="G8">
            <v>8132017</v>
          </cell>
        </row>
        <row r="9">
          <cell r="G9"/>
        </row>
        <row r="10">
          <cell r="D10">
            <v>88955</v>
          </cell>
          <cell r="G10">
            <v>243584</v>
          </cell>
        </row>
        <row r="16">
          <cell r="D16">
            <v>19166</v>
          </cell>
          <cell r="G16">
            <v>51555</v>
          </cell>
        </row>
        <row r="17">
          <cell r="D17">
            <v>6667</v>
          </cell>
          <cell r="G17">
            <v>19346</v>
          </cell>
        </row>
        <row r="18">
          <cell r="D18">
            <v>3</v>
          </cell>
          <cell r="G18">
            <v>5</v>
          </cell>
        </row>
        <row r="19">
          <cell r="D19">
            <v>1122</v>
          </cell>
          <cell r="G19">
            <v>3366</v>
          </cell>
        </row>
        <row r="20">
          <cell r="D20">
            <v>1252</v>
          </cell>
          <cell r="G20">
            <v>3690</v>
          </cell>
        </row>
        <row r="21">
          <cell r="D21">
            <v>104</v>
          </cell>
          <cell r="G21">
            <v>241</v>
          </cell>
        </row>
        <row r="27">
          <cell r="D27">
            <v>15803.99128390598</v>
          </cell>
          <cell r="G27">
            <v>46119.230789138819</v>
          </cell>
        </row>
        <row r="28">
          <cell r="D28">
            <v>233.65178008018</v>
          </cell>
          <cell r="G28">
            <v>933.50625163872996</v>
          </cell>
        </row>
        <row r="32">
          <cell r="B32">
            <v>1163782</v>
          </cell>
          <cell r="D32">
            <v>2957365</v>
          </cell>
        </row>
        <row r="33">
          <cell r="B33">
            <v>416450</v>
          </cell>
          <cell r="D33">
            <v>1147035</v>
          </cell>
        </row>
      </sheetData>
      <sheetData sheetId="1"/>
      <sheetData sheetId="2"/>
      <sheetData sheetId="3"/>
      <sheetData sheetId="4"/>
      <sheetData sheetId="5">
        <row r="23">
          <cell r="D23">
            <v>413424</v>
          </cell>
          <cell r="I23">
            <v>2834638</v>
          </cell>
          <cell r="N23">
            <v>3248062</v>
          </cell>
        </row>
      </sheetData>
      <sheetData sheetId="6"/>
      <sheetData sheetId="7">
        <row r="5">
          <cell r="F5">
            <v>9064.1717552740974</v>
          </cell>
          <cell r="I5">
            <v>25767.687964827885</v>
          </cell>
        </row>
        <row r="6">
          <cell r="F6">
            <v>106.31343327297</v>
          </cell>
          <cell r="I6">
            <v>435.05178187624995</v>
          </cell>
        </row>
        <row r="10">
          <cell r="F10">
            <v>6739.8195286318814</v>
          </cell>
          <cell r="I10">
            <v>20351.542824310927</v>
          </cell>
        </row>
        <row r="11">
          <cell r="F11">
            <v>127.33834680721</v>
          </cell>
          <cell r="I11">
            <v>498.45446976248002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15803.99128390598</v>
          </cell>
          <cell r="I20">
            <v>46119.230789138819</v>
          </cell>
        </row>
        <row r="21">
          <cell r="F21">
            <v>233.65178008018</v>
          </cell>
          <cell r="I21">
            <v>933.50625163872996</v>
          </cell>
        </row>
      </sheetData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D27">
            <v>324356</v>
          </cell>
          <cell r="I27">
            <v>3285779</v>
          </cell>
          <cell r="N27">
            <v>3610135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8">
          <cell r="D28">
            <v>330774</v>
          </cell>
          <cell r="I28">
            <v>3289710</v>
          </cell>
          <cell r="N28">
            <v>3620484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9">
          <cell r="D29">
            <v>268454</v>
          </cell>
          <cell r="I29">
            <v>2679340</v>
          </cell>
          <cell r="N29">
            <v>2947794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30">
          <cell r="D30">
            <v>253799</v>
          </cell>
          <cell r="I30">
            <v>2857152</v>
          </cell>
          <cell r="N30">
            <v>3110951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31">
          <cell r="D31">
            <v>204393</v>
          </cell>
          <cell r="I31">
            <v>2514974</v>
          </cell>
          <cell r="N31">
            <v>2719367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32">
          <cell r="D32">
            <v>288997</v>
          </cell>
          <cell r="I32">
            <v>2752325</v>
          </cell>
          <cell r="N32">
            <v>3041322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1028546</v>
          </cell>
          <cell r="G5">
            <v>4101597</v>
          </cell>
        </row>
        <row r="6">
          <cell r="G6">
            <v>785434</v>
          </cell>
        </row>
        <row r="7">
          <cell r="G7">
            <v>112</v>
          </cell>
        </row>
        <row r="8">
          <cell r="G8">
            <v>4887143</v>
          </cell>
        </row>
        <row r="9">
          <cell r="G9">
            <v>0</v>
          </cell>
        </row>
        <row r="10">
          <cell r="G10">
            <v>156745</v>
          </cell>
        </row>
        <row r="16">
          <cell r="G16">
            <v>31387</v>
          </cell>
        </row>
        <row r="17">
          <cell r="G17">
            <v>14927</v>
          </cell>
        </row>
        <row r="18">
          <cell r="G18">
            <v>5</v>
          </cell>
        </row>
        <row r="19">
          <cell r="G19">
            <v>2052</v>
          </cell>
        </row>
        <row r="20">
          <cell r="G20">
            <v>2307</v>
          </cell>
        </row>
        <row r="21">
          <cell r="G21">
            <v>140</v>
          </cell>
        </row>
        <row r="27">
          <cell r="G27">
            <v>26447.080158827943</v>
          </cell>
        </row>
        <row r="28">
          <cell r="G28">
            <v>3860.74011744575</v>
          </cell>
        </row>
        <row r="32">
          <cell r="D32">
            <v>1708431</v>
          </cell>
        </row>
        <row r="33">
          <cell r="D33">
            <v>744151</v>
          </cell>
        </row>
      </sheetData>
      <sheetData sheetId="1"/>
      <sheetData sheetId="2"/>
      <sheetData sheetId="3"/>
      <sheetData sheetId="4"/>
      <sheetData sheetId="5">
        <row r="22">
          <cell r="B22">
            <v>163197</v>
          </cell>
          <cell r="C22">
            <v>167591</v>
          </cell>
          <cell r="L22">
            <v>1233029</v>
          </cell>
          <cell r="M22">
            <v>1254551</v>
          </cell>
        </row>
      </sheetData>
      <sheetData sheetId="6"/>
      <sheetData sheetId="7">
        <row r="5">
          <cell r="I5">
            <v>14644.743358809024</v>
          </cell>
        </row>
        <row r="6">
          <cell r="I6">
            <v>1827.5114117360099</v>
          </cell>
        </row>
        <row r="10">
          <cell r="I10">
            <v>11802.336800018918</v>
          </cell>
        </row>
        <row r="11">
          <cell r="I11">
            <v>2033.2287057097401</v>
          </cell>
        </row>
        <row r="15">
          <cell r="I15">
            <v>0</v>
          </cell>
        </row>
        <row r="16">
          <cell r="I16">
            <v>0</v>
          </cell>
        </row>
        <row r="20">
          <cell r="I20">
            <v>26447.080158827943</v>
          </cell>
        </row>
        <row r="21">
          <cell r="I21">
            <v>3860.74011744575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Template"/>
      <sheetName val="NWA"/>
      <sheetName val="Air Choice One"/>
      <sheetName val="AirTran"/>
      <sheetName val="Air France"/>
      <sheetName val="Allegiant "/>
      <sheetName val="Aer Lingus"/>
      <sheetName val="Alaska"/>
      <sheetName val="America West"/>
      <sheetName val="American"/>
      <sheetName val="Continental"/>
      <sheetName val="Boutique Air"/>
      <sheetName val="Condor"/>
      <sheetName val="Delta"/>
      <sheetName val="Denver Air"/>
      <sheetName val="Frontier"/>
      <sheetName val="Icelandair"/>
      <sheetName val="Jet Blue"/>
      <sheetName val="KLM"/>
      <sheetName val="Great Lakes"/>
      <sheetName val="Midwest"/>
      <sheetName val="AirCanada"/>
      <sheetName val="Lufthansa"/>
      <sheetName val="Southwest"/>
      <sheetName val="Spirit"/>
      <sheetName val="Sun Country"/>
      <sheetName val="US Airways"/>
      <sheetName val="Jazz Air"/>
      <sheetName val="United"/>
      <sheetName val="WestJet"/>
      <sheetName val="Air Georgian"/>
      <sheetName val="American Eagle"/>
      <sheetName val="Air Wisconsin"/>
      <sheetName val="Horizon_AS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Sky West_UA"/>
      <sheetName val="Jazz_AC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Red Way"/>
      <sheetName val="Omni"/>
      <sheetName val="Charter Misc"/>
      <sheetName val="Atlas Air"/>
      <sheetName val="Sun Country Cargo"/>
      <sheetName val="Airborne"/>
      <sheetName val="DHL"/>
      <sheetName val="DHL_Atlas"/>
      <sheetName val="DHL_Amerijet"/>
      <sheetName val="DHL_Bemidji"/>
      <sheetName val="DHL_Encore"/>
      <sheetName val="DHL_Kalitta"/>
      <sheetName val="DHL_Mesa"/>
      <sheetName val="DHL_Southair"/>
      <sheetName val="DHL_Swift"/>
      <sheetName val="Encore"/>
      <sheetName val="Suburban Air Freight"/>
      <sheetName val="FedEx"/>
      <sheetName val="Mountain Cargo"/>
      <sheetName val="IFL"/>
      <sheetName val="UPS"/>
      <sheetName val="UPSSCS"/>
      <sheetName val="AM Intl_kittyhawk"/>
      <sheetName val="ATI_BAX"/>
      <sheetName val="Bemidji"/>
      <sheetName val="CSA Air"/>
      <sheetName val="Misc Cargo"/>
      <sheetName val="Military "/>
      <sheetName val="General Avation"/>
    </sheetNames>
    <sheetDataSet>
      <sheetData sheetId="0"/>
      <sheetData sheetId="1"/>
      <sheetData sheetId="2"/>
      <sheetData sheetId="3"/>
      <sheetData sheetId="4">
        <row r="8">
          <cell r="JJ8"/>
        </row>
        <row r="9">
          <cell r="JJ9"/>
        </row>
        <row r="15">
          <cell r="JH15"/>
          <cell r="JI15"/>
          <cell r="JJ15"/>
        </row>
        <row r="16">
          <cell r="JH16"/>
          <cell r="JI16"/>
          <cell r="JJ16"/>
        </row>
        <row r="19">
          <cell r="IT19">
            <v>0</v>
          </cell>
          <cell r="IU19">
            <v>0</v>
          </cell>
          <cell r="IV19">
            <v>0</v>
          </cell>
          <cell r="JH19">
            <v>0</v>
          </cell>
          <cell r="JI19">
            <v>0</v>
          </cell>
          <cell r="JJ19">
            <v>0</v>
          </cell>
        </row>
        <row r="32">
          <cell r="JH32"/>
          <cell r="JI32"/>
          <cell r="JJ32"/>
        </row>
        <row r="33">
          <cell r="JH33"/>
          <cell r="JI33"/>
          <cell r="JJ33"/>
        </row>
        <row r="37">
          <cell r="JH37"/>
          <cell r="JI37"/>
          <cell r="JJ37"/>
        </row>
        <row r="38">
          <cell r="JH38"/>
          <cell r="JI38"/>
          <cell r="JJ38"/>
        </row>
        <row r="41">
          <cell r="IT41">
            <v>0</v>
          </cell>
          <cell r="IU41">
            <v>0</v>
          </cell>
          <cell r="IV41">
            <v>0</v>
          </cell>
          <cell r="JH41">
            <v>0</v>
          </cell>
          <cell r="JI41">
            <v>0</v>
          </cell>
          <cell r="JJ41">
            <v>0</v>
          </cell>
        </row>
        <row r="43">
          <cell r="IT43">
            <v>0</v>
          </cell>
          <cell r="IU43">
            <v>0</v>
          </cell>
          <cell r="IV43">
            <v>0</v>
          </cell>
          <cell r="JH43">
            <v>0</v>
          </cell>
          <cell r="JI43">
            <v>0</v>
          </cell>
          <cell r="JJ43">
            <v>0</v>
          </cell>
        </row>
        <row r="47">
          <cell r="JJ47"/>
        </row>
        <row r="48">
          <cell r="JJ48"/>
        </row>
        <row r="52">
          <cell r="JJ52"/>
        </row>
        <row r="53">
          <cell r="JJ53"/>
        </row>
        <row r="57">
          <cell r="JJ57"/>
        </row>
        <row r="58">
          <cell r="JJ58"/>
        </row>
        <row r="64">
          <cell r="IT64">
            <v>0</v>
          </cell>
          <cell r="IU64">
            <v>0</v>
          </cell>
          <cell r="IV64">
            <v>0</v>
          </cell>
          <cell r="JH64">
            <v>0</v>
          </cell>
          <cell r="JI64">
            <v>0</v>
          </cell>
          <cell r="JJ64">
            <v>0</v>
          </cell>
        </row>
      </sheetData>
      <sheetData sheetId="5">
        <row r="4">
          <cell r="JJ4">
            <v>49</v>
          </cell>
        </row>
        <row r="5">
          <cell r="JJ5">
            <v>49</v>
          </cell>
        </row>
        <row r="8">
          <cell r="JJ8"/>
        </row>
        <row r="9">
          <cell r="JJ9"/>
        </row>
        <row r="19">
          <cell r="IT19">
            <v>68</v>
          </cell>
          <cell r="IU19">
            <v>92</v>
          </cell>
          <cell r="IV19">
            <v>136</v>
          </cell>
          <cell r="JH19">
            <v>54</v>
          </cell>
          <cell r="JI19">
            <v>62</v>
          </cell>
          <cell r="JJ19">
            <v>98</v>
          </cell>
        </row>
        <row r="22">
          <cell r="JJ22">
            <v>7247</v>
          </cell>
        </row>
        <row r="23">
          <cell r="JJ23">
            <v>7488</v>
          </cell>
        </row>
        <row r="27">
          <cell r="JJ27"/>
        </row>
        <row r="28">
          <cell r="JJ28"/>
        </row>
        <row r="41">
          <cell r="IT41">
            <v>9310</v>
          </cell>
          <cell r="IU41">
            <v>13548</v>
          </cell>
          <cell r="IV41">
            <v>19698</v>
          </cell>
          <cell r="JH41">
            <v>7406</v>
          </cell>
          <cell r="JI41">
            <v>8994</v>
          </cell>
          <cell r="JJ41">
            <v>14735</v>
          </cell>
        </row>
        <row r="43">
          <cell r="IT43">
            <v>9310</v>
          </cell>
          <cell r="IU43">
            <v>13548</v>
          </cell>
          <cell r="IV43">
            <v>19698</v>
          </cell>
          <cell r="JH43">
            <v>7406</v>
          </cell>
          <cell r="JI43">
            <v>8994</v>
          </cell>
          <cell r="JJ43">
            <v>14735</v>
          </cell>
        </row>
        <row r="47">
          <cell r="JJ47"/>
        </row>
        <row r="48">
          <cell r="JJ48"/>
        </row>
        <row r="52">
          <cell r="JJ52"/>
        </row>
        <row r="53">
          <cell r="JJ53"/>
        </row>
        <row r="57">
          <cell r="JJ57"/>
        </row>
        <row r="58">
          <cell r="JJ58"/>
        </row>
        <row r="64">
          <cell r="IT64">
            <v>0</v>
          </cell>
          <cell r="IU64">
            <v>0</v>
          </cell>
          <cell r="IV64">
            <v>0</v>
          </cell>
          <cell r="JH64">
            <v>0</v>
          </cell>
          <cell r="JI64">
            <v>0</v>
          </cell>
          <cell r="JJ64">
            <v>0</v>
          </cell>
        </row>
      </sheetData>
      <sheetData sheetId="6">
        <row r="4">
          <cell r="JJ4"/>
        </row>
        <row r="5">
          <cell r="JJ5"/>
        </row>
        <row r="8">
          <cell r="JJ8"/>
        </row>
        <row r="9">
          <cell r="JJ9"/>
        </row>
        <row r="15">
          <cell r="JH15"/>
          <cell r="JI15"/>
          <cell r="JJ15"/>
        </row>
        <row r="16">
          <cell r="JH16"/>
          <cell r="JI16"/>
          <cell r="JJ16"/>
        </row>
        <row r="19">
          <cell r="IT19">
            <v>0</v>
          </cell>
          <cell r="IU19">
            <v>0</v>
          </cell>
          <cell r="IV19">
            <v>0</v>
          </cell>
          <cell r="JH19">
            <v>0</v>
          </cell>
          <cell r="JI19">
            <v>0</v>
          </cell>
          <cell r="JJ19">
            <v>0</v>
          </cell>
        </row>
        <row r="22">
          <cell r="JJ22"/>
        </row>
        <row r="23">
          <cell r="JJ23"/>
        </row>
        <row r="27">
          <cell r="JJ27"/>
        </row>
        <row r="28">
          <cell r="JJ28"/>
        </row>
        <row r="32">
          <cell r="JH32"/>
          <cell r="JI32"/>
          <cell r="JJ32"/>
        </row>
        <row r="33">
          <cell r="JH33"/>
          <cell r="JI33"/>
          <cell r="JJ33"/>
        </row>
        <row r="37">
          <cell r="JH37"/>
          <cell r="JI37"/>
          <cell r="JJ37"/>
        </row>
        <row r="38">
          <cell r="JH38"/>
          <cell r="JI38"/>
          <cell r="JJ38"/>
        </row>
        <row r="41">
          <cell r="IT41">
            <v>0</v>
          </cell>
          <cell r="IU41">
            <v>0</v>
          </cell>
          <cell r="IV41">
            <v>0</v>
          </cell>
          <cell r="JH41">
            <v>0</v>
          </cell>
          <cell r="JI41">
            <v>0</v>
          </cell>
          <cell r="JJ41">
            <v>0</v>
          </cell>
        </row>
        <row r="43">
          <cell r="IT43">
            <v>0</v>
          </cell>
          <cell r="IU43">
            <v>0</v>
          </cell>
          <cell r="IV43">
            <v>0</v>
          </cell>
          <cell r="JH43">
            <v>0</v>
          </cell>
          <cell r="JI43">
            <v>0</v>
          </cell>
          <cell r="JJ43">
            <v>0</v>
          </cell>
        </row>
        <row r="47">
          <cell r="JJ47"/>
        </row>
        <row r="48">
          <cell r="JJ48"/>
        </row>
        <row r="52">
          <cell r="JJ52"/>
        </row>
        <row r="53">
          <cell r="JJ53"/>
        </row>
        <row r="57">
          <cell r="JJ57"/>
        </row>
        <row r="58">
          <cell r="JJ58"/>
        </row>
        <row r="64">
          <cell r="IT64">
            <v>0</v>
          </cell>
          <cell r="IU64">
            <v>0</v>
          </cell>
          <cell r="IV64">
            <v>0</v>
          </cell>
          <cell r="JH64">
            <v>0</v>
          </cell>
          <cell r="JI64">
            <v>0</v>
          </cell>
          <cell r="JJ64">
            <v>0</v>
          </cell>
        </row>
      </sheetData>
      <sheetData sheetId="7">
        <row r="4">
          <cell r="JJ4">
            <v>74</v>
          </cell>
        </row>
        <row r="5">
          <cell r="JJ5">
            <v>75</v>
          </cell>
        </row>
        <row r="8">
          <cell r="JJ8">
            <v>1</v>
          </cell>
        </row>
        <row r="9">
          <cell r="JJ9">
            <v>1</v>
          </cell>
        </row>
        <row r="19">
          <cell r="IT19">
            <v>103</v>
          </cell>
          <cell r="IU19">
            <v>107</v>
          </cell>
          <cell r="IV19">
            <v>142</v>
          </cell>
          <cell r="JH19">
            <v>127</v>
          </cell>
          <cell r="JI19">
            <v>111</v>
          </cell>
          <cell r="JJ19">
            <v>151</v>
          </cell>
        </row>
        <row r="22">
          <cell r="JJ22">
            <v>9487</v>
          </cell>
        </row>
        <row r="23">
          <cell r="JJ23">
            <v>9834</v>
          </cell>
        </row>
        <row r="27">
          <cell r="JJ27">
            <v>413</v>
          </cell>
        </row>
        <row r="28">
          <cell r="JJ28">
            <v>484</v>
          </cell>
        </row>
        <row r="41">
          <cell r="IT41">
            <v>12044</v>
          </cell>
          <cell r="IU41">
            <v>14110</v>
          </cell>
          <cell r="IV41">
            <v>19132</v>
          </cell>
          <cell r="JH41">
            <v>17509</v>
          </cell>
          <cell r="JI41">
            <v>14848</v>
          </cell>
          <cell r="JJ41">
            <v>19321</v>
          </cell>
        </row>
        <row r="43">
          <cell r="IT43">
            <v>12582</v>
          </cell>
          <cell r="IU43">
            <v>14828</v>
          </cell>
          <cell r="IV43">
            <v>19946</v>
          </cell>
          <cell r="JH43">
            <v>18259</v>
          </cell>
          <cell r="JI43">
            <v>15493</v>
          </cell>
          <cell r="JJ43">
            <v>20218</v>
          </cell>
        </row>
        <row r="47">
          <cell r="JJ47">
            <v>8554</v>
          </cell>
        </row>
        <row r="48">
          <cell r="JJ48">
            <v>829</v>
          </cell>
        </row>
        <row r="52">
          <cell r="JJ52">
            <v>13283</v>
          </cell>
        </row>
        <row r="53">
          <cell r="JJ53">
            <v>285</v>
          </cell>
        </row>
        <row r="57">
          <cell r="JJ57"/>
        </row>
        <row r="58">
          <cell r="JJ58"/>
        </row>
        <row r="64">
          <cell r="IT64">
            <v>11751</v>
          </cell>
          <cell r="IU64">
            <v>11390</v>
          </cell>
          <cell r="IV64">
            <v>25523</v>
          </cell>
          <cell r="JH64">
            <v>18276</v>
          </cell>
          <cell r="JI64">
            <v>15384</v>
          </cell>
          <cell r="JJ64">
            <v>22951</v>
          </cell>
        </row>
      </sheetData>
      <sheetData sheetId="8"/>
      <sheetData sheetId="9">
        <row r="4">
          <cell r="JJ4">
            <v>412</v>
          </cell>
        </row>
        <row r="5">
          <cell r="JJ5">
            <v>412</v>
          </cell>
        </row>
        <row r="8">
          <cell r="JJ8"/>
        </row>
        <row r="9">
          <cell r="JJ9"/>
        </row>
        <row r="19">
          <cell r="IT19">
            <v>630</v>
          </cell>
          <cell r="IU19">
            <v>570</v>
          </cell>
          <cell r="IV19">
            <v>667</v>
          </cell>
          <cell r="JH19">
            <v>768</v>
          </cell>
          <cell r="JI19">
            <v>678</v>
          </cell>
          <cell r="JJ19">
            <v>824</v>
          </cell>
        </row>
        <row r="22">
          <cell r="JJ22">
            <v>55284</v>
          </cell>
        </row>
        <row r="23">
          <cell r="JJ23">
            <v>58356</v>
          </cell>
        </row>
        <row r="27">
          <cell r="JJ27">
            <v>1776</v>
          </cell>
        </row>
        <row r="28">
          <cell r="JJ28">
            <v>1844</v>
          </cell>
        </row>
        <row r="41">
          <cell r="IT41">
            <v>92195</v>
          </cell>
          <cell r="IU41">
            <v>87683</v>
          </cell>
          <cell r="IV41">
            <v>99725</v>
          </cell>
          <cell r="JH41">
            <v>94162</v>
          </cell>
          <cell r="JI41">
            <v>86959</v>
          </cell>
          <cell r="JJ41">
            <v>113640</v>
          </cell>
        </row>
        <row r="43">
          <cell r="IT43">
            <v>95210</v>
          </cell>
          <cell r="IU43">
            <v>90365</v>
          </cell>
          <cell r="IV43">
            <v>102905</v>
          </cell>
          <cell r="JH43">
            <v>97807</v>
          </cell>
          <cell r="JI43">
            <v>90116</v>
          </cell>
          <cell r="JJ43">
            <v>117260</v>
          </cell>
        </row>
        <row r="47">
          <cell r="JJ47">
            <v>11709</v>
          </cell>
        </row>
        <row r="48">
          <cell r="JJ48">
            <v>298</v>
          </cell>
        </row>
        <row r="52">
          <cell r="JJ52">
            <v>3076</v>
          </cell>
        </row>
        <row r="53">
          <cell r="JJ53"/>
        </row>
        <row r="57">
          <cell r="JJ57"/>
        </row>
        <row r="58">
          <cell r="JJ58"/>
        </row>
        <row r="64">
          <cell r="IT64">
            <v>52635</v>
          </cell>
          <cell r="IU64">
            <v>43269</v>
          </cell>
          <cell r="IV64">
            <v>37172</v>
          </cell>
          <cell r="JH64">
            <v>23081</v>
          </cell>
          <cell r="JI64">
            <v>25119</v>
          </cell>
          <cell r="JJ64">
            <v>15083</v>
          </cell>
        </row>
      </sheetData>
      <sheetData sheetId="10"/>
      <sheetData sheetId="11"/>
      <sheetData sheetId="12">
        <row r="5">
          <cell r="JJ5"/>
        </row>
        <row r="8">
          <cell r="JJ8"/>
        </row>
        <row r="9">
          <cell r="JJ9"/>
        </row>
        <row r="15">
          <cell r="JH15"/>
          <cell r="JI15"/>
          <cell r="JJ15"/>
        </row>
        <row r="16">
          <cell r="JH16"/>
          <cell r="JI16"/>
          <cell r="JJ16"/>
        </row>
        <row r="19">
          <cell r="IT19">
            <v>0</v>
          </cell>
          <cell r="IU19">
            <v>0</v>
          </cell>
          <cell r="IV19">
            <v>0</v>
          </cell>
          <cell r="JH19">
            <v>0</v>
          </cell>
          <cell r="JI19">
            <v>0</v>
          </cell>
          <cell r="JJ19">
            <v>0</v>
          </cell>
        </row>
        <row r="22">
          <cell r="JJ22"/>
        </row>
        <row r="23">
          <cell r="JJ23"/>
        </row>
        <row r="27">
          <cell r="JJ27"/>
        </row>
        <row r="28">
          <cell r="JJ28"/>
        </row>
        <row r="32">
          <cell r="JH32"/>
          <cell r="JI32"/>
          <cell r="JJ32"/>
        </row>
        <row r="33">
          <cell r="JH33"/>
          <cell r="JI33"/>
          <cell r="JJ33"/>
        </row>
        <row r="37">
          <cell r="JH37"/>
          <cell r="JI37"/>
          <cell r="JJ37"/>
        </row>
        <row r="38">
          <cell r="JH38"/>
          <cell r="JI38"/>
          <cell r="JJ38"/>
        </row>
        <row r="41">
          <cell r="IT41">
            <v>0</v>
          </cell>
          <cell r="IU41">
            <v>0</v>
          </cell>
          <cell r="IV41">
            <v>0</v>
          </cell>
          <cell r="JH41">
            <v>0</v>
          </cell>
          <cell r="JI41">
            <v>0</v>
          </cell>
          <cell r="JJ41">
            <v>0</v>
          </cell>
        </row>
        <row r="43">
          <cell r="IT43">
            <v>0</v>
          </cell>
          <cell r="IU43">
            <v>0</v>
          </cell>
          <cell r="IV43">
            <v>0</v>
          </cell>
          <cell r="JH43">
            <v>0</v>
          </cell>
          <cell r="JI43">
            <v>0</v>
          </cell>
          <cell r="JJ43">
            <v>0</v>
          </cell>
        </row>
        <row r="47">
          <cell r="JJ47"/>
        </row>
        <row r="48">
          <cell r="JJ48"/>
        </row>
        <row r="52">
          <cell r="JJ52"/>
        </row>
        <row r="53">
          <cell r="JJ53"/>
        </row>
        <row r="57">
          <cell r="JJ57"/>
        </row>
        <row r="58">
          <cell r="JJ58"/>
        </row>
        <row r="64">
          <cell r="IT64">
            <v>0</v>
          </cell>
          <cell r="IU64">
            <v>0</v>
          </cell>
          <cell r="IV64">
            <v>0</v>
          </cell>
          <cell r="JH64">
            <v>0</v>
          </cell>
          <cell r="JI64">
            <v>0</v>
          </cell>
          <cell r="JJ64">
            <v>0</v>
          </cell>
        </row>
      </sheetData>
      <sheetData sheetId="13">
        <row r="4">
          <cell r="JJ4">
            <v>5490</v>
          </cell>
        </row>
        <row r="5">
          <cell r="JJ5">
            <v>5482</v>
          </cell>
        </row>
        <row r="8">
          <cell r="JJ8">
            <v>6</v>
          </cell>
        </row>
        <row r="9">
          <cell r="JJ9">
            <v>14</v>
          </cell>
        </row>
        <row r="15">
          <cell r="JH15">
            <v>700</v>
          </cell>
          <cell r="JI15">
            <v>661</v>
          </cell>
          <cell r="JJ15">
            <v>758</v>
          </cell>
        </row>
        <row r="16">
          <cell r="JH16">
            <v>711</v>
          </cell>
          <cell r="JI16">
            <v>657</v>
          </cell>
          <cell r="JJ16">
            <v>760</v>
          </cell>
        </row>
        <row r="19">
          <cell r="IT19">
            <v>10940</v>
          </cell>
          <cell r="IU19">
            <v>10373</v>
          </cell>
          <cell r="IV19">
            <v>12302</v>
          </cell>
          <cell r="JH19">
            <v>10888</v>
          </cell>
          <cell r="JI19">
            <v>10072</v>
          </cell>
          <cell r="JJ19">
            <v>12510</v>
          </cell>
        </row>
        <row r="22">
          <cell r="JJ22">
            <v>746829</v>
          </cell>
        </row>
        <row r="23">
          <cell r="JJ23">
            <v>765510</v>
          </cell>
        </row>
        <row r="27">
          <cell r="JJ27">
            <v>26257</v>
          </cell>
        </row>
        <row r="28">
          <cell r="JJ28">
            <v>26173</v>
          </cell>
        </row>
        <row r="32">
          <cell r="JH32">
            <v>117423</v>
          </cell>
          <cell r="JI32">
            <v>102831</v>
          </cell>
          <cell r="JJ32">
            <v>132058</v>
          </cell>
        </row>
        <row r="33">
          <cell r="JH33">
            <v>112582</v>
          </cell>
          <cell r="JI33">
            <v>106603</v>
          </cell>
          <cell r="JJ33">
            <v>137946</v>
          </cell>
        </row>
        <row r="37">
          <cell r="JH37">
            <v>3058</v>
          </cell>
          <cell r="JI37">
            <v>3127</v>
          </cell>
          <cell r="JJ37">
            <v>2855</v>
          </cell>
        </row>
        <row r="38">
          <cell r="JH38">
            <v>2968</v>
          </cell>
          <cell r="JI38">
            <v>3028</v>
          </cell>
          <cell r="JJ38">
            <v>3191</v>
          </cell>
        </row>
        <row r="41">
          <cell r="IT41">
            <v>1436472</v>
          </cell>
          <cell r="IU41">
            <v>1403008</v>
          </cell>
          <cell r="IV41">
            <v>1770986</v>
          </cell>
          <cell r="JH41">
            <v>1449484</v>
          </cell>
          <cell r="JI41">
            <v>1372419</v>
          </cell>
          <cell r="JJ41">
            <v>1782343</v>
          </cell>
        </row>
        <row r="43">
          <cell r="IT43">
            <v>1485776</v>
          </cell>
          <cell r="IU43">
            <v>1454147</v>
          </cell>
          <cell r="IV43">
            <v>1828652</v>
          </cell>
          <cell r="JH43">
            <v>1498060</v>
          </cell>
          <cell r="JI43">
            <v>1420348</v>
          </cell>
          <cell r="JJ43">
            <v>1840819</v>
          </cell>
        </row>
        <row r="47">
          <cell r="JJ47">
            <v>3711255</v>
          </cell>
        </row>
        <row r="48">
          <cell r="JJ48">
            <v>53157</v>
          </cell>
        </row>
        <row r="52">
          <cell r="JJ52">
            <v>2466824</v>
          </cell>
        </row>
        <row r="53">
          <cell r="JJ53">
            <v>41536</v>
          </cell>
        </row>
        <row r="57">
          <cell r="JJ57"/>
        </row>
        <row r="58">
          <cell r="JJ58"/>
        </row>
        <row r="64">
          <cell r="IT64">
            <v>5763948</v>
          </cell>
          <cell r="IU64">
            <v>6603165</v>
          </cell>
          <cell r="IV64">
            <v>4710356</v>
          </cell>
          <cell r="JH64">
            <v>5135791</v>
          </cell>
          <cell r="JI64">
            <v>5526183</v>
          </cell>
          <cell r="JJ64">
            <v>6272772</v>
          </cell>
        </row>
        <row r="70">
          <cell r="JJ70">
            <v>526418</v>
          </cell>
        </row>
        <row r="71">
          <cell r="JJ71">
            <v>239092</v>
          </cell>
        </row>
        <row r="73">
          <cell r="JJ73">
            <v>94861</v>
          </cell>
        </row>
        <row r="74">
          <cell r="JJ74">
            <v>43085</v>
          </cell>
        </row>
      </sheetData>
      <sheetData sheetId="14">
        <row r="4">
          <cell r="JJ4">
            <v>78</v>
          </cell>
        </row>
        <row r="5">
          <cell r="JJ5">
            <v>78</v>
          </cell>
        </row>
        <row r="8">
          <cell r="JJ8">
            <v>4</v>
          </cell>
        </row>
        <row r="9">
          <cell r="JJ9">
            <v>4</v>
          </cell>
        </row>
        <row r="15">
          <cell r="JJ15"/>
        </row>
        <row r="16">
          <cell r="JJ16"/>
        </row>
        <row r="19">
          <cell r="IT19">
            <v>180</v>
          </cell>
          <cell r="IU19">
            <v>162</v>
          </cell>
          <cell r="IV19">
            <v>180</v>
          </cell>
          <cell r="JH19">
            <v>154</v>
          </cell>
          <cell r="JI19">
            <v>140</v>
          </cell>
          <cell r="JJ19">
            <v>164</v>
          </cell>
        </row>
        <row r="22">
          <cell r="JJ22">
            <v>857</v>
          </cell>
        </row>
        <row r="23">
          <cell r="JJ23">
            <v>844</v>
          </cell>
        </row>
        <row r="27">
          <cell r="JJ27">
            <v>53</v>
          </cell>
        </row>
        <row r="28">
          <cell r="JJ28">
            <v>44</v>
          </cell>
        </row>
        <row r="32">
          <cell r="JJ32"/>
        </row>
        <row r="33">
          <cell r="JJ33"/>
        </row>
        <row r="37">
          <cell r="JJ37"/>
        </row>
        <row r="38">
          <cell r="JJ38"/>
        </row>
        <row r="41">
          <cell r="IT41">
            <v>1646</v>
          </cell>
          <cell r="IU41">
            <v>1558</v>
          </cell>
          <cell r="IV41">
            <v>1687</v>
          </cell>
          <cell r="JH41">
            <v>1818</v>
          </cell>
          <cell r="JI41">
            <v>1556</v>
          </cell>
          <cell r="JJ41">
            <v>1701</v>
          </cell>
        </row>
        <row r="43">
          <cell r="IT43">
            <v>1723</v>
          </cell>
          <cell r="IU43">
            <v>1642</v>
          </cell>
          <cell r="IV43">
            <v>1774</v>
          </cell>
          <cell r="JH43">
            <v>1857</v>
          </cell>
          <cell r="JI43">
            <v>1636</v>
          </cell>
          <cell r="JJ43">
            <v>1798</v>
          </cell>
        </row>
        <row r="47">
          <cell r="JJ47"/>
        </row>
        <row r="48">
          <cell r="JJ48"/>
        </row>
        <row r="52">
          <cell r="JJ52"/>
        </row>
        <row r="53">
          <cell r="JJ53"/>
        </row>
        <row r="57">
          <cell r="JJ57"/>
        </row>
        <row r="58">
          <cell r="JJ58"/>
        </row>
        <row r="64">
          <cell r="IT64">
            <v>0</v>
          </cell>
          <cell r="IU64">
            <v>0</v>
          </cell>
          <cell r="IV64">
            <v>0</v>
          </cell>
          <cell r="JH64">
            <v>0</v>
          </cell>
          <cell r="JI64">
            <v>0</v>
          </cell>
          <cell r="JJ64">
            <v>0</v>
          </cell>
        </row>
      </sheetData>
      <sheetData sheetId="15">
        <row r="4">
          <cell r="JJ4">
            <v>98</v>
          </cell>
        </row>
        <row r="5">
          <cell r="JJ5">
            <v>98</v>
          </cell>
        </row>
        <row r="8">
          <cell r="JJ8"/>
        </row>
        <row r="9">
          <cell r="JJ9"/>
        </row>
        <row r="15">
          <cell r="JH15"/>
          <cell r="JI15"/>
          <cell r="JJ15"/>
        </row>
        <row r="16">
          <cell r="JH16"/>
          <cell r="JI16"/>
          <cell r="JJ16"/>
        </row>
        <row r="19">
          <cell r="IT19">
            <v>272</v>
          </cell>
          <cell r="IU19">
            <v>340</v>
          </cell>
          <cell r="IV19">
            <v>362</v>
          </cell>
          <cell r="JH19">
            <v>168</v>
          </cell>
          <cell r="JI19">
            <v>186</v>
          </cell>
          <cell r="JJ19">
            <v>196</v>
          </cell>
        </row>
        <row r="22">
          <cell r="JJ22">
            <v>16286</v>
          </cell>
        </row>
        <row r="23">
          <cell r="JJ23">
            <v>17618</v>
          </cell>
        </row>
        <row r="27">
          <cell r="JJ27">
            <v>100</v>
          </cell>
        </row>
        <row r="28">
          <cell r="JJ28">
            <v>100</v>
          </cell>
        </row>
        <row r="32">
          <cell r="JH32"/>
          <cell r="JI32"/>
          <cell r="JJ32"/>
        </row>
        <row r="33">
          <cell r="JH33"/>
          <cell r="JI33"/>
          <cell r="JJ33"/>
        </row>
        <row r="37">
          <cell r="JH37"/>
          <cell r="JI37"/>
          <cell r="JJ37"/>
        </row>
        <row r="38">
          <cell r="JH38"/>
          <cell r="JI38"/>
          <cell r="JJ38"/>
        </row>
        <row r="41">
          <cell r="IT41">
            <v>42260</v>
          </cell>
          <cell r="IU41">
            <v>56084</v>
          </cell>
          <cell r="IV41">
            <v>64298</v>
          </cell>
          <cell r="JH41">
            <v>28503</v>
          </cell>
          <cell r="JI41">
            <v>32511</v>
          </cell>
          <cell r="JJ41">
            <v>33904</v>
          </cell>
        </row>
        <row r="43">
          <cell r="IT43">
            <v>42507</v>
          </cell>
          <cell r="IU43">
            <v>56377</v>
          </cell>
          <cell r="IV43">
            <v>64615</v>
          </cell>
          <cell r="JH43">
            <v>28696</v>
          </cell>
          <cell r="JI43">
            <v>32771</v>
          </cell>
          <cell r="JJ43">
            <v>34104</v>
          </cell>
        </row>
        <row r="47">
          <cell r="JJ47"/>
        </row>
        <row r="48">
          <cell r="JJ48"/>
        </row>
        <row r="52">
          <cell r="JJ52"/>
        </row>
        <row r="53">
          <cell r="JJ53"/>
        </row>
        <row r="57">
          <cell r="JJ57"/>
        </row>
        <row r="58">
          <cell r="JJ58"/>
        </row>
        <row r="64">
          <cell r="IT64">
            <v>0</v>
          </cell>
          <cell r="IU64">
            <v>0</v>
          </cell>
          <cell r="IV64">
            <v>0</v>
          </cell>
          <cell r="JH64">
            <v>0</v>
          </cell>
          <cell r="JI64">
            <v>0</v>
          </cell>
          <cell r="JJ64">
            <v>0</v>
          </cell>
        </row>
      </sheetData>
      <sheetData sheetId="16">
        <row r="8">
          <cell r="JJ8"/>
        </row>
        <row r="9">
          <cell r="JJ9"/>
        </row>
        <row r="15">
          <cell r="JH15">
            <v>4</v>
          </cell>
          <cell r="JI15">
            <v>1</v>
          </cell>
          <cell r="JJ15">
            <v>19</v>
          </cell>
        </row>
        <row r="16">
          <cell r="JH16">
            <v>4</v>
          </cell>
          <cell r="JI16">
            <v>1</v>
          </cell>
          <cell r="JJ16">
            <v>19</v>
          </cell>
        </row>
        <row r="19">
          <cell r="IT19">
            <v>10</v>
          </cell>
          <cell r="IU19">
            <v>0</v>
          </cell>
          <cell r="IV19">
            <v>8</v>
          </cell>
          <cell r="JH19">
            <v>8</v>
          </cell>
          <cell r="JI19">
            <v>2</v>
          </cell>
          <cell r="JJ19">
            <v>38</v>
          </cell>
        </row>
        <row r="32">
          <cell r="JH32">
            <v>626</v>
          </cell>
          <cell r="JI32">
            <v>53</v>
          </cell>
          <cell r="JJ32">
            <v>2556</v>
          </cell>
        </row>
        <row r="33">
          <cell r="JH33">
            <v>402</v>
          </cell>
          <cell r="JI33">
            <v>149</v>
          </cell>
          <cell r="JJ33">
            <v>2959</v>
          </cell>
        </row>
        <row r="37">
          <cell r="JH37">
            <v>1</v>
          </cell>
          <cell r="JI37"/>
          <cell r="JJ37">
            <v>34</v>
          </cell>
        </row>
        <row r="38">
          <cell r="JH38">
            <v>8</v>
          </cell>
          <cell r="JI38">
            <v>2</v>
          </cell>
          <cell r="JJ38">
            <v>19</v>
          </cell>
        </row>
        <row r="41">
          <cell r="IT41">
            <v>1148</v>
          </cell>
          <cell r="IU41">
            <v>0</v>
          </cell>
          <cell r="IV41">
            <v>969</v>
          </cell>
          <cell r="JH41">
            <v>1028</v>
          </cell>
          <cell r="JI41">
            <v>202</v>
          </cell>
          <cell r="JJ41">
            <v>5515</v>
          </cell>
        </row>
        <row r="43">
          <cell r="IT43">
            <v>1174</v>
          </cell>
          <cell r="IU43">
            <v>0</v>
          </cell>
          <cell r="IV43">
            <v>1005</v>
          </cell>
          <cell r="JH43">
            <v>1037</v>
          </cell>
          <cell r="JI43">
            <v>204</v>
          </cell>
          <cell r="JJ43">
            <v>5568</v>
          </cell>
        </row>
        <row r="47">
          <cell r="JJ47"/>
        </row>
        <row r="48">
          <cell r="JJ48"/>
        </row>
        <row r="52">
          <cell r="JJ52"/>
        </row>
        <row r="53">
          <cell r="JJ53"/>
        </row>
        <row r="57">
          <cell r="JJ57"/>
        </row>
        <row r="58">
          <cell r="JJ58"/>
        </row>
        <row r="64">
          <cell r="IT64">
            <v>46</v>
          </cell>
          <cell r="IU64">
            <v>0</v>
          </cell>
          <cell r="IV64">
            <v>1097</v>
          </cell>
          <cell r="JH64">
            <v>0</v>
          </cell>
          <cell r="JI64">
            <v>0</v>
          </cell>
          <cell r="JJ64">
            <v>0</v>
          </cell>
        </row>
      </sheetData>
      <sheetData sheetId="17">
        <row r="4">
          <cell r="JJ4"/>
        </row>
        <row r="5">
          <cell r="JJ5"/>
        </row>
        <row r="8">
          <cell r="JJ8"/>
        </row>
        <row r="9">
          <cell r="JJ9"/>
        </row>
        <row r="19">
          <cell r="IT19">
            <v>60</v>
          </cell>
          <cell r="IU19">
            <v>58</v>
          </cell>
          <cell r="IV19">
            <v>62</v>
          </cell>
          <cell r="JH19">
            <v>0</v>
          </cell>
          <cell r="JI19">
            <v>0</v>
          </cell>
          <cell r="JJ19">
            <v>0</v>
          </cell>
        </row>
        <row r="22">
          <cell r="JJ22"/>
        </row>
        <row r="23">
          <cell r="JJ23"/>
        </row>
        <row r="27">
          <cell r="JJ27"/>
        </row>
        <row r="28">
          <cell r="JJ28"/>
        </row>
        <row r="41">
          <cell r="IT41">
            <v>5278</v>
          </cell>
          <cell r="IU41">
            <v>4511</v>
          </cell>
          <cell r="IV41">
            <v>5125</v>
          </cell>
          <cell r="JH41">
            <v>0</v>
          </cell>
          <cell r="JI41">
            <v>0</v>
          </cell>
          <cell r="JJ41">
            <v>0</v>
          </cell>
        </row>
        <row r="43">
          <cell r="IT43">
            <v>5401</v>
          </cell>
          <cell r="IU43">
            <v>4597</v>
          </cell>
          <cell r="IV43">
            <v>5234</v>
          </cell>
          <cell r="JH43">
            <v>0</v>
          </cell>
          <cell r="JI43">
            <v>0</v>
          </cell>
          <cell r="JJ43">
            <v>0</v>
          </cell>
        </row>
        <row r="47">
          <cell r="JJ47"/>
        </row>
        <row r="48">
          <cell r="JJ48"/>
        </row>
        <row r="52">
          <cell r="JJ52"/>
        </row>
        <row r="53">
          <cell r="JJ53"/>
        </row>
        <row r="57">
          <cell r="JJ57"/>
        </row>
        <row r="58">
          <cell r="JJ58"/>
        </row>
        <row r="64">
          <cell r="IT64">
            <v>0</v>
          </cell>
          <cell r="IU64">
            <v>0</v>
          </cell>
          <cell r="IV64">
            <v>0</v>
          </cell>
          <cell r="JH64">
            <v>0</v>
          </cell>
          <cell r="JI64">
            <v>0</v>
          </cell>
          <cell r="JJ64">
            <v>0</v>
          </cell>
        </row>
      </sheetData>
      <sheetData sheetId="18">
        <row r="4">
          <cell r="JJ4"/>
        </row>
        <row r="5">
          <cell r="JJ5"/>
        </row>
        <row r="8">
          <cell r="JJ8"/>
        </row>
        <row r="9">
          <cell r="JJ9"/>
        </row>
        <row r="15">
          <cell r="JH15"/>
          <cell r="JI15"/>
          <cell r="JJ15">
            <v>1</v>
          </cell>
        </row>
        <row r="16">
          <cell r="JH16"/>
          <cell r="JI16"/>
          <cell r="JJ16">
            <v>1</v>
          </cell>
        </row>
        <row r="19">
          <cell r="IT19">
            <v>28</v>
          </cell>
          <cell r="IU19">
            <v>28</v>
          </cell>
          <cell r="IV19">
            <v>32</v>
          </cell>
          <cell r="JH19">
            <v>0</v>
          </cell>
          <cell r="JI19">
            <v>0</v>
          </cell>
          <cell r="JJ19">
            <v>2</v>
          </cell>
        </row>
        <row r="22">
          <cell r="JJ22"/>
        </row>
        <row r="23">
          <cell r="JJ23"/>
        </row>
        <row r="27">
          <cell r="JJ27"/>
        </row>
        <row r="28">
          <cell r="JJ28"/>
        </row>
        <row r="32">
          <cell r="JH32"/>
          <cell r="JI32"/>
          <cell r="JJ32">
            <v>315</v>
          </cell>
        </row>
        <row r="33">
          <cell r="JH33"/>
          <cell r="JI33"/>
          <cell r="JJ33">
            <v>273</v>
          </cell>
        </row>
        <row r="37">
          <cell r="JH37"/>
          <cell r="JI37"/>
          <cell r="JJ37"/>
        </row>
        <row r="38">
          <cell r="JH38"/>
          <cell r="JI38"/>
          <cell r="JJ38"/>
        </row>
        <row r="41">
          <cell r="IT41">
            <v>5326</v>
          </cell>
          <cell r="IU41">
            <v>4432</v>
          </cell>
          <cell r="IV41">
            <v>7242</v>
          </cell>
          <cell r="JH41">
            <v>0</v>
          </cell>
          <cell r="JI41">
            <v>0</v>
          </cell>
          <cell r="JJ41">
            <v>588</v>
          </cell>
        </row>
        <row r="43">
          <cell r="IT43">
            <v>5332</v>
          </cell>
          <cell r="IU43">
            <v>4439</v>
          </cell>
          <cell r="IV43">
            <v>7257</v>
          </cell>
          <cell r="JH43">
            <v>0</v>
          </cell>
          <cell r="JI43">
            <v>0</v>
          </cell>
          <cell r="JJ43">
            <v>588</v>
          </cell>
        </row>
        <row r="47">
          <cell r="JJ47">
            <v>30942</v>
          </cell>
        </row>
        <row r="48">
          <cell r="JJ48"/>
        </row>
        <row r="52">
          <cell r="JJ52">
            <v>401</v>
          </cell>
        </row>
        <row r="53">
          <cell r="JJ53"/>
        </row>
        <row r="57">
          <cell r="JJ57"/>
        </row>
        <row r="58">
          <cell r="JJ58"/>
        </row>
        <row r="64">
          <cell r="IT64">
            <v>224435</v>
          </cell>
          <cell r="IU64">
            <v>310699</v>
          </cell>
          <cell r="IV64">
            <v>382902</v>
          </cell>
          <cell r="JH64">
            <v>0</v>
          </cell>
          <cell r="JI64">
            <v>0</v>
          </cell>
          <cell r="JJ64">
            <v>31343</v>
          </cell>
        </row>
      </sheetData>
      <sheetData sheetId="19"/>
      <sheetData sheetId="20"/>
      <sheetData sheetId="21"/>
      <sheetData sheetId="22">
        <row r="4">
          <cell r="JJ4"/>
        </row>
        <row r="5">
          <cell r="JJ5"/>
        </row>
        <row r="8">
          <cell r="JJ8"/>
        </row>
        <row r="9">
          <cell r="JJ9"/>
        </row>
        <row r="15">
          <cell r="JH15">
            <v>17</v>
          </cell>
          <cell r="JI15">
            <v>12</v>
          </cell>
          <cell r="JJ15">
            <v>16</v>
          </cell>
        </row>
        <row r="16">
          <cell r="JH16">
            <v>17</v>
          </cell>
          <cell r="JI16">
            <v>12</v>
          </cell>
          <cell r="JJ16">
            <v>16</v>
          </cell>
        </row>
        <row r="19">
          <cell r="IT19">
            <v>0</v>
          </cell>
          <cell r="IU19">
            <v>0</v>
          </cell>
          <cell r="IV19">
            <v>0</v>
          </cell>
          <cell r="JH19">
            <v>34</v>
          </cell>
          <cell r="JI19">
            <v>24</v>
          </cell>
          <cell r="JJ19">
            <v>32</v>
          </cell>
        </row>
        <row r="22">
          <cell r="JJ22"/>
        </row>
        <row r="23">
          <cell r="JJ23"/>
        </row>
        <row r="27">
          <cell r="JJ27"/>
        </row>
        <row r="28">
          <cell r="JJ28"/>
        </row>
        <row r="32">
          <cell r="JH32">
            <v>3744</v>
          </cell>
          <cell r="JI32">
            <v>1691</v>
          </cell>
          <cell r="JJ32">
            <v>2926</v>
          </cell>
        </row>
        <row r="33">
          <cell r="JH33">
            <v>2524</v>
          </cell>
          <cell r="JI33">
            <v>1385</v>
          </cell>
          <cell r="JJ33">
            <v>3345</v>
          </cell>
        </row>
        <row r="37">
          <cell r="JH37">
            <v>66</v>
          </cell>
          <cell r="JI37">
            <v>22</v>
          </cell>
          <cell r="JJ37">
            <v>29</v>
          </cell>
        </row>
        <row r="38">
          <cell r="JH38">
            <v>75</v>
          </cell>
          <cell r="JI38">
            <v>26</v>
          </cell>
          <cell r="JJ38">
            <v>42</v>
          </cell>
        </row>
        <row r="41">
          <cell r="IT41">
            <v>0</v>
          </cell>
          <cell r="IU41">
            <v>0</v>
          </cell>
          <cell r="IV41">
            <v>0</v>
          </cell>
          <cell r="JH41">
            <v>6268</v>
          </cell>
          <cell r="JI41">
            <v>3076</v>
          </cell>
          <cell r="JJ41">
            <v>6271</v>
          </cell>
        </row>
        <row r="43">
          <cell r="IT43">
            <v>0</v>
          </cell>
          <cell r="IU43">
            <v>0</v>
          </cell>
          <cell r="IV43">
            <v>0</v>
          </cell>
          <cell r="JH43">
            <v>6409</v>
          </cell>
          <cell r="JI43">
            <v>3124</v>
          </cell>
          <cell r="JJ43">
            <v>6342</v>
          </cell>
        </row>
        <row r="47">
          <cell r="JJ47">
            <v>495449</v>
          </cell>
        </row>
        <row r="48">
          <cell r="JJ48"/>
        </row>
        <row r="52">
          <cell r="JJ52">
            <v>114571</v>
          </cell>
        </row>
        <row r="53">
          <cell r="JJ53"/>
        </row>
        <row r="57">
          <cell r="JJ57"/>
        </row>
        <row r="58">
          <cell r="JJ58"/>
        </row>
        <row r="64">
          <cell r="IT64">
            <v>0</v>
          </cell>
          <cell r="IU64">
            <v>0</v>
          </cell>
          <cell r="IV64">
            <v>0</v>
          </cell>
          <cell r="JH64">
            <v>534234</v>
          </cell>
          <cell r="JI64">
            <v>501971</v>
          </cell>
          <cell r="JJ64">
            <v>610020</v>
          </cell>
        </row>
      </sheetData>
      <sheetData sheetId="23">
        <row r="4">
          <cell r="JJ4">
            <v>506</v>
          </cell>
        </row>
        <row r="5">
          <cell r="JJ5">
            <v>506</v>
          </cell>
        </row>
        <row r="8">
          <cell r="JJ8"/>
        </row>
        <row r="9">
          <cell r="JJ9"/>
        </row>
        <row r="19">
          <cell r="IT19">
            <v>1138</v>
          </cell>
          <cell r="IU19">
            <v>1063</v>
          </cell>
          <cell r="IV19">
            <v>1329</v>
          </cell>
          <cell r="JH19">
            <v>885</v>
          </cell>
          <cell r="JI19">
            <v>811</v>
          </cell>
          <cell r="JJ19">
            <v>1012</v>
          </cell>
        </row>
        <row r="22">
          <cell r="JJ22">
            <v>64165</v>
          </cell>
        </row>
        <row r="23">
          <cell r="JJ23">
            <v>66241</v>
          </cell>
        </row>
        <row r="27">
          <cell r="JJ27">
            <v>1509</v>
          </cell>
        </row>
        <row r="28">
          <cell r="JJ28">
            <v>1690</v>
          </cell>
        </row>
        <row r="41">
          <cell r="IT41">
            <v>115130</v>
          </cell>
          <cell r="IU41">
            <v>123424</v>
          </cell>
          <cell r="IV41">
            <v>169940</v>
          </cell>
          <cell r="JH41">
            <v>91333</v>
          </cell>
          <cell r="JI41">
            <v>89844</v>
          </cell>
          <cell r="JJ41">
            <v>130406</v>
          </cell>
        </row>
        <row r="43">
          <cell r="IT43">
            <v>118548</v>
          </cell>
          <cell r="IU43">
            <v>126528</v>
          </cell>
          <cell r="IV43">
            <v>172909</v>
          </cell>
          <cell r="JH43">
            <v>94783</v>
          </cell>
          <cell r="JI43">
            <v>92647</v>
          </cell>
          <cell r="JJ43">
            <v>133605</v>
          </cell>
        </row>
        <row r="47">
          <cell r="JJ47">
            <v>156239</v>
          </cell>
        </row>
        <row r="48">
          <cell r="JJ48"/>
        </row>
        <row r="52">
          <cell r="JJ52">
            <v>36888</v>
          </cell>
        </row>
        <row r="53">
          <cell r="JJ53"/>
        </row>
        <row r="57">
          <cell r="JJ57"/>
        </row>
        <row r="58">
          <cell r="JJ58"/>
        </row>
        <row r="64">
          <cell r="IT64">
            <v>191573</v>
          </cell>
          <cell r="IU64">
            <v>224860</v>
          </cell>
          <cell r="IV64">
            <v>249894</v>
          </cell>
          <cell r="JH64">
            <v>197876</v>
          </cell>
          <cell r="JI64">
            <v>195378</v>
          </cell>
          <cell r="JJ64">
            <v>193127</v>
          </cell>
        </row>
        <row r="70">
          <cell r="JJ70"/>
        </row>
        <row r="71">
          <cell r="JJ71"/>
        </row>
        <row r="73">
          <cell r="JJ73"/>
        </row>
        <row r="74">
          <cell r="JJ74"/>
        </row>
      </sheetData>
      <sheetData sheetId="24">
        <row r="4">
          <cell r="JJ4">
            <v>151</v>
          </cell>
        </row>
        <row r="5">
          <cell r="JJ5">
            <v>152</v>
          </cell>
        </row>
        <row r="8">
          <cell r="JJ8"/>
        </row>
        <row r="9">
          <cell r="JJ9"/>
        </row>
        <row r="15">
          <cell r="JJ15">
            <v>1</v>
          </cell>
        </row>
        <row r="19">
          <cell r="IT19">
            <v>214</v>
          </cell>
          <cell r="IU19">
            <v>190</v>
          </cell>
          <cell r="IV19">
            <v>258</v>
          </cell>
          <cell r="JH19">
            <v>150</v>
          </cell>
          <cell r="JI19">
            <v>100</v>
          </cell>
          <cell r="JJ19">
            <v>304</v>
          </cell>
        </row>
        <row r="22">
          <cell r="JJ22">
            <v>21233</v>
          </cell>
        </row>
        <row r="23">
          <cell r="JJ23">
            <v>22975</v>
          </cell>
        </row>
        <row r="27">
          <cell r="JJ27">
            <v>162</v>
          </cell>
        </row>
        <row r="28">
          <cell r="JJ28">
            <v>149</v>
          </cell>
        </row>
        <row r="41">
          <cell r="IT41">
            <v>28204</v>
          </cell>
          <cell r="IU41">
            <v>23855</v>
          </cell>
          <cell r="IV41">
            <v>40067</v>
          </cell>
          <cell r="JH41">
            <v>21226</v>
          </cell>
          <cell r="JI41">
            <v>13872</v>
          </cell>
          <cell r="JJ41">
            <v>44208</v>
          </cell>
        </row>
        <row r="43">
          <cell r="IT43">
            <v>28475</v>
          </cell>
          <cell r="IU43">
            <v>24046</v>
          </cell>
          <cell r="IV43">
            <v>40300</v>
          </cell>
          <cell r="JH43">
            <v>21435</v>
          </cell>
          <cell r="JI43">
            <v>14029</v>
          </cell>
          <cell r="JJ43">
            <v>44519</v>
          </cell>
        </row>
        <row r="47">
          <cell r="JJ47"/>
        </row>
        <row r="48">
          <cell r="JJ48"/>
        </row>
        <row r="52">
          <cell r="JJ52"/>
        </row>
        <row r="53">
          <cell r="JJ53"/>
        </row>
        <row r="57">
          <cell r="JJ57"/>
        </row>
        <row r="58">
          <cell r="JJ58"/>
        </row>
        <row r="64">
          <cell r="IT64">
            <v>0</v>
          </cell>
          <cell r="IU64">
            <v>0</v>
          </cell>
          <cell r="IV64">
            <v>0</v>
          </cell>
          <cell r="JH64">
            <v>0</v>
          </cell>
          <cell r="JI64">
            <v>0</v>
          </cell>
          <cell r="JJ64">
            <v>0</v>
          </cell>
        </row>
        <row r="70">
          <cell r="JJ70"/>
        </row>
        <row r="71">
          <cell r="JJ71"/>
        </row>
        <row r="73">
          <cell r="JJ73"/>
        </row>
        <row r="74">
          <cell r="JJ74"/>
        </row>
      </sheetData>
      <sheetData sheetId="25">
        <row r="4">
          <cell r="JJ4">
            <v>995</v>
          </cell>
        </row>
        <row r="5">
          <cell r="JJ5">
            <v>1002</v>
          </cell>
        </row>
        <row r="8">
          <cell r="JJ8">
            <v>67</v>
          </cell>
        </row>
        <row r="9">
          <cell r="JJ9">
            <v>65</v>
          </cell>
        </row>
        <row r="15">
          <cell r="JH15">
            <v>227</v>
          </cell>
          <cell r="JI15">
            <v>296</v>
          </cell>
          <cell r="JJ15">
            <v>377</v>
          </cell>
        </row>
        <row r="16">
          <cell r="JH16">
            <v>230</v>
          </cell>
          <cell r="JI16">
            <v>292</v>
          </cell>
          <cell r="JJ16">
            <v>378</v>
          </cell>
        </row>
        <row r="19">
          <cell r="IT19">
            <v>1887</v>
          </cell>
          <cell r="IU19">
            <v>2247</v>
          </cell>
          <cell r="IV19">
            <v>2842</v>
          </cell>
          <cell r="JH19">
            <v>2089</v>
          </cell>
          <cell r="JI19">
            <v>2255</v>
          </cell>
          <cell r="JJ19">
            <v>2884</v>
          </cell>
        </row>
        <row r="22">
          <cell r="JJ22">
            <v>159701</v>
          </cell>
        </row>
        <row r="23">
          <cell r="JJ23">
            <v>167909</v>
          </cell>
        </row>
        <row r="27">
          <cell r="JJ27">
            <v>2934</v>
          </cell>
        </row>
        <row r="28">
          <cell r="JJ28">
            <v>3111</v>
          </cell>
        </row>
        <row r="32">
          <cell r="JH32">
            <v>29619</v>
          </cell>
          <cell r="JI32">
            <v>37250</v>
          </cell>
          <cell r="JJ32">
            <v>55448</v>
          </cell>
        </row>
        <row r="33">
          <cell r="JH33">
            <v>8</v>
          </cell>
          <cell r="JI33">
            <v>38541</v>
          </cell>
          <cell r="JJ33">
            <v>57589</v>
          </cell>
        </row>
        <row r="37">
          <cell r="JH37">
            <v>753</v>
          </cell>
          <cell r="JI37">
            <v>734</v>
          </cell>
          <cell r="JJ37">
            <v>716</v>
          </cell>
        </row>
        <row r="38">
          <cell r="JH38"/>
          <cell r="JI38">
            <v>722</v>
          </cell>
          <cell r="JJ38">
            <v>745</v>
          </cell>
        </row>
        <row r="41">
          <cell r="IT41">
            <v>271298</v>
          </cell>
          <cell r="IU41">
            <v>342363</v>
          </cell>
          <cell r="IV41">
            <v>442992</v>
          </cell>
          <cell r="JH41">
            <v>256789</v>
          </cell>
          <cell r="JI41">
            <v>319732</v>
          </cell>
          <cell r="JJ41">
            <v>440647</v>
          </cell>
        </row>
        <row r="43">
          <cell r="IT43">
            <v>275973</v>
          </cell>
          <cell r="IU43">
            <v>347194</v>
          </cell>
          <cell r="IV43">
            <v>449200</v>
          </cell>
          <cell r="JH43">
            <v>262084</v>
          </cell>
          <cell r="JI43">
            <v>325180</v>
          </cell>
          <cell r="JJ43">
            <v>448153</v>
          </cell>
        </row>
        <row r="47">
          <cell r="JJ47"/>
        </row>
        <row r="48">
          <cell r="JJ48"/>
        </row>
        <row r="52">
          <cell r="JJ52"/>
        </row>
        <row r="53">
          <cell r="JJ53"/>
        </row>
        <row r="57">
          <cell r="JJ57"/>
        </row>
        <row r="58">
          <cell r="JJ58"/>
        </row>
        <row r="64">
          <cell r="IT64">
            <v>0</v>
          </cell>
          <cell r="IU64">
            <v>0</v>
          </cell>
          <cell r="IV64">
            <v>0</v>
          </cell>
          <cell r="JH64">
            <v>0</v>
          </cell>
          <cell r="JI64">
            <v>0</v>
          </cell>
          <cell r="JJ64">
            <v>0</v>
          </cell>
        </row>
        <row r="70">
          <cell r="JJ70"/>
        </row>
        <row r="71">
          <cell r="JJ71"/>
        </row>
        <row r="73">
          <cell r="JJ73"/>
        </row>
        <row r="74">
          <cell r="JJ74"/>
        </row>
      </sheetData>
      <sheetData sheetId="26"/>
      <sheetData sheetId="27"/>
      <sheetData sheetId="28">
        <row r="4">
          <cell r="JJ4">
            <v>352</v>
          </cell>
        </row>
        <row r="5">
          <cell r="JJ5">
            <v>352</v>
          </cell>
        </row>
        <row r="8">
          <cell r="JJ8">
            <v>1</v>
          </cell>
        </row>
        <row r="9">
          <cell r="JJ9">
            <v>1</v>
          </cell>
        </row>
        <row r="19">
          <cell r="IT19">
            <v>722</v>
          </cell>
          <cell r="IU19">
            <v>769</v>
          </cell>
          <cell r="IV19">
            <v>778</v>
          </cell>
          <cell r="JH19">
            <v>709</v>
          </cell>
          <cell r="JI19">
            <v>666</v>
          </cell>
          <cell r="JJ19">
            <v>706</v>
          </cell>
        </row>
        <row r="22">
          <cell r="JJ22">
            <v>45182</v>
          </cell>
        </row>
        <row r="23">
          <cell r="JJ23">
            <v>45009</v>
          </cell>
        </row>
        <row r="27">
          <cell r="JJ27">
            <v>1718</v>
          </cell>
        </row>
        <row r="28">
          <cell r="JJ28">
            <v>1746</v>
          </cell>
        </row>
        <row r="41">
          <cell r="IT41">
            <v>91022</v>
          </cell>
          <cell r="IU41">
            <v>101052</v>
          </cell>
          <cell r="IV41">
            <v>107048</v>
          </cell>
          <cell r="JH41">
            <v>83717</v>
          </cell>
          <cell r="JI41">
            <v>78095</v>
          </cell>
          <cell r="JJ41">
            <v>90191</v>
          </cell>
        </row>
        <row r="43">
          <cell r="IT43">
            <v>94238</v>
          </cell>
          <cell r="IU43">
            <v>104829</v>
          </cell>
          <cell r="IV43">
            <v>110616</v>
          </cell>
          <cell r="JH43">
            <v>88048</v>
          </cell>
          <cell r="JI43">
            <v>81886</v>
          </cell>
          <cell r="JJ43">
            <v>93655</v>
          </cell>
        </row>
        <row r="47">
          <cell r="JJ47">
            <v>19358</v>
          </cell>
        </row>
        <row r="48">
          <cell r="JJ48"/>
        </row>
        <row r="52">
          <cell r="JJ52">
            <v>3739</v>
          </cell>
        </row>
        <row r="53">
          <cell r="JJ53"/>
        </row>
        <row r="57">
          <cell r="JJ57"/>
        </row>
        <row r="58">
          <cell r="JJ58"/>
        </row>
        <row r="64">
          <cell r="IT64">
            <v>16229</v>
          </cell>
          <cell r="IU64">
            <v>21308</v>
          </cell>
          <cell r="IV64">
            <v>67302</v>
          </cell>
          <cell r="JH64">
            <v>13175</v>
          </cell>
          <cell r="JI64">
            <v>42272</v>
          </cell>
          <cell r="JJ64">
            <v>23097</v>
          </cell>
        </row>
      </sheetData>
      <sheetData sheetId="29">
        <row r="4">
          <cell r="JJ4"/>
        </row>
        <row r="5">
          <cell r="JJ5"/>
        </row>
        <row r="8">
          <cell r="JJ8"/>
        </row>
        <row r="9">
          <cell r="JJ9"/>
        </row>
        <row r="15">
          <cell r="JH15">
            <v>64</v>
          </cell>
          <cell r="JI15">
            <v>59</v>
          </cell>
          <cell r="JJ15">
            <v>62</v>
          </cell>
        </row>
        <row r="16">
          <cell r="JH16">
            <v>64</v>
          </cell>
          <cell r="JI16">
            <v>59</v>
          </cell>
          <cell r="JJ16">
            <v>62</v>
          </cell>
        </row>
        <row r="19">
          <cell r="IT19">
            <v>72</v>
          </cell>
          <cell r="IU19">
            <v>66</v>
          </cell>
          <cell r="IV19">
            <v>68</v>
          </cell>
          <cell r="JH19">
            <v>128</v>
          </cell>
          <cell r="JI19">
            <v>118</v>
          </cell>
          <cell r="JJ19">
            <v>124</v>
          </cell>
        </row>
        <row r="22">
          <cell r="JJ22"/>
        </row>
        <row r="23">
          <cell r="JJ23"/>
        </row>
        <row r="27">
          <cell r="JJ27"/>
        </row>
        <row r="28">
          <cell r="JJ28"/>
        </row>
        <row r="32">
          <cell r="JH32">
            <v>5058</v>
          </cell>
          <cell r="JI32">
            <v>5238</v>
          </cell>
          <cell r="JJ32">
            <v>4614</v>
          </cell>
        </row>
        <row r="33">
          <cell r="JH33">
            <v>4786</v>
          </cell>
          <cell r="JI33">
            <v>5164</v>
          </cell>
          <cell r="JJ33">
            <v>5164</v>
          </cell>
        </row>
        <row r="37">
          <cell r="JH37">
            <v>2</v>
          </cell>
          <cell r="JI37">
            <v>4</v>
          </cell>
          <cell r="JJ37">
            <v>2</v>
          </cell>
        </row>
        <row r="38">
          <cell r="JH38">
            <v>3</v>
          </cell>
          <cell r="JI38">
            <v>0</v>
          </cell>
          <cell r="JJ38">
            <v>3</v>
          </cell>
        </row>
        <row r="41">
          <cell r="IT41">
            <v>7418</v>
          </cell>
          <cell r="IU41">
            <v>7115</v>
          </cell>
          <cell r="IV41">
            <v>7894</v>
          </cell>
          <cell r="JH41">
            <v>9844</v>
          </cell>
          <cell r="JI41">
            <v>10402</v>
          </cell>
          <cell r="JJ41">
            <v>9778</v>
          </cell>
        </row>
        <row r="43">
          <cell r="IT43">
            <v>7419</v>
          </cell>
          <cell r="IU43">
            <v>7117</v>
          </cell>
          <cell r="IV43">
            <v>7896</v>
          </cell>
          <cell r="JH43">
            <v>9849</v>
          </cell>
          <cell r="JI43">
            <v>10406</v>
          </cell>
          <cell r="JJ43">
            <v>9783</v>
          </cell>
        </row>
        <row r="47">
          <cell r="JJ47"/>
        </row>
        <row r="48">
          <cell r="JJ48"/>
        </row>
        <row r="52">
          <cell r="JJ52"/>
        </row>
        <row r="53">
          <cell r="JJ53"/>
        </row>
        <row r="57">
          <cell r="JJ57"/>
        </row>
        <row r="58">
          <cell r="JJ58"/>
        </row>
        <row r="64">
          <cell r="IT64">
            <v>0</v>
          </cell>
          <cell r="IU64">
            <v>0</v>
          </cell>
          <cell r="IV64">
            <v>0</v>
          </cell>
          <cell r="JH64">
            <v>0</v>
          </cell>
          <cell r="JI64">
            <v>0</v>
          </cell>
          <cell r="JJ64">
            <v>0</v>
          </cell>
        </row>
      </sheetData>
      <sheetData sheetId="30"/>
      <sheetData sheetId="31">
        <row r="4">
          <cell r="JJ4">
            <v>18</v>
          </cell>
        </row>
        <row r="5">
          <cell r="JJ5">
            <v>18</v>
          </cell>
        </row>
        <row r="8">
          <cell r="JJ8"/>
        </row>
        <row r="9">
          <cell r="JJ9"/>
        </row>
        <row r="19">
          <cell r="IT19">
            <v>34</v>
          </cell>
          <cell r="IU19">
            <v>84</v>
          </cell>
          <cell r="IV19">
            <v>64</v>
          </cell>
          <cell r="JH19">
            <v>142</v>
          </cell>
          <cell r="JI19">
            <v>154</v>
          </cell>
          <cell r="JJ19">
            <v>36</v>
          </cell>
        </row>
        <row r="22">
          <cell r="JJ22">
            <v>1038</v>
          </cell>
        </row>
        <row r="23">
          <cell r="JJ23">
            <v>1068</v>
          </cell>
        </row>
        <row r="27">
          <cell r="JJ27">
            <v>48</v>
          </cell>
        </row>
        <row r="28">
          <cell r="JJ28">
            <v>53</v>
          </cell>
        </row>
        <row r="41">
          <cell r="IT41">
            <v>1696</v>
          </cell>
          <cell r="IU41">
            <v>5178</v>
          </cell>
          <cell r="IV41">
            <v>3894</v>
          </cell>
          <cell r="JH41">
            <v>8120</v>
          </cell>
          <cell r="JI41">
            <v>8819</v>
          </cell>
          <cell r="JJ41">
            <v>2106</v>
          </cell>
        </row>
        <row r="43">
          <cell r="IT43">
            <v>1778</v>
          </cell>
          <cell r="IU43">
            <v>5382</v>
          </cell>
          <cell r="IV43">
            <v>4070</v>
          </cell>
          <cell r="JH43">
            <v>8482</v>
          </cell>
          <cell r="JI43">
            <v>9221</v>
          </cell>
          <cell r="JJ43">
            <v>2207</v>
          </cell>
        </row>
        <row r="47">
          <cell r="JJ47"/>
        </row>
        <row r="48">
          <cell r="JJ48"/>
        </row>
        <row r="52">
          <cell r="JJ52"/>
        </row>
        <row r="53">
          <cell r="JJ53"/>
        </row>
        <row r="57">
          <cell r="JJ57"/>
        </row>
        <row r="58">
          <cell r="JJ58"/>
        </row>
        <row r="64">
          <cell r="IT64">
            <v>0</v>
          </cell>
          <cell r="IU64">
            <v>728</v>
          </cell>
          <cell r="IV64">
            <v>189</v>
          </cell>
          <cell r="JH64">
            <v>1194</v>
          </cell>
          <cell r="JI64">
            <v>444</v>
          </cell>
          <cell r="JJ64">
            <v>0</v>
          </cell>
        </row>
      </sheetData>
      <sheetData sheetId="32">
        <row r="4">
          <cell r="JJ4"/>
        </row>
        <row r="5">
          <cell r="JJ5"/>
        </row>
        <row r="8">
          <cell r="JJ8"/>
        </row>
        <row r="9">
          <cell r="JJ9"/>
        </row>
        <row r="19">
          <cell r="IT19">
            <v>100</v>
          </cell>
          <cell r="IU19">
            <v>64</v>
          </cell>
          <cell r="IV19">
            <v>94</v>
          </cell>
          <cell r="JH19">
            <v>0</v>
          </cell>
          <cell r="JI19">
            <v>0</v>
          </cell>
          <cell r="JJ19">
            <v>0</v>
          </cell>
        </row>
        <row r="22">
          <cell r="JJ22"/>
        </row>
        <row r="23">
          <cell r="JJ23"/>
        </row>
        <row r="27">
          <cell r="JJ27"/>
        </row>
        <row r="28">
          <cell r="JJ28"/>
        </row>
        <row r="41">
          <cell r="IT41">
            <v>4331</v>
          </cell>
          <cell r="IU41">
            <v>2948</v>
          </cell>
          <cell r="IV41">
            <v>4356</v>
          </cell>
          <cell r="JH41">
            <v>0</v>
          </cell>
          <cell r="JI41">
            <v>0</v>
          </cell>
          <cell r="JJ41">
            <v>0</v>
          </cell>
        </row>
        <row r="43">
          <cell r="IT43">
            <v>4465</v>
          </cell>
          <cell r="IU43">
            <v>3026</v>
          </cell>
          <cell r="IV43">
            <v>4511</v>
          </cell>
          <cell r="JH43">
            <v>0</v>
          </cell>
          <cell r="JI43">
            <v>0</v>
          </cell>
          <cell r="JJ43">
            <v>0</v>
          </cell>
        </row>
        <row r="47">
          <cell r="JJ47"/>
        </row>
        <row r="48">
          <cell r="JJ48"/>
        </row>
        <row r="52">
          <cell r="JJ52"/>
        </row>
        <row r="53">
          <cell r="JJ53"/>
        </row>
        <row r="57">
          <cell r="JJ57"/>
        </row>
        <row r="58">
          <cell r="BG58"/>
        </row>
        <row r="64">
          <cell r="IT64">
            <v>1107</v>
          </cell>
          <cell r="IU64">
            <v>649</v>
          </cell>
          <cell r="IV64">
            <v>922</v>
          </cell>
          <cell r="JH64">
            <v>0</v>
          </cell>
          <cell r="JI64">
            <v>0</v>
          </cell>
          <cell r="JJ64">
            <v>0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>
        <row r="58">
          <cell r="BG58"/>
        </row>
      </sheetData>
      <sheetData sheetId="41"/>
      <sheetData sheetId="42">
        <row r="58">
          <cell r="BK58"/>
        </row>
      </sheetData>
      <sheetData sheetId="43"/>
      <sheetData sheetId="44">
        <row r="4">
          <cell r="JJ4">
            <v>37</v>
          </cell>
        </row>
        <row r="5">
          <cell r="JJ5">
            <v>35</v>
          </cell>
        </row>
        <row r="8">
          <cell r="JJ8">
            <v>1</v>
          </cell>
        </row>
        <row r="9">
          <cell r="JJ9">
            <v>2</v>
          </cell>
        </row>
        <row r="19">
          <cell r="IT19">
            <v>92</v>
          </cell>
          <cell r="IU19">
            <v>78</v>
          </cell>
          <cell r="IV19">
            <v>72</v>
          </cell>
          <cell r="JH19">
            <v>74</v>
          </cell>
          <cell r="JI19">
            <v>80</v>
          </cell>
          <cell r="JJ19">
            <v>75</v>
          </cell>
        </row>
        <row r="22">
          <cell r="JJ22">
            <v>2183</v>
          </cell>
        </row>
        <row r="23">
          <cell r="JJ23">
            <v>1809</v>
          </cell>
        </row>
        <row r="27">
          <cell r="JJ27">
            <v>129</v>
          </cell>
        </row>
        <row r="28">
          <cell r="JJ28">
            <v>109</v>
          </cell>
        </row>
        <row r="41">
          <cell r="IT41">
            <v>5902</v>
          </cell>
          <cell r="IU41">
            <v>4812</v>
          </cell>
          <cell r="IV41">
            <v>4387</v>
          </cell>
          <cell r="JH41">
            <v>4500</v>
          </cell>
          <cell r="JI41">
            <v>4377</v>
          </cell>
          <cell r="JJ41">
            <v>3992</v>
          </cell>
        </row>
        <row r="43">
          <cell r="IT43">
            <v>6158</v>
          </cell>
          <cell r="IU43">
            <v>5032</v>
          </cell>
          <cell r="IV43">
            <v>4607</v>
          </cell>
          <cell r="JH43">
            <v>4697</v>
          </cell>
          <cell r="JI43">
            <v>4579</v>
          </cell>
          <cell r="JJ43">
            <v>4230</v>
          </cell>
        </row>
        <row r="47">
          <cell r="JJ47"/>
        </row>
        <row r="48">
          <cell r="JJ48"/>
        </row>
        <row r="52">
          <cell r="JJ52"/>
        </row>
        <row r="53">
          <cell r="JJ53"/>
        </row>
        <row r="57">
          <cell r="JJ57"/>
        </row>
        <row r="58">
          <cell r="JJ58"/>
        </row>
        <row r="64">
          <cell r="IT64">
            <v>0</v>
          </cell>
          <cell r="IU64">
            <v>0</v>
          </cell>
          <cell r="IV64">
            <v>0</v>
          </cell>
          <cell r="JH64">
            <v>0</v>
          </cell>
          <cell r="JI64">
            <v>0</v>
          </cell>
          <cell r="JJ64">
            <v>0</v>
          </cell>
        </row>
      </sheetData>
      <sheetData sheetId="45">
        <row r="4">
          <cell r="JJ4"/>
        </row>
        <row r="5">
          <cell r="JJ5"/>
        </row>
        <row r="8">
          <cell r="JJ8"/>
        </row>
        <row r="9">
          <cell r="JJ9"/>
        </row>
        <row r="15">
          <cell r="JH15">
            <v>92</v>
          </cell>
          <cell r="JI15">
            <v>65</v>
          </cell>
          <cell r="JJ15">
            <v>89</v>
          </cell>
        </row>
        <row r="16">
          <cell r="JH16">
            <v>92</v>
          </cell>
          <cell r="JI16">
            <v>65</v>
          </cell>
          <cell r="JJ16">
            <v>89</v>
          </cell>
        </row>
        <row r="19">
          <cell r="IT19">
            <v>186</v>
          </cell>
          <cell r="IU19">
            <v>177</v>
          </cell>
          <cell r="IV19">
            <v>185</v>
          </cell>
          <cell r="JH19">
            <v>184</v>
          </cell>
          <cell r="JI19">
            <v>130</v>
          </cell>
          <cell r="JJ19">
            <v>178</v>
          </cell>
        </row>
        <row r="22">
          <cell r="JJ22"/>
        </row>
        <row r="23">
          <cell r="JJ23"/>
        </row>
        <row r="27">
          <cell r="JJ27"/>
        </row>
        <row r="28">
          <cell r="JJ28"/>
        </row>
        <row r="32">
          <cell r="JH32">
            <v>4127</v>
          </cell>
          <cell r="JI32">
            <v>3045</v>
          </cell>
          <cell r="JJ32">
            <v>4051</v>
          </cell>
        </row>
        <row r="33">
          <cell r="JH33">
            <v>3607</v>
          </cell>
          <cell r="JI33">
            <v>2689</v>
          </cell>
          <cell r="JJ33">
            <v>4495</v>
          </cell>
        </row>
        <row r="37">
          <cell r="JH37">
            <v>87</v>
          </cell>
          <cell r="JI37">
            <v>52</v>
          </cell>
          <cell r="JJ37">
            <v>86</v>
          </cell>
        </row>
        <row r="38">
          <cell r="JH38">
            <v>86</v>
          </cell>
          <cell r="JI38">
            <v>57</v>
          </cell>
          <cell r="JJ38">
            <v>104</v>
          </cell>
        </row>
        <row r="41">
          <cell r="IT41">
            <v>7527</v>
          </cell>
          <cell r="IU41">
            <v>6558</v>
          </cell>
          <cell r="IV41">
            <v>9307</v>
          </cell>
          <cell r="JH41">
            <v>7734</v>
          </cell>
          <cell r="JI41">
            <v>5734</v>
          </cell>
          <cell r="JJ41">
            <v>8546</v>
          </cell>
        </row>
        <row r="43">
          <cell r="IT43">
            <v>7619</v>
          </cell>
          <cell r="IU43">
            <v>6676</v>
          </cell>
          <cell r="IV43">
            <v>9482</v>
          </cell>
          <cell r="JH43">
            <v>7907</v>
          </cell>
          <cell r="JI43">
            <v>5843</v>
          </cell>
          <cell r="JJ43">
            <v>8736</v>
          </cell>
        </row>
        <row r="47">
          <cell r="JJ47">
            <v>11933.9</v>
          </cell>
        </row>
        <row r="48">
          <cell r="JJ48"/>
        </row>
        <row r="52">
          <cell r="JJ52">
            <v>11155.6</v>
          </cell>
        </row>
        <row r="53">
          <cell r="JJ53"/>
        </row>
        <row r="57">
          <cell r="JJ57"/>
        </row>
        <row r="58">
          <cell r="BF58"/>
        </row>
        <row r="64">
          <cell r="IT64">
            <v>10958.5</v>
          </cell>
          <cell r="IU64">
            <v>11019.3</v>
          </cell>
          <cell r="IV64">
            <v>24857.7</v>
          </cell>
          <cell r="JH64">
            <v>10641.7</v>
          </cell>
          <cell r="JI64">
            <v>20175.5</v>
          </cell>
          <cell r="JJ64">
            <v>23089.5</v>
          </cell>
        </row>
      </sheetData>
      <sheetData sheetId="46">
        <row r="4">
          <cell r="JJ4">
            <v>96</v>
          </cell>
        </row>
        <row r="5">
          <cell r="JJ5">
            <v>96</v>
          </cell>
        </row>
        <row r="8">
          <cell r="JJ8">
            <v>1</v>
          </cell>
        </row>
        <row r="9">
          <cell r="JJ9">
            <v>1</v>
          </cell>
        </row>
        <row r="19">
          <cell r="IT19">
            <v>116</v>
          </cell>
          <cell r="IU19">
            <v>110</v>
          </cell>
          <cell r="IV19">
            <v>192</v>
          </cell>
          <cell r="JH19">
            <v>80</v>
          </cell>
          <cell r="JI19">
            <v>120</v>
          </cell>
          <cell r="JJ19">
            <v>194</v>
          </cell>
        </row>
        <row r="22">
          <cell r="JJ22">
            <v>5933</v>
          </cell>
        </row>
        <row r="23">
          <cell r="JJ23">
            <v>6308</v>
          </cell>
        </row>
        <row r="27">
          <cell r="JJ27">
            <v>214</v>
          </cell>
        </row>
        <row r="28">
          <cell r="JJ28">
            <v>154</v>
          </cell>
        </row>
        <row r="41">
          <cell r="IT41">
            <v>7271</v>
          </cell>
          <cell r="IU41">
            <v>6666</v>
          </cell>
          <cell r="IV41">
            <v>12768</v>
          </cell>
          <cell r="JH41">
            <v>4677</v>
          </cell>
          <cell r="JI41">
            <v>7217</v>
          </cell>
          <cell r="JJ41">
            <v>12241</v>
          </cell>
        </row>
        <row r="43">
          <cell r="IT43">
            <v>7488</v>
          </cell>
          <cell r="IU43">
            <v>6938</v>
          </cell>
          <cell r="IV43">
            <v>13211</v>
          </cell>
          <cell r="JH43">
            <v>4855</v>
          </cell>
          <cell r="JI43">
            <v>7500</v>
          </cell>
          <cell r="JJ43">
            <v>12609</v>
          </cell>
        </row>
        <row r="47">
          <cell r="JJ47"/>
        </row>
        <row r="48">
          <cell r="JJ48"/>
        </row>
        <row r="52">
          <cell r="JJ52"/>
        </row>
        <row r="53">
          <cell r="JJ53"/>
        </row>
        <row r="57">
          <cell r="JJ57"/>
        </row>
        <row r="58">
          <cell r="JJ58"/>
        </row>
        <row r="64">
          <cell r="IT64">
            <v>0</v>
          </cell>
          <cell r="IU64">
            <v>0</v>
          </cell>
          <cell r="IV64">
            <v>0</v>
          </cell>
          <cell r="JH64">
            <v>0</v>
          </cell>
          <cell r="JI64">
            <v>0</v>
          </cell>
          <cell r="JJ64">
            <v>0</v>
          </cell>
        </row>
      </sheetData>
      <sheetData sheetId="47"/>
      <sheetData sheetId="48"/>
      <sheetData sheetId="49">
        <row r="4">
          <cell r="JJ4">
            <v>1204</v>
          </cell>
        </row>
        <row r="5">
          <cell r="JJ5">
            <v>1200</v>
          </cell>
        </row>
        <row r="8">
          <cell r="JJ8"/>
        </row>
        <row r="9">
          <cell r="JJ9">
            <v>2</v>
          </cell>
        </row>
        <row r="15">
          <cell r="JH15">
            <v>88</v>
          </cell>
          <cell r="JI15">
            <v>71</v>
          </cell>
          <cell r="JJ15">
            <v>68</v>
          </cell>
        </row>
        <row r="16">
          <cell r="JH16">
            <v>88</v>
          </cell>
          <cell r="JI16">
            <v>71</v>
          </cell>
          <cell r="JJ16">
            <v>68</v>
          </cell>
        </row>
        <row r="19">
          <cell r="IT19">
            <v>1432</v>
          </cell>
          <cell r="IU19">
            <v>1039</v>
          </cell>
          <cell r="IV19">
            <v>1281</v>
          </cell>
          <cell r="JH19">
            <v>2774</v>
          </cell>
          <cell r="JI19">
            <v>2423</v>
          </cell>
          <cell r="JJ19">
            <v>2542</v>
          </cell>
        </row>
        <row r="22">
          <cell r="JJ22">
            <v>72814</v>
          </cell>
        </row>
        <row r="23">
          <cell r="JJ23">
            <v>72681</v>
          </cell>
        </row>
        <row r="27">
          <cell r="JJ27">
            <v>2297</v>
          </cell>
        </row>
        <row r="28">
          <cell r="JJ28">
            <v>2413</v>
          </cell>
        </row>
        <row r="32">
          <cell r="JH32">
            <v>4675</v>
          </cell>
          <cell r="JI32">
            <v>3857</v>
          </cell>
          <cell r="JJ32">
            <v>3134</v>
          </cell>
        </row>
        <row r="33">
          <cell r="JH33">
            <v>4734</v>
          </cell>
          <cell r="JI33">
            <v>3658</v>
          </cell>
          <cell r="JJ33">
            <v>4135</v>
          </cell>
        </row>
        <row r="37">
          <cell r="JH37">
            <v>119</v>
          </cell>
          <cell r="JI37">
            <v>114</v>
          </cell>
          <cell r="JJ37">
            <v>100</v>
          </cell>
        </row>
        <row r="38">
          <cell r="JH38">
            <v>90</v>
          </cell>
          <cell r="JI38">
            <v>93</v>
          </cell>
          <cell r="JJ38">
            <v>86</v>
          </cell>
        </row>
        <row r="41">
          <cell r="IT41">
            <v>83099</v>
          </cell>
          <cell r="IU41">
            <v>62385</v>
          </cell>
          <cell r="IV41">
            <v>79272</v>
          </cell>
          <cell r="JH41">
            <v>156940</v>
          </cell>
          <cell r="JI41">
            <v>140831</v>
          </cell>
          <cell r="JJ41">
            <v>152764</v>
          </cell>
        </row>
        <row r="43">
          <cell r="IT43">
            <v>86267</v>
          </cell>
          <cell r="IU43">
            <v>64714</v>
          </cell>
          <cell r="IV43">
            <v>82308</v>
          </cell>
          <cell r="JH43">
            <v>161915</v>
          </cell>
          <cell r="JI43">
            <v>145241</v>
          </cell>
          <cell r="JJ43">
            <v>157660</v>
          </cell>
        </row>
        <row r="47">
          <cell r="JJ47"/>
        </row>
        <row r="48">
          <cell r="JJ48"/>
        </row>
        <row r="52">
          <cell r="JJ52"/>
        </row>
        <row r="53">
          <cell r="JJ53"/>
        </row>
        <row r="57">
          <cell r="JJ57"/>
        </row>
        <row r="58">
          <cell r="JJ58"/>
        </row>
        <row r="64">
          <cell r="IT64">
            <v>0</v>
          </cell>
          <cell r="IU64">
            <v>0</v>
          </cell>
          <cell r="IV64">
            <v>0</v>
          </cell>
          <cell r="JH64">
            <v>0</v>
          </cell>
          <cell r="JI64">
            <v>0</v>
          </cell>
          <cell r="JJ64">
            <v>0</v>
          </cell>
        </row>
        <row r="70">
          <cell r="JJ70">
            <v>27639</v>
          </cell>
        </row>
        <row r="71">
          <cell r="JJ71">
            <v>45042</v>
          </cell>
        </row>
        <row r="73">
          <cell r="JJ73">
            <v>1572</v>
          </cell>
        </row>
        <row r="74">
          <cell r="JJ74">
            <v>2563</v>
          </cell>
        </row>
      </sheetData>
      <sheetData sheetId="50">
        <row r="4">
          <cell r="JJ4">
            <v>111</v>
          </cell>
        </row>
        <row r="5">
          <cell r="JJ5">
            <v>111</v>
          </cell>
        </row>
        <row r="8">
          <cell r="JJ8"/>
        </row>
        <row r="9">
          <cell r="JJ9"/>
        </row>
        <row r="19">
          <cell r="IT19">
            <v>126</v>
          </cell>
          <cell r="IU19">
            <v>112</v>
          </cell>
          <cell r="IV19">
            <v>68</v>
          </cell>
          <cell r="JH19">
            <v>179</v>
          </cell>
          <cell r="JI19">
            <v>177</v>
          </cell>
          <cell r="JJ19">
            <v>222</v>
          </cell>
        </row>
        <row r="22">
          <cell r="JJ22">
            <v>6767</v>
          </cell>
        </row>
        <row r="23">
          <cell r="JJ23">
            <v>7120</v>
          </cell>
        </row>
        <row r="27">
          <cell r="JJ27">
            <v>192</v>
          </cell>
        </row>
        <row r="28">
          <cell r="JJ28">
            <v>182</v>
          </cell>
        </row>
        <row r="41">
          <cell r="IT41">
            <v>7636</v>
          </cell>
          <cell r="IU41">
            <v>7421</v>
          </cell>
          <cell r="IV41">
            <v>4761</v>
          </cell>
          <cell r="JH41">
            <v>9162</v>
          </cell>
          <cell r="JI41">
            <v>8955</v>
          </cell>
          <cell r="JJ41">
            <v>13887</v>
          </cell>
        </row>
        <row r="43">
          <cell r="IT43">
            <v>7856</v>
          </cell>
          <cell r="IU43">
            <v>7617</v>
          </cell>
          <cell r="IV43">
            <v>4860</v>
          </cell>
          <cell r="JH43">
            <v>9470</v>
          </cell>
          <cell r="JI43">
            <v>9240</v>
          </cell>
          <cell r="JJ43">
            <v>14261</v>
          </cell>
        </row>
        <row r="47">
          <cell r="JJ47">
            <v>70</v>
          </cell>
        </row>
        <row r="48">
          <cell r="JJ48"/>
        </row>
        <row r="52">
          <cell r="JJ52"/>
        </row>
        <row r="53">
          <cell r="JJ53"/>
        </row>
        <row r="57">
          <cell r="JJ57"/>
        </row>
        <row r="58">
          <cell r="BG58"/>
        </row>
        <row r="64">
          <cell r="IT64">
            <v>301</v>
          </cell>
          <cell r="IU64">
            <v>340</v>
          </cell>
          <cell r="IV64">
            <v>0</v>
          </cell>
          <cell r="JH64">
            <v>152</v>
          </cell>
          <cell r="JI64">
            <v>62</v>
          </cell>
          <cell r="JJ64">
            <v>70</v>
          </cell>
        </row>
      </sheetData>
      <sheetData sheetId="51">
        <row r="4">
          <cell r="JJ4">
            <v>123</v>
          </cell>
        </row>
        <row r="5">
          <cell r="JJ5">
            <v>123</v>
          </cell>
        </row>
        <row r="8">
          <cell r="JJ8"/>
        </row>
        <row r="9">
          <cell r="JJ9"/>
        </row>
        <row r="19">
          <cell r="IT19">
            <v>108</v>
          </cell>
          <cell r="IU19">
            <v>98</v>
          </cell>
          <cell r="IV19">
            <v>162</v>
          </cell>
          <cell r="JH19">
            <v>134</v>
          </cell>
          <cell r="JI19">
            <v>112</v>
          </cell>
          <cell r="JJ19">
            <v>246</v>
          </cell>
        </row>
        <row r="22">
          <cell r="JJ22">
            <v>7497</v>
          </cell>
        </row>
        <row r="23">
          <cell r="JJ23">
            <v>8114</v>
          </cell>
        </row>
        <row r="27">
          <cell r="JJ27">
            <v>283</v>
          </cell>
        </row>
        <row r="28">
          <cell r="JJ28">
            <v>296</v>
          </cell>
        </row>
        <row r="41">
          <cell r="IT41">
            <v>4502</v>
          </cell>
          <cell r="IU41">
            <v>4094</v>
          </cell>
          <cell r="IV41">
            <v>9410</v>
          </cell>
          <cell r="JH41">
            <v>7429</v>
          </cell>
          <cell r="JI41">
            <v>6264</v>
          </cell>
          <cell r="JJ41">
            <v>15611</v>
          </cell>
        </row>
        <row r="43">
          <cell r="IT43">
            <v>4821</v>
          </cell>
          <cell r="IU43">
            <v>4367</v>
          </cell>
          <cell r="IV43">
            <v>9863</v>
          </cell>
          <cell r="JH43">
            <v>7782</v>
          </cell>
          <cell r="JI43">
            <v>6535</v>
          </cell>
          <cell r="JJ43">
            <v>16190</v>
          </cell>
        </row>
        <row r="47">
          <cell r="JJ47">
            <v>1889</v>
          </cell>
        </row>
        <row r="48">
          <cell r="JJ48"/>
        </row>
        <row r="52">
          <cell r="JJ52">
            <v>152</v>
          </cell>
        </row>
        <row r="53">
          <cell r="JJ53"/>
        </row>
        <row r="57">
          <cell r="JJ57"/>
        </row>
        <row r="58">
          <cell r="JJ58"/>
        </row>
        <row r="64">
          <cell r="IT64">
            <v>1196</v>
          </cell>
          <cell r="IU64">
            <v>2339</v>
          </cell>
          <cell r="IV64">
            <v>4415</v>
          </cell>
          <cell r="JH64">
            <v>2846</v>
          </cell>
          <cell r="JI64">
            <v>1929</v>
          </cell>
          <cell r="JJ64">
            <v>2041</v>
          </cell>
        </row>
      </sheetData>
      <sheetData sheetId="52">
        <row r="4">
          <cell r="JJ4">
            <v>116</v>
          </cell>
        </row>
        <row r="5">
          <cell r="JJ5">
            <v>119</v>
          </cell>
        </row>
        <row r="8">
          <cell r="JJ8">
            <v>1</v>
          </cell>
        </row>
        <row r="9">
          <cell r="JJ9"/>
        </row>
        <row r="19">
          <cell r="IT19">
            <v>64</v>
          </cell>
          <cell r="IU19">
            <v>74</v>
          </cell>
          <cell r="IV19">
            <v>94</v>
          </cell>
          <cell r="JH19">
            <v>189</v>
          </cell>
          <cell r="JI19">
            <v>191</v>
          </cell>
          <cell r="JJ19">
            <v>236</v>
          </cell>
        </row>
        <row r="22">
          <cell r="JJ22">
            <v>7476</v>
          </cell>
        </row>
        <row r="23">
          <cell r="JJ23">
            <v>7896</v>
          </cell>
        </row>
        <row r="27">
          <cell r="JJ27">
            <v>216</v>
          </cell>
        </row>
        <row r="28">
          <cell r="JJ28">
            <v>216</v>
          </cell>
        </row>
        <row r="41">
          <cell r="IT41">
            <v>4009</v>
          </cell>
          <cell r="IU41">
            <v>4517</v>
          </cell>
          <cell r="IV41">
            <v>6196</v>
          </cell>
          <cell r="JH41">
            <v>11341</v>
          </cell>
          <cell r="JI41">
            <v>11118</v>
          </cell>
          <cell r="JJ41">
            <v>15372</v>
          </cell>
        </row>
        <row r="43">
          <cell r="IT43">
            <v>4140</v>
          </cell>
          <cell r="IU43">
            <v>4688</v>
          </cell>
          <cell r="IV43">
            <v>6415</v>
          </cell>
          <cell r="JH43">
            <v>11790</v>
          </cell>
          <cell r="JI43">
            <v>11520</v>
          </cell>
          <cell r="JJ43">
            <v>15804</v>
          </cell>
        </row>
        <row r="47">
          <cell r="JJ47"/>
        </row>
        <row r="48">
          <cell r="JJ48"/>
        </row>
        <row r="52">
          <cell r="JJ52"/>
        </row>
        <row r="53">
          <cell r="JJ53"/>
        </row>
        <row r="64">
          <cell r="IT64">
            <v>0</v>
          </cell>
          <cell r="IU64">
            <v>0</v>
          </cell>
          <cell r="IV64">
            <v>0</v>
          </cell>
          <cell r="JH64">
            <v>0</v>
          </cell>
          <cell r="JI64">
            <v>0</v>
          </cell>
          <cell r="JJ64">
            <v>0</v>
          </cell>
        </row>
      </sheetData>
      <sheetData sheetId="53"/>
      <sheetData sheetId="54">
        <row r="4">
          <cell r="JJ4">
            <v>1962</v>
          </cell>
        </row>
        <row r="5">
          <cell r="JJ5">
            <v>1958</v>
          </cell>
        </row>
        <row r="8">
          <cell r="JJ8"/>
        </row>
        <row r="9">
          <cell r="JJ9">
            <v>1</v>
          </cell>
        </row>
        <row r="15">
          <cell r="JH15">
            <v>87</v>
          </cell>
          <cell r="JI15">
            <v>78</v>
          </cell>
          <cell r="JJ15">
            <v>136</v>
          </cell>
        </row>
        <row r="16">
          <cell r="JH16">
            <v>87</v>
          </cell>
          <cell r="JI16">
            <v>78</v>
          </cell>
          <cell r="JJ16">
            <v>137</v>
          </cell>
        </row>
        <row r="19">
          <cell r="IT19">
            <v>4363</v>
          </cell>
          <cell r="IU19">
            <v>4222</v>
          </cell>
          <cell r="IV19">
            <v>4455</v>
          </cell>
          <cell r="JH19">
            <v>4102</v>
          </cell>
          <cell r="JI19">
            <v>3682</v>
          </cell>
          <cell r="JJ19">
            <v>4194</v>
          </cell>
        </row>
        <row r="22">
          <cell r="JJ22">
            <v>98913</v>
          </cell>
        </row>
        <row r="23">
          <cell r="JJ23">
            <v>102190</v>
          </cell>
        </row>
        <row r="27">
          <cell r="JJ27">
            <v>3588</v>
          </cell>
        </row>
        <row r="28">
          <cell r="JJ28">
            <v>3486</v>
          </cell>
        </row>
        <row r="32">
          <cell r="JH32">
            <v>5168</v>
          </cell>
          <cell r="JI32">
            <v>5030</v>
          </cell>
          <cell r="JJ32">
            <v>7740</v>
          </cell>
        </row>
        <row r="33">
          <cell r="JH33">
            <v>5299</v>
          </cell>
          <cell r="JI33">
            <v>5315</v>
          </cell>
          <cell r="JJ33">
            <v>8345</v>
          </cell>
        </row>
        <row r="37">
          <cell r="JH37">
            <v>51</v>
          </cell>
          <cell r="JI37">
            <v>46</v>
          </cell>
          <cell r="JJ37">
            <v>92</v>
          </cell>
        </row>
        <row r="38">
          <cell r="JH38">
            <v>41</v>
          </cell>
          <cell r="JI38">
            <v>47</v>
          </cell>
          <cell r="JJ38">
            <v>85</v>
          </cell>
        </row>
        <row r="41">
          <cell r="IT41">
            <v>222100</v>
          </cell>
          <cell r="IU41">
            <v>218524</v>
          </cell>
          <cell r="IV41">
            <v>267692</v>
          </cell>
          <cell r="JH41">
            <v>197082</v>
          </cell>
          <cell r="JI41">
            <v>185134</v>
          </cell>
          <cell r="JJ41">
            <v>217188</v>
          </cell>
        </row>
        <row r="43">
          <cell r="IT43">
            <v>229468</v>
          </cell>
          <cell r="IU43">
            <v>225474</v>
          </cell>
          <cell r="IV43">
            <v>276467</v>
          </cell>
          <cell r="JH43">
            <v>203680</v>
          </cell>
          <cell r="JI43">
            <v>190955</v>
          </cell>
          <cell r="JJ43">
            <v>224439</v>
          </cell>
        </row>
        <row r="47">
          <cell r="JJ47"/>
        </row>
        <row r="48">
          <cell r="JJ48"/>
        </row>
        <row r="52">
          <cell r="JJ52"/>
        </row>
        <row r="53">
          <cell r="JJ53"/>
        </row>
        <row r="57">
          <cell r="JJ57"/>
        </row>
        <row r="58">
          <cell r="JJ58"/>
        </row>
        <row r="64">
          <cell r="IT64">
            <v>0</v>
          </cell>
          <cell r="IU64">
            <v>0</v>
          </cell>
          <cell r="IV64">
            <v>0</v>
          </cell>
          <cell r="JH64">
            <v>0</v>
          </cell>
          <cell r="JI64">
            <v>0</v>
          </cell>
          <cell r="JJ64">
            <v>0</v>
          </cell>
        </row>
        <row r="70">
          <cell r="JJ70">
            <v>31315</v>
          </cell>
        </row>
        <row r="71">
          <cell r="JJ71">
            <v>70875</v>
          </cell>
        </row>
        <row r="73">
          <cell r="JJ73">
            <v>2557</v>
          </cell>
        </row>
        <row r="74">
          <cell r="JJ74">
            <v>5788</v>
          </cell>
        </row>
      </sheetData>
      <sheetData sheetId="55"/>
      <sheetData sheetId="56">
        <row r="4">
          <cell r="JJ4">
            <v>1</v>
          </cell>
        </row>
        <row r="5">
          <cell r="JJ5">
            <v>1</v>
          </cell>
        </row>
        <row r="8">
          <cell r="JJ8"/>
        </row>
        <row r="9">
          <cell r="JJ9"/>
        </row>
        <row r="19">
          <cell r="IT19">
            <v>0</v>
          </cell>
          <cell r="IU19">
            <v>0</v>
          </cell>
          <cell r="IV19">
            <v>0</v>
          </cell>
          <cell r="JH19">
            <v>0</v>
          </cell>
          <cell r="JI19">
            <v>0</v>
          </cell>
          <cell r="JJ19">
            <v>2</v>
          </cell>
        </row>
        <row r="22">
          <cell r="JJ22">
            <v>46</v>
          </cell>
        </row>
        <row r="23">
          <cell r="JJ23">
            <v>62</v>
          </cell>
        </row>
        <row r="27">
          <cell r="JJ27">
            <v>4</v>
          </cell>
        </row>
        <row r="28">
          <cell r="JJ28">
            <v>2</v>
          </cell>
        </row>
        <row r="41">
          <cell r="IT41">
            <v>0</v>
          </cell>
          <cell r="IU41">
            <v>0</v>
          </cell>
          <cell r="IV41">
            <v>0</v>
          </cell>
          <cell r="JH41">
            <v>0</v>
          </cell>
          <cell r="JI41">
            <v>0</v>
          </cell>
          <cell r="JJ41">
            <v>108</v>
          </cell>
        </row>
        <row r="43">
          <cell r="IT43">
            <v>0</v>
          </cell>
          <cell r="IU43">
            <v>0</v>
          </cell>
          <cell r="IV43">
            <v>0</v>
          </cell>
          <cell r="JH43">
            <v>0</v>
          </cell>
          <cell r="JI43">
            <v>0</v>
          </cell>
          <cell r="JJ43">
            <v>114</v>
          </cell>
        </row>
        <row r="47">
          <cell r="JJ47"/>
        </row>
        <row r="48">
          <cell r="JJ48"/>
        </row>
        <row r="52">
          <cell r="JJ52"/>
        </row>
        <row r="53">
          <cell r="JJ53"/>
        </row>
        <row r="57">
          <cell r="JJ57"/>
        </row>
        <row r="58">
          <cell r="JJ58"/>
        </row>
        <row r="64">
          <cell r="IT64">
            <v>0</v>
          </cell>
          <cell r="IU64">
            <v>0</v>
          </cell>
          <cell r="IV64">
            <v>0</v>
          </cell>
          <cell r="JH64">
            <v>0</v>
          </cell>
          <cell r="JI64">
            <v>0</v>
          </cell>
          <cell r="JJ64">
            <v>0</v>
          </cell>
        </row>
      </sheetData>
      <sheetData sheetId="57"/>
      <sheetData sheetId="58">
        <row r="58">
          <cell r="BG58"/>
        </row>
      </sheetData>
      <sheetData sheetId="59">
        <row r="58">
          <cell r="BH58"/>
        </row>
      </sheetData>
      <sheetData sheetId="60"/>
      <sheetData sheetId="61"/>
      <sheetData sheetId="62"/>
      <sheetData sheetId="63"/>
      <sheetData sheetId="64">
        <row r="4">
          <cell r="JJ4"/>
        </row>
        <row r="5">
          <cell r="JJ5"/>
        </row>
        <row r="15">
          <cell r="JJ15"/>
        </row>
        <row r="16">
          <cell r="JJ16"/>
        </row>
        <row r="22">
          <cell r="JJ22"/>
        </row>
        <row r="23">
          <cell r="JJ23"/>
        </row>
        <row r="32">
          <cell r="JJ32"/>
        </row>
        <row r="33">
          <cell r="JJ33"/>
        </row>
      </sheetData>
      <sheetData sheetId="65">
        <row r="4">
          <cell r="JJ4"/>
        </row>
        <row r="5">
          <cell r="JJ5"/>
        </row>
        <row r="15">
          <cell r="JJ15"/>
        </row>
        <row r="16">
          <cell r="JJ16"/>
        </row>
        <row r="22">
          <cell r="JJ22"/>
        </row>
        <row r="23">
          <cell r="JJ23"/>
        </row>
        <row r="32">
          <cell r="JJ32"/>
        </row>
        <row r="33">
          <cell r="JJ33"/>
        </row>
      </sheetData>
      <sheetData sheetId="66">
        <row r="4">
          <cell r="JJ4"/>
        </row>
        <row r="5">
          <cell r="JJ5"/>
        </row>
        <row r="15">
          <cell r="JH15"/>
          <cell r="JI15">
            <v>1</v>
          </cell>
          <cell r="JJ15"/>
        </row>
        <row r="16">
          <cell r="JH16"/>
          <cell r="JI16">
            <v>1</v>
          </cell>
          <cell r="JJ16"/>
        </row>
        <row r="22">
          <cell r="JJ22"/>
        </row>
        <row r="23">
          <cell r="JJ23"/>
        </row>
        <row r="28">
          <cell r="JJ28"/>
        </row>
        <row r="32">
          <cell r="JH32"/>
          <cell r="JI32"/>
          <cell r="JJ32"/>
        </row>
        <row r="33">
          <cell r="JH33"/>
          <cell r="JI33"/>
          <cell r="JJ33"/>
        </row>
        <row r="37">
          <cell r="JH37"/>
          <cell r="JI37">
            <v>103</v>
          </cell>
          <cell r="JJ37"/>
        </row>
        <row r="38">
          <cell r="JH38"/>
          <cell r="JI38">
            <v>112</v>
          </cell>
          <cell r="JJ38"/>
        </row>
      </sheetData>
      <sheetData sheetId="67">
        <row r="4">
          <cell r="JJ4"/>
        </row>
        <row r="5">
          <cell r="JJ5"/>
        </row>
        <row r="8">
          <cell r="JJ8"/>
        </row>
        <row r="9">
          <cell r="JJ9"/>
        </row>
        <row r="15">
          <cell r="JH15"/>
          <cell r="JI15">
            <v>3</v>
          </cell>
          <cell r="JJ15">
            <v>7</v>
          </cell>
        </row>
        <row r="16">
          <cell r="JH16"/>
          <cell r="JI16"/>
          <cell r="JJ16">
            <v>6</v>
          </cell>
        </row>
        <row r="22">
          <cell r="JJ22"/>
        </row>
        <row r="23">
          <cell r="JJ23"/>
        </row>
        <row r="28">
          <cell r="JJ28"/>
        </row>
        <row r="32">
          <cell r="JH32"/>
          <cell r="JI32">
            <v>60</v>
          </cell>
          <cell r="JJ32">
            <v>322</v>
          </cell>
        </row>
        <row r="33">
          <cell r="JH33"/>
          <cell r="JI33"/>
          <cell r="JJ33">
            <v>431</v>
          </cell>
        </row>
        <row r="37">
          <cell r="JH37"/>
          <cell r="JI37"/>
          <cell r="JJ37"/>
        </row>
        <row r="38">
          <cell r="JH38"/>
          <cell r="JI38"/>
          <cell r="JJ38"/>
        </row>
      </sheetData>
      <sheetData sheetId="68">
        <row r="4">
          <cell r="JJ4"/>
        </row>
        <row r="5">
          <cell r="JJ5"/>
        </row>
        <row r="19">
          <cell r="IT19">
            <v>0</v>
          </cell>
          <cell r="IU19">
            <v>8</v>
          </cell>
          <cell r="IV19">
            <v>8</v>
          </cell>
          <cell r="JH19">
            <v>8</v>
          </cell>
          <cell r="JI19">
            <v>0</v>
          </cell>
          <cell r="JJ19">
            <v>0</v>
          </cell>
        </row>
        <row r="47">
          <cell r="JJ47"/>
        </row>
        <row r="48">
          <cell r="JJ48"/>
        </row>
        <row r="52">
          <cell r="JJ52"/>
        </row>
        <row r="53">
          <cell r="JJ53"/>
        </row>
        <row r="57">
          <cell r="JJ57"/>
        </row>
        <row r="58">
          <cell r="JJ58"/>
        </row>
        <row r="64">
          <cell r="IT64">
            <v>0</v>
          </cell>
          <cell r="IU64">
            <v>91752</v>
          </cell>
          <cell r="IV64">
            <v>400221</v>
          </cell>
          <cell r="JH64">
            <v>108656</v>
          </cell>
          <cell r="JI64">
            <v>0</v>
          </cell>
          <cell r="JJ64">
            <v>0</v>
          </cell>
        </row>
      </sheetData>
      <sheetData sheetId="69">
        <row r="4">
          <cell r="JJ4">
            <v>86</v>
          </cell>
        </row>
        <row r="5">
          <cell r="JJ5">
            <v>86</v>
          </cell>
        </row>
        <row r="8">
          <cell r="JJ8"/>
        </row>
        <row r="9">
          <cell r="JJ9"/>
        </row>
        <row r="15">
          <cell r="JJ15"/>
        </row>
        <row r="16">
          <cell r="JJ16"/>
        </row>
        <row r="19">
          <cell r="IT19">
            <v>230</v>
          </cell>
          <cell r="IU19">
            <v>230</v>
          </cell>
          <cell r="IV19">
            <v>238</v>
          </cell>
          <cell r="JH19">
            <v>188</v>
          </cell>
          <cell r="JI19">
            <v>196</v>
          </cell>
          <cell r="JJ19">
            <v>172</v>
          </cell>
        </row>
        <row r="47">
          <cell r="JJ47">
            <v>2077039</v>
          </cell>
        </row>
        <row r="48">
          <cell r="JJ48"/>
        </row>
        <row r="52">
          <cell r="JJ52">
            <v>2224428</v>
          </cell>
        </row>
        <row r="53">
          <cell r="JJ53"/>
        </row>
        <row r="57">
          <cell r="JJ57"/>
        </row>
        <row r="58">
          <cell r="JJ58"/>
        </row>
        <row r="64">
          <cell r="IT64">
            <v>5249880</v>
          </cell>
          <cell r="IU64">
            <v>5176154</v>
          </cell>
          <cell r="IV64">
            <v>5683948</v>
          </cell>
          <cell r="JH64">
            <v>4687790</v>
          </cell>
          <cell r="JI64">
            <v>4813570</v>
          </cell>
          <cell r="JJ64">
            <v>4301467</v>
          </cell>
        </row>
      </sheetData>
      <sheetData sheetId="70">
        <row r="4">
          <cell r="JJ4">
            <v>3</v>
          </cell>
        </row>
        <row r="5">
          <cell r="JJ5">
            <v>3</v>
          </cell>
        </row>
        <row r="15">
          <cell r="JJ15"/>
        </row>
        <row r="19">
          <cell r="IT19">
            <v>20</v>
          </cell>
          <cell r="IU19">
            <v>0</v>
          </cell>
          <cell r="IV19">
            <v>6</v>
          </cell>
          <cell r="JH19">
            <v>2</v>
          </cell>
          <cell r="JI19">
            <v>8</v>
          </cell>
          <cell r="JJ19">
            <v>6</v>
          </cell>
        </row>
        <row r="47">
          <cell r="JJ47">
            <v>92965</v>
          </cell>
        </row>
        <row r="48">
          <cell r="JJ48"/>
        </row>
        <row r="52">
          <cell r="JJ52">
            <v>133700</v>
          </cell>
        </row>
        <row r="53">
          <cell r="JJ53"/>
        </row>
        <row r="57">
          <cell r="JJ57"/>
        </row>
        <row r="58">
          <cell r="JJ58"/>
        </row>
        <row r="64">
          <cell r="IT64">
            <v>766443</v>
          </cell>
          <cell r="IU64">
            <v>0</v>
          </cell>
          <cell r="IV64">
            <v>302741</v>
          </cell>
          <cell r="JH64">
            <v>114276</v>
          </cell>
          <cell r="JI64">
            <v>259754</v>
          </cell>
          <cell r="JJ64">
            <v>226665</v>
          </cell>
        </row>
      </sheetData>
      <sheetData sheetId="71">
        <row r="4">
          <cell r="JJ4">
            <v>1</v>
          </cell>
        </row>
        <row r="5">
          <cell r="JJ5">
            <v>1</v>
          </cell>
        </row>
        <row r="8">
          <cell r="JJ8"/>
        </row>
        <row r="9">
          <cell r="JJ9"/>
        </row>
        <row r="19">
          <cell r="IT19">
            <v>0</v>
          </cell>
          <cell r="IU19">
            <v>0</v>
          </cell>
          <cell r="IV19">
            <v>6</v>
          </cell>
          <cell r="JH19">
            <v>8</v>
          </cell>
          <cell r="JI19">
            <v>0</v>
          </cell>
          <cell r="JJ19">
            <v>2</v>
          </cell>
        </row>
        <row r="47">
          <cell r="JJ47">
            <v>40097</v>
          </cell>
        </row>
        <row r="48">
          <cell r="JJ48"/>
        </row>
        <row r="52">
          <cell r="JJ52">
            <v>29509</v>
          </cell>
        </row>
        <row r="53">
          <cell r="JJ53"/>
        </row>
        <row r="57">
          <cell r="JJ57"/>
        </row>
        <row r="58">
          <cell r="JJ58"/>
        </row>
        <row r="64">
          <cell r="IT64">
            <v>0</v>
          </cell>
          <cell r="IU64">
            <v>0</v>
          </cell>
          <cell r="IV64">
            <v>207911</v>
          </cell>
          <cell r="JH64">
            <v>205001</v>
          </cell>
          <cell r="JI64">
            <v>0</v>
          </cell>
          <cell r="JJ64">
            <v>69606</v>
          </cell>
        </row>
      </sheetData>
      <sheetData sheetId="72">
        <row r="19">
          <cell r="IT19">
            <v>0</v>
          </cell>
          <cell r="IU19">
            <v>0</v>
          </cell>
          <cell r="IV19">
            <v>0</v>
          </cell>
          <cell r="JH19">
            <v>0</v>
          </cell>
          <cell r="JI19">
            <v>0</v>
          </cell>
          <cell r="JJ19">
            <v>0</v>
          </cell>
        </row>
        <row r="64">
          <cell r="IT64">
            <v>0</v>
          </cell>
          <cell r="IU64">
            <v>0</v>
          </cell>
          <cell r="IV64">
            <v>0</v>
          </cell>
          <cell r="JH64">
            <v>0</v>
          </cell>
          <cell r="JI64">
            <v>0</v>
          </cell>
          <cell r="JJ64">
            <v>0</v>
          </cell>
        </row>
      </sheetData>
      <sheetData sheetId="73">
        <row r="4">
          <cell r="JJ4"/>
        </row>
        <row r="5">
          <cell r="JJ5"/>
        </row>
        <row r="15">
          <cell r="JJ15"/>
        </row>
        <row r="19">
          <cell r="IT19">
            <v>0</v>
          </cell>
          <cell r="IU19">
            <v>0</v>
          </cell>
          <cell r="IV19">
            <v>0</v>
          </cell>
          <cell r="JH19">
            <v>0</v>
          </cell>
          <cell r="JI19">
            <v>0</v>
          </cell>
          <cell r="JJ19">
            <v>0</v>
          </cell>
        </row>
        <row r="47">
          <cell r="JJ47"/>
        </row>
        <row r="48">
          <cell r="JJ48"/>
        </row>
        <row r="52">
          <cell r="JJ52"/>
        </row>
        <row r="53">
          <cell r="JJ53"/>
        </row>
        <row r="57">
          <cell r="JJ57"/>
        </row>
        <row r="58">
          <cell r="JJ58"/>
        </row>
        <row r="64">
          <cell r="IT64">
            <v>0</v>
          </cell>
          <cell r="IU64">
            <v>0</v>
          </cell>
          <cell r="IV64">
            <v>0</v>
          </cell>
          <cell r="JH64">
            <v>0</v>
          </cell>
          <cell r="JI64">
            <v>0</v>
          </cell>
          <cell r="JJ64">
            <v>0</v>
          </cell>
        </row>
      </sheetData>
      <sheetData sheetId="74">
        <row r="4">
          <cell r="JJ4">
            <v>41</v>
          </cell>
        </row>
        <row r="5">
          <cell r="JJ5">
            <v>41</v>
          </cell>
        </row>
        <row r="19">
          <cell r="IT19">
            <v>70</v>
          </cell>
          <cell r="IU19">
            <v>72</v>
          </cell>
          <cell r="IV19">
            <v>78</v>
          </cell>
          <cell r="JH19">
            <v>78</v>
          </cell>
          <cell r="JI19">
            <v>78</v>
          </cell>
          <cell r="JJ19">
            <v>82</v>
          </cell>
        </row>
        <row r="47">
          <cell r="JJ47">
            <v>48392</v>
          </cell>
        </row>
        <row r="48">
          <cell r="JJ48"/>
        </row>
        <row r="52">
          <cell r="JJ52">
            <v>38979</v>
          </cell>
        </row>
        <row r="53">
          <cell r="JJ53"/>
        </row>
        <row r="57">
          <cell r="JJ57"/>
        </row>
        <row r="58">
          <cell r="JJ58"/>
        </row>
        <row r="64">
          <cell r="IT64">
            <v>86240</v>
          </cell>
          <cell r="IU64">
            <v>95619</v>
          </cell>
          <cell r="IV64">
            <v>98806</v>
          </cell>
          <cell r="JH64">
            <v>79156</v>
          </cell>
          <cell r="JI64">
            <v>81418</v>
          </cell>
          <cell r="JJ64">
            <v>87371</v>
          </cell>
        </row>
      </sheetData>
      <sheetData sheetId="75">
        <row r="4">
          <cell r="JJ4"/>
        </row>
        <row r="5">
          <cell r="JJ5"/>
        </row>
        <row r="12">
          <cell r="JJ12">
            <v>0</v>
          </cell>
        </row>
        <row r="15">
          <cell r="JJ15"/>
        </row>
        <row r="19">
          <cell r="IT19">
            <v>0</v>
          </cell>
          <cell r="IU19">
            <v>0</v>
          </cell>
          <cell r="IV19">
            <v>0</v>
          </cell>
          <cell r="JH19">
            <v>0</v>
          </cell>
          <cell r="JI19">
            <v>0</v>
          </cell>
          <cell r="JJ19">
            <v>0</v>
          </cell>
        </row>
        <row r="47">
          <cell r="JJ47"/>
        </row>
        <row r="48">
          <cell r="JJ48"/>
        </row>
        <row r="52">
          <cell r="JJ52"/>
        </row>
        <row r="53">
          <cell r="JJ53"/>
        </row>
        <row r="57">
          <cell r="JJ57"/>
        </row>
        <row r="58">
          <cell r="JJ58"/>
        </row>
        <row r="64">
          <cell r="IT64">
            <v>0</v>
          </cell>
          <cell r="IU64">
            <v>0</v>
          </cell>
          <cell r="IV64">
            <v>0</v>
          </cell>
          <cell r="JH64">
            <v>0</v>
          </cell>
          <cell r="JI64">
            <v>0</v>
          </cell>
          <cell r="JJ64">
            <v>0</v>
          </cell>
        </row>
      </sheetData>
      <sheetData sheetId="76">
        <row r="4">
          <cell r="JJ4">
            <v>18</v>
          </cell>
        </row>
        <row r="5">
          <cell r="JJ5">
            <v>18</v>
          </cell>
        </row>
        <row r="15">
          <cell r="JJ15"/>
        </row>
        <row r="16">
          <cell r="JJ16"/>
        </row>
        <row r="19">
          <cell r="IT19">
            <v>24</v>
          </cell>
          <cell r="IU19">
            <v>42</v>
          </cell>
          <cell r="IV19">
            <v>30</v>
          </cell>
          <cell r="JH19">
            <v>32</v>
          </cell>
          <cell r="JI19">
            <v>32</v>
          </cell>
          <cell r="JJ19">
            <v>36</v>
          </cell>
        </row>
        <row r="47">
          <cell r="JJ47">
            <v>461820</v>
          </cell>
        </row>
        <row r="48">
          <cell r="JJ48"/>
        </row>
        <row r="52">
          <cell r="JJ52">
            <v>439463</v>
          </cell>
        </row>
        <row r="53">
          <cell r="JJ53"/>
        </row>
        <row r="57">
          <cell r="JJ57"/>
        </row>
        <row r="58">
          <cell r="JJ58"/>
        </row>
        <row r="64">
          <cell r="IT64">
            <v>597065</v>
          </cell>
          <cell r="IU64">
            <v>1111728</v>
          </cell>
          <cell r="IV64">
            <v>895010</v>
          </cell>
          <cell r="JH64">
            <v>734255</v>
          </cell>
          <cell r="JI64">
            <v>769967</v>
          </cell>
          <cell r="JJ64">
            <v>901283</v>
          </cell>
        </row>
      </sheetData>
      <sheetData sheetId="77">
        <row r="4">
          <cell r="JJ4"/>
        </row>
        <row r="5">
          <cell r="JJ5"/>
        </row>
        <row r="15">
          <cell r="JJ15"/>
        </row>
        <row r="19">
          <cell r="IT19">
            <v>2</v>
          </cell>
          <cell r="IU19">
            <v>0</v>
          </cell>
          <cell r="IV19">
            <v>0</v>
          </cell>
          <cell r="JH19">
            <v>0</v>
          </cell>
          <cell r="JI19">
            <v>0</v>
          </cell>
          <cell r="JJ19">
            <v>0</v>
          </cell>
        </row>
        <row r="47">
          <cell r="JJ47"/>
        </row>
        <row r="48">
          <cell r="JJ48"/>
        </row>
        <row r="52">
          <cell r="JJ52"/>
        </row>
        <row r="53">
          <cell r="JJ53"/>
        </row>
        <row r="57">
          <cell r="JJ57"/>
        </row>
        <row r="58">
          <cell r="JJ58"/>
        </row>
        <row r="64">
          <cell r="IT64">
            <v>22802</v>
          </cell>
          <cell r="IU64">
            <v>0</v>
          </cell>
          <cell r="IV64">
            <v>0</v>
          </cell>
          <cell r="JH64">
            <v>0</v>
          </cell>
          <cell r="JI64">
            <v>0</v>
          </cell>
          <cell r="JJ64">
            <v>0</v>
          </cell>
        </row>
      </sheetData>
      <sheetData sheetId="78"/>
      <sheetData sheetId="79">
        <row r="4">
          <cell r="JJ4"/>
        </row>
        <row r="5">
          <cell r="JJ5"/>
        </row>
        <row r="15">
          <cell r="JJ15"/>
        </row>
        <row r="19">
          <cell r="IT19">
            <v>2</v>
          </cell>
          <cell r="IU19">
            <v>0</v>
          </cell>
          <cell r="IV19">
            <v>0</v>
          </cell>
          <cell r="JH19">
            <v>0</v>
          </cell>
          <cell r="JI19">
            <v>0</v>
          </cell>
          <cell r="JJ19">
            <v>0</v>
          </cell>
        </row>
        <row r="47">
          <cell r="JJ47"/>
        </row>
        <row r="48">
          <cell r="JJ48"/>
        </row>
        <row r="52">
          <cell r="JJ52"/>
        </row>
        <row r="53">
          <cell r="JJ53"/>
        </row>
        <row r="57">
          <cell r="JJ57"/>
        </row>
        <row r="58">
          <cell r="JJ58"/>
        </row>
        <row r="64">
          <cell r="IT64">
            <v>53345</v>
          </cell>
          <cell r="IU64">
            <v>0</v>
          </cell>
          <cell r="IV64">
            <v>0</v>
          </cell>
          <cell r="JH64">
            <v>0</v>
          </cell>
          <cell r="JI64">
            <v>0</v>
          </cell>
          <cell r="JJ64">
            <v>0</v>
          </cell>
        </row>
      </sheetData>
      <sheetData sheetId="80"/>
      <sheetData sheetId="81"/>
      <sheetData sheetId="82">
        <row r="4">
          <cell r="JJ4">
            <v>65</v>
          </cell>
        </row>
        <row r="5">
          <cell r="JJ5">
            <v>65</v>
          </cell>
        </row>
        <row r="15">
          <cell r="JJ15"/>
        </row>
        <row r="19">
          <cell r="IT19">
            <v>186</v>
          </cell>
          <cell r="IU19">
            <v>180</v>
          </cell>
          <cell r="IV19">
            <v>180</v>
          </cell>
          <cell r="JH19">
            <v>126</v>
          </cell>
          <cell r="JI19">
            <v>124</v>
          </cell>
          <cell r="JJ19">
            <v>130</v>
          </cell>
        </row>
        <row r="47">
          <cell r="JJ47">
            <v>5208884</v>
          </cell>
        </row>
        <row r="48">
          <cell r="JJ48"/>
        </row>
        <row r="52">
          <cell r="JJ52">
            <v>4745207</v>
          </cell>
        </row>
        <row r="53">
          <cell r="JJ53"/>
        </row>
        <row r="57">
          <cell r="JJ57"/>
        </row>
        <row r="58">
          <cell r="JJ58"/>
        </row>
        <row r="64">
          <cell r="IT64">
            <v>11831005</v>
          </cell>
          <cell r="IU64">
            <v>12524154</v>
          </cell>
          <cell r="IV64">
            <v>13347405</v>
          </cell>
          <cell r="JH64">
            <v>9603771</v>
          </cell>
          <cell r="JI64">
            <v>8936530</v>
          </cell>
          <cell r="JJ64">
            <v>9954091</v>
          </cell>
        </row>
      </sheetData>
      <sheetData sheetId="83">
        <row r="4">
          <cell r="JJ4">
            <v>19</v>
          </cell>
        </row>
        <row r="5">
          <cell r="JJ5">
            <v>19</v>
          </cell>
        </row>
        <row r="19">
          <cell r="IT19">
            <v>42</v>
          </cell>
          <cell r="IU19">
            <v>42</v>
          </cell>
          <cell r="IV19">
            <v>42</v>
          </cell>
          <cell r="JH19">
            <v>44</v>
          </cell>
          <cell r="JI19">
            <v>38</v>
          </cell>
          <cell r="JJ19">
            <v>38</v>
          </cell>
        </row>
        <row r="47">
          <cell r="JJ47"/>
        </row>
        <row r="48">
          <cell r="JJ48">
            <v>65804</v>
          </cell>
        </row>
        <row r="52">
          <cell r="JJ52"/>
        </row>
        <row r="53">
          <cell r="JJ53">
            <v>74664</v>
          </cell>
        </row>
        <row r="57">
          <cell r="JJ57"/>
        </row>
        <row r="58">
          <cell r="JJ58"/>
        </row>
        <row r="64">
          <cell r="IT64">
            <v>93453</v>
          </cell>
          <cell r="IU64">
            <v>128579</v>
          </cell>
          <cell r="IV64">
            <v>131157</v>
          </cell>
          <cell r="JH64">
            <v>127825</v>
          </cell>
          <cell r="JI64">
            <v>134563</v>
          </cell>
          <cell r="JJ64">
            <v>140468</v>
          </cell>
        </row>
      </sheetData>
      <sheetData sheetId="84">
        <row r="4">
          <cell r="JJ4">
            <v>17</v>
          </cell>
        </row>
        <row r="5">
          <cell r="JJ5">
            <v>17</v>
          </cell>
        </row>
        <row r="15">
          <cell r="JJ15"/>
        </row>
        <row r="19">
          <cell r="IT19">
            <v>30</v>
          </cell>
          <cell r="IU19">
            <v>32</v>
          </cell>
          <cell r="IV19">
            <v>32</v>
          </cell>
          <cell r="JH19">
            <v>34</v>
          </cell>
          <cell r="JI19">
            <v>28</v>
          </cell>
          <cell r="JJ19">
            <v>34</v>
          </cell>
        </row>
        <row r="47">
          <cell r="JJ47">
            <v>65036</v>
          </cell>
        </row>
        <row r="48">
          <cell r="JJ48"/>
        </row>
        <row r="52">
          <cell r="JJ52">
            <v>1608</v>
          </cell>
        </row>
        <row r="53">
          <cell r="JJ53"/>
        </row>
        <row r="57">
          <cell r="JJ57"/>
        </row>
        <row r="58">
          <cell r="JJ58"/>
        </row>
        <row r="64">
          <cell r="IT64">
            <v>54567</v>
          </cell>
          <cell r="IU64">
            <v>60580</v>
          </cell>
          <cell r="IV64">
            <v>56563</v>
          </cell>
          <cell r="JH64">
            <v>54760</v>
          </cell>
          <cell r="JI64">
            <v>52983</v>
          </cell>
          <cell r="JJ64">
            <v>66644</v>
          </cell>
        </row>
      </sheetData>
      <sheetData sheetId="85">
        <row r="4">
          <cell r="JJ4">
            <v>108</v>
          </cell>
        </row>
        <row r="5">
          <cell r="JJ5">
            <v>108</v>
          </cell>
        </row>
        <row r="15">
          <cell r="JJ15"/>
        </row>
        <row r="16">
          <cell r="JJ16"/>
        </row>
        <row r="19">
          <cell r="IT19">
            <v>172</v>
          </cell>
          <cell r="IU19">
            <v>172</v>
          </cell>
          <cell r="IV19">
            <v>176</v>
          </cell>
          <cell r="JH19">
            <v>218</v>
          </cell>
          <cell r="JI19">
            <v>214</v>
          </cell>
          <cell r="JJ19">
            <v>216</v>
          </cell>
        </row>
        <row r="47">
          <cell r="JJ47">
            <v>4946123</v>
          </cell>
        </row>
        <row r="48">
          <cell r="JJ48">
            <v>2268441</v>
          </cell>
        </row>
        <row r="52">
          <cell r="JJ52">
            <v>3631352</v>
          </cell>
        </row>
        <row r="53">
          <cell r="JJ53">
            <v>2304850</v>
          </cell>
        </row>
        <row r="57">
          <cell r="JJ57"/>
        </row>
        <row r="58">
          <cell r="JJ58"/>
        </row>
        <row r="64">
          <cell r="IT64">
            <v>8718855</v>
          </cell>
          <cell r="IU64">
            <v>8210411</v>
          </cell>
          <cell r="IV64">
            <v>8728559</v>
          </cell>
          <cell r="JH64">
            <v>12004284</v>
          </cell>
          <cell r="JI64">
            <v>11744528</v>
          </cell>
          <cell r="JJ64">
            <v>13150766</v>
          </cell>
        </row>
      </sheetData>
      <sheetData sheetId="86"/>
      <sheetData sheetId="87"/>
      <sheetData sheetId="88"/>
      <sheetData sheetId="89">
        <row r="4">
          <cell r="JJ4">
            <v>139</v>
          </cell>
        </row>
        <row r="5">
          <cell r="JJ5">
            <v>139</v>
          </cell>
        </row>
        <row r="19">
          <cell r="IT19">
            <v>354</v>
          </cell>
          <cell r="IU19">
            <v>334</v>
          </cell>
          <cell r="IV19">
            <v>326</v>
          </cell>
          <cell r="JH19">
            <v>316</v>
          </cell>
          <cell r="JI19">
            <v>278</v>
          </cell>
          <cell r="JJ19">
            <v>278</v>
          </cell>
        </row>
      </sheetData>
      <sheetData sheetId="90"/>
      <sheetData sheetId="91">
        <row r="4">
          <cell r="JJ4"/>
        </row>
        <row r="5">
          <cell r="JJ5"/>
        </row>
        <row r="8">
          <cell r="JJ8"/>
        </row>
        <row r="9">
          <cell r="JJ9"/>
        </row>
        <row r="19">
          <cell r="IT19">
            <v>0</v>
          </cell>
          <cell r="IU19">
            <v>0</v>
          </cell>
          <cell r="IV19">
            <v>0</v>
          </cell>
          <cell r="JH19">
            <v>2</v>
          </cell>
          <cell r="JI19">
            <v>0</v>
          </cell>
          <cell r="JJ19">
            <v>0</v>
          </cell>
        </row>
        <row r="47">
          <cell r="JJ47"/>
        </row>
        <row r="48">
          <cell r="JJ48"/>
        </row>
        <row r="52">
          <cell r="JJ52"/>
        </row>
        <row r="53">
          <cell r="JJ53"/>
        </row>
        <row r="57">
          <cell r="JJ57"/>
        </row>
        <row r="58">
          <cell r="JJ58"/>
        </row>
        <row r="64">
          <cell r="IT64">
            <v>0</v>
          </cell>
          <cell r="IU64">
            <v>0</v>
          </cell>
          <cell r="IV64">
            <v>0</v>
          </cell>
          <cell r="JH64">
            <v>38035</v>
          </cell>
          <cell r="JI64">
            <v>0</v>
          </cell>
          <cell r="JJ64">
            <v>0</v>
          </cell>
        </row>
      </sheetData>
      <sheetData sheetId="92">
        <row r="4">
          <cell r="JJ4">
            <v>47</v>
          </cell>
        </row>
        <row r="5">
          <cell r="JJ5">
            <v>47</v>
          </cell>
        </row>
      </sheetData>
      <sheetData sheetId="93">
        <row r="4">
          <cell r="JJ4">
            <v>672</v>
          </cell>
        </row>
        <row r="5">
          <cell r="JJ5">
            <v>672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1033421</v>
          </cell>
        </row>
      </sheetData>
      <sheetData sheetId="1"/>
      <sheetData sheetId="2"/>
      <sheetData sheetId="3"/>
      <sheetData sheetId="4"/>
      <sheetData sheetId="5">
        <row r="21">
          <cell r="B21">
            <v>174577</v>
          </cell>
          <cell r="C21">
            <v>137213</v>
          </cell>
          <cell r="L21">
            <v>1280059</v>
          </cell>
          <cell r="M21">
            <v>1276249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308897</v>
          </cell>
          <cell r="I21">
            <v>2234831</v>
          </cell>
          <cell r="N21">
            <v>2543728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330142</v>
          </cell>
          <cell r="I22">
            <v>2253669</v>
          </cell>
          <cell r="N22">
            <v>2583811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D24">
            <v>275719</v>
          </cell>
          <cell r="I24">
            <v>2728070</v>
          </cell>
          <cell r="N24">
            <v>3003789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D25">
            <v>257969</v>
          </cell>
          <cell r="I25">
            <v>2943570</v>
          </cell>
          <cell r="N25">
            <v>3201539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D26">
            <v>312797</v>
          </cell>
          <cell r="I26">
            <v>3224478</v>
          </cell>
          <cell r="N26">
            <v>3537275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1"/>
  <sheetViews>
    <sheetView tabSelected="1" topLeftCell="A2" zoomScale="136" zoomScaleNormal="136" zoomScaleSheetLayoutView="100" workbookViewId="0">
      <selection activeCell="D36" sqref="D36"/>
    </sheetView>
  </sheetViews>
  <sheetFormatPr defaultRowHeight="12.75" x14ac:dyDescent="0.2"/>
  <cols>
    <col min="1" max="1" width="23.42578125" customWidth="1"/>
    <col min="2" max="3" width="11.85546875" bestFit="1" customWidth="1"/>
    <col min="4" max="5" width="13" customWidth="1"/>
    <col min="6" max="6" width="10.140625" bestFit="1" customWidth="1"/>
    <col min="7" max="7" width="13.28515625" bestFit="1" customWidth="1"/>
    <col min="8" max="8" width="13.42578125" bestFit="1" customWidth="1"/>
    <col min="9" max="9" width="10.7109375" bestFit="1" customWidth="1"/>
    <col min="10" max="10" width="10" customWidth="1"/>
    <col min="11" max="11" width="7.7109375" customWidth="1"/>
    <col min="12" max="12" width="6.5703125" customWidth="1"/>
    <col min="14" max="14" width="9.85546875" customWidth="1"/>
    <col min="16" max="16" width="13.85546875" style="379" bestFit="1" customWidth="1"/>
  </cols>
  <sheetData>
    <row r="1" spans="1:18" hidden="1" x14ac:dyDescent="0.2"/>
    <row r="2" spans="1:18" ht="12.75" customHeight="1" x14ac:dyDescent="0.2">
      <c r="A2" s="384">
        <v>45717</v>
      </c>
      <c r="B2" s="10"/>
      <c r="C2" s="10"/>
      <c r="D2" s="456" t="s">
        <v>232</v>
      </c>
      <c r="E2" s="456" t="s">
        <v>218</v>
      </c>
      <c r="F2" s="5"/>
      <c r="G2" s="5"/>
      <c r="H2" s="5"/>
      <c r="I2" s="5"/>
      <c r="J2" s="5"/>
    </row>
    <row r="3" spans="1:18" ht="13.5" thickBot="1" x14ac:dyDescent="0.25">
      <c r="A3" s="273"/>
      <c r="B3" s="5" t="s">
        <v>0</v>
      </c>
      <c r="C3" s="5" t="s">
        <v>1</v>
      </c>
      <c r="D3" s="457"/>
      <c r="E3" s="458"/>
      <c r="F3" s="5" t="s">
        <v>2</v>
      </c>
      <c r="G3" s="5" t="s">
        <v>233</v>
      </c>
      <c r="H3" s="5" t="s">
        <v>219</v>
      </c>
      <c r="I3" s="5" t="s">
        <v>2</v>
      </c>
    </row>
    <row r="4" spans="1:18" ht="12.75" customHeight="1" x14ac:dyDescent="0.25">
      <c r="A4" s="45" t="s">
        <v>3</v>
      </c>
      <c r="B4" s="31"/>
      <c r="C4" s="31"/>
      <c r="D4" s="31"/>
      <c r="E4" s="31"/>
      <c r="F4" s="32"/>
      <c r="G4" s="31"/>
      <c r="H4" s="31"/>
      <c r="I4" s="33"/>
    </row>
    <row r="5" spans="1:18" x14ac:dyDescent="0.2">
      <c r="A5" s="48" t="s">
        <v>4</v>
      </c>
      <c r="B5" s="207">
        <f>'Major Airline Stats'!L4</f>
        <v>1324188</v>
      </c>
      <c r="C5" s="10">
        <f>'Major Airline Stats'!L5</f>
        <v>1369060</v>
      </c>
      <c r="D5" s="2">
        <f>'Major Airline Stats'!L6</f>
        <v>2693248</v>
      </c>
      <c r="E5" s="2">
        <f>'[1]Monthly Summary'!D5</f>
        <v>2756803</v>
      </c>
      <c r="F5" s="3">
        <f>(D5-E5)/E5</f>
        <v>-2.3053877988380017E-2</v>
      </c>
      <c r="G5" s="2">
        <f>+D5+'[2]Monthly Summary'!G5</f>
        <v>6794845</v>
      </c>
      <c r="H5" s="2">
        <f>+'[1]Monthly Summary'!G5</f>
        <v>7058297</v>
      </c>
      <c r="I5" s="63">
        <f>(G5-H5)/H5</f>
        <v>-3.7325150811874312E-2</v>
      </c>
      <c r="J5" s="2"/>
    </row>
    <row r="6" spans="1:18" x14ac:dyDescent="0.2">
      <c r="A6" s="48" t="s">
        <v>5</v>
      </c>
      <c r="B6" s="207">
        <f>'Regional Major'!K5</f>
        <v>217592</v>
      </c>
      <c r="C6" s="207">
        <f>'Regional Major'!K6</f>
        <v>224223</v>
      </c>
      <c r="D6" s="2">
        <f>B6+C6</f>
        <v>441815</v>
      </c>
      <c r="E6" s="2">
        <f>'[1]Monthly Summary'!D6</f>
        <v>402043</v>
      </c>
      <c r="F6" s="3">
        <f>(D6-E6)/E6</f>
        <v>9.8924741880843589E-2</v>
      </c>
      <c r="G6" s="2">
        <f>+D6+'[2]Monthly Summary'!G6</f>
        <v>1227249</v>
      </c>
      <c r="H6" s="2">
        <f>+'[1]Monthly Summary'!G6</f>
        <v>1073219</v>
      </c>
      <c r="I6" s="63">
        <f>(G6-H6)/H6</f>
        <v>0.14352149933983652</v>
      </c>
      <c r="K6" s="2"/>
    </row>
    <row r="7" spans="1:18" x14ac:dyDescent="0.2">
      <c r="A7" s="48" t="s">
        <v>6</v>
      </c>
      <c r="B7" s="451">
        <f>Charter!H5</f>
        <v>322</v>
      </c>
      <c r="C7" s="452">
        <f>Charter!H6</f>
        <v>431</v>
      </c>
      <c r="D7" s="390">
        <f>B7+C7</f>
        <v>753</v>
      </c>
      <c r="E7" s="390">
        <f>'[1]Monthly Summary'!D7</f>
        <v>261</v>
      </c>
      <c r="F7" s="433">
        <f>IFERROR((D7-E7)/E7,0)</f>
        <v>1.8850574712643677</v>
      </c>
      <c r="G7" s="390">
        <f>+D7+'[2]Monthly Summary'!G7</f>
        <v>865</v>
      </c>
      <c r="H7" s="390">
        <f>+'[1]Monthly Summary'!G7</f>
        <v>501</v>
      </c>
      <c r="I7" s="434">
        <f>IFERROR((G7-H7)/H7,0)</f>
        <v>0.72654690618762474</v>
      </c>
      <c r="K7" s="2"/>
    </row>
    <row r="8" spans="1:18" x14ac:dyDescent="0.2">
      <c r="A8" s="50" t="s">
        <v>7</v>
      </c>
      <c r="B8" s="85">
        <f>SUM(B5:B7)</f>
        <v>1542102</v>
      </c>
      <c r="C8" s="85">
        <f>SUM(C5:C7)</f>
        <v>1593714</v>
      </c>
      <c r="D8" s="85">
        <f>SUM(D5:D7)</f>
        <v>3135816</v>
      </c>
      <c r="E8" s="85">
        <f>SUM(E5:E7)</f>
        <v>3159107</v>
      </c>
      <c r="F8" s="449">
        <f>(D8-E8)/E8</f>
        <v>-7.3726530946878347E-3</v>
      </c>
      <c r="G8" s="2">
        <f>+D8+'[2]Monthly Summary'!G8</f>
        <v>8022959</v>
      </c>
      <c r="H8" s="2">
        <f>+'[1]Monthly Summary'!G8</f>
        <v>8132017</v>
      </c>
      <c r="I8" s="450">
        <f>(G8-H8)/H8</f>
        <v>-1.3410940975652166E-2</v>
      </c>
    </row>
    <row r="9" spans="1:18" x14ac:dyDescent="0.2">
      <c r="A9" s="48"/>
      <c r="B9" s="87"/>
      <c r="C9" s="87"/>
      <c r="D9" s="87"/>
      <c r="E9" s="87"/>
      <c r="F9" s="4"/>
      <c r="G9" s="2">
        <f>+D9+'[2]Monthly Summary'!G9</f>
        <v>0</v>
      </c>
      <c r="H9" s="2">
        <f>+'[1]Monthly Summary'!G9</f>
        <v>0</v>
      </c>
      <c r="I9" s="63"/>
      <c r="Q9" s="423"/>
    </row>
    <row r="10" spans="1:18" x14ac:dyDescent="0.2">
      <c r="A10" s="48" t="s">
        <v>8</v>
      </c>
      <c r="B10" s="430">
        <f>'Major Airline Stats'!L9+'Regional Major'!K10</f>
        <v>45807</v>
      </c>
      <c r="C10" s="431">
        <f>'Major Airline Stats'!L10+'Regional Major'!K11</f>
        <v>46527</v>
      </c>
      <c r="D10" s="432">
        <f>SUM(B10:C10)</f>
        <v>92334</v>
      </c>
      <c r="E10" s="390">
        <f>'[1]Monthly Summary'!D10</f>
        <v>88955</v>
      </c>
      <c r="F10" s="433">
        <f>(D10-E10)/E10</f>
        <v>3.7985498285650045E-2</v>
      </c>
      <c r="G10" s="390">
        <f>+D10+'[2]Monthly Summary'!G10</f>
        <v>249079</v>
      </c>
      <c r="H10" s="390">
        <f>+'[1]Monthly Summary'!G10</f>
        <v>243584</v>
      </c>
      <c r="I10" s="434">
        <f>(G10-H10)/H10</f>
        <v>2.2558952968996321E-2</v>
      </c>
      <c r="J10" s="161"/>
    </row>
    <row r="11" spans="1:18" ht="15.75" thickBot="1" x14ac:dyDescent="0.3">
      <c r="A11" s="49" t="s">
        <v>13</v>
      </c>
      <c r="B11" s="187">
        <f>B10+B8</f>
        <v>1587909</v>
      </c>
      <c r="C11" s="187">
        <f>C10+C8</f>
        <v>1640241</v>
      </c>
      <c r="D11" s="187">
        <f>D10+D8</f>
        <v>3228150</v>
      </c>
      <c r="E11" s="187">
        <f>E10+E8</f>
        <v>3248062</v>
      </c>
      <c r="F11" s="68">
        <f>(D11-E11)/E11</f>
        <v>-6.1304248502645582E-3</v>
      </c>
      <c r="G11" s="187">
        <f>G8+G10</f>
        <v>8272038</v>
      </c>
      <c r="H11" s="187">
        <f>H8+H10</f>
        <v>8375601</v>
      </c>
      <c r="I11" s="70">
        <f>(G11-H11)/H11</f>
        <v>-1.2364844027312189E-2</v>
      </c>
      <c r="N11" s="423"/>
      <c r="Q11" s="423"/>
    </row>
    <row r="12" spans="1:18" ht="15" x14ac:dyDescent="0.25">
      <c r="A12" s="8"/>
      <c r="B12" s="91"/>
      <c r="C12" s="91"/>
      <c r="D12" s="91"/>
      <c r="E12" s="91"/>
      <c r="F12" s="189"/>
      <c r="G12" s="91"/>
      <c r="H12" s="91"/>
      <c r="I12" s="190"/>
      <c r="K12" s="87"/>
      <c r="N12" s="379"/>
      <c r="Q12" s="423"/>
    </row>
    <row r="13" spans="1:18" ht="16.5" customHeight="1" x14ac:dyDescent="0.2">
      <c r="B13" s="10"/>
      <c r="C13" s="10"/>
      <c r="D13" s="456" t="s">
        <v>232</v>
      </c>
      <c r="E13" s="456" t="s">
        <v>218</v>
      </c>
      <c r="F13" s="5"/>
      <c r="G13" s="5"/>
      <c r="H13" s="5"/>
      <c r="I13" s="5"/>
      <c r="Q13" s="423"/>
    </row>
    <row r="14" spans="1:18" ht="13.5" thickBot="1" x14ac:dyDescent="0.25">
      <c r="A14" s="9"/>
      <c r="B14" s="5" t="s">
        <v>228</v>
      </c>
      <c r="C14" s="5" t="s">
        <v>229</v>
      </c>
      <c r="D14" s="457"/>
      <c r="E14" s="458"/>
      <c r="F14" s="5" t="s">
        <v>2</v>
      </c>
      <c r="G14" s="5" t="s">
        <v>233</v>
      </c>
      <c r="H14" s="5" t="s">
        <v>219</v>
      </c>
      <c r="I14" s="5" t="s">
        <v>2</v>
      </c>
      <c r="N14" s="328"/>
      <c r="Q14" s="423"/>
    </row>
    <row r="15" spans="1:18" ht="15" x14ac:dyDescent="0.25">
      <c r="A15" s="42" t="s">
        <v>9</v>
      </c>
      <c r="B15" s="28"/>
      <c r="C15" s="28"/>
      <c r="D15" s="28"/>
      <c r="E15" s="28"/>
      <c r="F15" s="29"/>
      <c r="G15" s="28"/>
      <c r="H15" s="28"/>
      <c r="I15" s="182"/>
      <c r="N15" s="328"/>
      <c r="Q15" s="423"/>
      <c r="R15" s="219"/>
    </row>
    <row r="16" spans="1:18" x14ac:dyDescent="0.2">
      <c r="A16" s="48" t="s">
        <v>4</v>
      </c>
      <c r="B16" s="216">
        <f>'Major Airline Stats'!L15+'Major Airline Stats'!L19</f>
        <v>9518</v>
      </c>
      <c r="C16" s="216">
        <f>'Major Airline Stats'!L16+'Major Airline Stats'!L20</f>
        <v>9527</v>
      </c>
      <c r="D16" s="30">
        <f>SUM(B16:C16)</f>
        <v>19045</v>
      </c>
      <c r="E16" s="2">
        <f>'[1]Monthly Summary'!D16</f>
        <v>19166</v>
      </c>
      <c r="F16" s="69">
        <f t="shared" ref="F16:F22" si="0">(D16-E16)/E16</f>
        <v>-6.3132630700198271E-3</v>
      </c>
      <c r="G16" s="2">
        <f>+D16+'[2]Monthly Summary'!G16</f>
        <v>50432</v>
      </c>
      <c r="H16" s="2">
        <f>+'[1]Monthly Summary'!G16</f>
        <v>51555</v>
      </c>
      <c r="I16" s="183">
        <f t="shared" ref="I16:I22" si="1">(G16-H16)/H16</f>
        <v>-2.178256231209388E-2</v>
      </c>
      <c r="N16" s="328"/>
      <c r="Q16" s="423"/>
    </row>
    <row r="17" spans="1:17" x14ac:dyDescent="0.2">
      <c r="A17" s="48" t="s">
        <v>5</v>
      </c>
      <c r="B17" s="30">
        <f>'Regional Major'!K15+'Regional Major'!K18</f>
        <v>3964</v>
      </c>
      <c r="C17" s="30">
        <f>'Regional Major'!K16+'Regional Major'!K19</f>
        <v>3961</v>
      </c>
      <c r="D17" s="30">
        <f>SUM(B17:C17)</f>
        <v>7925</v>
      </c>
      <c r="E17" s="2">
        <f>'[1]Monthly Summary'!D17</f>
        <v>6667</v>
      </c>
      <c r="F17" s="69">
        <f>(D17-E17)/E17</f>
        <v>0.18869056547172641</v>
      </c>
      <c r="G17" s="2">
        <f>+D17+'[2]Monthly Summary'!G17</f>
        <v>22852</v>
      </c>
      <c r="H17" s="2">
        <f>+'[1]Monthly Summary'!G17</f>
        <v>19346</v>
      </c>
      <c r="I17" s="183">
        <f t="shared" si="1"/>
        <v>0.18122609324925049</v>
      </c>
      <c r="L17" s="2"/>
      <c r="M17" s="2"/>
      <c r="N17" s="328"/>
      <c r="Q17" s="423"/>
    </row>
    <row r="18" spans="1:17" x14ac:dyDescent="0.2">
      <c r="A18" s="48" t="s">
        <v>10</v>
      </c>
      <c r="B18" s="30">
        <f>Charter!H10</f>
        <v>7</v>
      </c>
      <c r="C18" s="30">
        <f>Charter!H11</f>
        <v>6</v>
      </c>
      <c r="D18" s="30">
        <f t="shared" ref="D18:D21" si="2">SUM(B18:C18)</f>
        <v>13</v>
      </c>
      <c r="E18" s="2">
        <f>'[1]Monthly Summary'!D18</f>
        <v>3</v>
      </c>
      <c r="F18" s="69">
        <f>IFERROR((D18-E18)/E18,0)</f>
        <v>3.3333333333333335</v>
      </c>
      <c r="G18" s="2">
        <f>+D18+'[2]Monthly Summary'!G18</f>
        <v>18</v>
      </c>
      <c r="H18" s="2">
        <f>+'[1]Monthly Summary'!G18</f>
        <v>5</v>
      </c>
      <c r="I18" s="183">
        <f>IFERROR((G18-H18)/H18,0)</f>
        <v>2.6</v>
      </c>
      <c r="N18" s="328"/>
      <c r="Q18" s="423"/>
    </row>
    <row r="19" spans="1:17" x14ac:dyDescent="0.2">
      <c r="A19" s="48" t="s">
        <v>11</v>
      </c>
      <c r="B19" s="30">
        <f>Cargo!S4+Cargo!S8</f>
        <v>497</v>
      </c>
      <c r="C19" s="30">
        <f>Cargo!S5+Cargo!S9</f>
        <v>497</v>
      </c>
      <c r="D19" s="30">
        <f t="shared" si="2"/>
        <v>994</v>
      </c>
      <c r="E19" s="2">
        <f>'[1]Monthly Summary'!D19</f>
        <v>1122</v>
      </c>
      <c r="F19" s="69">
        <f>(D19-E19)/E19</f>
        <v>-0.1140819964349376</v>
      </c>
      <c r="G19" s="2">
        <f>+D19+'[2]Monthly Summary'!G19</f>
        <v>3046</v>
      </c>
      <c r="H19" s="2">
        <f>+'[1]Monthly Summary'!G19</f>
        <v>3366</v>
      </c>
      <c r="I19" s="183">
        <f t="shared" si="1"/>
        <v>-9.5068330362448009E-2</v>
      </c>
      <c r="M19" s="423"/>
      <c r="N19" s="328"/>
      <c r="Q19" s="423"/>
    </row>
    <row r="20" spans="1:17" x14ac:dyDescent="0.2">
      <c r="A20" s="48" t="s">
        <v>146</v>
      </c>
      <c r="B20" s="30">
        <f>'[3]General Avation'!$JJ$4</f>
        <v>672</v>
      </c>
      <c r="C20" s="30">
        <f>'[3]General Avation'!$JJ$5</f>
        <v>672</v>
      </c>
      <c r="D20" s="30">
        <f t="shared" si="2"/>
        <v>1344</v>
      </c>
      <c r="E20" s="2">
        <f>'[1]Monthly Summary'!D20</f>
        <v>1252</v>
      </c>
      <c r="F20" s="69">
        <f t="shared" si="0"/>
        <v>7.3482428115015971E-2</v>
      </c>
      <c r="G20" s="2">
        <f>+D20+'[2]Monthly Summary'!G20</f>
        <v>3651</v>
      </c>
      <c r="H20" s="2">
        <f>+'[1]Monthly Summary'!G20</f>
        <v>3690</v>
      </c>
      <c r="I20" s="183">
        <f t="shared" si="1"/>
        <v>-1.056910569105691E-2</v>
      </c>
      <c r="M20" s="2"/>
      <c r="N20" s="328"/>
      <c r="Q20" s="423"/>
    </row>
    <row r="21" spans="1:17" ht="12.75" customHeight="1" x14ac:dyDescent="0.2">
      <c r="A21" s="48" t="s">
        <v>12</v>
      </c>
      <c r="B21" s="435">
        <f>'[3]Military '!$JJ$4</f>
        <v>47</v>
      </c>
      <c r="C21" s="436">
        <f>'[3]Military '!$JJ$5</f>
        <v>47</v>
      </c>
      <c r="D21" s="436">
        <f t="shared" si="2"/>
        <v>94</v>
      </c>
      <c r="E21" s="390">
        <f>'[1]Monthly Summary'!D21</f>
        <v>104</v>
      </c>
      <c r="F21" s="437">
        <f t="shared" si="0"/>
        <v>-9.6153846153846159E-2</v>
      </c>
      <c r="G21" s="390">
        <f>+D21+'[2]Monthly Summary'!G21</f>
        <v>234</v>
      </c>
      <c r="H21" s="390">
        <f>+'[1]Monthly Summary'!G21</f>
        <v>241</v>
      </c>
      <c r="I21" s="438">
        <f t="shared" si="1"/>
        <v>-2.9045643153526972E-2</v>
      </c>
      <c r="K21" s="87"/>
      <c r="N21" s="328"/>
      <c r="Q21" s="423"/>
    </row>
    <row r="22" spans="1:17" ht="15.75" thickBot="1" x14ac:dyDescent="0.3">
      <c r="A22" s="49" t="s">
        <v>28</v>
      </c>
      <c r="B22" s="188">
        <f>SUM(B16:B21)</f>
        <v>14705</v>
      </c>
      <c r="C22" s="188">
        <f>SUM(C16:C21)</f>
        <v>14710</v>
      </c>
      <c r="D22" s="188">
        <f>SUM(D16:D21)</f>
        <v>29415</v>
      </c>
      <c r="E22" s="188">
        <f>SUM(E16:E21)</f>
        <v>28314</v>
      </c>
      <c r="F22" s="185">
        <f t="shared" si="0"/>
        <v>3.8885357067175247E-2</v>
      </c>
      <c r="G22" s="188">
        <f>SUM(G16:G21)</f>
        <v>80233</v>
      </c>
      <c r="H22" s="188">
        <f>SUM(H16:H21)</f>
        <v>78203</v>
      </c>
      <c r="I22" s="186">
        <f t="shared" si="1"/>
        <v>2.5958083449484037E-2</v>
      </c>
      <c r="N22" s="321"/>
      <c r="Q22" s="423"/>
    </row>
    <row r="23" spans="1:17" x14ac:dyDescent="0.2">
      <c r="B23" s="87"/>
      <c r="C23" s="87"/>
      <c r="L23" s="2"/>
      <c r="N23" s="328"/>
      <c r="Q23" s="423"/>
    </row>
    <row r="24" spans="1:17" ht="12.75" customHeight="1" x14ac:dyDescent="0.2">
      <c r="B24" s="10"/>
      <c r="C24" s="10"/>
      <c r="D24" s="456" t="s">
        <v>232</v>
      </c>
      <c r="E24" s="456" t="s">
        <v>218</v>
      </c>
      <c r="F24" s="5"/>
      <c r="G24" s="5"/>
      <c r="H24" s="5"/>
      <c r="I24" s="5"/>
      <c r="N24" s="328"/>
      <c r="Q24" s="423"/>
    </row>
    <row r="25" spans="1:17" ht="13.5" thickBot="1" x14ac:dyDescent="0.25">
      <c r="B25" s="5" t="s">
        <v>0</v>
      </c>
      <c r="C25" s="5" t="s">
        <v>1</v>
      </c>
      <c r="D25" s="457"/>
      <c r="E25" s="458"/>
      <c r="F25" s="5" t="s">
        <v>2</v>
      </c>
      <c r="G25" s="5" t="s">
        <v>233</v>
      </c>
      <c r="H25" s="5" t="s">
        <v>219</v>
      </c>
      <c r="I25" s="5" t="s">
        <v>2</v>
      </c>
      <c r="N25" s="328"/>
      <c r="Q25" s="423"/>
    </row>
    <row r="26" spans="1:17" ht="15" x14ac:dyDescent="0.25">
      <c r="A26" s="46" t="s">
        <v>125</v>
      </c>
      <c r="B26" s="34"/>
      <c r="C26" s="34"/>
      <c r="D26" s="34"/>
      <c r="E26" s="34"/>
      <c r="F26" s="34"/>
      <c r="G26" s="34"/>
      <c r="H26" s="34"/>
      <c r="I26" s="35"/>
    </row>
    <row r="27" spans="1:17" x14ac:dyDescent="0.2">
      <c r="A27" s="43" t="s">
        <v>15</v>
      </c>
      <c r="B27" s="12">
        <f>(Cargo!S16+'Major Airline Stats'!L28+'Regional Major'!K25)*0.00045359237</f>
        <v>7886.9529540701124</v>
      </c>
      <c r="C27" s="12">
        <f>(Cargo!S21+'Major Airline Stats'!L33+'Regional Major'!K30)*0.00045359237</f>
        <v>6302.3646143793712</v>
      </c>
      <c r="D27" s="12">
        <f>SUM(B27:C27)</f>
        <v>14189.317568449484</v>
      </c>
      <c r="E27" s="2">
        <f>'[1]Monthly Summary'!D27</f>
        <v>15803.99128390598</v>
      </c>
      <c r="F27" s="71">
        <f>(D27-E27)/E27</f>
        <v>-0.10216872981325938</v>
      </c>
      <c r="G27" s="2">
        <f>+D27+'[2]Monthly Summary'!G27</f>
        <v>40636.397727277428</v>
      </c>
      <c r="H27" s="2">
        <f>+'[1]Monthly Summary'!G27</f>
        <v>46119.230789138819</v>
      </c>
      <c r="I27" s="72">
        <f>(G27-H27)/H27</f>
        <v>-0.11888387919844948</v>
      </c>
      <c r="N27" s="87"/>
    </row>
    <row r="28" spans="1:17" x14ac:dyDescent="0.2">
      <c r="A28" s="43" t="s">
        <v>16</v>
      </c>
      <c r="B28" s="441">
        <f>(Cargo!S17+'Major Airline Stats'!L29+'Regional Major'!K26)*0.00045359237</f>
        <v>1083.4185299237299</v>
      </c>
      <c r="C28" s="442">
        <f>(Cargo!S22+'Major Airline Stats'!L34+'Regional Major'!K31)*0.00045359237</f>
        <v>1098.2990812139499</v>
      </c>
      <c r="D28" s="442">
        <f>SUM(B28:C28)</f>
        <v>2181.7176111376798</v>
      </c>
      <c r="E28" s="390">
        <f>'[1]Monthly Summary'!D28</f>
        <v>233.65178008018</v>
      </c>
      <c r="F28" s="443">
        <f>(D28-E28)/E28</f>
        <v>8.3374748114009698</v>
      </c>
      <c r="G28" s="390">
        <f>+D28+'[2]Monthly Summary'!G28</f>
        <v>6042.4577285834293</v>
      </c>
      <c r="H28" s="390">
        <f>+'[1]Monthly Summary'!G28</f>
        <v>933.50625163872996</v>
      </c>
      <c r="I28" s="444">
        <f>(G28-H28)/H28</f>
        <v>5.4728626273001986</v>
      </c>
    </row>
    <row r="29" spans="1:17" ht="15.75" thickBot="1" x14ac:dyDescent="0.3">
      <c r="A29" s="44" t="s">
        <v>62</v>
      </c>
      <c r="B29" s="439">
        <f>SUM(B27:B28)</f>
        <v>8970.371483993842</v>
      </c>
      <c r="C29" s="439">
        <f>SUM(C27:C28)</f>
        <v>7400.6636955933209</v>
      </c>
      <c r="D29" s="439">
        <f>SUM(D27:D28)</f>
        <v>16371.035179587163</v>
      </c>
      <c r="E29" s="439">
        <f>SUM(E27:E28)</f>
        <v>16037.643063986159</v>
      </c>
      <c r="F29" s="68">
        <f>(D29-E29)/E29</f>
        <v>2.0788099240695974E-2</v>
      </c>
      <c r="G29" s="439">
        <f>SUM(G27:G28)</f>
        <v>46678.855455860859</v>
      </c>
      <c r="H29" s="439">
        <f>SUM(H27:H28)</f>
        <v>47052.737040777552</v>
      </c>
      <c r="I29" s="440">
        <f>(G29-H29)/H29</f>
        <v>-7.9460113997762601E-3</v>
      </c>
    </row>
    <row r="30" spans="1:17" ht="4.5" customHeight="1" thickBot="1" x14ac:dyDescent="0.3">
      <c r="A30" s="40"/>
      <c r="B30" s="274"/>
      <c r="C30" s="274"/>
      <c r="D30" s="274"/>
      <c r="E30" s="274"/>
      <c r="F30" s="189"/>
      <c r="G30" s="274"/>
      <c r="H30" s="274"/>
      <c r="I30" s="189"/>
    </row>
    <row r="31" spans="1:17" ht="13.5" thickBot="1" x14ac:dyDescent="0.25">
      <c r="B31" s="455" t="s">
        <v>142</v>
      </c>
      <c r="C31" s="454"/>
      <c r="D31" s="455" t="s">
        <v>149</v>
      </c>
      <c r="E31" s="454"/>
      <c r="F31" s="296"/>
      <c r="G31" s="297"/>
    </row>
    <row r="32" spans="1:17" x14ac:dyDescent="0.2">
      <c r="A32" s="278" t="s">
        <v>143</v>
      </c>
      <c r="B32" s="279">
        <f>C8-B33</f>
        <v>1187269</v>
      </c>
      <c r="C32" s="280">
        <f>B32/C8</f>
        <v>0.74496992559518205</v>
      </c>
      <c r="D32" s="281">
        <f>+B32+'[2]Monthly Summary'!$D$32</f>
        <v>2895700</v>
      </c>
      <c r="E32" s="282">
        <f>+D32/D34</f>
        <v>0.71564215766716033</v>
      </c>
      <c r="G32" s="2"/>
      <c r="H32" s="388"/>
      <c r="I32" s="295"/>
    </row>
    <row r="33" spans="1:14" ht="13.5" thickBot="1" x14ac:dyDescent="0.25">
      <c r="A33" s="283" t="s">
        <v>144</v>
      </c>
      <c r="B33" s="284">
        <f>'Major Airline Stats'!L51+'Regional Major'!K45</f>
        <v>406445</v>
      </c>
      <c r="C33" s="285">
        <f>+B33/C8</f>
        <v>0.25503007440481795</v>
      </c>
      <c r="D33" s="286">
        <f>+B33+'[2]Monthly Summary'!$D$33</f>
        <v>1150596</v>
      </c>
      <c r="E33" s="287">
        <f>+D33/D34</f>
        <v>0.28435784233283973</v>
      </c>
      <c r="G33" s="219"/>
      <c r="H33" s="388"/>
      <c r="I33" s="295"/>
    </row>
    <row r="34" spans="1:14" ht="13.5" thickBot="1" x14ac:dyDescent="0.25">
      <c r="B34" s="219"/>
      <c r="D34" s="288">
        <f>SUM(D32:D33)</f>
        <v>4046296</v>
      </c>
      <c r="H34" s="388"/>
    </row>
    <row r="35" spans="1:14" ht="13.5" thickBot="1" x14ac:dyDescent="0.25">
      <c r="B35" s="453" t="s">
        <v>244</v>
      </c>
      <c r="C35" s="454"/>
      <c r="D35" s="455" t="s">
        <v>234</v>
      </c>
      <c r="E35" s="454"/>
    </row>
    <row r="36" spans="1:14" x14ac:dyDescent="0.2">
      <c r="A36" s="278" t="s">
        <v>143</v>
      </c>
      <c r="B36" s="279">
        <f>'[1]Monthly Summary'!$B$32</f>
        <v>1163782</v>
      </c>
      <c r="C36" s="280">
        <f>+B36/B38</f>
        <v>0.73646274724217708</v>
      </c>
      <c r="D36" s="281">
        <f>+'[1]Monthly Summary'!D32</f>
        <v>2957365</v>
      </c>
      <c r="E36" s="282">
        <f>+D36/D38</f>
        <v>0.72053527921255234</v>
      </c>
    </row>
    <row r="37" spans="1:14" ht="13.5" thickBot="1" x14ac:dyDescent="0.25">
      <c r="A37" s="283" t="s">
        <v>144</v>
      </c>
      <c r="B37" s="284">
        <f>'[1]Monthly Summary'!$B$33</f>
        <v>416450</v>
      </c>
      <c r="C37" s="287">
        <f>+B37/B38</f>
        <v>0.26353725275782292</v>
      </c>
      <c r="D37" s="286">
        <f>+'[1]Monthly Summary'!D33</f>
        <v>1147035</v>
      </c>
      <c r="E37" s="287">
        <f>+D37/D38</f>
        <v>0.27946472078744761</v>
      </c>
      <c r="G37" s="219"/>
      <c r="M37" s="1"/>
    </row>
    <row r="38" spans="1:14" x14ac:dyDescent="0.2">
      <c r="B38" s="300">
        <f>+SUM(B36:B37)</f>
        <v>1580232</v>
      </c>
      <c r="D38" s="288">
        <f>SUM(D36:D37)</f>
        <v>4104400</v>
      </c>
      <c r="K38" s="293"/>
    </row>
    <row r="39" spans="1:14" x14ac:dyDescent="0.2">
      <c r="A39" s="292" t="s">
        <v>145</v>
      </c>
    </row>
    <row r="40" spans="1:14" x14ac:dyDescent="0.2">
      <c r="A40" s="162" t="s">
        <v>147</v>
      </c>
      <c r="I40" s="2"/>
    </row>
    <row r="41" spans="1:14" x14ac:dyDescent="0.2">
      <c r="N41" s="293"/>
    </row>
    <row r="42" spans="1:14" x14ac:dyDescent="0.2">
      <c r="G42" s="2"/>
      <c r="N42" s="293"/>
    </row>
    <row r="43" spans="1:14" x14ac:dyDescent="0.2">
      <c r="B43" s="219"/>
      <c r="J43" s="2"/>
      <c r="N43" s="293"/>
    </row>
    <row r="44" spans="1:14" x14ac:dyDescent="0.2">
      <c r="B44" s="219"/>
      <c r="D44" s="87"/>
      <c r="N44" s="293"/>
    </row>
    <row r="45" spans="1:14" x14ac:dyDescent="0.2">
      <c r="J45" s="2"/>
      <c r="N45" s="293"/>
    </row>
    <row r="46" spans="1:14" x14ac:dyDescent="0.2">
      <c r="B46" s="2"/>
      <c r="F46" s="219"/>
    </row>
    <row r="47" spans="1:14" x14ac:dyDescent="0.2">
      <c r="N47" s="293"/>
    </row>
    <row r="51" spans="12:12" x14ac:dyDescent="0.2">
      <c r="L51" s="294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2:C2 E2 D2:D14 B13:C13 E13">
    <cfRule type="expression" dxfId="7" priority="42" stopIfTrue="1">
      <formula>"*.*"</formula>
    </cfRule>
  </conditionalFormatting>
  <conditionalFormatting sqref="B24:C24">
    <cfRule type="expression" dxfId="6" priority="16" stopIfTrue="1">
      <formula>"*.*"</formula>
    </cfRule>
  </conditionalFormatting>
  <conditionalFormatting sqref="B4:E12">
    <cfRule type="expression" dxfId="5" priority="37" stopIfTrue="1">
      <formula>"*.*"</formula>
    </cfRule>
  </conditionalFormatting>
  <conditionalFormatting sqref="B15:I22">
    <cfRule type="expression" dxfId="4" priority="5" stopIfTrue="1">
      <formula>"*.*"</formula>
    </cfRule>
  </conditionalFormatting>
  <conditionalFormatting sqref="B26:I30">
    <cfRule type="expression" dxfId="3" priority="1" stopIfTrue="1">
      <formula>"*.*"</formula>
    </cfRule>
  </conditionalFormatting>
  <conditionalFormatting sqref="E24 D24:D25">
    <cfRule type="expression" dxfId="2" priority="9" stopIfTrue="1">
      <formula>"*.*"</formula>
    </cfRule>
  </conditionalFormatting>
  <conditionalFormatting sqref="F2:I14">
    <cfRule type="expression" dxfId="1" priority="15" stopIfTrue="1">
      <formula>"*.*"</formula>
    </cfRule>
  </conditionalFormatting>
  <conditionalFormatting sqref="F24:I25">
    <cfRule type="expression" dxfId="0" priority="8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March 2025</oddHeader>
    <oddFooter>&amp;LPrinted on &amp;D&amp;RPage &amp;P of &amp;N</oddFooter>
  </headerFooter>
  <ignoredErrors>
    <ignoredError sqref="F22 F29 F18 I18 F7 I7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38"/>
  <sheetViews>
    <sheetView zoomScaleNormal="100" zoomScaleSheetLayoutView="100" workbookViewId="0">
      <selection activeCell="L3" sqref="L3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6" width="11.28515625" customWidth="1"/>
    <col min="7" max="7" width="11.85546875" bestFit="1" customWidth="1"/>
    <col min="8" max="16" width="11.28515625" customWidth="1"/>
    <col min="17" max="17" width="9.5703125" bestFit="1" customWidth="1"/>
    <col min="18" max="18" width="13.85546875" customWidth="1"/>
  </cols>
  <sheetData>
    <row r="1" spans="1:20" ht="39" thickBot="1" x14ac:dyDescent="0.25">
      <c r="A1" s="384">
        <v>45717</v>
      </c>
      <c r="B1" s="313" t="s">
        <v>18</v>
      </c>
      <c r="C1" s="313" t="s">
        <v>179</v>
      </c>
      <c r="D1" s="352" t="s">
        <v>154</v>
      </c>
      <c r="E1" s="313" t="s">
        <v>159</v>
      </c>
      <c r="F1" s="313" t="s">
        <v>213</v>
      </c>
      <c r="G1" s="313" t="s">
        <v>49</v>
      </c>
      <c r="H1" s="313" t="s">
        <v>113</v>
      </c>
      <c r="I1" s="313" t="s">
        <v>178</v>
      </c>
      <c r="J1" s="313" t="s">
        <v>230</v>
      </c>
      <c r="K1" s="313" t="s">
        <v>217</v>
      </c>
      <c r="L1" s="313" t="s">
        <v>180</v>
      </c>
      <c r="M1" s="313" t="s">
        <v>157</v>
      </c>
      <c r="N1" s="313" t="s">
        <v>186</v>
      </c>
      <c r="O1" s="313" t="s">
        <v>153</v>
      </c>
      <c r="P1" s="313" t="s">
        <v>47</v>
      </c>
      <c r="Q1" s="313" t="s">
        <v>137</v>
      </c>
      <c r="R1" s="313" t="s">
        <v>21</v>
      </c>
    </row>
    <row r="2" spans="1:20" ht="15" x14ac:dyDescent="0.25">
      <c r="A2" s="489" t="s">
        <v>138</v>
      </c>
      <c r="B2" s="490"/>
      <c r="C2" s="490"/>
      <c r="D2" s="490"/>
      <c r="E2" s="490"/>
      <c r="F2" s="490"/>
      <c r="G2" s="490"/>
      <c r="H2" s="490"/>
      <c r="I2" s="490"/>
      <c r="J2" s="490"/>
      <c r="K2" s="490"/>
      <c r="L2" s="490"/>
      <c r="M2" s="490"/>
      <c r="N2" s="490"/>
      <c r="O2" s="490"/>
      <c r="P2" s="490"/>
      <c r="Q2" s="490"/>
      <c r="R2" s="491"/>
    </row>
    <row r="3" spans="1:20" x14ac:dyDescent="0.2">
      <c r="A3" s="43" t="s">
        <v>29</v>
      </c>
      <c r="R3" s="37"/>
    </row>
    <row r="4" spans="1:20" x14ac:dyDescent="0.2">
      <c r="A4" s="43" t="s">
        <v>30</v>
      </c>
      <c r="B4" s="11">
        <f>[3]Delta!$JJ$32</f>
        <v>132058</v>
      </c>
      <c r="C4" s="11">
        <f>'[3]Atlantic Southeast'!$JJ$32</f>
        <v>0</v>
      </c>
      <c r="D4" s="11">
        <f>[3]Pinnacle!$JJ$32</f>
        <v>3134</v>
      </c>
      <c r="E4" s="11">
        <f>'[3]Sky West'!$JJ$32</f>
        <v>7740</v>
      </c>
      <c r="F4" s="11">
        <f>[3]WestJet!$JJ$32</f>
        <v>4614</v>
      </c>
      <c r="G4" s="11">
        <f>'[3]Sun Country'!$JJ$32</f>
        <v>55448</v>
      </c>
      <c r="H4" s="11">
        <f>[3]Icelandair!$JJ$32</f>
        <v>2556</v>
      </c>
      <c r="I4" s="11">
        <f>[3]KLM!$JJ$32</f>
        <v>315</v>
      </c>
      <c r="J4" s="11">
        <f>[3]Lufthansa!$JJ$32</f>
        <v>2926</v>
      </c>
      <c r="K4" s="11">
        <f>[3]Jazz_AC!$JJ$32</f>
        <v>4051</v>
      </c>
      <c r="L4" s="11">
        <f>'[3]Sky Regional'!$JJ$32</f>
        <v>0</v>
      </c>
      <c r="M4" s="11">
        <f>[3]Condor!$JJ$32</f>
        <v>0</v>
      </c>
      <c r="N4" s="11">
        <f>'[3]Aer Lingus'!$JJ$32</f>
        <v>0</v>
      </c>
      <c r="O4" s="11">
        <f>'[3]Air France'!$JJ$32</f>
        <v>0</v>
      </c>
      <c r="P4" s="11">
        <f>[3]Frontier!$JJ$32</f>
        <v>0</v>
      </c>
      <c r="Q4" s="11">
        <f>'[3]Charter Misc'!$JJ$32+[3]Ryan!$JJ$32+[3]Omni!$JJ$32</f>
        <v>322</v>
      </c>
      <c r="R4" s="195">
        <f>SUM(B4:Q4)</f>
        <v>213164</v>
      </c>
    </row>
    <row r="5" spans="1:20" x14ac:dyDescent="0.2">
      <c r="A5" s="43" t="s">
        <v>31</v>
      </c>
      <c r="B5" s="7">
        <f>[3]Delta!$JJ$33</f>
        <v>137946</v>
      </c>
      <c r="C5" s="7">
        <f>'[3]Atlantic Southeast'!$JJ$33</f>
        <v>0</v>
      </c>
      <c r="D5" s="7">
        <f>[3]Pinnacle!$JJ$33</f>
        <v>4135</v>
      </c>
      <c r="E5" s="7">
        <f>'[3]Sky West'!$JJ$33</f>
        <v>8345</v>
      </c>
      <c r="F5" s="7">
        <f>[3]WestJet!$JJ$33</f>
        <v>5164</v>
      </c>
      <c r="G5" s="7">
        <f>'[3]Sun Country'!$JJ$33</f>
        <v>57589</v>
      </c>
      <c r="H5" s="7">
        <f>[3]Icelandair!$JJ$33</f>
        <v>2959</v>
      </c>
      <c r="I5" s="7">
        <f>[3]KLM!$JJ$33</f>
        <v>273</v>
      </c>
      <c r="J5" s="7">
        <f>[3]Lufthansa!$JJ$33</f>
        <v>3345</v>
      </c>
      <c r="K5" s="7">
        <f>[3]Jazz_AC!$JJ$33</f>
        <v>4495</v>
      </c>
      <c r="L5" s="7">
        <f>'[3]Sky Regional'!$JJ$33</f>
        <v>0</v>
      </c>
      <c r="M5" s="7">
        <f>[3]Condor!$JJ$33</f>
        <v>0</v>
      </c>
      <c r="N5" s="7">
        <f>'[3]Aer Lingus'!$JJ$33</f>
        <v>0</v>
      </c>
      <c r="O5" s="7">
        <f>'[3]Air France'!$JJ$33</f>
        <v>0</v>
      </c>
      <c r="P5" s="7">
        <f>[3]Frontier!$JJ$33</f>
        <v>0</v>
      </c>
      <c r="Q5" s="7">
        <f>'[3]Charter Misc'!$JJ$33++[3]Ryan!$JJ$33+[3]Omni!$JJ$33</f>
        <v>431</v>
      </c>
      <c r="R5" s="196">
        <f>SUM(B5:Q5)</f>
        <v>224682</v>
      </c>
    </row>
    <row r="6" spans="1:20" ht="15" x14ac:dyDescent="0.25">
      <c r="A6" s="41" t="s">
        <v>7</v>
      </c>
      <c r="B6" s="23">
        <f t="shared" ref="B6:Q6" si="0">SUM(B4:B5)</f>
        <v>270004</v>
      </c>
      <c r="C6" s="23">
        <f t="shared" si="0"/>
        <v>0</v>
      </c>
      <c r="D6" s="23">
        <f t="shared" si="0"/>
        <v>7269</v>
      </c>
      <c r="E6" s="23">
        <f t="shared" si="0"/>
        <v>16085</v>
      </c>
      <c r="F6" s="23">
        <f t="shared" ref="F6" si="1">SUM(F4:F5)</f>
        <v>9778</v>
      </c>
      <c r="G6" s="23">
        <f t="shared" si="0"/>
        <v>113037</v>
      </c>
      <c r="H6" s="23">
        <f t="shared" si="0"/>
        <v>5515</v>
      </c>
      <c r="I6" s="23">
        <f t="shared" ref="I6:J6" si="2">SUM(I4:I5)</f>
        <v>588</v>
      </c>
      <c r="J6" s="23">
        <f t="shared" si="2"/>
        <v>6271</v>
      </c>
      <c r="K6" s="23">
        <f t="shared" si="0"/>
        <v>8546</v>
      </c>
      <c r="L6" s="23">
        <f t="shared" ref="L6" si="3">SUM(L4:L5)</f>
        <v>0</v>
      </c>
      <c r="M6" s="23">
        <f t="shared" ref="M6:N6" si="4">SUM(M4:M5)</f>
        <v>0</v>
      </c>
      <c r="N6" s="23">
        <f t="shared" si="4"/>
        <v>0</v>
      </c>
      <c r="O6" s="23">
        <f t="shared" si="0"/>
        <v>0</v>
      </c>
      <c r="P6" s="23">
        <f t="shared" si="0"/>
        <v>0</v>
      </c>
      <c r="Q6" s="23">
        <f t="shared" si="0"/>
        <v>753</v>
      </c>
      <c r="R6" s="197">
        <f>SUM(B6:Q6)</f>
        <v>437846</v>
      </c>
    </row>
    <row r="7" spans="1:20" x14ac:dyDescent="0.2">
      <c r="A7" s="43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95"/>
    </row>
    <row r="8" spans="1:20" x14ac:dyDescent="0.2">
      <c r="A8" s="43" t="s">
        <v>32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95">
        <f>SUM(B8:Q8)</f>
        <v>0</v>
      </c>
    </row>
    <row r="9" spans="1:20" x14ac:dyDescent="0.2">
      <c r="A9" s="43" t="s">
        <v>30</v>
      </c>
      <c r="B9" s="11">
        <f>[3]Delta!$JJ$37</f>
        <v>2855</v>
      </c>
      <c r="C9" s="11">
        <f>'[3]Atlantic Southeast'!$JJ$37</f>
        <v>0</v>
      </c>
      <c r="D9" s="11">
        <f>[3]Pinnacle!$JJ$37</f>
        <v>100</v>
      </c>
      <c r="E9" s="11">
        <f>'[3]Sky West'!$JJ$37</f>
        <v>92</v>
      </c>
      <c r="F9" s="11">
        <f>[3]WestJet!$JJ$37</f>
        <v>2</v>
      </c>
      <c r="G9" s="11">
        <f>'[3]Sun Country'!$JJ$37</f>
        <v>716</v>
      </c>
      <c r="H9" s="11">
        <f>[3]Icelandair!$JJ$37</f>
        <v>34</v>
      </c>
      <c r="I9" s="11">
        <f>[3]KLM!$JJ$37</f>
        <v>0</v>
      </c>
      <c r="J9" s="11">
        <f>[3]Lufthansa!$JJ$37</f>
        <v>29</v>
      </c>
      <c r="K9" s="11">
        <f>[3]Jazz_AC!$JJ$37</f>
        <v>86</v>
      </c>
      <c r="L9" s="11">
        <f>'[3]Sky Regional'!$JJ$37</f>
        <v>0</v>
      </c>
      <c r="M9" s="11">
        <f>[3]Condor!$JJ$37</f>
        <v>0</v>
      </c>
      <c r="N9" s="11">
        <f>'[3]Aer Lingus'!$JJ$37</f>
        <v>0</v>
      </c>
      <c r="O9" s="11">
        <f>'[3]Air France'!$JJ$37</f>
        <v>0</v>
      </c>
      <c r="P9" s="11">
        <f>[3]Frontier!$JJ$37</f>
        <v>0</v>
      </c>
      <c r="Q9" s="11">
        <f>'[3]Charter Misc'!$JJ$37+[3]Ryan!$JJ$37+[3]Omni!$JJ$37</f>
        <v>0</v>
      </c>
      <c r="R9" s="195">
        <f>SUM(B9:Q9)</f>
        <v>3914</v>
      </c>
    </row>
    <row r="10" spans="1:20" x14ac:dyDescent="0.2">
      <c r="A10" s="43" t="s">
        <v>33</v>
      </c>
      <c r="B10" s="7">
        <f>[3]Delta!$JJ$38</f>
        <v>3191</v>
      </c>
      <c r="C10" s="7">
        <f>'[3]Atlantic Southeast'!$JJ$38</f>
        <v>0</v>
      </c>
      <c r="D10" s="7">
        <f>[3]Pinnacle!$JJ$38</f>
        <v>86</v>
      </c>
      <c r="E10" s="7">
        <f>'[3]Sky West'!$JJ$38</f>
        <v>85</v>
      </c>
      <c r="F10" s="7">
        <f>[3]WestJet!$JJ$38</f>
        <v>3</v>
      </c>
      <c r="G10" s="7">
        <f>'[3]Sun Country'!$JJ$38</f>
        <v>745</v>
      </c>
      <c r="H10" s="7">
        <f>[3]Icelandair!$JJ$38</f>
        <v>19</v>
      </c>
      <c r="I10" s="7">
        <f>[3]KLM!$JJ$38</f>
        <v>0</v>
      </c>
      <c r="J10" s="7">
        <f>[3]Lufthansa!$JJ$38</f>
        <v>42</v>
      </c>
      <c r="K10" s="7">
        <f>[3]Jazz_AC!$JJ$38</f>
        <v>104</v>
      </c>
      <c r="L10" s="7">
        <f>'[3]Sky Regional'!$JJ$38</f>
        <v>0</v>
      </c>
      <c r="M10" s="7">
        <f>[3]Condor!$JJ$38</f>
        <v>0</v>
      </c>
      <c r="N10" s="7">
        <f>'[3]Aer Lingus'!$JJ$38</f>
        <v>0</v>
      </c>
      <c r="O10" s="7">
        <f>'[3]Air France'!$JJ$38</f>
        <v>0</v>
      </c>
      <c r="P10" s="7">
        <f>[3]Frontier!$JJ$38</f>
        <v>0</v>
      </c>
      <c r="Q10" s="7">
        <f>'[3]Charter Misc'!$JJ$38+[3]Ryan!$JJ$38+[3]Omni!$JJ$38</f>
        <v>0</v>
      </c>
      <c r="R10" s="196">
        <f>SUM(B10:Q10)</f>
        <v>4275</v>
      </c>
    </row>
    <row r="11" spans="1:20" ht="15.75" thickBot="1" x14ac:dyDescent="0.3">
      <c r="A11" s="44" t="s">
        <v>34</v>
      </c>
      <c r="B11" s="198">
        <f t="shared" ref="B11:G11" si="5">SUM(B9:B10)</f>
        <v>6046</v>
      </c>
      <c r="C11" s="198">
        <f t="shared" si="5"/>
        <v>0</v>
      </c>
      <c r="D11" s="198">
        <f t="shared" si="5"/>
        <v>186</v>
      </c>
      <c r="E11" s="198">
        <f t="shared" si="5"/>
        <v>177</v>
      </c>
      <c r="F11" s="198">
        <f t="shared" ref="F11" si="6">SUM(F9:F10)</f>
        <v>5</v>
      </c>
      <c r="G11" s="198">
        <f t="shared" si="5"/>
        <v>1461</v>
      </c>
      <c r="H11" s="198">
        <f t="shared" ref="H11:Q11" si="7">SUM(H9:H10)</f>
        <v>53</v>
      </c>
      <c r="I11" s="198">
        <f t="shared" ref="I11:J11" si="8">SUM(I9:I10)</f>
        <v>0</v>
      </c>
      <c r="J11" s="198">
        <f t="shared" si="8"/>
        <v>71</v>
      </c>
      <c r="K11" s="198">
        <f t="shared" si="7"/>
        <v>190</v>
      </c>
      <c r="L11" s="198">
        <f t="shared" ref="L11" si="9">SUM(L9:L10)</f>
        <v>0</v>
      </c>
      <c r="M11" s="198">
        <f t="shared" si="7"/>
        <v>0</v>
      </c>
      <c r="N11" s="198">
        <f t="shared" ref="N11" si="10">SUM(N9:N10)</f>
        <v>0</v>
      </c>
      <c r="O11" s="198">
        <f t="shared" si="7"/>
        <v>0</v>
      </c>
      <c r="P11" s="198">
        <f t="shared" si="7"/>
        <v>0</v>
      </c>
      <c r="Q11" s="198">
        <f t="shared" si="7"/>
        <v>0</v>
      </c>
      <c r="R11" s="199">
        <f>SUM(B11:Q11)</f>
        <v>8189</v>
      </c>
      <c r="T11" s="219"/>
    </row>
    <row r="12" spans="1:20" ht="15" x14ac:dyDescent="0.25">
      <c r="A12" s="272"/>
      <c r="B12" s="268"/>
      <c r="C12" s="268"/>
      <c r="D12" s="268"/>
      <c r="E12" s="268"/>
      <c r="F12" s="268"/>
      <c r="G12" s="268"/>
      <c r="H12" s="268"/>
      <c r="I12" s="268"/>
      <c r="J12" s="268"/>
      <c r="K12" s="268"/>
      <c r="L12" s="268"/>
      <c r="M12" s="268"/>
      <c r="N12" s="268"/>
      <c r="O12" s="268"/>
      <c r="P12" s="268"/>
      <c r="Q12" s="268"/>
      <c r="R12" s="269"/>
    </row>
    <row r="13" spans="1:20" ht="39" thickBot="1" x14ac:dyDescent="0.25">
      <c r="B13" s="314" t="s">
        <v>18</v>
      </c>
      <c r="C13" s="313" t="s">
        <v>179</v>
      </c>
      <c r="D13" s="352" t="s">
        <v>154</v>
      </c>
      <c r="E13" s="313" t="s">
        <v>159</v>
      </c>
      <c r="F13" s="313" t="s">
        <v>213</v>
      </c>
      <c r="G13" s="313" t="s">
        <v>49</v>
      </c>
      <c r="H13" s="313" t="s">
        <v>113</v>
      </c>
      <c r="I13" s="313" t="s">
        <v>178</v>
      </c>
      <c r="J13" s="313" t="s">
        <v>230</v>
      </c>
      <c r="K13" s="313" t="s">
        <v>217</v>
      </c>
      <c r="L13" s="313" t="s">
        <v>180</v>
      </c>
      <c r="M13" s="313" t="s">
        <v>157</v>
      </c>
      <c r="N13" s="313" t="s">
        <v>186</v>
      </c>
      <c r="O13" s="313" t="s">
        <v>153</v>
      </c>
      <c r="P13" s="313" t="s">
        <v>47</v>
      </c>
      <c r="Q13" s="313" t="s">
        <v>137</v>
      </c>
      <c r="R13" s="313" t="s">
        <v>21</v>
      </c>
    </row>
    <row r="14" spans="1:20" ht="15" x14ac:dyDescent="0.25">
      <c r="A14" s="492" t="s">
        <v>139</v>
      </c>
      <c r="B14" s="493"/>
      <c r="C14" s="493"/>
      <c r="D14" s="493"/>
      <c r="E14" s="493"/>
      <c r="F14" s="493"/>
      <c r="G14" s="493"/>
      <c r="H14" s="493"/>
      <c r="I14" s="493"/>
      <c r="J14" s="493"/>
      <c r="K14" s="493"/>
      <c r="L14" s="493"/>
      <c r="M14" s="493"/>
      <c r="N14" s="493"/>
      <c r="O14" s="493"/>
      <c r="P14" s="493"/>
      <c r="Q14" s="493"/>
      <c r="R14" s="494"/>
    </row>
    <row r="15" spans="1:20" x14ac:dyDescent="0.2">
      <c r="A15" s="43" t="s">
        <v>29</v>
      </c>
      <c r="R15" s="37"/>
    </row>
    <row r="16" spans="1:20" x14ac:dyDescent="0.2">
      <c r="A16" s="43"/>
      <c r="R16" s="37"/>
    </row>
    <row r="17" spans="1:21" x14ac:dyDescent="0.2">
      <c r="A17" s="43" t="s">
        <v>30</v>
      </c>
      <c r="B17" s="11">
        <f>SUM([3]Delta!$JH$32:$JJ$32)</f>
        <v>352312</v>
      </c>
      <c r="C17" s="11">
        <f>SUM('[3]Atlantic Southeast'!$JH$32:$JJ$32)</f>
        <v>0</v>
      </c>
      <c r="D17" s="11">
        <f>SUM([3]Pinnacle!$JH$32:$JJ$32)</f>
        <v>11666</v>
      </c>
      <c r="E17" s="11">
        <f>SUM('[3]Sky West'!$JH$32:$JJ$32)</f>
        <v>17938</v>
      </c>
      <c r="F17" s="11">
        <f>SUM([3]WestJet!$JH$32:$JJ$32)</f>
        <v>14910</v>
      </c>
      <c r="G17" s="11">
        <f>SUM('[3]Sun Country'!$JH$32:$JJ$32)</f>
        <v>122317</v>
      </c>
      <c r="H17" s="11">
        <f>SUM([3]Icelandair!$JH$32:$JJ$32)</f>
        <v>3235</v>
      </c>
      <c r="I17" s="11">
        <f>SUM([3]KLM!$JH$32:$JJ$32)</f>
        <v>315</v>
      </c>
      <c r="J17" s="11">
        <f>SUM([3]Lufthansa!$JH$32:$JJ$32)</f>
        <v>8361</v>
      </c>
      <c r="K17" s="11">
        <f>SUM([3]Jazz_AC!$JH$32:$JJ$32)</f>
        <v>11223</v>
      </c>
      <c r="L17" s="11">
        <f>SUM('[3]Sky Regional'!$JH$32:$JJ$32)</f>
        <v>0</v>
      </c>
      <c r="M17" s="11">
        <f>SUM([3]Condor!$JH$32:$JJ$32)</f>
        <v>0</v>
      </c>
      <c r="N17" s="11">
        <f>SUM('[3]Aer Lingus'!$JH$32:$JJ$32)</f>
        <v>0</v>
      </c>
      <c r="O17" s="11">
        <f>SUM('[3]Air France'!$JH$32:$JJ$32)</f>
        <v>0</v>
      </c>
      <c r="P17" s="11">
        <f>SUM([3]Frontier!$JH$32:$JJ$32)</f>
        <v>0</v>
      </c>
      <c r="Q17" s="11">
        <f>SUM('[3]Charter Misc'!$JH$32:$JJ$32)+SUM([3]Ryan!$JH$32:$JJ$32)+SUM([3]Omni!$JH$32:$JJ$32)</f>
        <v>382</v>
      </c>
      <c r="R17" s="195">
        <f>SUM(B17:Q17)</f>
        <v>542659</v>
      </c>
    </row>
    <row r="18" spans="1:21" x14ac:dyDescent="0.2">
      <c r="A18" s="43" t="s">
        <v>31</v>
      </c>
      <c r="B18" s="7">
        <f>SUM([3]Delta!$JH$33:$JJ$33)</f>
        <v>357131</v>
      </c>
      <c r="C18" s="7">
        <f>SUM('[3]Atlantic Southeast'!$JH$33:$JJ$33)</f>
        <v>0</v>
      </c>
      <c r="D18" s="7">
        <f>SUM([3]Pinnacle!$JH$33:$JJ$33)</f>
        <v>12527</v>
      </c>
      <c r="E18" s="7">
        <f>SUM('[3]Sky West'!$JH$33:$JJ$33)</f>
        <v>18959</v>
      </c>
      <c r="F18" s="7">
        <f>SUM([3]WestJet!$JH$33:$JJ$33)</f>
        <v>15114</v>
      </c>
      <c r="G18" s="7">
        <f>SUM('[3]Sun Country'!$JH$33:$JJ$33)</f>
        <v>96138</v>
      </c>
      <c r="H18" s="7">
        <f>SUM([3]Icelandair!$JH$33:$JJ$33)</f>
        <v>3510</v>
      </c>
      <c r="I18" s="7">
        <f>SUM([3]KLM!$JH$33:$JJ$33)</f>
        <v>273</v>
      </c>
      <c r="J18" s="7">
        <f>SUM([3]Lufthansa!$JH$33:$JJ$33)</f>
        <v>7254</v>
      </c>
      <c r="K18" s="7">
        <f>SUM([3]Jazz_AC!$JH$33:$JJ$33)</f>
        <v>10791</v>
      </c>
      <c r="L18" s="7">
        <f>SUM('[3]Sky Regional'!$JH$33:$JJ$33)</f>
        <v>0</v>
      </c>
      <c r="M18" s="7">
        <f>SUM([3]Condor!$JH$33:$JJ$33)</f>
        <v>0</v>
      </c>
      <c r="N18" s="7">
        <f>SUM('[3]Aer Lingus'!$JH$33:$JJ$33)</f>
        <v>0</v>
      </c>
      <c r="O18" s="7">
        <f>SUM('[3]Air France'!$JH$33:$JJ$33)</f>
        <v>0</v>
      </c>
      <c r="P18" s="7">
        <f>SUM([3]Frontier!$JH$33:$JJ$33)</f>
        <v>0</v>
      </c>
      <c r="Q18" s="7">
        <f>SUM('[3]Charter Misc'!$JH$33:$JJ$33)++SUM([3]Ryan!$JH$33:$JJ$33)+SUM([3]Omni!$JH$33:$JJ$33)</f>
        <v>431</v>
      </c>
      <c r="R18" s="196">
        <f>SUM(B18:Q18)</f>
        <v>522128</v>
      </c>
    </row>
    <row r="19" spans="1:21" ht="15" x14ac:dyDescent="0.25">
      <c r="A19" s="41" t="s">
        <v>7</v>
      </c>
      <c r="B19" s="23">
        <f t="shared" ref="B19:Q19" si="11">SUM(B17:B18)</f>
        <v>709443</v>
      </c>
      <c r="C19" s="23">
        <f t="shared" si="11"/>
        <v>0</v>
      </c>
      <c r="D19" s="23">
        <f t="shared" si="11"/>
        <v>24193</v>
      </c>
      <c r="E19" s="23">
        <f t="shared" si="11"/>
        <v>36897</v>
      </c>
      <c r="F19" s="23">
        <f t="shared" ref="F19" si="12">SUM(F17:F18)</f>
        <v>30024</v>
      </c>
      <c r="G19" s="23">
        <f t="shared" si="11"/>
        <v>218455</v>
      </c>
      <c r="H19" s="23">
        <f t="shared" si="11"/>
        <v>6745</v>
      </c>
      <c r="I19" s="23">
        <f t="shared" ref="I19:J19" si="13">SUM(I17:I18)</f>
        <v>588</v>
      </c>
      <c r="J19" s="23">
        <f t="shared" si="13"/>
        <v>15615</v>
      </c>
      <c r="K19" s="23">
        <f t="shared" si="11"/>
        <v>22014</v>
      </c>
      <c r="L19" s="23">
        <f t="shared" ref="L19" si="14">SUM(L17:L18)</f>
        <v>0</v>
      </c>
      <c r="M19" s="23">
        <f t="shared" ref="M19:N19" si="15">SUM(M17:M18)</f>
        <v>0</v>
      </c>
      <c r="N19" s="23">
        <f t="shared" si="15"/>
        <v>0</v>
      </c>
      <c r="O19" s="23">
        <f t="shared" si="11"/>
        <v>0</v>
      </c>
      <c r="P19" s="23">
        <f t="shared" si="11"/>
        <v>0</v>
      </c>
      <c r="Q19" s="23">
        <f t="shared" si="11"/>
        <v>813</v>
      </c>
      <c r="R19" s="197">
        <f>SUM(B19:Q19)</f>
        <v>1064787</v>
      </c>
      <c r="U19" s="219"/>
    </row>
    <row r="20" spans="1:21" x14ac:dyDescent="0.2">
      <c r="A20" s="43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95"/>
      <c r="U20" s="87"/>
    </row>
    <row r="21" spans="1:21" x14ac:dyDescent="0.2">
      <c r="A21" s="43" t="s">
        <v>32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95">
        <f>SUM(B21:Q21)</f>
        <v>0</v>
      </c>
    </row>
    <row r="22" spans="1:21" x14ac:dyDescent="0.2">
      <c r="A22" s="43" t="s">
        <v>30</v>
      </c>
      <c r="B22" s="11">
        <f>SUM([3]Delta!$JH$37:$JJ$37)</f>
        <v>9040</v>
      </c>
      <c r="C22" s="11">
        <f>SUM('[3]Atlantic Southeast'!$JH$37:$JJ$37)</f>
        <v>0</v>
      </c>
      <c r="D22" s="11">
        <f>SUM([3]Pinnacle!$JH$37:$JJ$37)</f>
        <v>333</v>
      </c>
      <c r="E22" s="11">
        <f>SUM('[3]Sky West'!$JH$37:$JJ$37)</f>
        <v>189</v>
      </c>
      <c r="F22" s="11">
        <f>SUM([3]WestJet!$JH$37:$JJ$37)</f>
        <v>8</v>
      </c>
      <c r="G22" s="11">
        <f>SUM('[3]Sun Country'!$JH$37:$JJ$37)</f>
        <v>2203</v>
      </c>
      <c r="H22" s="11">
        <f>SUM([3]Icelandair!$JH$37:$JJ$37)</f>
        <v>35</v>
      </c>
      <c r="I22" s="11">
        <f>SUM([3]KLM!$JH$37:$JJ$37)</f>
        <v>0</v>
      </c>
      <c r="J22" s="11">
        <f>SUM([3]Lufthansa!$JH$37:$JJ$37)</f>
        <v>117</v>
      </c>
      <c r="K22" s="11">
        <f>SUM([3]Jazz_AC!$JH$37:$JJ$37)</f>
        <v>225</v>
      </c>
      <c r="L22" s="11">
        <f>SUM('[3]Sky Regional'!$JH$37:$JJ$37)</f>
        <v>0</v>
      </c>
      <c r="M22" s="11">
        <f>SUM([3]Condor!$JH$37:$JJ$37)</f>
        <v>0</v>
      </c>
      <c r="N22" s="11">
        <f>SUM('[3]Aer Lingus'!$JH$37:$JJ$37)</f>
        <v>0</v>
      </c>
      <c r="O22" s="11">
        <f>SUM('[3]Air France'!$JH$37:$JJ$37)</f>
        <v>0</v>
      </c>
      <c r="P22" s="11">
        <f>SUM([3]Frontier!$JH$37:$JJ$37)</f>
        <v>0</v>
      </c>
      <c r="Q22" s="11">
        <f>SUM('[3]Charter Misc'!$JH$37:$JJ$37)++SUM([3]Ryan!$JH$37:$JJ$37)+SUM([3]Omni!$JH$37:$JJ$37)</f>
        <v>103</v>
      </c>
      <c r="R22" s="195">
        <f>SUM(B22:Q22)</f>
        <v>12253</v>
      </c>
    </row>
    <row r="23" spans="1:21" x14ac:dyDescent="0.2">
      <c r="A23" s="43" t="s">
        <v>33</v>
      </c>
      <c r="B23" s="7">
        <f>SUM([3]Delta!$JH$38:$JJ$38)</f>
        <v>9187</v>
      </c>
      <c r="C23" s="7">
        <f>SUM('[3]Atlantic Southeast'!$JH$38:$JJ$38)</f>
        <v>0</v>
      </c>
      <c r="D23" s="7">
        <f>SUM([3]Pinnacle!$JH$38:$JJ$38)</f>
        <v>269</v>
      </c>
      <c r="E23" s="7">
        <f>SUM('[3]Sky West'!$JH$38:$JJ$38)</f>
        <v>173</v>
      </c>
      <c r="F23" s="7">
        <f>SUM([3]WestJet!$JH$38:$JJ$38)</f>
        <v>6</v>
      </c>
      <c r="G23" s="7">
        <f>SUM('[3]Sun Country'!$JH$38:$JJ$38)</f>
        <v>1467</v>
      </c>
      <c r="H23" s="7">
        <f>SUM([3]Icelandair!$JH$38:$JJ$38)</f>
        <v>29</v>
      </c>
      <c r="I23" s="7">
        <f>SUM([3]KLM!$JH$38:$JJ$38)</f>
        <v>0</v>
      </c>
      <c r="J23" s="7">
        <f>SUM([3]Lufthansa!$JH$38:$JJ$38)</f>
        <v>143</v>
      </c>
      <c r="K23" s="7">
        <f>SUM([3]Jazz_AC!$JH$38:$JJ$38)</f>
        <v>247</v>
      </c>
      <c r="L23" s="7">
        <f>SUM('[3]Sky Regional'!$JH$38:$JJ$38)</f>
        <v>0</v>
      </c>
      <c r="M23" s="7">
        <f>SUM([3]Condor!$JH$38:$JJ$38)</f>
        <v>0</v>
      </c>
      <c r="N23" s="7">
        <f>SUM('[3]Aer Lingus'!$JH$38:$JJ$38)</f>
        <v>0</v>
      </c>
      <c r="O23" s="7">
        <f>SUM('[3]Air France'!$JH$38:$JJ$38)</f>
        <v>0</v>
      </c>
      <c r="P23" s="7">
        <f>SUM([3]Frontier!$JH$38:$JJ$38)</f>
        <v>0</v>
      </c>
      <c r="Q23" s="7">
        <f>SUM('[3]Charter Misc'!$JH$38:$JJ$38)++SUM([3]Ryan!$JH$38:$JJ$38)+SUM([3]Omni!$JH$38:$JJ$38)</f>
        <v>112</v>
      </c>
      <c r="R23" s="196">
        <f>SUM(B23:Q23)</f>
        <v>11633</v>
      </c>
    </row>
    <row r="24" spans="1:21" ht="15.75" thickBot="1" x14ac:dyDescent="0.3">
      <c r="A24" s="44" t="s">
        <v>34</v>
      </c>
      <c r="B24" s="198">
        <f t="shared" ref="B24:Q24" si="16">SUM(B22:B23)</f>
        <v>18227</v>
      </c>
      <c r="C24" s="198">
        <f t="shared" si="16"/>
        <v>0</v>
      </c>
      <c r="D24" s="198">
        <f t="shared" si="16"/>
        <v>602</v>
      </c>
      <c r="E24" s="198">
        <f t="shared" si="16"/>
        <v>362</v>
      </c>
      <c r="F24" s="198">
        <f t="shared" ref="F24" si="17">SUM(F22:F23)</f>
        <v>14</v>
      </c>
      <c r="G24" s="198">
        <f t="shared" si="16"/>
        <v>3670</v>
      </c>
      <c r="H24" s="198">
        <f t="shared" si="16"/>
        <v>64</v>
      </c>
      <c r="I24" s="198">
        <f t="shared" ref="I24:J24" si="18">SUM(I22:I23)</f>
        <v>0</v>
      </c>
      <c r="J24" s="198">
        <f t="shared" si="18"/>
        <v>260</v>
      </c>
      <c r="K24" s="198">
        <f t="shared" si="16"/>
        <v>472</v>
      </c>
      <c r="L24" s="198">
        <f t="shared" ref="L24" si="19">SUM(L22:L23)</f>
        <v>0</v>
      </c>
      <c r="M24" s="198">
        <f t="shared" ref="M24:N24" si="20">SUM(M22:M23)</f>
        <v>0</v>
      </c>
      <c r="N24" s="198">
        <f t="shared" si="20"/>
        <v>0</v>
      </c>
      <c r="O24" s="198">
        <f t="shared" si="16"/>
        <v>0</v>
      </c>
      <c r="P24" s="198">
        <f t="shared" si="16"/>
        <v>0</v>
      </c>
      <c r="Q24" s="198">
        <f t="shared" si="16"/>
        <v>215</v>
      </c>
      <c r="R24" s="199">
        <f>SUM(B24:Q24)</f>
        <v>23886</v>
      </c>
    </row>
    <row r="26" spans="1:21" ht="39" thickBot="1" x14ac:dyDescent="0.25">
      <c r="B26" s="314" t="s">
        <v>18</v>
      </c>
      <c r="C26" s="313" t="s">
        <v>179</v>
      </c>
      <c r="D26" s="352" t="s">
        <v>154</v>
      </c>
      <c r="E26" s="313" t="s">
        <v>159</v>
      </c>
      <c r="F26" s="313" t="s">
        <v>213</v>
      </c>
      <c r="G26" s="313" t="s">
        <v>49</v>
      </c>
      <c r="H26" s="313" t="s">
        <v>113</v>
      </c>
      <c r="I26" s="313" t="s">
        <v>178</v>
      </c>
      <c r="J26" s="313" t="s">
        <v>230</v>
      </c>
      <c r="K26" s="313" t="s">
        <v>217</v>
      </c>
      <c r="L26" s="313" t="s">
        <v>180</v>
      </c>
      <c r="M26" s="313" t="s">
        <v>157</v>
      </c>
      <c r="N26" s="313" t="s">
        <v>186</v>
      </c>
      <c r="O26" s="313" t="s">
        <v>153</v>
      </c>
      <c r="P26" s="313" t="s">
        <v>47</v>
      </c>
      <c r="Q26" s="313" t="s">
        <v>137</v>
      </c>
      <c r="R26" s="313" t="s">
        <v>21</v>
      </c>
    </row>
    <row r="27" spans="1:21" ht="15" x14ac:dyDescent="0.25">
      <c r="A27" s="495" t="s">
        <v>140</v>
      </c>
      <c r="B27" s="496"/>
      <c r="C27" s="496"/>
      <c r="D27" s="496"/>
      <c r="E27" s="496"/>
      <c r="F27" s="496"/>
      <c r="G27" s="496"/>
      <c r="H27" s="496"/>
      <c r="I27" s="496"/>
      <c r="J27" s="496"/>
      <c r="K27" s="496"/>
      <c r="L27" s="496"/>
      <c r="M27" s="496"/>
      <c r="N27" s="496"/>
      <c r="O27" s="496"/>
      <c r="P27" s="496"/>
      <c r="Q27" s="496"/>
      <c r="R27" s="497"/>
    </row>
    <row r="28" spans="1:21" x14ac:dyDescent="0.2">
      <c r="A28" s="43" t="s">
        <v>22</v>
      </c>
      <c r="B28" s="11">
        <f>[3]Delta!$JJ$15</f>
        <v>758</v>
      </c>
      <c r="C28" s="11">
        <f>'[3]Atlantic Southeast'!$JJ$15</f>
        <v>0</v>
      </c>
      <c r="D28" s="11">
        <f>[3]Pinnacle!$JJ$15</f>
        <v>68</v>
      </c>
      <c r="E28" s="11">
        <f>'[3]Sky West'!$JJ$15</f>
        <v>136</v>
      </c>
      <c r="F28" s="11">
        <f>[3]WestJet!$JJ$15</f>
        <v>62</v>
      </c>
      <c r="G28" s="11">
        <f>'[3]Sun Country'!$JJ$15</f>
        <v>377</v>
      </c>
      <c r="H28" s="11">
        <f>[3]Icelandair!$JJ$15</f>
        <v>19</v>
      </c>
      <c r="I28" s="11">
        <f>[3]KLM!$JJ$15</f>
        <v>1</v>
      </c>
      <c r="J28" s="11">
        <f>[3]Lufthansa!$JJ$15</f>
        <v>16</v>
      </c>
      <c r="K28" s="11">
        <f>[3]Jazz_AC!$JJ$15</f>
        <v>89</v>
      </c>
      <c r="L28" s="11">
        <f>'[3]Sky Regional'!$JJ$15</f>
        <v>0</v>
      </c>
      <c r="M28" s="11">
        <f>[3]Condor!$JJ$15</f>
        <v>0</v>
      </c>
      <c r="N28" s="11">
        <f>'[3]Aer Lingus'!$JJ$15</f>
        <v>0</v>
      </c>
      <c r="O28" s="11">
        <f>'[3]Air France'!$JJ$15</f>
        <v>0</v>
      </c>
      <c r="P28" s="11">
        <f>[3]Frontier!$JJ$15</f>
        <v>0</v>
      </c>
      <c r="Q28" s="11">
        <f>'[3]Charter Misc'!$JJ$15+[3]Ryan!$JJ$15+[3]Omni!$JJ$15</f>
        <v>7</v>
      </c>
      <c r="R28" s="195">
        <f>SUM(B28:Q28)</f>
        <v>1533</v>
      </c>
    </row>
    <row r="29" spans="1:21" x14ac:dyDescent="0.2">
      <c r="A29" s="43" t="s">
        <v>23</v>
      </c>
      <c r="B29" s="11">
        <f>[3]Delta!$JJ$16</f>
        <v>760</v>
      </c>
      <c r="C29" s="11">
        <f>'[3]Atlantic Southeast'!$JJ$16</f>
        <v>0</v>
      </c>
      <c r="D29" s="11">
        <f>[3]Pinnacle!$JJ$16</f>
        <v>68</v>
      </c>
      <c r="E29" s="11">
        <f>'[3]Sky West'!$JJ$16</f>
        <v>137</v>
      </c>
      <c r="F29" s="11">
        <f>[3]WestJet!$JJ$16</f>
        <v>62</v>
      </c>
      <c r="G29" s="11">
        <f>'[3]Sun Country'!$JJ$16</f>
        <v>378</v>
      </c>
      <c r="H29" s="11">
        <f>[3]Icelandair!$JJ$16</f>
        <v>19</v>
      </c>
      <c r="I29" s="11">
        <f>[3]KLM!$JJ$16</f>
        <v>1</v>
      </c>
      <c r="J29" s="11">
        <f>[3]Lufthansa!$JJ$16</f>
        <v>16</v>
      </c>
      <c r="K29" s="11">
        <f>[3]Jazz_AC!$JJ$16</f>
        <v>89</v>
      </c>
      <c r="L29" s="11">
        <f>'[3]Sky Regional'!$JJ$16</f>
        <v>0</v>
      </c>
      <c r="M29" s="11">
        <f>[3]Condor!$JJ$16</f>
        <v>0</v>
      </c>
      <c r="N29" s="11">
        <f>'[3]Aer Lingus'!$JJ$16</f>
        <v>0</v>
      </c>
      <c r="O29" s="11">
        <f>'[3]Air France'!$JJ$16</f>
        <v>0</v>
      </c>
      <c r="P29" s="11">
        <f>[3]Frontier!$JJ$16</f>
        <v>0</v>
      </c>
      <c r="Q29" s="11">
        <f>'[3]Charter Misc'!$JJ$16+[3]Ryan!$JJ$16+[3]Omni!$JJ$16</f>
        <v>6</v>
      </c>
      <c r="R29" s="195">
        <f>SUM(B29:Q29)</f>
        <v>1536</v>
      </c>
    </row>
    <row r="30" spans="1:21" x14ac:dyDescent="0.2">
      <c r="A30" s="43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95"/>
    </row>
    <row r="31" spans="1:21" ht="15.75" thickBot="1" x14ac:dyDescent="0.3">
      <c r="A31" s="44" t="s">
        <v>28</v>
      </c>
      <c r="B31" s="270">
        <f t="shared" ref="B31:K31" si="21">SUM(B28:B29)</f>
        <v>1518</v>
      </c>
      <c r="C31" s="270">
        <f t="shared" si="21"/>
        <v>0</v>
      </c>
      <c r="D31" s="270">
        <f t="shared" si="21"/>
        <v>136</v>
      </c>
      <c r="E31" s="270">
        <f>SUM(E28:E29)</f>
        <v>273</v>
      </c>
      <c r="F31" s="270">
        <f>SUM(F28:F29)</f>
        <v>124</v>
      </c>
      <c r="G31" s="270">
        <f t="shared" si="21"/>
        <v>755</v>
      </c>
      <c r="H31" s="270">
        <f t="shared" si="21"/>
        <v>38</v>
      </c>
      <c r="I31" s="270">
        <f t="shared" ref="I31:J31" si="22">SUM(I28:I29)</f>
        <v>2</v>
      </c>
      <c r="J31" s="270">
        <f t="shared" si="22"/>
        <v>32</v>
      </c>
      <c r="K31" s="270">
        <f t="shared" si="21"/>
        <v>178</v>
      </c>
      <c r="L31" s="270">
        <f t="shared" ref="L31" si="23">SUM(L28:L29)</f>
        <v>0</v>
      </c>
      <c r="M31" s="270">
        <f>SUM(M28:M29)</f>
        <v>0</v>
      </c>
      <c r="N31" s="270">
        <f>SUM(N28:N29)</f>
        <v>0</v>
      </c>
      <c r="O31" s="270">
        <f>SUM(O28:O29)</f>
        <v>0</v>
      </c>
      <c r="P31" s="270">
        <f t="shared" ref="P31" si="24">SUM(P28:P29)</f>
        <v>0</v>
      </c>
      <c r="Q31" s="270">
        <f>SUM(Q28:Q29)</f>
        <v>13</v>
      </c>
      <c r="R31" s="271">
        <f>SUM(B31:Q31)</f>
        <v>3069</v>
      </c>
    </row>
    <row r="32" spans="1:21" ht="15" x14ac:dyDescent="0.25">
      <c r="A32" s="272"/>
    </row>
    <row r="33" spans="1:18" ht="39" thickBot="1" x14ac:dyDescent="0.25">
      <c r="B33" s="314" t="s">
        <v>18</v>
      </c>
      <c r="C33" s="313" t="s">
        <v>179</v>
      </c>
      <c r="D33" s="352" t="s">
        <v>154</v>
      </c>
      <c r="E33" s="313" t="s">
        <v>159</v>
      </c>
      <c r="F33" s="313" t="s">
        <v>213</v>
      </c>
      <c r="G33" s="313" t="s">
        <v>49</v>
      </c>
      <c r="H33" s="313" t="s">
        <v>113</v>
      </c>
      <c r="I33" s="313" t="s">
        <v>178</v>
      </c>
      <c r="J33" s="313" t="s">
        <v>230</v>
      </c>
      <c r="K33" s="313" t="s">
        <v>217</v>
      </c>
      <c r="L33" s="313" t="s">
        <v>180</v>
      </c>
      <c r="M33" s="313" t="s">
        <v>157</v>
      </c>
      <c r="N33" s="313" t="s">
        <v>186</v>
      </c>
      <c r="O33" s="313" t="s">
        <v>153</v>
      </c>
      <c r="P33" s="313" t="s">
        <v>47</v>
      </c>
      <c r="Q33" s="313" t="s">
        <v>137</v>
      </c>
      <c r="R33" s="313" t="s">
        <v>21</v>
      </c>
    </row>
    <row r="34" spans="1:18" ht="15" x14ac:dyDescent="0.25">
      <c r="A34" s="498" t="s">
        <v>141</v>
      </c>
      <c r="B34" s="499"/>
      <c r="C34" s="499"/>
      <c r="D34" s="499"/>
      <c r="E34" s="499"/>
      <c r="F34" s="499"/>
      <c r="G34" s="499"/>
      <c r="H34" s="499"/>
      <c r="I34" s="499"/>
      <c r="J34" s="499"/>
      <c r="K34" s="499"/>
      <c r="L34" s="499"/>
      <c r="M34" s="499"/>
      <c r="N34" s="499"/>
      <c r="O34" s="499"/>
      <c r="P34" s="499"/>
      <c r="Q34" s="499"/>
      <c r="R34" s="500"/>
    </row>
    <row r="35" spans="1:18" x14ac:dyDescent="0.2">
      <c r="A35" s="43" t="s">
        <v>22</v>
      </c>
      <c r="B35" s="11">
        <f>SUM([3]Delta!$JH$15:$JJ$15)</f>
        <v>2119</v>
      </c>
      <c r="C35" s="11">
        <f>SUM('[3]Atlantic Southeast'!$JH$15:$JJ$15)</f>
        <v>0</v>
      </c>
      <c r="D35" s="11">
        <f>SUM([3]Pinnacle!$JH$15:$JJ$15)</f>
        <v>227</v>
      </c>
      <c r="E35" s="11">
        <f>SUM('[3]Sky West'!$JH$15:$JJ$15)</f>
        <v>301</v>
      </c>
      <c r="F35" s="11">
        <f>SUM([3]WestJet!$JH$15:$JJ$15)</f>
        <v>185</v>
      </c>
      <c r="G35" s="11">
        <f>SUM('[3]Sun Country'!$JH$15:$JJ$15)</f>
        <v>900</v>
      </c>
      <c r="H35" s="11">
        <f>SUM([3]Icelandair!$JH$15:$JJ$15)</f>
        <v>24</v>
      </c>
      <c r="I35" s="11">
        <f>SUM([3]KLM!$JH$15:$JJ$15)</f>
        <v>1</v>
      </c>
      <c r="J35" s="11">
        <f>SUM([3]Lufthansa!$JH$15:$JJ$15)</f>
        <v>45</v>
      </c>
      <c r="K35" s="11">
        <f>SUM([3]Jazz_AC!$JH$15:$JJ$15)</f>
        <v>246</v>
      </c>
      <c r="L35" s="11">
        <f>SUM('[3]Sky Regional'!$JH$15:$JJ$15)</f>
        <v>0</v>
      </c>
      <c r="M35" s="11">
        <f>SUM([3]Condor!$JH$15:$JJ$15)</f>
        <v>0</v>
      </c>
      <c r="N35" s="11">
        <f>SUM('[3]Aer Lingus'!$JH$15:$JJ$15)</f>
        <v>0</v>
      </c>
      <c r="O35" s="11">
        <f>SUM('[3]Air France'!$JH$15:$JJ$15)</f>
        <v>0</v>
      </c>
      <c r="P35" s="11">
        <f>SUM([3]Frontier!$JH$15:$JJ$15)</f>
        <v>0</v>
      </c>
      <c r="Q35" s="11">
        <f>SUM('[3]Charter Misc'!$JH$15:$JJ$15)+SUM([3]Ryan!$JH$15:$JJ$15)+SUM([3]Omni!$JH$15:$JJ$15)</f>
        <v>11</v>
      </c>
      <c r="R35" s="195">
        <f>SUM(B35:Q35)</f>
        <v>4059</v>
      </c>
    </row>
    <row r="36" spans="1:18" x14ac:dyDescent="0.2">
      <c r="A36" s="43" t="s">
        <v>23</v>
      </c>
      <c r="B36" s="11">
        <f>SUM([3]Delta!$JH$16:$JJ$16)</f>
        <v>2128</v>
      </c>
      <c r="C36" s="11">
        <f>SUM('[3]Atlantic Southeast'!$JH$16:$JJ$16)</f>
        <v>0</v>
      </c>
      <c r="D36" s="11">
        <f>SUM([3]Pinnacle!$JH$16:$JJ$16)</f>
        <v>227</v>
      </c>
      <c r="E36" s="11">
        <f>SUM('[3]Sky West'!$JH$16:$JJ$16)</f>
        <v>302</v>
      </c>
      <c r="F36" s="11">
        <f>SUM([3]WestJet!$JH$16:$JJ$16)</f>
        <v>185</v>
      </c>
      <c r="G36" s="11">
        <f>SUM('[3]Sun Country'!$JH$16:$JJ$16)</f>
        <v>900</v>
      </c>
      <c r="H36" s="11">
        <f>SUM([3]Icelandair!$JH$16:$JJ$16)</f>
        <v>24</v>
      </c>
      <c r="I36" s="11">
        <f>SUM([3]KLM!$JH$16:$JJ$16)</f>
        <v>1</v>
      </c>
      <c r="J36" s="11">
        <f>SUM([3]Lufthansa!$JH$16:$JJ$16)</f>
        <v>45</v>
      </c>
      <c r="K36" s="11">
        <f>SUM([3]Jazz_AC!$JH$16:$JJ$16)</f>
        <v>246</v>
      </c>
      <c r="L36" s="11">
        <f>SUM('[3]Sky Regional'!$JH$16:$JJ$16)</f>
        <v>0</v>
      </c>
      <c r="M36" s="11">
        <f>SUM([3]Condor!$JH$16:$JJ$16)</f>
        <v>0</v>
      </c>
      <c r="N36" s="11">
        <f>SUM('[3]Aer Lingus'!$JH$16:$JJ$16)</f>
        <v>0</v>
      </c>
      <c r="O36" s="11">
        <f>SUM('[3]Air France'!$JH$16:$JJ$16)</f>
        <v>0</v>
      </c>
      <c r="P36" s="11">
        <f>SUM([3]Frontier!$JH$16:$JJ$16)</f>
        <v>0</v>
      </c>
      <c r="Q36" s="11">
        <f>SUM('[3]Charter Misc'!$JH$16:$JJ$16)+SUM([3]Ryan!$JH$16:$JJ$16)+SUM([3]Omni!$JH$16:$JJ$16)</f>
        <v>7</v>
      </c>
      <c r="R36" s="195">
        <f>SUM(B36:Q36)</f>
        <v>4065</v>
      </c>
    </row>
    <row r="37" spans="1:18" x14ac:dyDescent="0.2">
      <c r="A37" s="43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95"/>
    </row>
    <row r="38" spans="1:18" ht="15.75" thickBot="1" x14ac:dyDescent="0.3">
      <c r="A38" s="44" t="s">
        <v>28</v>
      </c>
      <c r="B38" s="270">
        <f t="shared" ref="B38:K38" si="25">+SUM(B35:B36)</f>
        <v>4247</v>
      </c>
      <c r="C38" s="270">
        <f t="shared" si="25"/>
        <v>0</v>
      </c>
      <c r="D38" s="270">
        <f t="shared" si="25"/>
        <v>454</v>
      </c>
      <c r="E38" s="270">
        <f>+SUM(E35:E36)</f>
        <v>603</v>
      </c>
      <c r="F38" s="270">
        <f>+SUM(F35:F36)</f>
        <v>370</v>
      </c>
      <c r="G38" s="270">
        <f t="shared" si="25"/>
        <v>1800</v>
      </c>
      <c r="H38" s="270">
        <f t="shared" si="25"/>
        <v>48</v>
      </c>
      <c r="I38" s="270">
        <f t="shared" ref="I38:J38" si="26">+SUM(I35:I36)</f>
        <v>2</v>
      </c>
      <c r="J38" s="270">
        <f t="shared" si="26"/>
        <v>90</v>
      </c>
      <c r="K38" s="270">
        <f t="shared" si="25"/>
        <v>492</v>
      </c>
      <c r="L38" s="270">
        <f t="shared" ref="L38" si="27">+SUM(L35:L36)</f>
        <v>0</v>
      </c>
      <c r="M38" s="270">
        <f>+SUM(M35:M36)</f>
        <v>0</v>
      </c>
      <c r="N38" s="270">
        <f>+SUM(N35:N36)</f>
        <v>0</v>
      </c>
      <c r="O38" s="270">
        <f>+SUM(O35:O36)</f>
        <v>0</v>
      </c>
      <c r="P38" s="270">
        <f t="shared" ref="P38" si="28">+SUM(P35:P36)</f>
        <v>0</v>
      </c>
      <c r="Q38" s="270">
        <f>+SUM(Q35:Q36)</f>
        <v>18</v>
      </c>
      <c r="R38" s="271">
        <f>SUM(B38:Q38)</f>
        <v>8124</v>
      </c>
    </row>
  </sheetData>
  <mergeCells count="4">
    <mergeCell ref="A2:R2"/>
    <mergeCell ref="A14:R14"/>
    <mergeCell ref="A27:R27"/>
    <mergeCell ref="A34:R34"/>
  </mergeCells>
  <phoneticPr fontId="6" type="noConversion"/>
  <pageMargins left="0.75" right="0.75" top="1" bottom="1" header="0.5" footer="0.5"/>
  <pageSetup scale="55" orientation="landscape" r:id="rId1"/>
  <headerFooter alignWithMargins="0">
    <oddHeader>&amp;LSchedule 9&amp;CMinneapolis-St. Paul International Airport
&amp;"Arial,Bold"International Detail&amp;"Arial,Regular"
&amp;"Arial,Bold"March 2025</oddHeader>
    <oddFooter>&amp;LPrinted on &amp;D&amp;RPage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J4699"/>
  <sheetViews>
    <sheetView zoomScaleNormal="100" zoomScaleSheetLayoutView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14" sqref="B14"/>
    </sheetView>
  </sheetViews>
  <sheetFormatPr defaultRowHeight="12.75" x14ac:dyDescent="0.2"/>
  <cols>
    <col min="1" max="1" width="3.42578125" customWidth="1"/>
    <col min="2" max="2" width="20" bestFit="1" customWidth="1"/>
    <col min="3" max="3" width="9.7109375" style="2" bestFit="1" customWidth="1"/>
    <col min="4" max="4" width="9.140625" style="2" bestFit="1" customWidth="1"/>
    <col min="5" max="5" width="9.42578125" style="3" bestFit="1" customWidth="1"/>
    <col min="6" max="6" width="8.7109375" style="160" bestFit="1" customWidth="1"/>
    <col min="7" max="7" width="8.7109375" style="2" bestFit="1" customWidth="1"/>
    <col min="8" max="8" width="9.42578125" style="3" bestFit="1" customWidth="1"/>
    <col min="9" max="9" width="8.85546875" style="3" bestFit="1" customWidth="1"/>
    <col min="10" max="10" width="4.140625" style="3" customWidth="1"/>
    <col min="11" max="11" width="14.42578125" style="164" bestFit="1" customWidth="1"/>
    <col min="12" max="13" width="14.28515625" style="2" bestFit="1" customWidth="1"/>
    <col min="14" max="14" width="11.7109375" style="3" customWidth="1"/>
    <col min="15" max="16" width="11" bestFit="1" customWidth="1"/>
    <col min="17" max="17" width="10.5703125" bestFit="1" customWidth="1"/>
    <col min="18" max="18" width="8.7109375" bestFit="1" customWidth="1"/>
    <col min="19" max="19" width="4.7109375" customWidth="1"/>
    <col min="20" max="20" width="14.42578125" bestFit="1" customWidth="1"/>
    <col min="21" max="22" width="10.7109375" bestFit="1" customWidth="1"/>
    <col min="23" max="23" width="9.85546875" bestFit="1" customWidth="1"/>
    <col min="24" max="25" width="10.85546875" bestFit="1" customWidth="1"/>
    <col min="26" max="26" width="9.42578125" bestFit="1" customWidth="1"/>
    <col min="27" max="27" width="11.85546875" bestFit="1" customWidth="1"/>
    <col min="28" max="28" width="5.140625" customWidth="1"/>
    <col min="29" max="29" width="14.42578125" bestFit="1" customWidth="1"/>
    <col min="30" max="31" width="9.85546875" bestFit="1" customWidth="1"/>
    <col min="32" max="32" width="10.28515625" bestFit="1" customWidth="1"/>
    <col min="33" max="34" width="10.7109375" bestFit="1" customWidth="1"/>
    <col min="35" max="35" width="10.28515625" bestFit="1" customWidth="1"/>
  </cols>
  <sheetData>
    <row r="1" spans="1:36" s="9" customFormat="1" ht="39" thickBot="1" x14ac:dyDescent="0.25">
      <c r="A1" s="504" t="s">
        <v>130</v>
      </c>
      <c r="B1" s="505"/>
      <c r="C1" s="395" t="s">
        <v>237</v>
      </c>
      <c r="D1" s="395" t="s">
        <v>222</v>
      </c>
      <c r="E1" s="394" t="s">
        <v>95</v>
      </c>
      <c r="F1" s="396" t="s">
        <v>238</v>
      </c>
      <c r="G1" s="395" t="s">
        <v>223</v>
      </c>
      <c r="H1" s="397" t="s">
        <v>96</v>
      </c>
      <c r="I1" s="394" t="s">
        <v>239</v>
      </c>
      <c r="J1" s="508" t="s">
        <v>134</v>
      </c>
      <c r="K1" s="509"/>
      <c r="L1" s="398" t="s">
        <v>240</v>
      </c>
      <c r="M1" s="398" t="s">
        <v>226</v>
      </c>
      <c r="N1" s="399" t="s">
        <v>96</v>
      </c>
      <c r="O1" s="400" t="s">
        <v>241</v>
      </c>
      <c r="P1" s="400" t="s">
        <v>227</v>
      </c>
      <c r="Q1" s="401" t="s">
        <v>96</v>
      </c>
      <c r="R1" s="402" t="s">
        <v>239</v>
      </c>
      <c r="S1" s="515" t="s">
        <v>199</v>
      </c>
      <c r="T1" s="516"/>
      <c r="U1" s="403" t="s">
        <v>240</v>
      </c>
      <c r="V1" s="403" t="s">
        <v>226</v>
      </c>
      <c r="W1" s="404" t="s">
        <v>96</v>
      </c>
      <c r="X1" s="405" t="s">
        <v>241</v>
      </c>
      <c r="Y1" s="405" t="s">
        <v>227</v>
      </c>
      <c r="Z1" s="406" t="s">
        <v>96</v>
      </c>
      <c r="AA1" s="407" t="s">
        <v>239</v>
      </c>
      <c r="AB1" s="510" t="s">
        <v>13</v>
      </c>
      <c r="AC1" s="511"/>
      <c r="AD1" s="425" t="s">
        <v>240</v>
      </c>
      <c r="AE1" s="425" t="s">
        <v>226</v>
      </c>
      <c r="AF1" s="426" t="s">
        <v>96</v>
      </c>
      <c r="AG1" s="427" t="s">
        <v>241</v>
      </c>
      <c r="AH1" s="427" t="s">
        <v>227</v>
      </c>
      <c r="AI1" s="428" t="s">
        <v>96</v>
      </c>
      <c r="AJ1" s="429" t="s">
        <v>239</v>
      </c>
    </row>
    <row r="2" spans="1:36" s="9" customFormat="1" ht="13.5" customHeight="1" thickBot="1" x14ac:dyDescent="0.25">
      <c r="A2" s="484">
        <v>45717</v>
      </c>
      <c r="B2" s="485"/>
      <c r="C2" s="506" t="s">
        <v>9</v>
      </c>
      <c r="D2" s="507"/>
      <c r="E2" s="507"/>
      <c r="F2" s="507"/>
      <c r="G2" s="507"/>
      <c r="H2" s="507"/>
      <c r="I2" s="320"/>
      <c r="J2" s="484">
        <f>+A2</f>
        <v>45717</v>
      </c>
      <c r="K2" s="485"/>
      <c r="L2" s="501" t="s">
        <v>136</v>
      </c>
      <c r="M2" s="502"/>
      <c r="N2" s="502"/>
      <c r="O2" s="502"/>
      <c r="P2" s="502"/>
      <c r="Q2" s="502"/>
      <c r="R2" s="503"/>
      <c r="S2" s="484">
        <f>+J2</f>
        <v>45717</v>
      </c>
      <c r="T2" s="485"/>
      <c r="U2" s="517" t="s">
        <v>200</v>
      </c>
      <c r="V2" s="518"/>
      <c r="W2" s="518"/>
      <c r="X2" s="518"/>
      <c r="Y2" s="518"/>
      <c r="Z2" s="518"/>
      <c r="AA2" s="519"/>
      <c r="AB2" s="484">
        <f>+S2</f>
        <v>45717</v>
      </c>
      <c r="AC2" s="485"/>
      <c r="AD2" s="512" t="s">
        <v>13</v>
      </c>
      <c r="AE2" s="513"/>
      <c r="AF2" s="513"/>
      <c r="AG2" s="513"/>
      <c r="AH2" s="513"/>
      <c r="AI2" s="513"/>
      <c r="AJ2" s="514"/>
    </row>
    <row r="3" spans="1:36" x14ac:dyDescent="0.2">
      <c r="A3" s="239"/>
      <c r="B3" s="240"/>
      <c r="C3" s="241"/>
      <c r="D3" s="242"/>
      <c r="E3" s="243"/>
      <c r="F3" s="298"/>
      <c r="G3" s="242"/>
      <c r="H3" s="336"/>
      <c r="I3" s="243"/>
      <c r="J3" s="244"/>
      <c r="K3" s="240"/>
      <c r="L3" s="251"/>
      <c r="N3" s="63"/>
      <c r="O3" s="239"/>
      <c r="P3" s="245"/>
      <c r="Q3" s="245"/>
      <c r="R3" s="240"/>
      <c r="S3" s="244"/>
      <c r="T3" s="240"/>
      <c r="U3" s="251"/>
      <c r="V3" s="2"/>
      <c r="W3" s="63"/>
      <c r="X3" s="239"/>
      <c r="Y3" s="245"/>
      <c r="Z3" s="245"/>
      <c r="AA3" s="240"/>
      <c r="AB3" s="244"/>
      <c r="AC3" s="240"/>
      <c r="AD3" s="251"/>
      <c r="AE3" s="2"/>
      <c r="AF3" s="63"/>
      <c r="AG3" s="239"/>
      <c r="AH3" s="245"/>
      <c r="AI3" s="245"/>
      <c r="AJ3" s="240"/>
    </row>
    <row r="4" spans="1:36" ht="14.1" customHeight="1" x14ac:dyDescent="0.2">
      <c r="A4" s="246" t="s">
        <v>98</v>
      </c>
      <c r="B4" s="37"/>
      <c r="C4" s="247">
        <f>SUM(C5:C5)</f>
        <v>178</v>
      </c>
      <c r="D4" s="249">
        <f>SUM(D5:D5)</f>
        <v>185</v>
      </c>
      <c r="E4" s="250">
        <f>(C4-D4)/D4</f>
        <v>-3.783783783783784E-2</v>
      </c>
      <c r="F4" s="247">
        <f>SUM(F5:F5)</f>
        <v>492</v>
      </c>
      <c r="G4" s="249">
        <f>SUM(G5:G5)</f>
        <v>548</v>
      </c>
      <c r="H4" s="248">
        <f>(F4-G4)/G4</f>
        <v>-0.10218978102189781</v>
      </c>
      <c r="I4" s="250">
        <f>F4/$F$60</f>
        <v>6.7136073358441137E-3</v>
      </c>
      <c r="J4" s="246" t="s">
        <v>98</v>
      </c>
      <c r="K4" s="37"/>
      <c r="L4" s="247">
        <f>SUM(L5:L5)</f>
        <v>8546</v>
      </c>
      <c r="M4" s="249">
        <f>SUM(M5:M5)</f>
        <v>9307</v>
      </c>
      <c r="N4" s="250">
        <f>(L4-M4)/M4</f>
        <v>-8.1766412377780165E-2</v>
      </c>
      <c r="O4" s="247">
        <f>SUM(O5:O5)</f>
        <v>22014</v>
      </c>
      <c r="P4" s="249">
        <f>SUM(P5:P5)</f>
        <v>23392</v>
      </c>
      <c r="Q4" s="248">
        <f>(O4-P4)/P4</f>
        <v>-5.890902872777018E-2</v>
      </c>
      <c r="R4" s="250">
        <f>O4/$O$60</f>
        <v>2.744171284953779E-3</v>
      </c>
      <c r="S4" s="246" t="s">
        <v>98</v>
      </c>
      <c r="T4" s="37"/>
      <c r="U4" s="247">
        <f>SUM(U5:U5)</f>
        <v>23089.5</v>
      </c>
      <c r="V4" s="249">
        <f>SUM(V5:V5)</f>
        <v>24857.7</v>
      </c>
      <c r="W4" s="250">
        <f>(U4-V4)/V4</f>
        <v>-7.113288840077725E-2</v>
      </c>
      <c r="X4" s="247">
        <f>SUM(X5:X5)</f>
        <v>53906.7</v>
      </c>
      <c r="Y4" s="249">
        <f>SUM(Y5:Y5)</f>
        <v>46835.5</v>
      </c>
      <c r="Z4" s="248">
        <f>(X4-Y4)/Y4</f>
        <v>0.15097949205196906</v>
      </c>
      <c r="AA4" s="250">
        <f>X4/$X$60</f>
        <v>2.7701601133912233E-3</v>
      </c>
      <c r="AB4" s="246" t="s">
        <v>98</v>
      </c>
      <c r="AC4" s="37"/>
      <c r="AD4" s="247">
        <f>SUM(AD5:AD5)</f>
        <v>8736</v>
      </c>
      <c r="AE4" s="249">
        <f>SUM(AE5:AE5)</f>
        <v>9482</v>
      </c>
      <c r="AF4" s="250">
        <f>(AD4-AE4)/AE4</f>
        <v>-7.86753849398861E-2</v>
      </c>
      <c r="AG4" s="247">
        <f>SUM(AG5:AG5)</f>
        <v>22486</v>
      </c>
      <c r="AH4" s="249">
        <f>SUM(AH5:AH5)</f>
        <v>23777</v>
      </c>
      <c r="AI4" s="248">
        <f>(AG4-AH4)/AH4</f>
        <v>-5.4296168566261516E-2</v>
      </c>
      <c r="AJ4" s="250">
        <f>AG4/$AG$60</f>
        <v>2.7185986800179369E-3</v>
      </c>
    </row>
    <row r="5" spans="1:36" ht="14.1" customHeight="1" x14ac:dyDescent="0.2">
      <c r="A5" s="246"/>
      <c r="B5" s="306" t="s">
        <v>207</v>
      </c>
      <c r="C5" s="251">
        <f>[3]Jazz_AC!$JJ$19</f>
        <v>178</v>
      </c>
      <c r="D5" s="2">
        <f>[3]Jazz_AC!$IV$19</f>
        <v>185</v>
      </c>
      <c r="E5" s="63">
        <f t="shared" ref="E5" si="0">(C5-D5)/D5</f>
        <v>-3.783783783783784E-2</v>
      </c>
      <c r="F5" s="2">
        <f>SUM([3]Jazz_AC!$JH$19:$JJ$19)</f>
        <v>492</v>
      </c>
      <c r="G5" s="2">
        <f>SUM([3]Jazz_AC!$IT$19:$IV$19)</f>
        <v>548</v>
      </c>
      <c r="H5" s="3">
        <f t="shared" ref="H5" si="1">(F5-G5)/G5</f>
        <v>-0.10218978102189781</v>
      </c>
      <c r="I5" s="63">
        <f>F5/$F$60</f>
        <v>6.7136073358441137E-3</v>
      </c>
      <c r="J5" s="246"/>
      <c r="K5" s="306" t="s">
        <v>207</v>
      </c>
      <c r="L5" s="251">
        <f>[3]Jazz_AC!$JJ$41</f>
        <v>8546</v>
      </c>
      <c r="M5" s="2">
        <f>[3]Jazz_AC!$IV$41</f>
        <v>9307</v>
      </c>
      <c r="N5" s="63">
        <f t="shared" ref="N5" si="2">(L5-M5)/M5</f>
        <v>-8.1766412377780165E-2</v>
      </c>
      <c r="O5" s="251">
        <f>SUM([3]Jazz_AC!$JH$41:$JJ$41)</f>
        <v>22014</v>
      </c>
      <c r="P5" s="2">
        <f>SUM([3]Jazz_AC!$IT$41:$IV$41)</f>
        <v>23392</v>
      </c>
      <c r="Q5" s="3">
        <f t="shared" ref="Q5" si="3">(O5-P5)/P5</f>
        <v>-5.890902872777018E-2</v>
      </c>
      <c r="R5" s="63">
        <f>O5/$O$60</f>
        <v>2.744171284953779E-3</v>
      </c>
      <c r="S5" s="246"/>
      <c r="T5" s="306" t="s">
        <v>207</v>
      </c>
      <c r="U5" s="251">
        <f>[3]Jazz_AC!$JJ$64</f>
        <v>23089.5</v>
      </c>
      <c r="V5" s="2">
        <f>[3]Jazz_AC!$IV$64</f>
        <v>24857.7</v>
      </c>
      <c r="W5" s="63">
        <f t="shared" ref="W5" si="4">(U5-V5)/V5</f>
        <v>-7.113288840077725E-2</v>
      </c>
      <c r="X5" s="251">
        <f>SUM([3]Jazz_AC!$JH$64:$JJ$64)</f>
        <v>53906.7</v>
      </c>
      <c r="Y5" s="2">
        <f>SUM([3]Jazz_AC!$IT$64:$IV$64)</f>
        <v>46835.5</v>
      </c>
      <c r="Z5" s="3">
        <f t="shared" ref="Z5" si="5">(X5-Y5)/Y5</f>
        <v>0.15097949205196906</v>
      </c>
      <c r="AA5" s="63">
        <f>X5/$X$60</f>
        <v>2.7701601133912233E-3</v>
      </c>
      <c r="AB5" s="246"/>
      <c r="AC5" s="306" t="s">
        <v>207</v>
      </c>
      <c r="AD5" s="251">
        <f>[3]Jazz_AC!$JJ$43</f>
        <v>8736</v>
      </c>
      <c r="AE5" s="2">
        <f>[3]Jazz_AC!$IV$43</f>
        <v>9482</v>
      </c>
      <c r="AF5" s="63">
        <f t="shared" ref="AF5" si="6">(AD5-AE5)/AE5</f>
        <v>-7.86753849398861E-2</v>
      </c>
      <c r="AG5" s="251">
        <f>SUM([3]Jazz_AC!$JH$43:$JJ$43)</f>
        <v>22486</v>
      </c>
      <c r="AH5" s="2">
        <f>SUM([3]Jazz_AC!$IT$43:$IV$43)</f>
        <v>23777</v>
      </c>
      <c r="AI5" s="3">
        <f t="shared" ref="AI5" si="7">(AG5-AH5)/AH5</f>
        <v>-5.4296168566261516E-2</v>
      </c>
      <c r="AJ5" s="63">
        <f>AG5/$AG$60</f>
        <v>2.7185986800179369E-3</v>
      </c>
    </row>
    <row r="6" spans="1:36" ht="14.1" customHeight="1" x14ac:dyDescent="0.2">
      <c r="A6" s="246"/>
      <c r="B6" s="37"/>
      <c r="C6" s="247"/>
      <c r="D6" s="249"/>
      <c r="E6" s="250"/>
      <c r="F6" s="249"/>
      <c r="G6" s="249"/>
      <c r="H6" s="248"/>
      <c r="I6" s="250"/>
      <c r="J6" s="246"/>
      <c r="K6" s="37"/>
      <c r="L6" s="251"/>
      <c r="N6" s="63"/>
      <c r="O6" s="251"/>
      <c r="P6" s="2"/>
      <c r="Q6" s="3"/>
      <c r="R6" s="63"/>
      <c r="S6" s="246"/>
      <c r="T6" s="37"/>
      <c r="U6" s="251"/>
      <c r="V6" s="2"/>
      <c r="W6" s="63"/>
      <c r="X6" s="251"/>
      <c r="Y6" s="2"/>
      <c r="Z6" s="3"/>
      <c r="AA6" s="63"/>
      <c r="AB6" s="246"/>
      <c r="AC6" s="37"/>
      <c r="AD6" s="251"/>
      <c r="AE6" s="2"/>
      <c r="AF6" s="63"/>
      <c r="AG6" s="251"/>
      <c r="AH6" s="2"/>
      <c r="AI6" s="3"/>
      <c r="AJ6" s="63"/>
    </row>
    <row r="7" spans="1:36" ht="14.1" customHeight="1" x14ac:dyDescent="0.2">
      <c r="A7" s="246" t="s">
        <v>153</v>
      </c>
      <c r="B7" s="37"/>
      <c r="C7" s="247">
        <f>'[3]Air France'!$JJ$19</f>
        <v>0</v>
      </c>
      <c r="D7" s="249">
        <f>'[3]Air France'!$IV$19</f>
        <v>0</v>
      </c>
      <c r="E7" s="250">
        <f>IFERROR((C7-D7)/D7,0)</f>
        <v>0</v>
      </c>
      <c r="F7" s="249">
        <f>SUM('[3]Air France'!$JH$19:$JJ$19)</f>
        <v>0</v>
      </c>
      <c r="G7" s="249">
        <f>SUM('[3]Air France'!$IT$19:$IV$19)</f>
        <v>0</v>
      </c>
      <c r="H7" s="248">
        <f>IFERROR((F7-G7)/G7,0)</f>
        <v>0</v>
      </c>
      <c r="I7" s="250">
        <f>F7/$F$60</f>
        <v>0</v>
      </c>
      <c r="J7" s="246" t="s">
        <v>153</v>
      </c>
      <c r="K7" s="37"/>
      <c r="L7" s="247">
        <f>'[3]Air France'!$JJ$41</f>
        <v>0</v>
      </c>
      <c r="M7" s="249">
        <f>'[3]Air France'!$IV$41</f>
        <v>0</v>
      </c>
      <c r="N7" s="250">
        <f>IFERROR((L7-M7)/M7,0)</f>
        <v>0</v>
      </c>
      <c r="O7" s="247">
        <f>SUM('[3]Air France'!$JH$41:$JJ$41)</f>
        <v>0</v>
      </c>
      <c r="P7" s="249">
        <f>SUM('[3]Air France'!$IT$41:$IV$41)</f>
        <v>0</v>
      </c>
      <c r="Q7" s="248">
        <f>IFERROR((O7-P7)/P7,0)</f>
        <v>0</v>
      </c>
      <c r="R7" s="250">
        <f>O7/$O$60</f>
        <v>0</v>
      </c>
      <c r="S7" s="246" t="s">
        <v>153</v>
      </c>
      <c r="T7" s="37"/>
      <c r="U7" s="247">
        <f>'[3]Air France'!$JJ$64</f>
        <v>0</v>
      </c>
      <c r="V7" s="249">
        <f>'[3]Air France'!$IV$64</f>
        <v>0</v>
      </c>
      <c r="W7" s="250">
        <f>IFERROR((U7-V7)/V7,0)</f>
        <v>0</v>
      </c>
      <c r="X7" s="247">
        <f>SUM('[3]Air France'!$JH$64:$JJ$64)</f>
        <v>0</v>
      </c>
      <c r="Y7" s="249">
        <f>SUM('[3]Air France'!$IT$64:$IV$64)</f>
        <v>0</v>
      </c>
      <c r="Z7" s="248">
        <f>IFERROR((X7-Y7)/Y7,0)</f>
        <v>0</v>
      </c>
      <c r="AA7" s="250">
        <f>X7/$X$60</f>
        <v>0</v>
      </c>
      <c r="AB7" s="246" t="s">
        <v>153</v>
      </c>
      <c r="AC7" s="37"/>
      <c r="AD7" s="247">
        <f>'[3]Air France'!$JJ$43</f>
        <v>0</v>
      </c>
      <c r="AE7" s="249">
        <f>'[3]Air France'!$IV$43</f>
        <v>0</v>
      </c>
      <c r="AF7" s="250">
        <f>IFERROR((AD7-AE7)/AE7,0)</f>
        <v>0</v>
      </c>
      <c r="AG7" s="247">
        <f>SUM('[3]Air France'!$JH$43:$JJ$43)</f>
        <v>0</v>
      </c>
      <c r="AH7" s="249">
        <f>SUM('[3]Air France'!$IT$43:$IV$43)</f>
        <v>0</v>
      </c>
      <c r="AI7" s="248">
        <f>IFERROR((AG7-AH7)/AH7,0)</f>
        <v>0</v>
      </c>
      <c r="AJ7" s="250">
        <f>AG7/$AG$60</f>
        <v>0</v>
      </c>
    </row>
    <row r="8" spans="1:36" ht="14.1" customHeight="1" x14ac:dyDescent="0.2">
      <c r="A8" s="246"/>
      <c r="B8" s="37"/>
      <c r="C8" s="247"/>
      <c r="D8" s="249"/>
      <c r="E8" s="250"/>
      <c r="F8" s="249"/>
      <c r="G8" s="249"/>
      <c r="H8" s="248"/>
      <c r="I8" s="250"/>
      <c r="J8" s="246"/>
      <c r="K8" s="37"/>
      <c r="L8" s="251"/>
      <c r="N8" s="63"/>
      <c r="O8" s="251"/>
      <c r="P8" s="2"/>
      <c r="Q8" s="3"/>
      <c r="R8" s="63"/>
      <c r="S8" s="246"/>
      <c r="T8" s="37"/>
      <c r="U8" s="251"/>
      <c r="V8" s="2"/>
      <c r="W8" s="63"/>
      <c r="X8" s="251"/>
      <c r="Y8" s="2"/>
      <c r="Z8" s="3"/>
      <c r="AA8" s="63"/>
      <c r="AB8" s="246"/>
      <c r="AC8" s="37"/>
      <c r="AD8" s="251"/>
      <c r="AE8" s="2"/>
      <c r="AF8" s="63"/>
      <c r="AG8" s="251"/>
      <c r="AH8" s="2"/>
      <c r="AI8" s="3"/>
      <c r="AJ8" s="63"/>
    </row>
    <row r="9" spans="1:36" ht="14.1" customHeight="1" x14ac:dyDescent="0.2">
      <c r="A9" s="246" t="s">
        <v>186</v>
      </c>
      <c r="B9" s="37"/>
      <c r="C9" s="247">
        <f>'[3]Aer Lingus'!$JJ$19</f>
        <v>0</v>
      </c>
      <c r="D9" s="249">
        <f>'[3]Aer Lingus'!$IV$19</f>
        <v>0</v>
      </c>
      <c r="E9" s="250">
        <f>IFERROR((C9-D9)/D9,0)</f>
        <v>0</v>
      </c>
      <c r="F9" s="249">
        <f>SUM('[3]Aer Lingus'!$JH$19:$JJ$19)</f>
        <v>0</v>
      </c>
      <c r="G9" s="249">
        <f>SUM('[3]Aer Lingus'!$IT$19:$IV$19)</f>
        <v>0</v>
      </c>
      <c r="H9" s="248">
        <f>IFERROR((F9-G9)/G9,0)</f>
        <v>0</v>
      </c>
      <c r="I9" s="250">
        <f>F9/$F$60</f>
        <v>0</v>
      </c>
      <c r="J9" s="246" t="s">
        <v>186</v>
      </c>
      <c r="K9" s="37"/>
      <c r="L9" s="247">
        <f>'[3]Aer Lingus'!$JJ$41</f>
        <v>0</v>
      </c>
      <c r="M9" s="249">
        <f>'[3]Aer Lingus'!$IV$41</f>
        <v>0</v>
      </c>
      <c r="N9" s="250">
        <f>IFERROR((L9-M9)/M9,0)</f>
        <v>0</v>
      </c>
      <c r="O9" s="247">
        <f>SUM('[3]Aer Lingus'!$JH$41:$JJ$41)</f>
        <v>0</v>
      </c>
      <c r="P9" s="249">
        <f>SUM('[3]Aer Lingus'!$IT$41:$IV$41)</f>
        <v>0</v>
      </c>
      <c r="Q9" s="248">
        <f>IFERROR((O9-P9)/P9,0)</f>
        <v>0</v>
      </c>
      <c r="R9" s="250">
        <f>O9/$O$60</f>
        <v>0</v>
      </c>
      <c r="S9" s="246" t="s">
        <v>186</v>
      </c>
      <c r="T9" s="37"/>
      <c r="U9" s="247">
        <f>'[3]Aer Lingus'!$JJ$64</f>
        <v>0</v>
      </c>
      <c r="V9" s="249">
        <f>'[3]Aer Lingus'!$IV$64</f>
        <v>0</v>
      </c>
      <c r="W9" s="250">
        <f>IFERROR((U9-V9)/V9,0)</f>
        <v>0</v>
      </c>
      <c r="X9" s="247">
        <f>SUM('[3]Aer Lingus'!$JH$64:$JJ$64)</f>
        <v>0</v>
      </c>
      <c r="Y9" s="249">
        <f>SUM('[3]Aer Lingus'!$IT$64:$IV$64)</f>
        <v>0</v>
      </c>
      <c r="Z9" s="248">
        <f>IFERROR((X9-Y9)/Y9,0)</f>
        <v>0</v>
      </c>
      <c r="AA9" s="250">
        <f>X9/$X$60</f>
        <v>0</v>
      </c>
      <c r="AB9" s="246" t="s">
        <v>186</v>
      </c>
      <c r="AC9" s="37"/>
      <c r="AD9" s="247">
        <f>'[3]Aer Lingus'!$JJ$43</f>
        <v>0</v>
      </c>
      <c r="AE9" s="249">
        <f>'[3]Aer Lingus'!$IV$43</f>
        <v>0</v>
      </c>
      <c r="AF9" s="250">
        <f>IFERROR((AD9-AE9)/AE9,0)</f>
        <v>0</v>
      </c>
      <c r="AG9" s="247">
        <f>SUM('[3]Aer Lingus'!$JH$43:$JJ$43)</f>
        <v>0</v>
      </c>
      <c r="AH9" s="249">
        <f>SUM('[3]Aer Lingus'!$IT$43:$IV$43)</f>
        <v>0</v>
      </c>
      <c r="AI9" s="248">
        <f>IFERROR((AG9-AH9)/AH9,0)</f>
        <v>0</v>
      </c>
      <c r="AJ9" s="250">
        <f>AG9/$AG$60</f>
        <v>0</v>
      </c>
    </row>
    <row r="10" spans="1:36" ht="14.1" customHeight="1" x14ac:dyDescent="0.2">
      <c r="A10" s="246"/>
      <c r="B10" s="37"/>
      <c r="C10" s="247"/>
      <c r="D10" s="249"/>
      <c r="E10" s="250"/>
      <c r="F10" s="249"/>
      <c r="G10" s="249"/>
      <c r="H10" s="248"/>
      <c r="I10" s="250"/>
      <c r="J10" s="246"/>
      <c r="K10" s="37"/>
      <c r="L10" s="251"/>
      <c r="N10" s="63"/>
      <c r="O10" s="251"/>
      <c r="P10" s="2"/>
      <c r="Q10" s="3"/>
      <c r="R10" s="63"/>
      <c r="S10" s="246"/>
      <c r="T10" s="37"/>
      <c r="U10" s="251"/>
      <c r="V10" s="2"/>
      <c r="W10" s="63"/>
      <c r="X10" s="251"/>
      <c r="Y10" s="2"/>
      <c r="Z10" s="3"/>
      <c r="AA10" s="63"/>
      <c r="AB10" s="246"/>
      <c r="AC10" s="37"/>
      <c r="AD10" s="251"/>
      <c r="AE10" s="2"/>
      <c r="AF10" s="63"/>
      <c r="AG10" s="251"/>
      <c r="AH10" s="2"/>
      <c r="AI10" s="3"/>
      <c r="AJ10" s="63"/>
    </row>
    <row r="11" spans="1:36" ht="14.1" customHeight="1" x14ac:dyDescent="0.2">
      <c r="A11" s="246" t="s">
        <v>208</v>
      </c>
      <c r="B11" s="37"/>
      <c r="C11" s="251">
        <f>'[3]Allegiant '!$JJ$19</f>
        <v>98</v>
      </c>
      <c r="D11" s="2">
        <f>'[3]Allegiant '!$IV$19</f>
        <v>136</v>
      </c>
      <c r="E11" s="250">
        <f t="shared" ref="E11" si="8">(C11-D11)/D11</f>
        <v>-0.27941176470588236</v>
      </c>
      <c r="F11" s="2">
        <f>SUM('[3]Allegiant '!$JH$19:$JJ$19)</f>
        <v>214</v>
      </c>
      <c r="G11" s="2">
        <f>SUM('[3]Allegiant '!$IT$19:$IV$19)</f>
        <v>296</v>
      </c>
      <c r="H11" s="248">
        <f t="shared" ref="H11" si="9">(F11-G11)/G11</f>
        <v>-0.27702702702702703</v>
      </c>
      <c r="I11" s="250">
        <f>F11/$F$60</f>
        <v>2.9201462802248787E-3</v>
      </c>
      <c r="J11" s="246" t="s">
        <v>208</v>
      </c>
      <c r="K11" s="37"/>
      <c r="L11" s="251">
        <f>'[3]Allegiant '!$JJ$41</f>
        <v>14735</v>
      </c>
      <c r="M11" s="2">
        <f>'[3]Allegiant '!$IV$41</f>
        <v>19698</v>
      </c>
      <c r="N11" s="250">
        <f t="shared" ref="N11" si="10">(L11-M11)/M11</f>
        <v>-0.251954513148543</v>
      </c>
      <c r="O11" s="251">
        <f>SUM('[3]Allegiant '!$JH$41:$JJ$41)</f>
        <v>31135</v>
      </c>
      <c r="P11" s="2">
        <f>SUM('[3]Allegiant '!$IT$41:$IV$41)</f>
        <v>42556</v>
      </c>
      <c r="Q11" s="248">
        <f t="shared" ref="Q11" si="11">(O11-P11)/P11</f>
        <v>-0.26837578719804495</v>
      </c>
      <c r="R11" s="250">
        <f>O11/$O$60</f>
        <v>3.8811562168182025E-3</v>
      </c>
      <c r="S11" s="246" t="s">
        <v>208</v>
      </c>
      <c r="T11" s="37"/>
      <c r="U11" s="251">
        <f>'[3]Allegiant '!$JJ$64</f>
        <v>0</v>
      </c>
      <c r="V11" s="2">
        <f>'[3]Allegiant '!$IV$64</f>
        <v>0</v>
      </c>
      <c r="W11" s="250">
        <f>IFERROR((U11-V11)/V11,0)</f>
        <v>0</v>
      </c>
      <c r="X11" s="251">
        <f>SUM('[3]Allegiant '!$JH$64:$JJ$64)</f>
        <v>0</v>
      </c>
      <c r="Y11" s="2">
        <f>SUM('[3]Allegiant '!$IT$64:$IV$64)</f>
        <v>0</v>
      </c>
      <c r="Z11" s="248">
        <f>IFERROR((X11-Y11)/Y11,0)</f>
        <v>0</v>
      </c>
      <c r="AA11" s="250">
        <f>X11/$X$60</f>
        <v>0</v>
      </c>
      <c r="AB11" s="246" t="s">
        <v>208</v>
      </c>
      <c r="AC11" s="37"/>
      <c r="AD11" s="251">
        <f>'[3]Allegiant '!$JJ$43</f>
        <v>14735</v>
      </c>
      <c r="AE11" s="2">
        <f>'[3]Allegiant '!$IV$43</f>
        <v>19698</v>
      </c>
      <c r="AF11" s="250">
        <f t="shared" ref="AF11" si="12">(AD11-AE11)/AE11</f>
        <v>-0.251954513148543</v>
      </c>
      <c r="AG11" s="251">
        <f>SUM('[3]Allegiant '!$JH$43:$JJ$43)</f>
        <v>31135</v>
      </c>
      <c r="AH11" s="2">
        <f>SUM('[3]Allegiant '!$IT$43:$IV$43)</f>
        <v>42556</v>
      </c>
      <c r="AI11" s="248">
        <f t="shared" ref="AI11" si="13">(AG11-AH11)/AH11</f>
        <v>-0.26837578719804495</v>
      </c>
      <c r="AJ11" s="250">
        <f>AG11/$AG$60</f>
        <v>3.7642786579364256E-3</v>
      </c>
    </row>
    <row r="12" spans="1:36" ht="14.1" customHeight="1" x14ac:dyDescent="0.2">
      <c r="A12" s="246"/>
      <c r="B12" s="37"/>
      <c r="C12" s="247"/>
      <c r="D12" s="249"/>
      <c r="E12" s="250"/>
      <c r="F12" s="249"/>
      <c r="G12" s="249"/>
      <c r="H12" s="248"/>
      <c r="I12" s="250"/>
      <c r="J12" s="246"/>
      <c r="K12" s="37"/>
      <c r="L12" s="251"/>
      <c r="N12" s="63"/>
      <c r="O12" s="251"/>
      <c r="P12" s="2"/>
      <c r="Q12" s="3"/>
      <c r="R12" s="63"/>
      <c r="S12" s="246"/>
      <c r="T12" s="37"/>
      <c r="U12" s="251"/>
      <c r="V12" s="2"/>
      <c r="W12" s="63"/>
      <c r="X12" s="251"/>
      <c r="Y12" s="2"/>
      <c r="Z12" s="3"/>
      <c r="AA12" s="63"/>
      <c r="AB12" s="246"/>
      <c r="AC12" s="37"/>
      <c r="AD12" s="251"/>
      <c r="AE12" s="2"/>
      <c r="AF12" s="63"/>
      <c r="AG12" s="251"/>
      <c r="AH12" s="2"/>
      <c r="AI12" s="3"/>
      <c r="AJ12" s="63"/>
    </row>
    <row r="13" spans="1:36" ht="14.1" customHeight="1" x14ac:dyDescent="0.2">
      <c r="A13" s="246" t="s">
        <v>127</v>
      </c>
      <c r="B13" s="37"/>
      <c r="C13" s="247">
        <f>SUM(C14:C14)</f>
        <v>151</v>
      </c>
      <c r="D13" s="249">
        <f>SUM(D14:D14)</f>
        <v>142</v>
      </c>
      <c r="E13" s="250">
        <f>(C13-D13)/D13</f>
        <v>6.3380281690140844E-2</v>
      </c>
      <c r="F13" s="249">
        <f>SUM(F14:F14)</f>
        <v>389</v>
      </c>
      <c r="G13" s="249">
        <f>SUM(G14:G14)</f>
        <v>352</v>
      </c>
      <c r="H13" s="248">
        <f>(F13-G13)/G13</f>
        <v>0.10511363636363637</v>
      </c>
      <c r="I13" s="250">
        <f>F13/$F$60</f>
        <v>5.3081163691938212E-3</v>
      </c>
      <c r="J13" s="246" t="s">
        <v>127</v>
      </c>
      <c r="K13" s="37"/>
      <c r="L13" s="247">
        <f>SUM(L14:L14)</f>
        <v>19321</v>
      </c>
      <c r="M13" s="249">
        <f>SUM(M14:M14)</f>
        <v>19132</v>
      </c>
      <c r="N13" s="250">
        <f>(L13-M13)/M13</f>
        <v>9.8787371942295633E-3</v>
      </c>
      <c r="O13" s="247">
        <f>SUM(O14:O14)</f>
        <v>51678</v>
      </c>
      <c r="P13" s="249">
        <f>SUM(P14:P14)</f>
        <v>45286</v>
      </c>
      <c r="Q13" s="248">
        <f>(O13-P13)/P13</f>
        <v>0.14114737446451442</v>
      </c>
      <c r="R13" s="250">
        <f>O13/$O$60</f>
        <v>6.4419589199528199E-3</v>
      </c>
      <c r="S13" s="246" t="s">
        <v>127</v>
      </c>
      <c r="T13" s="37"/>
      <c r="U13" s="247">
        <f>SUM(U14:U14)</f>
        <v>22951</v>
      </c>
      <c r="V13" s="249">
        <f>SUM(V14:V14)</f>
        <v>25523</v>
      </c>
      <c r="W13" s="250">
        <f>(U13-V13)/V13</f>
        <v>-0.10077185283861614</v>
      </c>
      <c r="X13" s="247">
        <f>SUM(X14:X14)</f>
        <v>56611</v>
      </c>
      <c r="Y13" s="249">
        <f>SUM(Y14:Y14)</f>
        <v>48664</v>
      </c>
      <c r="Z13" s="248">
        <f>(X13-Y13)/Y13</f>
        <v>0.16330346868321552</v>
      </c>
      <c r="AA13" s="250">
        <f>X13/$X$60</f>
        <v>2.9091288129154736E-3</v>
      </c>
      <c r="AB13" s="246" t="s">
        <v>127</v>
      </c>
      <c r="AC13" s="37"/>
      <c r="AD13" s="247">
        <f>SUM(AD14:AD14)</f>
        <v>20218</v>
      </c>
      <c r="AE13" s="249">
        <f>SUM(AE14:AE14)</f>
        <v>19946</v>
      </c>
      <c r="AF13" s="250">
        <f>(AD13-AE13)/AE13</f>
        <v>1.3636819412413516E-2</v>
      </c>
      <c r="AG13" s="247">
        <f>SUM(AG14:AG14)</f>
        <v>53970</v>
      </c>
      <c r="AH13" s="249">
        <f>SUM(AH14:AH14)</f>
        <v>47356</v>
      </c>
      <c r="AI13" s="248">
        <f>(AG13-AH13)/AH13</f>
        <v>0.13966551228988935</v>
      </c>
      <c r="AJ13" s="250">
        <f>AG13/$AG$60</f>
        <v>6.5250720786519641E-3</v>
      </c>
    </row>
    <row r="14" spans="1:36" ht="14.1" customHeight="1" x14ac:dyDescent="0.2">
      <c r="A14" s="246"/>
      <c r="B14" s="306" t="s">
        <v>127</v>
      </c>
      <c r="C14" s="310">
        <f>[3]Alaska!$JJ$19</f>
        <v>151</v>
      </c>
      <c r="D14" s="207">
        <f>[3]Alaska!$IV$19</f>
        <v>142</v>
      </c>
      <c r="E14" s="312">
        <f>(C14-D14)/D14</f>
        <v>6.3380281690140844E-2</v>
      </c>
      <c r="F14" s="207">
        <f>SUM([3]Alaska!$JH$19:$JJ$19)</f>
        <v>389</v>
      </c>
      <c r="G14" s="207">
        <f>SUM([3]Alaska!$IT$19:$IV$19)</f>
        <v>352</v>
      </c>
      <c r="H14" s="311">
        <f>(F14-G14)/G14</f>
        <v>0.10511363636363637</v>
      </c>
      <c r="I14" s="312">
        <f>F14/$F$60</f>
        <v>5.3081163691938212E-3</v>
      </c>
      <c r="J14" s="246"/>
      <c r="K14" s="306" t="s">
        <v>127</v>
      </c>
      <c r="L14" s="310">
        <f>[3]Alaska!$JJ$41</f>
        <v>19321</v>
      </c>
      <c r="M14" s="207">
        <f>[3]Alaska!$IV$41</f>
        <v>19132</v>
      </c>
      <c r="N14" s="312">
        <f>(L14-M14)/M14</f>
        <v>9.8787371942295633E-3</v>
      </c>
      <c r="O14" s="310">
        <f>SUM([3]Alaska!$JH$41:$JJ$41)</f>
        <v>51678</v>
      </c>
      <c r="P14" s="207">
        <f>SUM([3]Alaska!$IT$41:$IV$41)</f>
        <v>45286</v>
      </c>
      <c r="Q14" s="311">
        <f>(O14-P14)/P14</f>
        <v>0.14114737446451442</v>
      </c>
      <c r="R14" s="312">
        <f>O14/$O$60</f>
        <v>6.4419589199528199E-3</v>
      </c>
      <c r="S14" s="246"/>
      <c r="T14" s="306" t="s">
        <v>127</v>
      </c>
      <c r="U14" s="310">
        <f>[3]Alaska!$JJ$64</f>
        <v>22951</v>
      </c>
      <c r="V14" s="207">
        <f>[3]Alaska!$IV$64</f>
        <v>25523</v>
      </c>
      <c r="W14" s="312">
        <f>(U14-V14)/V14</f>
        <v>-0.10077185283861614</v>
      </c>
      <c r="X14" s="310">
        <f>SUM([3]Alaska!$JH$64:$JJ$64)</f>
        <v>56611</v>
      </c>
      <c r="Y14" s="207">
        <f>SUM([3]Alaska!$IT$64:$IV$64)</f>
        <v>48664</v>
      </c>
      <c r="Z14" s="311">
        <f>(X14-Y14)/Y14</f>
        <v>0.16330346868321552</v>
      </c>
      <c r="AA14" s="312">
        <f>X14/$X$60</f>
        <v>2.9091288129154736E-3</v>
      </c>
      <c r="AB14" s="246"/>
      <c r="AC14" s="306" t="s">
        <v>127</v>
      </c>
      <c r="AD14" s="310">
        <f>[3]Alaska!$JJ$43</f>
        <v>20218</v>
      </c>
      <c r="AE14" s="207">
        <f>[3]Alaska!$IV$43</f>
        <v>19946</v>
      </c>
      <c r="AF14" s="312">
        <f>(AD14-AE14)/AE14</f>
        <v>1.3636819412413516E-2</v>
      </c>
      <c r="AG14" s="310">
        <f>SUM([3]Alaska!$JH$43:$JJ$43)</f>
        <v>53970</v>
      </c>
      <c r="AH14" s="207">
        <f>SUM([3]Alaska!$IT$43:$IV$43)</f>
        <v>47356</v>
      </c>
      <c r="AI14" s="311">
        <f>(AG14-AH14)/AH14</f>
        <v>0.13966551228988935</v>
      </c>
      <c r="AJ14" s="63">
        <f>AG14/$AG$60</f>
        <v>6.5250720786519641E-3</v>
      </c>
    </row>
    <row r="15" spans="1:36" ht="14.1" customHeight="1" x14ac:dyDescent="0.2">
      <c r="A15" s="246"/>
      <c r="B15" s="37"/>
      <c r="C15" s="247"/>
      <c r="D15" s="252"/>
      <c r="E15" s="250"/>
      <c r="F15" s="252"/>
      <c r="G15" s="252"/>
      <c r="H15" s="248"/>
      <c r="I15" s="250"/>
      <c r="J15" s="246"/>
      <c r="K15" s="37"/>
      <c r="L15" s="131"/>
      <c r="M15" s="87"/>
      <c r="N15" s="63"/>
      <c r="O15" s="131"/>
      <c r="P15" s="87"/>
      <c r="Q15" s="3"/>
      <c r="R15" s="63"/>
      <c r="S15" s="246"/>
      <c r="T15" s="37"/>
      <c r="U15" s="131"/>
      <c r="V15" s="87"/>
      <c r="W15" s="63"/>
      <c r="X15" s="131"/>
      <c r="Y15" s="87"/>
      <c r="Z15" s="3"/>
      <c r="AA15" s="63"/>
      <c r="AB15" s="246"/>
      <c r="AC15" s="37"/>
      <c r="AD15" s="131"/>
      <c r="AE15" s="87"/>
      <c r="AF15" s="63"/>
      <c r="AG15" s="131"/>
      <c r="AH15" s="87"/>
      <c r="AI15" s="3"/>
      <c r="AJ15" s="63"/>
    </row>
    <row r="16" spans="1:36" ht="14.1" customHeight="1" x14ac:dyDescent="0.2">
      <c r="A16" s="246" t="s">
        <v>17</v>
      </c>
      <c r="B16" s="253"/>
      <c r="C16" s="247">
        <f>SUM(C17:C22)</f>
        <v>1330</v>
      </c>
      <c r="D16" s="249">
        <f>SUM(D17:D22)</f>
        <v>1055</v>
      </c>
      <c r="E16" s="250">
        <f t="shared" ref="E16:E22" si="14">(C16-D16)/D16</f>
        <v>0.26066350710900477</v>
      </c>
      <c r="F16" s="247">
        <f>SUM(F17:F22)</f>
        <v>3674</v>
      </c>
      <c r="G16" s="249">
        <f>SUM(G17:G22)</f>
        <v>2981</v>
      </c>
      <c r="H16" s="248">
        <f t="shared" ref="H16:H22" si="15">(F16-G16)/G16</f>
        <v>0.23247232472324722</v>
      </c>
      <c r="I16" s="250">
        <f t="shared" ref="I16:I22" si="16">F16/$F$60</f>
        <v>5.013372632498226E-2</v>
      </c>
      <c r="J16" s="246" t="s">
        <v>17</v>
      </c>
      <c r="K16" s="253"/>
      <c r="L16" s="247">
        <f>SUM(L17:L22)</f>
        <v>145352</v>
      </c>
      <c r="M16" s="249">
        <f>SUM(M17:M22)</f>
        <v>122146</v>
      </c>
      <c r="N16" s="250">
        <f t="shared" ref="N16:N22" si="17">(L16-M16)/M16</f>
        <v>0.18998575475250928</v>
      </c>
      <c r="O16" s="247">
        <f>SUM(O17:O22)</f>
        <v>375222</v>
      </c>
      <c r="P16" s="249">
        <f>SUM(P17:P22)</f>
        <v>339830</v>
      </c>
      <c r="Q16" s="248">
        <f t="shared" ref="Q16:Q22" si="18">(O16-P16)/P16</f>
        <v>0.10414619074243003</v>
      </c>
      <c r="R16" s="250">
        <f t="shared" ref="R16:R22" si="19">O16/$O$60</f>
        <v>4.6773573084533789E-2</v>
      </c>
      <c r="S16" s="246" t="s">
        <v>17</v>
      </c>
      <c r="T16" s="253"/>
      <c r="U16" s="247">
        <f>SUM(U17:U22)</f>
        <v>17194</v>
      </c>
      <c r="V16" s="249">
        <f>SUM(V17:V22)</f>
        <v>42698</v>
      </c>
      <c r="W16" s="250">
        <f t="shared" ref="W16:W20" si="20">(U16-V16)/V16</f>
        <v>-0.59731134947772735</v>
      </c>
      <c r="X16" s="247">
        <f>SUM(X17:X22)</f>
        <v>72021</v>
      </c>
      <c r="Y16" s="249">
        <f>SUM(Y17:Y22)</f>
        <v>145262</v>
      </c>
      <c r="Z16" s="248">
        <f t="shared" ref="Z16:Z20" si="21">(X16-Y16)/Y16</f>
        <v>-0.50419930883507047</v>
      </c>
      <c r="AA16" s="250">
        <f t="shared" ref="AA16:AA22" si="22">X16/$X$60</f>
        <v>3.7010186401050206E-3</v>
      </c>
      <c r="AB16" s="246" t="s">
        <v>17</v>
      </c>
      <c r="AC16" s="253"/>
      <c r="AD16" s="247">
        <f>SUM(AD17:AD22)</f>
        <v>150032</v>
      </c>
      <c r="AE16" s="249">
        <f>SUM(AE17:AE22)</f>
        <v>126209</v>
      </c>
      <c r="AF16" s="250">
        <f t="shared" ref="AF16:AF20" si="23">(AD16-AE16)/AE16</f>
        <v>0.18875832943767878</v>
      </c>
      <c r="AG16" s="247">
        <f>SUM(AG17:AG22)</f>
        <v>388685</v>
      </c>
      <c r="AH16" s="249">
        <f>SUM(AH17:AH22)</f>
        <v>351096</v>
      </c>
      <c r="AI16" s="248">
        <f t="shared" ref="AI16:AI20" si="24">(AG16-AH16)/AH16</f>
        <v>0.10706188620776085</v>
      </c>
      <c r="AJ16" s="250">
        <f t="shared" ref="AJ16:AJ22" si="25">AG16/$AG$60</f>
        <v>4.6992730051710924E-2</v>
      </c>
    </row>
    <row r="17" spans="1:36" ht="14.1" customHeight="1" x14ac:dyDescent="0.2">
      <c r="A17" s="36"/>
      <c r="B17" s="37" t="s">
        <v>17</v>
      </c>
      <c r="C17" s="251">
        <f>[3]American!$JJ$19</f>
        <v>824</v>
      </c>
      <c r="D17" s="2">
        <f>[3]American!$IV$19</f>
        <v>667</v>
      </c>
      <c r="E17" s="63">
        <f t="shared" si="14"/>
        <v>0.2353823088455772</v>
      </c>
      <c r="F17" s="2">
        <f>SUM([3]American!$JH$19:$JJ$19)</f>
        <v>2270</v>
      </c>
      <c r="G17" s="2">
        <f>SUM([3]American!$IT$19:$IV$19)</f>
        <v>1867</v>
      </c>
      <c r="H17" s="3">
        <f t="shared" si="15"/>
        <v>0.21585431173004821</v>
      </c>
      <c r="I17" s="63">
        <f t="shared" si="16"/>
        <v>3.0975383439768571E-2</v>
      </c>
      <c r="J17" s="36"/>
      <c r="K17" s="37" t="s">
        <v>17</v>
      </c>
      <c r="L17" s="251">
        <f>[3]American!$JJ$41</f>
        <v>113640</v>
      </c>
      <c r="M17" s="2">
        <f>[3]American!$IV$41</f>
        <v>99725</v>
      </c>
      <c r="N17" s="63">
        <f t="shared" si="17"/>
        <v>0.13953371772374029</v>
      </c>
      <c r="O17" s="251">
        <f>SUM([3]American!$JH$41:$JJ$41)</f>
        <v>294761</v>
      </c>
      <c r="P17" s="2">
        <f>SUM([3]American!$IT$41:$IV$41)</f>
        <v>279603</v>
      </c>
      <c r="Q17" s="3">
        <f t="shared" si="18"/>
        <v>5.421257997947089E-2</v>
      </c>
      <c r="R17" s="63">
        <f t="shared" si="19"/>
        <v>3.6743648229502171E-2</v>
      </c>
      <c r="S17" s="36"/>
      <c r="T17" s="37" t="s">
        <v>17</v>
      </c>
      <c r="U17" s="251">
        <f>[3]American!$JJ$64</f>
        <v>15083</v>
      </c>
      <c r="V17" s="2">
        <f>[3]American!$IV$64</f>
        <v>37172</v>
      </c>
      <c r="W17" s="63">
        <f t="shared" si="20"/>
        <v>-0.59423759819218769</v>
      </c>
      <c r="X17" s="251">
        <f>SUM([3]American!$JH$64:$JJ$64)</f>
        <v>63283</v>
      </c>
      <c r="Y17" s="2">
        <f>SUM([3]American!$IT$64:$IV$64)</f>
        <v>133076</v>
      </c>
      <c r="Z17" s="3">
        <f t="shared" si="21"/>
        <v>-0.52445970723496349</v>
      </c>
      <c r="AA17" s="63">
        <f t="shared" si="22"/>
        <v>3.2519898724228491E-3</v>
      </c>
      <c r="AB17" s="36"/>
      <c r="AC17" s="37" t="s">
        <v>17</v>
      </c>
      <c r="AD17" s="251">
        <f>[3]American!$JJ$43</f>
        <v>117260</v>
      </c>
      <c r="AE17" s="2">
        <f>[3]American!$IV$43</f>
        <v>102905</v>
      </c>
      <c r="AF17" s="63">
        <f t="shared" si="23"/>
        <v>0.13949759486905397</v>
      </c>
      <c r="AG17" s="251">
        <f>SUM([3]American!$JH$43:$JJ$43)</f>
        <v>305183</v>
      </c>
      <c r="AH17" s="2">
        <f>SUM([3]American!$IT$43:$IV$43)</f>
        <v>288480</v>
      </c>
      <c r="AI17" s="3">
        <f t="shared" si="24"/>
        <v>5.7900027731558515E-2</v>
      </c>
      <c r="AJ17" s="63">
        <f t="shared" si="25"/>
        <v>3.6897184957925558E-2</v>
      </c>
    </row>
    <row r="18" spans="1:36" ht="14.1" customHeight="1" x14ac:dyDescent="0.2">
      <c r="A18" s="36"/>
      <c r="B18" s="306" t="s">
        <v>160</v>
      </c>
      <c r="C18" s="251">
        <f>'[3]American Eagle'!$JJ$19</f>
        <v>36</v>
      </c>
      <c r="D18" s="2">
        <f>'[3]American Eagle'!$IV$19</f>
        <v>64</v>
      </c>
      <c r="E18" s="63">
        <f t="shared" si="14"/>
        <v>-0.4375</v>
      </c>
      <c r="F18" s="2">
        <f>SUM('[3]American Eagle'!$JH$19:$JJ$19)</f>
        <v>332</v>
      </c>
      <c r="G18" s="2">
        <f>SUM('[3]American Eagle'!$IT$19:$IV$19)</f>
        <v>182</v>
      </c>
      <c r="H18" s="3">
        <f t="shared" si="15"/>
        <v>0.82417582417582413</v>
      </c>
      <c r="I18" s="63">
        <f t="shared" si="16"/>
        <v>4.5303203973582227E-3</v>
      </c>
      <c r="J18" s="36"/>
      <c r="K18" s="306" t="s">
        <v>160</v>
      </c>
      <c r="L18" s="251">
        <f>'[3]American Eagle'!$JJ$41</f>
        <v>2106</v>
      </c>
      <c r="M18" s="2">
        <f>'[3]American Eagle'!$IV$41</f>
        <v>3894</v>
      </c>
      <c r="N18" s="63">
        <f t="shared" si="17"/>
        <v>-0.4591679506933744</v>
      </c>
      <c r="O18" s="251">
        <f>SUM('[3]American Eagle'!$JH$41:$JJ$41)</f>
        <v>19045</v>
      </c>
      <c r="P18" s="2">
        <f>SUM('[3]American Eagle'!$IT$41:$IV$41)</f>
        <v>10768</v>
      </c>
      <c r="Q18" s="3">
        <f t="shared" si="18"/>
        <v>0.76866641901931654</v>
      </c>
      <c r="R18" s="63">
        <f t="shared" si="19"/>
        <v>2.3740684165505913E-3</v>
      </c>
      <c r="S18" s="36"/>
      <c r="T18" s="306" t="s">
        <v>160</v>
      </c>
      <c r="U18" s="251">
        <f>'[3]American Eagle'!$JJ$64</f>
        <v>0</v>
      </c>
      <c r="V18" s="2">
        <f>'[3]American Eagle'!$IV$64</f>
        <v>189</v>
      </c>
      <c r="W18" s="63">
        <f>IFERROR((U18-V18)/V18,0)</f>
        <v>-1</v>
      </c>
      <c r="X18" s="251">
        <f>SUM('[3]American Eagle'!$JH$64:$JJ$64)</f>
        <v>1638</v>
      </c>
      <c r="Y18" s="2">
        <f>SUM('[3]American Eagle'!$IT$64:$IV$64)</f>
        <v>917</v>
      </c>
      <c r="Z18" s="311">
        <f>IFERROR((X18-Y18)/Y18,0)</f>
        <v>0.7862595419847328</v>
      </c>
      <c r="AA18" s="63">
        <f t="shared" si="22"/>
        <v>8.4173623422224402E-5</v>
      </c>
      <c r="AB18" s="36"/>
      <c r="AC18" s="306" t="s">
        <v>160</v>
      </c>
      <c r="AD18" s="251">
        <f>'[3]American Eagle'!$JJ$43</f>
        <v>2207</v>
      </c>
      <c r="AE18" s="2">
        <f>'[3]American Eagle'!$IV$43</f>
        <v>4070</v>
      </c>
      <c r="AF18" s="63">
        <f t="shared" si="23"/>
        <v>-0.45773955773955771</v>
      </c>
      <c r="AG18" s="251">
        <f>SUM('[3]American Eagle'!$JH$43:$JJ$43)</f>
        <v>19910</v>
      </c>
      <c r="AH18" s="2">
        <f>SUM('[3]American Eagle'!$IT$43:$IV$43)</f>
        <v>11230</v>
      </c>
      <c r="AI18" s="3">
        <f t="shared" si="24"/>
        <v>0.7729296527159395</v>
      </c>
      <c r="AJ18" s="63">
        <f t="shared" si="25"/>
        <v>2.4071555509720326E-3</v>
      </c>
    </row>
    <row r="19" spans="1:36" ht="14.1" customHeight="1" x14ac:dyDescent="0.2">
      <c r="A19" s="36"/>
      <c r="B19" s="306" t="s">
        <v>52</v>
      </c>
      <c r="C19" s="251">
        <f>[3]Republic!$JJ$19</f>
        <v>246</v>
      </c>
      <c r="D19" s="2">
        <f>[3]Republic!$IV$19</f>
        <v>162</v>
      </c>
      <c r="E19" s="63">
        <f t="shared" si="14"/>
        <v>0.51851851851851849</v>
      </c>
      <c r="F19" s="2">
        <f>SUM([3]Republic!$JH$19:$JJ$19)</f>
        <v>492</v>
      </c>
      <c r="G19" s="2">
        <f>SUM([3]Republic!$IT$19:$IV$19)</f>
        <v>368</v>
      </c>
      <c r="H19" s="3">
        <f t="shared" si="15"/>
        <v>0.33695652173913043</v>
      </c>
      <c r="I19" s="63">
        <f t="shared" si="16"/>
        <v>6.7136073358441137E-3</v>
      </c>
      <c r="J19" s="36"/>
      <c r="K19" s="254" t="s">
        <v>52</v>
      </c>
      <c r="L19" s="251">
        <f>[3]Republic!$JJ$41</f>
        <v>15611</v>
      </c>
      <c r="M19" s="2">
        <f>[3]Republic!$IV$41</f>
        <v>9410</v>
      </c>
      <c r="N19" s="63">
        <f t="shared" si="17"/>
        <v>0.65897980871413386</v>
      </c>
      <c r="O19" s="251">
        <f>SUM([3]Republic!$JH$41:$JJ$41)</f>
        <v>29304</v>
      </c>
      <c r="P19" s="2">
        <f>SUM([3]Republic!$IT$41:$IV$41)</f>
        <v>18006</v>
      </c>
      <c r="Q19" s="3">
        <f t="shared" si="18"/>
        <v>0.62745751416194606</v>
      </c>
      <c r="R19" s="63">
        <f t="shared" si="19"/>
        <v>3.6529115714674996E-3</v>
      </c>
      <c r="S19" s="36"/>
      <c r="T19" s="254" t="s">
        <v>52</v>
      </c>
      <c r="U19" s="251">
        <f>[3]Republic!$JJ$64</f>
        <v>2041</v>
      </c>
      <c r="V19" s="2">
        <f>[3]Republic!$IV$64</f>
        <v>4415</v>
      </c>
      <c r="W19" s="63">
        <f t="shared" si="20"/>
        <v>-0.53771234428086068</v>
      </c>
      <c r="X19" s="251">
        <f>SUM([3]Republic!$JH$64:$JJ$64)</f>
        <v>6816</v>
      </c>
      <c r="Y19" s="2">
        <f>SUM([3]Republic!$IT$64:$IV$64)</f>
        <v>7950</v>
      </c>
      <c r="Z19" s="3">
        <f t="shared" si="21"/>
        <v>-0.14264150943396225</v>
      </c>
      <c r="AA19" s="63">
        <f t="shared" si="22"/>
        <v>3.5026093848954917E-4</v>
      </c>
      <c r="AB19" s="36"/>
      <c r="AC19" s="254" t="s">
        <v>52</v>
      </c>
      <c r="AD19" s="251">
        <f>[3]Republic!$JJ$43</f>
        <v>16190</v>
      </c>
      <c r="AE19" s="2">
        <f>[3]Republic!$IV$43</f>
        <v>9863</v>
      </c>
      <c r="AF19" s="63">
        <f t="shared" si="23"/>
        <v>0.64148839095609855</v>
      </c>
      <c r="AG19" s="251">
        <f>SUM([3]Republic!$JH$43:$JJ$43)</f>
        <v>30507</v>
      </c>
      <c r="AH19" s="2">
        <f>SUM([3]Republic!$IT$43:$IV$43)</f>
        <v>19051</v>
      </c>
      <c r="AI19" s="3">
        <f t="shared" si="24"/>
        <v>0.6013332633457561</v>
      </c>
      <c r="AJ19" s="63">
        <f t="shared" si="25"/>
        <v>3.6883523050479055E-3</v>
      </c>
    </row>
    <row r="20" spans="1:36" ht="14.1" customHeight="1" x14ac:dyDescent="0.2">
      <c r="A20" s="36"/>
      <c r="B20" s="306" t="s">
        <v>171</v>
      </c>
      <c r="C20" s="251">
        <f>[3]PSA!$JJ$19</f>
        <v>222</v>
      </c>
      <c r="D20" s="2">
        <f>[3]PSA!$IV$19</f>
        <v>68</v>
      </c>
      <c r="E20" s="63">
        <f t="shared" si="14"/>
        <v>2.2647058823529411</v>
      </c>
      <c r="F20" s="2">
        <f>SUM([3]PSA!$JH$19:$JJ$19)</f>
        <v>578</v>
      </c>
      <c r="G20" s="2">
        <f>SUM([3]PSA!$IT$19:$IV$19)</f>
        <v>306</v>
      </c>
      <c r="H20" s="3">
        <f t="shared" si="15"/>
        <v>0.88888888888888884</v>
      </c>
      <c r="I20" s="63">
        <f t="shared" si="16"/>
        <v>7.88712406528028E-3</v>
      </c>
      <c r="J20" s="36"/>
      <c r="K20" s="306" t="s">
        <v>171</v>
      </c>
      <c r="L20" s="251">
        <f>[3]PSA!$JJ$41</f>
        <v>13887</v>
      </c>
      <c r="M20" s="2">
        <f>[3]PSA!$IV$41</f>
        <v>4761</v>
      </c>
      <c r="N20" s="63">
        <f t="shared" si="17"/>
        <v>1.9168241965973536</v>
      </c>
      <c r="O20" s="251">
        <f>SUM([3]PSA!$JH$41:$JJ$41)</f>
        <v>32004</v>
      </c>
      <c r="P20" s="2">
        <f>SUM([3]PSA!$IT$41:$IV$41)</f>
        <v>19818</v>
      </c>
      <c r="Q20" s="3">
        <f t="shared" si="18"/>
        <v>0.61489554950045411</v>
      </c>
      <c r="R20" s="63">
        <f t="shared" si="19"/>
        <v>3.9894820479540625E-3</v>
      </c>
      <c r="S20" s="36"/>
      <c r="T20" s="306" t="s">
        <v>171</v>
      </c>
      <c r="U20" s="251">
        <f>[3]PSA!$JJ$64</f>
        <v>70</v>
      </c>
      <c r="V20" s="2">
        <f>[3]PSA!$IV$64</f>
        <v>0</v>
      </c>
      <c r="W20" s="63" t="e">
        <f t="shared" si="20"/>
        <v>#DIV/0!</v>
      </c>
      <c r="X20" s="251">
        <f>SUM([3]PSA!$JH$64:$JJ$64)</f>
        <v>284</v>
      </c>
      <c r="Y20" s="2">
        <f>SUM([3]PSA!$IT$64:$IV$64)</f>
        <v>641</v>
      </c>
      <c r="Z20" s="3">
        <f t="shared" si="21"/>
        <v>-0.5569422776911076</v>
      </c>
      <c r="AA20" s="63">
        <f t="shared" si="22"/>
        <v>1.4594205770397881E-5</v>
      </c>
      <c r="AB20" s="36"/>
      <c r="AC20" s="306" t="s">
        <v>171</v>
      </c>
      <c r="AD20" s="251">
        <f>[3]PSA!$JJ$43</f>
        <v>14261</v>
      </c>
      <c r="AE20" s="2">
        <f>[3]PSA!$IV$43</f>
        <v>4860</v>
      </c>
      <c r="AF20" s="63">
        <f t="shared" si="23"/>
        <v>1.9343621399176956</v>
      </c>
      <c r="AG20" s="251">
        <f>SUM([3]PSA!$JH$43:$JJ$43)</f>
        <v>32971</v>
      </c>
      <c r="AH20" s="2">
        <f>SUM([3]PSA!$IT$43:$IV$43)</f>
        <v>20333</v>
      </c>
      <c r="AI20" s="3">
        <f t="shared" si="24"/>
        <v>0.62155117297004869</v>
      </c>
      <c r="AJ20" s="63">
        <f t="shared" si="25"/>
        <v>3.9862544284831186E-3</v>
      </c>
    </row>
    <row r="21" spans="1:36" ht="14.1" customHeight="1" x14ac:dyDescent="0.2">
      <c r="A21" s="36"/>
      <c r="B21" s="306" t="s">
        <v>97</v>
      </c>
      <c r="C21" s="251">
        <f>'[3]Sky West_AA'!$JJ$19</f>
        <v>2</v>
      </c>
      <c r="D21" s="2">
        <f>'[3]Sky West_AA'!$IV$19</f>
        <v>0</v>
      </c>
      <c r="E21" s="63">
        <f>IFERROR((C21-D21)/D21,0)</f>
        <v>0</v>
      </c>
      <c r="F21" s="2">
        <f>SUM('[3]Sky West_AA'!$JH$19:$JJ$19)</f>
        <v>2</v>
      </c>
      <c r="G21" s="2">
        <f>SUM('[3]Sky West_AA'!$IT$19:$IV$19)</f>
        <v>0</v>
      </c>
      <c r="H21" s="3">
        <f>IFERROR((F21-G21)/G21,0)</f>
        <v>0</v>
      </c>
      <c r="I21" s="63">
        <f t="shared" si="16"/>
        <v>2.7291086731073631E-5</v>
      </c>
      <c r="J21" s="36"/>
      <c r="K21" s="306" t="s">
        <v>97</v>
      </c>
      <c r="L21" s="251">
        <f>'[3]Sky West_AA'!$JJ$41</f>
        <v>108</v>
      </c>
      <c r="M21" s="2">
        <f>'[3]Sky West_AA'!$IV$41</f>
        <v>0</v>
      </c>
      <c r="N21" s="63">
        <f>IFERROR((L21-M21)/M21,0)</f>
        <v>0</v>
      </c>
      <c r="O21" s="251">
        <f>SUM('[3]Sky West_AA'!$JH$41:$JJ$41)</f>
        <v>108</v>
      </c>
      <c r="P21" s="2">
        <f>SUM('[3]Sky West_AA'!$IT$41:$IV$41)</f>
        <v>0</v>
      </c>
      <c r="Q21" s="3">
        <f>IFERROR((O21-P21)/P21,0)</f>
        <v>0</v>
      </c>
      <c r="R21" s="312">
        <f t="shared" si="19"/>
        <v>1.3462819059462529E-5</v>
      </c>
      <c r="S21" s="36"/>
      <c r="T21" s="306" t="s">
        <v>97</v>
      </c>
      <c r="U21" s="251">
        <f>'[3]Sky West_AA'!$JJ$64</f>
        <v>0</v>
      </c>
      <c r="V21" s="2">
        <f>'[3]Sky West_AA'!$IV$64</f>
        <v>0</v>
      </c>
      <c r="W21" s="63">
        <f>IFERROR((U21-V21)/V21,0)</f>
        <v>0</v>
      </c>
      <c r="X21" s="251">
        <f>SUM('[3]Sky West_AA'!$JH$64:$JJ$64)</f>
        <v>0</v>
      </c>
      <c r="Y21" s="2">
        <f>SUM('[3]Sky West_AA'!$IT$64:$IV$64)</f>
        <v>0</v>
      </c>
      <c r="Z21" s="311">
        <f>IFERROR((X21-Y21)/Y21,0)</f>
        <v>0</v>
      </c>
      <c r="AA21" s="312">
        <f t="shared" si="22"/>
        <v>0</v>
      </c>
      <c r="AB21" s="36"/>
      <c r="AC21" s="306" t="s">
        <v>97</v>
      </c>
      <c r="AD21" s="251">
        <f>'[3]Sky West_AA'!$JJ$43</f>
        <v>114</v>
      </c>
      <c r="AE21" s="2">
        <f>'[3]Sky West_AA'!$IV$43</f>
        <v>0</v>
      </c>
      <c r="AF21" s="312">
        <f>IFERROR((AD21-AE21)/AE21,0)</f>
        <v>0</v>
      </c>
      <c r="AG21" s="251">
        <f>SUM('[3]Sky West_AA'!$JH$43:$JJ$43)</f>
        <v>114</v>
      </c>
      <c r="AH21" s="2">
        <f>SUM('[3]Sky West_AA'!$IT$43:$IV$43)</f>
        <v>0</v>
      </c>
      <c r="AI21" s="311">
        <f>IFERROR((AG21-AH21)/AH21,0)</f>
        <v>0</v>
      </c>
      <c r="AJ21" s="63">
        <f t="shared" si="25"/>
        <v>1.3782809282310985E-5</v>
      </c>
    </row>
    <row r="22" spans="1:36" ht="14.1" customHeight="1" x14ac:dyDescent="0.2">
      <c r="A22" s="36"/>
      <c r="B22" s="306" t="s">
        <v>50</v>
      </c>
      <c r="C22" s="251">
        <f>'[3]Air Wisconsin'!$JJ$19</f>
        <v>0</v>
      </c>
      <c r="D22" s="2">
        <f>'[3]Air Wisconsin'!$IV$19</f>
        <v>94</v>
      </c>
      <c r="E22" s="63">
        <f t="shared" si="14"/>
        <v>-1</v>
      </c>
      <c r="F22" s="2">
        <f>SUM('[3]Air Wisconsin'!$JH$19:$JJ$19)</f>
        <v>0</v>
      </c>
      <c r="G22" s="2">
        <f>SUM('[3]Air Wisconsin'!$IT$19:$IV$19)</f>
        <v>258</v>
      </c>
      <c r="H22" s="337">
        <f t="shared" si="15"/>
        <v>-1</v>
      </c>
      <c r="I22" s="63">
        <f t="shared" si="16"/>
        <v>0</v>
      </c>
      <c r="J22" s="36"/>
      <c r="K22" s="254" t="s">
        <v>50</v>
      </c>
      <c r="L22" s="251">
        <f>'[3]Air Wisconsin'!$JJ$41</f>
        <v>0</v>
      </c>
      <c r="M22" s="2">
        <f>'[3]Air Wisconsin'!$IV$41</f>
        <v>4356</v>
      </c>
      <c r="N22" s="63">
        <f t="shared" si="17"/>
        <v>-1</v>
      </c>
      <c r="O22" s="251">
        <f>SUM('[3]Air Wisconsin'!$JH$41:$JJ$41)</f>
        <v>0</v>
      </c>
      <c r="P22" s="2">
        <f>SUM('[3]Air Wisconsin'!$IT$41:$IV$41)</f>
        <v>11635</v>
      </c>
      <c r="Q22" s="3">
        <f t="shared" si="18"/>
        <v>-1</v>
      </c>
      <c r="R22" s="63">
        <f t="shared" si="19"/>
        <v>0</v>
      </c>
      <c r="S22" s="36"/>
      <c r="T22" s="254" t="s">
        <v>50</v>
      </c>
      <c r="U22" s="251">
        <f>'[3]Air Wisconsin'!$JJ$64</f>
        <v>0</v>
      </c>
      <c r="V22" s="2">
        <f>'[3]Air Wisconsin'!$IV$64</f>
        <v>922</v>
      </c>
      <c r="W22" s="63">
        <f t="shared" ref="W22" si="26">(U22-V22)/V22</f>
        <v>-1</v>
      </c>
      <c r="X22" s="251">
        <f>SUM('[3]Air Wisconsin'!$JH$64:$JJ$64)</f>
        <v>0</v>
      </c>
      <c r="Y22" s="2">
        <f>SUM('[3]Air Wisconsin'!$IT$64:$IV$64)</f>
        <v>2678</v>
      </c>
      <c r="Z22" s="3">
        <f t="shared" ref="Z22" si="27">(X22-Y22)/Y22</f>
        <v>-1</v>
      </c>
      <c r="AA22" s="63">
        <f t="shared" si="22"/>
        <v>0</v>
      </c>
      <c r="AB22" s="36"/>
      <c r="AC22" s="254" t="s">
        <v>50</v>
      </c>
      <c r="AD22" s="251">
        <f>'[3]Air Wisconsin'!$JJ$43</f>
        <v>0</v>
      </c>
      <c r="AE22" s="2">
        <f>'[3]Air Wisconsin'!$IV$43</f>
        <v>4511</v>
      </c>
      <c r="AF22" s="63">
        <f t="shared" ref="AF22" si="28">(AD22-AE22)/AE22</f>
        <v>-1</v>
      </c>
      <c r="AG22" s="251">
        <f>SUM('[3]Air Wisconsin'!$JH$43:$JJ$43)</f>
        <v>0</v>
      </c>
      <c r="AH22" s="2">
        <f>SUM('[3]Air Wisconsin'!$IT$43:$IV$43)</f>
        <v>12002</v>
      </c>
      <c r="AI22" s="3">
        <f t="shared" ref="AI22" si="29">(AG22-AH22)/AH22</f>
        <v>-1</v>
      </c>
      <c r="AJ22" s="63">
        <f t="shared" si="25"/>
        <v>0</v>
      </c>
    </row>
    <row r="23" spans="1:36" ht="14.1" customHeight="1" x14ac:dyDescent="0.2">
      <c r="A23" s="36"/>
      <c r="B23" s="37"/>
      <c r="C23" s="251"/>
      <c r="E23" s="63"/>
      <c r="F23" s="2"/>
      <c r="I23" s="63"/>
      <c r="J23" s="36"/>
      <c r="K23" s="37"/>
      <c r="L23" s="251"/>
      <c r="N23" s="63"/>
      <c r="O23" s="251"/>
      <c r="P23" s="2"/>
      <c r="Q23" s="3"/>
      <c r="R23" s="63"/>
      <c r="S23" s="36"/>
      <c r="T23" s="37"/>
      <c r="U23" s="251"/>
      <c r="V23" s="2"/>
      <c r="W23" s="63"/>
      <c r="X23" s="251"/>
      <c r="Y23" s="2"/>
      <c r="Z23" s="3"/>
      <c r="AA23" s="63"/>
      <c r="AB23" s="36"/>
      <c r="AC23" s="37"/>
      <c r="AD23" s="251"/>
      <c r="AE23" s="2"/>
      <c r="AF23" s="63"/>
      <c r="AG23" s="251"/>
      <c r="AH23" s="2"/>
      <c r="AI23" s="3"/>
      <c r="AJ23" s="63"/>
    </row>
    <row r="24" spans="1:36" ht="14.1" customHeight="1" x14ac:dyDescent="0.2">
      <c r="A24" s="246" t="s">
        <v>157</v>
      </c>
      <c r="B24" s="37"/>
      <c r="C24" s="247">
        <f>[3]Condor!$JJ$19</f>
        <v>0</v>
      </c>
      <c r="D24" s="249">
        <f>[3]Condor!$IV$19</f>
        <v>0</v>
      </c>
      <c r="E24" s="250">
        <f>IFERROR((C24-D24)/D24,0)</f>
        <v>0</v>
      </c>
      <c r="F24" s="249">
        <f>SUM([3]Condor!$JH$19:$JJ$19)</f>
        <v>0</v>
      </c>
      <c r="G24" s="249">
        <f>SUM([3]Condor!$IT$19:$IV$19)</f>
        <v>0</v>
      </c>
      <c r="H24" s="248">
        <f>IFERROR((F24-G24)/G24,0)</f>
        <v>0</v>
      </c>
      <c r="I24" s="250">
        <f>F24/$F$60</f>
        <v>0</v>
      </c>
      <c r="J24" s="246" t="s">
        <v>157</v>
      </c>
      <c r="K24" s="37"/>
      <c r="L24" s="247">
        <f>[3]Condor!$JJ$41</f>
        <v>0</v>
      </c>
      <c r="M24" s="249">
        <f>[3]Condor!$IV$41</f>
        <v>0</v>
      </c>
      <c r="N24" s="250">
        <f>IFERROR((L24-M24)/M24,0)</f>
        <v>0</v>
      </c>
      <c r="O24" s="247">
        <f>SUM([3]Condor!$JH$41:$JJ$41)</f>
        <v>0</v>
      </c>
      <c r="P24" s="249">
        <f>SUM([3]Condor!$IT$41:$IV$41)</f>
        <v>0</v>
      </c>
      <c r="Q24" s="248">
        <f>IFERROR((O24-P24)/P24,0)</f>
        <v>0</v>
      </c>
      <c r="R24" s="250">
        <f>O24/$O$60</f>
        <v>0</v>
      </c>
      <c r="S24" s="246" t="s">
        <v>157</v>
      </c>
      <c r="T24" s="37"/>
      <c r="U24" s="247">
        <f>[3]Condor!$JJ$64</f>
        <v>0</v>
      </c>
      <c r="V24" s="249">
        <f>[3]Condor!$IV$64</f>
        <v>0</v>
      </c>
      <c r="W24" s="250">
        <f>IFERROR((U24-V24)/V24,0)</f>
        <v>0</v>
      </c>
      <c r="X24" s="247">
        <f>SUM([3]Condor!$JH$64:$JJ$64)</f>
        <v>0</v>
      </c>
      <c r="Y24" s="249">
        <f>SUM([3]Condor!$IT$64:$IV$64)</f>
        <v>0</v>
      </c>
      <c r="Z24" s="248">
        <f>IFERROR((X24-Y24)/Y24,0)</f>
        <v>0</v>
      </c>
      <c r="AA24" s="250">
        <f>X24/$X$60</f>
        <v>0</v>
      </c>
      <c r="AB24" s="246" t="s">
        <v>157</v>
      </c>
      <c r="AC24" s="37"/>
      <c r="AD24" s="247">
        <f>[3]Condor!$JJ$43</f>
        <v>0</v>
      </c>
      <c r="AE24" s="249">
        <f>[3]Condor!$IV$43</f>
        <v>0</v>
      </c>
      <c r="AF24" s="250">
        <f>IFERROR((AD24-AE24)/AE24,0)</f>
        <v>0</v>
      </c>
      <c r="AG24" s="247">
        <f>SUM([3]Condor!$JH$43:$JJ$43)</f>
        <v>0</v>
      </c>
      <c r="AH24" s="249">
        <f>SUM([3]Condor!$IT$43:$IV$43)</f>
        <v>0</v>
      </c>
      <c r="AI24" s="248">
        <f>IFERROR((AG24-AH24)/AH24,0)</f>
        <v>0</v>
      </c>
      <c r="AJ24" s="250">
        <f>AG24/$AG$60</f>
        <v>0</v>
      </c>
    </row>
    <row r="25" spans="1:36" ht="14.1" customHeight="1" x14ac:dyDescent="0.2">
      <c r="A25" s="36"/>
      <c r="B25" s="37"/>
      <c r="C25" s="251"/>
      <c r="E25" s="63"/>
      <c r="F25" s="2"/>
      <c r="I25" s="63"/>
      <c r="J25" s="36"/>
      <c r="K25" s="37"/>
      <c r="L25" s="251"/>
      <c r="N25" s="63"/>
      <c r="O25" s="251"/>
      <c r="P25" s="2"/>
      <c r="Q25" s="3"/>
      <c r="R25" s="63"/>
      <c r="S25" s="36"/>
      <c r="T25" s="37"/>
      <c r="U25" s="251"/>
      <c r="V25" s="2"/>
      <c r="W25" s="63"/>
      <c r="X25" s="251"/>
      <c r="Y25" s="2"/>
      <c r="Z25" s="3"/>
      <c r="AA25" s="63"/>
      <c r="AB25" s="36"/>
      <c r="AC25" s="37"/>
      <c r="AD25" s="251"/>
      <c r="AE25" s="2"/>
      <c r="AF25" s="63"/>
      <c r="AG25" s="251"/>
      <c r="AH25" s="2"/>
      <c r="AI25" s="3"/>
      <c r="AJ25" s="63"/>
    </row>
    <row r="26" spans="1:36" ht="14.1" customHeight="1" x14ac:dyDescent="0.2">
      <c r="A26" s="246" t="s">
        <v>201</v>
      </c>
      <c r="B26" s="37"/>
      <c r="C26" s="247">
        <f>'[3]Denver Air'!$JJ$19</f>
        <v>164</v>
      </c>
      <c r="D26" s="249">
        <f>'[3]Denver Air'!$IV$19</f>
        <v>180</v>
      </c>
      <c r="E26" s="250">
        <f>(C26-D26)/D26</f>
        <v>-8.8888888888888892E-2</v>
      </c>
      <c r="F26" s="249">
        <f>SUM('[3]Denver Air'!$JH$19:$JJ$19)</f>
        <v>458</v>
      </c>
      <c r="G26" s="249">
        <f>SUM('[3]Denver Air'!$IT$19:$IV$19)</f>
        <v>522</v>
      </c>
      <c r="H26" s="248">
        <f>(F26-G26)/G26</f>
        <v>-0.12260536398467432</v>
      </c>
      <c r="I26" s="250">
        <f>F26/$F$60</f>
        <v>6.2496588614158613E-3</v>
      </c>
      <c r="J26" s="246" t="s">
        <v>201</v>
      </c>
      <c r="K26" s="37"/>
      <c r="L26" s="247">
        <f>'[3]Denver Air'!$JJ$41</f>
        <v>1701</v>
      </c>
      <c r="M26" s="249">
        <f>'[3]Denver Air'!$IV$41</f>
        <v>1687</v>
      </c>
      <c r="N26" s="250">
        <f>(L26-M26)/M26</f>
        <v>8.2987551867219917E-3</v>
      </c>
      <c r="O26" s="247">
        <f>SUM('[3]Denver Air'!$JH$41:$JJ$41)</f>
        <v>5075</v>
      </c>
      <c r="P26" s="249">
        <f>SUM('[3]Denver Air'!$IT$41:$IV$41)</f>
        <v>4891</v>
      </c>
      <c r="Q26" s="248">
        <f>(O26-P26)/P26</f>
        <v>3.762011858515641E-2</v>
      </c>
      <c r="R26" s="250">
        <f>O26/$O$60</f>
        <v>6.3262784006270687E-4</v>
      </c>
      <c r="S26" s="246" t="s">
        <v>201</v>
      </c>
      <c r="T26" s="37"/>
      <c r="U26" s="247">
        <f>'[3]Denver Air'!$JJ$64</f>
        <v>0</v>
      </c>
      <c r="V26" s="249">
        <f>'[3]Denver Air'!$IV$64</f>
        <v>0</v>
      </c>
      <c r="W26" s="250">
        <f>IFERROR((U26-V26)/V26,0)</f>
        <v>0</v>
      </c>
      <c r="X26" s="247">
        <f>SUM('[3]Denver Air'!$JH$64:$JJ$64)</f>
        <v>0</v>
      </c>
      <c r="Y26" s="249">
        <f>SUM('[3]Denver Air'!$IT$64:$IV$64)</f>
        <v>0</v>
      </c>
      <c r="Z26" s="248">
        <f>IFERROR((X26-Y26)/Y26,0)</f>
        <v>0</v>
      </c>
      <c r="AA26" s="250">
        <f>X26/$X$58</f>
        <v>0</v>
      </c>
      <c r="AB26" s="246" t="s">
        <v>201</v>
      </c>
      <c r="AC26" s="37"/>
      <c r="AD26" s="247">
        <f>'[3]Denver Air'!$JJ$43</f>
        <v>1798</v>
      </c>
      <c r="AE26" s="249">
        <f>'[3]Denver Air'!$IV$43</f>
        <v>1774</v>
      </c>
      <c r="AF26" s="250">
        <f>(AD26-AE26)/AE26</f>
        <v>1.3528748590755355E-2</v>
      </c>
      <c r="AG26" s="247">
        <f>SUM('[3]Denver Air'!$JH$43:$JJ$43)</f>
        <v>5291</v>
      </c>
      <c r="AH26" s="249">
        <f>SUM('[3]Denver Air'!$IT$43:$IV$43)</f>
        <v>5139</v>
      </c>
      <c r="AI26" s="248">
        <f>(AG26-AH26)/AH26</f>
        <v>2.9577738859700331E-2</v>
      </c>
      <c r="AJ26" s="250">
        <f>AG26/$AG$60</f>
        <v>6.3969161326936342E-4</v>
      </c>
    </row>
    <row r="27" spans="1:36" ht="14.1" customHeight="1" x14ac:dyDescent="0.2">
      <c r="A27" s="36"/>
      <c r="B27" s="37"/>
      <c r="C27" s="251"/>
      <c r="E27" s="63"/>
      <c r="F27" s="2"/>
      <c r="I27" s="63"/>
      <c r="J27" s="36"/>
      <c r="K27" s="37"/>
      <c r="L27" s="251"/>
      <c r="N27" s="63"/>
      <c r="O27" s="251"/>
      <c r="P27" s="2"/>
      <c r="Q27" s="3"/>
      <c r="R27" s="63"/>
      <c r="S27" s="36"/>
      <c r="T27" s="37"/>
      <c r="U27" s="251"/>
      <c r="V27" s="2"/>
      <c r="W27" s="63"/>
      <c r="X27" s="251"/>
      <c r="Y27" s="2"/>
      <c r="Z27" s="3"/>
      <c r="AA27" s="63"/>
      <c r="AB27" s="36"/>
      <c r="AC27" s="37"/>
      <c r="AD27" s="251"/>
      <c r="AE27" s="2"/>
      <c r="AF27" s="63"/>
      <c r="AG27" s="251"/>
      <c r="AH27" s="2"/>
      <c r="AI27" s="3"/>
      <c r="AJ27" s="63"/>
    </row>
    <row r="28" spans="1:36" ht="14.1" customHeight="1" x14ac:dyDescent="0.2">
      <c r="A28" s="246" t="s">
        <v>18</v>
      </c>
      <c r="B28" s="253"/>
      <c r="C28" s="247">
        <f>SUM(C29:C31)</f>
        <v>19246</v>
      </c>
      <c r="D28" s="249">
        <f>SUM(D29:D31)</f>
        <v>18038</v>
      </c>
      <c r="E28" s="250">
        <f t="shared" ref="E28:E31" si="30">(C28-D28)/D28</f>
        <v>6.6969730568799207E-2</v>
      </c>
      <c r="F28" s="252">
        <f>SUM(F29:F31)</f>
        <v>53187</v>
      </c>
      <c r="G28" s="252">
        <f>SUM(G29:G31)</f>
        <v>50407</v>
      </c>
      <c r="H28" s="248">
        <f>(F28-G28)/G28</f>
        <v>5.5151070287856846E-2</v>
      </c>
      <c r="I28" s="250">
        <f>F28/$F$60</f>
        <v>0.72576551498280661</v>
      </c>
      <c r="J28" s="246" t="s">
        <v>18</v>
      </c>
      <c r="K28" s="253"/>
      <c r="L28" s="247">
        <f>SUM(L29:L31)</f>
        <v>2152295</v>
      </c>
      <c r="M28" s="249">
        <f>SUM(M29:M31)</f>
        <v>2117950</v>
      </c>
      <c r="N28" s="250">
        <f t="shared" ref="N28:N31" si="31">(L28-M28)/M28</f>
        <v>1.6216152411530016E-2</v>
      </c>
      <c r="O28" s="247">
        <f>SUM(O29:O31)</f>
        <v>5654185</v>
      </c>
      <c r="P28" s="249">
        <f>SUM(P29:P31)</f>
        <v>5543538</v>
      </c>
      <c r="Q28" s="248">
        <f t="shared" ref="Q28:Q31" si="32">(O28-P28)/P28</f>
        <v>1.9959635885963081E-2</v>
      </c>
      <c r="R28" s="250">
        <f>O28/$O$60</f>
        <v>0.70482657021969575</v>
      </c>
      <c r="S28" s="246" t="s">
        <v>18</v>
      </c>
      <c r="T28" s="253"/>
      <c r="U28" s="247">
        <f>SUM(U29:U31)</f>
        <v>6272772</v>
      </c>
      <c r="V28" s="249">
        <f>SUM(V29:V31)</f>
        <v>4710356</v>
      </c>
      <c r="W28" s="250">
        <f t="shared" ref="W28:W29" si="33">(U28-V28)/V28</f>
        <v>0.33169807122858652</v>
      </c>
      <c r="X28" s="247">
        <f>SUM(X29:X31)</f>
        <v>16934746</v>
      </c>
      <c r="Y28" s="249">
        <f>SUM(Y29:Y31)</f>
        <v>17077469</v>
      </c>
      <c r="Z28" s="248">
        <f t="shared" ref="Z28:Z29" si="34">(X28-Y28)/Y28</f>
        <v>-8.3573859803229619E-3</v>
      </c>
      <c r="AA28" s="250">
        <f>X28/$X$60</f>
        <v>0.87024354856838892</v>
      </c>
      <c r="AB28" s="246" t="s">
        <v>18</v>
      </c>
      <c r="AC28" s="253"/>
      <c r="AD28" s="247">
        <f>SUM(AD29:AD31)</f>
        <v>2222918</v>
      </c>
      <c r="AE28" s="249">
        <f>SUM(AE29:AE31)</f>
        <v>2187427</v>
      </c>
      <c r="AF28" s="250">
        <f t="shared" ref="AF28:AF31" si="35">(AD28-AE28)/AE28</f>
        <v>1.6224998594238801E-2</v>
      </c>
      <c r="AG28" s="247">
        <f>SUM(AG29:AG31)</f>
        <v>5843117</v>
      </c>
      <c r="AH28" s="249">
        <f>SUM(AH29:AH31)</f>
        <v>5733273</v>
      </c>
      <c r="AI28" s="248">
        <f t="shared" ref="AI28:AI31" si="36">(AG28-AH28)/AH28</f>
        <v>1.9159038824769027E-2</v>
      </c>
      <c r="AJ28" s="250">
        <f>AG28/$AG$60</f>
        <v>0.70644357215113263</v>
      </c>
    </row>
    <row r="29" spans="1:36" ht="14.1" customHeight="1" x14ac:dyDescent="0.2">
      <c r="A29" s="36"/>
      <c r="B29" s="37" t="s">
        <v>18</v>
      </c>
      <c r="C29" s="251">
        <f>[3]Delta!$JJ$19</f>
        <v>12510</v>
      </c>
      <c r="D29" s="2">
        <f>[3]Delta!$IV$19</f>
        <v>12302</v>
      </c>
      <c r="E29" s="63">
        <f t="shared" si="30"/>
        <v>1.6907819866688344E-2</v>
      </c>
      <c r="F29" s="2">
        <f>SUM([3]Delta!$JH$19:$JJ$19)</f>
        <v>33470</v>
      </c>
      <c r="G29" s="2">
        <f>SUM([3]Delta!$IT$19:$IV$19)</f>
        <v>33615</v>
      </c>
      <c r="H29" s="3">
        <f t="shared" ref="H29:H31" si="37">(F29-G29)/G29</f>
        <v>-4.3135504982894542E-3</v>
      </c>
      <c r="I29" s="63">
        <f>F29/$F$60</f>
        <v>0.4567163364445172</v>
      </c>
      <c r="J29" s="36"/>
      <c r="K29" s="37" t="s">
        <v>18</v>
      </c>
      <c r="L29" s="251">
        <f>[3]Delta!$JJ$41</f>
        <v>1782343</v>
      </c>
      <c r="M29" s="2">
        <f>[3]Delta!$IV$41</f>
        <v>1770986</v>
      </c>
      <c r="N29" s="63">
        <f t="shared" si="31"/>
        <v>6.4128118460563778E-3</v>
      </c>
      <c r="O29" s="251">
        <f>SUM([3]Delta!$JH$41:$JJ$41)</f>
        <v>4604246</v>
      </c>
      <c r="P29" s="2">
        <f>SUM([3]Delta!$IT$41:$IV$41)</f>
        <v>4610466</v>
      </c>
      <c r="Q29" s="3">
        <f t="shared" si="32"/>
        <v>-1.3491044072334553E-3</v>
      </c>
      <c r="R29" s="63">
        <f>O29/$O$60</f>
        <v>0.57394565558568622</v>
      </c>
      <c r="S29" s="36"/>
      <c r="T29" s="37" t="s">
        <v>18</v>
      </c>
      <c r="U29" s="251">
        <f>[3]Delta!$JJ$64</f>
        <v>6272772</v>
      </c>
      <c r="V29" s="2">
        <f>[3]Delta!$IV$64</f>
        <v>4710356</v>
      </c>
      <c r="W29" s="63">
        <f t="shared" si="33"/>
        <v>0.33169807122858652</v>
      </c>
      <c r="X29" s="251">
        <f>SUM([3]Delta!$JH$64:$JJ$64)</f>
        <v>16934746</v>
      </c>
      <c r="Y29" s="2">
        <f>SUM([3]Delta!$IT$64:$IV$64)</f>
        <v>17077469</v>
      </c>
      <c r="Z29" s="3">
        <f t="shared" si="34"/>
        <v>-8.3573859803229619E-3</v>
      </c>
      <c r="AA29" s="63">
        <f>X29/$X$60</f>
        <v>0.87024354856838892</v>
      </c>
      <c r="AB29" s="36"/>
      <c r="AC29" s="37" t="s">
        <v>18</v>
      </c>
      <c r="AD29" s="251">
        <f>[3]Delta!$JJ$43</f>
        <v>1840819</v>
      </c>
      <c r="AE29" s="2">
        <f>[3]Delta!$IV$43</f>
        <v>1828652</v>
      </c>
      <c r="AF29" s="63">
        <f t="shared" si="35"/>
        <v>6.6535349536161062E-3</v>
      </c>
      <c r="AG29" s="251">
        <f>SUM([3]Delta!$JH$43:$JJ$43)</f>
        <v>4759227</v>
      </c>
      <c r="AH29" s="2">
        <f>SUM([3]Delta!$IT$43:$IV$43)</f>
        <v>4768575</v>
      </c>
      <c r="AI29" s="3">
        <f>(AG29-AH29)/AH29</f>
        <v>-1.9603340620625658E-3</v>
      </c>
      <c r="AJ29" s="63">
        <f>AG29/$AG$60</f>
        <v>0.5753992813353076</v>
      </c>
    </row>
    <row r="30" spans="1:36" ht="14.1" customHeight="1" x14ac:dyDescent="0.2">
      <c r="A30" s="36"/>
      <c r="B30" s="37" t="s">
        <v>155</v>
      </c>
      <c r="C30" s="251">
        <f>[3]Pinnacle!$JJ$19</f>
        <v>2542</v>
      </c>
      <c r="D30" s="2">
        <f>[3]Pinnacle!$IV$19</f>
        <v>1281</v>
      </c>
      <c r="E30" s="63">
        <f t="shared" si="30"/>
        <v>0.98438719750195158</v>
      </c>
      <c r="F30" s="2">
        <f>SUM([3]Pinnacle!$JH$19:$JJ$19)</f>
        <v>7739</v>
      </c>
      <c r="G30" s="2">
        <f>SUM([3]Pinnacle!$IT$19:$IV$19)</f>
        <v>3752</v>
      </c>
      <c r="H30" s="3">
        <f t="shared" si="37"/>
        <v>1.062633262260128</v>
      </c>
      <c r="I30" s="63">
        <f>F30/$F$60</f>
        <v>0.10560286010588942</v>
      </c>
      <c r="J30" s="36"/>
      <c r="K30" s="37" t="s">
        <v>155</v>
      </c>
      <c r="L30" s="251">
        <f>[3]Pinnacle!$JJ$41</f>
        <v>152764</v>
      </c>
      <c r="M30" s="2">
        <f>[3]Pinnacle!$IV$41</f>
        <v>79272</v>
      </c>
      <c r="N30" s="63">
        <f t="shared" si="31"/>
        <v>0.92708648703199115</v>
      </c>
      <c r="O30" s="251">
        <f>SUM([3]Pinnacle!$JH$41:$JJ$41)</f>
        <v>450535</v>
      </c>
      <c r="P30" s="2">
        <f>SUM([3]Pinnacle!$IT$41:$IV$41)</f>
        <v>224756</v>
      </c>
      <c r="Q30" s="3">
        <f t="shared" si="32"/>
        <v>1.0045516026268486</v>
      </c>
      <c r="R30" s="63">
        <f>O30/$O$60</f>
        <v>5.6161770231064355E-2</v>
      </c>
      <c r="S30" s="36"/>
      <c r="T30" s="37" t="s">
        <v>155</v>
      </c>
      <c r="U30" s="251">
        <f>[3]Pinnacle!$JJ$64</f>
        <v>0</v>
      </c>
      <c r="V30" s="2">
        <f>[3]Pinnacle!$IV$64</f>
        <v>0</v>
      </c>
      <c r="W30" s="63">
        <f>IFERROR((U30-V30)/V30,0)</f>
        <v>0</v>
      </c>
      <c r="X30" s="251">
        <f>SUM([3]Pinnacle!$JH$64:$JJ$64)</f>
        <v>0</v>
      </c>
      <c r="Y30" s="2">
        <f>SUM([3]Pinnacle!$IT$64:$IV$64)</f>
        <v>0</v>
      </c>
      <c r="Z30" s="311">
        <f>IFERROR((X30-Y30)/Y30,0)</f>
        <v>0</v>
      </c>
      <c r="AA30" s="63">
        <f>X30/$X$60</f>
        <v>0</v>
      </c>
      <c r="AB30" s="36"/>
      <c r="AC30" s="37" t="s">
        <v>155</v>
      </c>
      <c r="AD30" s="251">
        <f>[3]Pinnacle!$JJ$43</f>
        <v>157660</v>
      </c>
      <c r="AE30" s="2">
        <f>[3]Pinnacle!$IV$43</f>
        <v>82308</v>
      </c>
      <c r="AF30" s="63">
        <f t="shared" si="35"/>
        <v>0.91548816639937791</v>
      </c>
      <c r="AG30" s="251">
        <f>SUM([3]Pinnacle!$JH$43:$JJ$43)</f>
        <v>464816</v>
      </c>
      <c r="AH30" s="2">
        <f>SUM([3]Pinnacle!$IT$43:$IV$43)</f>
        <v>233289</v>
      </c>
      <c r="AI30" s="3">
        <f t="shared" si="36"/>
        <v>0.99244713638448445</v>
      </c>
      <c r="AJ30" s="63">
        <f>AG30/$AG$60</f>
        <v>5.6197107713742658E-2</v>
      </c>
    </row>
    <row r="31" spans="1:36" ht="14.1" customHeight="1" x14ac:dyDescent="0.2">
      <c r="A31" s="36"/>
      <c r="B31" s="37" t="s">
        <v>97</v>
      </c>
      <c r="C31" s="251">
        <f>'[3]Sky West'!$JJ$19</f>
        <v>4194</v>
      </c>
      <c r="D31" s="2">
        <f>'[3]Sky West'!$IV$19</f>
        <v>4455</v>
      </c>
      <c r="E31" s="63">
        <f t="shared" si="30"/>
        <v>-5.8585858585858588E-2</v>
      </c>
      <c r="F31" s="2">
        <f>SUM('[3]Sky West'!$JH$19:$JJ$19)</f>
        <v>11978</v>
      </c>
      <c r="G31" s="2">
        <f>SUM('[3]Sky West'!$IT$19:$IV$19)</f>
        <v>13040</v>
      </c>
      <c r="H31" s="3">
        <f t="shared" si="37"/>
        <v>-8.1441717791411045E-2</v>
      </c>
      <c r="I31" s="63">
        <f>F31/$F$60</f>
        <v>0.16344631843239998</v>
      </c>
      <c r="J31" s="36"/>
      <c r="K31" s="37" t="s">
        <v>97</v>
      </c>
      <c r="L31" s="251">
        <f>'[3]Sky West'!$JJ$41</f>
        <v>217188</v>
      </c>
      <c r="M31" s="2">
        <f>'[3]Sky West'!$IV$41</f>
        <v>267692</v>
      </c>
      <c r="N31" s="63">
        <f t="shared" si="31"/>
        <v>-0.18866458467193639</v>
      </c>
      <c r="O31" s="251">
        <f>SUM('[3]Sky West'!$JH$41:$JJ$41)</f>
        <v>599404</v>
      </c>
      <c r="P31" s="2">
        <f>SUM('[3]Sky West'!$IT$41:$IV$41)</f>
        <v>708316</v>
      </c>
      <c r="Q31" s="3">
        <f t="shared" si="32"/>
        <v>-0.15376188029071769</v>
      </c>
      <c r="R31" s="63">
        <f>O31/$O$60</f>
        <v>7.4719144402945165E-2</v>
      </c>
      <c r="S31" s="36"/>
      <c r="T31" s="37" t="s">
        <v>97</v>
      </c>
      <c r="U31" s="251">
        <f>'[3]Sky West'!$JJ$64</f>
        <v>0</v>
      </c>
      <c r="V31" s="2">
        <f>'[3]Sky West'!$IV$64</f>
        <v>0</v>
      </c>
      <c r="W31" s="63">
        <f>IFERROR((U31-V31)/V31,0)</f>
        <v>0</v>
      </c>
      <c r="X31" s="251">
        <f>SUM('[3]Sky West'!$JH$64:$JJ$64)</f>
        <v>0</v>
      </c>
      <c r="Y31" s="2">
        <f>SUM('[3]Sky West'!$IT$64:$IV$64)</f>
        <v>0</v>
      </c>
      <c r="Z31" s="311">
        <f>IFERROR((X31-Y31)/Y31,0)</f>
        <v>0</v>
      </c>
      <c r="AA31" s="63">
        <f>X31/$X$60</f>
        <v>0</v>
      </c>
      <c r="AB31" s="36"/>
      <c r="AC31" s="37" t="s">
        <v>97</v>
      </c>
      <c r="AD31" s="251">
        <f>'[3]Sky West'!$JJ$43</f>
        <v>224439</v>
      </c>
      <c r="AE31" s="2">
        <f>'[3]Sky West'!$IV$43</f>
        <v>276467</v>
      </c>
      <c r="AF31" s="63">
        <f t="shared" si="35"/>
        <v>-0.18818882542943643</v>
      </c>
      <c r="AG31" s="251">
        <f>SUM('[3]Sky West'!$JH$43:$JJ$43)</f>
        <v>619074</v>
      </c>
      <c r="AH31" s="2">
        <f>SUM('[3]Sky West'!$IT$43:$IV$43)</f>
        <v>731409</v>
      </c>
      <c r="AI31" s="3">
        <f t="shared" si="36"/>
        <v>-0.15358711746779161</v>
      </c>
      <c r="AJ31" s="63">
        <f>AG31/$AG$60</f>
        <v>7.4847183102082382E-2</v>
      </c>
    </row>
    <row r="32" spans="1:36" ht="14.1" customHeight="1" x14ac:dyDescent="0.2">
      <c r="A32" s="36"/>
      <c r="B32" s="306"/>
      <c r="C32" s="251"/>
      <c r="E32" s="63"/>
      <c r="F32" s="2"/>
      <c r="I32" s="63"/>
      <c r="J32" s="36"/>
      <c r="K32" s="306"/>
      <c r="L32" s="251"/>
      <c r="N32" s="63"/>
      <c r="O32" s="251"/>
      <c r="P32" s="2"/>
      <c r="Q32" s="3"/>
      <c r="R32" s="63"/>
      <c r="S32" s="36"/>
      <c r="T32" s="306"/>
      <c r="U32" s="251"/>
      <c r="V32" s="2"/>
      <c r="W32" s="63"/>
      <c r="X32" s="251"/>
      <c r="Y32" s="2"/>
      <c r="Z32" s="3"/>
      <c r="AA32" s="63"/>
      <c r="AB32" s="36"/>
      <c r="AC32" s="306"/>
      <c r="AD32" s="251"/>
      <c r="AE32" s="2"/>
      <c r="AF32" s="63"/>
      <c r="AG32" s="251"/>
      <c r="AH32" s="2"/>
      <c r="AI32" s="3"/>
      <c r="AJ32" s="63"/>
    </row>
    <row r="33" spans="1:36" ht="14.1" customHeight="1" x14ac:dyDescent="0.2">
      <c r="A33" s="246" t="s">
        <v>47</v>
      </c>
      <c r="B33" s="37"/>
      <c r="C33" s="247">
        <f>[3]Frontier!$JJ$19</f>
        <v>196</v>
      </c>
      <c r="D33" s="249">
        <f>[3]Frontier!$IV$19</f>
        <v>362</v>
      </c>
      <c r="E33" s="250">
        <f>(C33-D33)/D33</f>
        <v>-0.4585635359116022</v>
      </c>
      <c r="F33" s="249">
        <f>SUM([3]Frontier!$JH$19:$JJ$19)</f>
        <v>550</v>
      </c>
      <c r="G33" s="249">
        <f>SUM([3]Frontier!$IT$19:$IV$19)</f>
        <v>974</v>
      </c>
      <c r="H33" s="248">
        <f>(F33-G33)/G33</f>
        <v>-0.43531827515400412</v>
      </c>
      <c r="I33" s="250">
        <f>F33/$F$60</f>
        <v>7.5050488510452484E-3</v>
      </c>
      <c r="J33" s="246" t="s">
        <v>47</v>
      </c>
      <c r="K33" s="37"/>
      <c r="L33" s="247">
        <f>[3]Frontier!$JJ$41</f>
        <v>33904</v>
      </c>
      <c r="M33" s="249">
        <f>[3]Frontier!$IV$41</f>
        <v>64298</v>
      </c>
      <c r="N33" s="250">
        <f>(L33-M33)/M33</f>
        <v>-0.47270521633643348</v>
      </c>
      <c r="O33" s="247">
        <f>SUM([3]Frontier!$JH$41:$JJ$41)</f>
        <v>94918</v>
      </c>
      <c r="P33" s="249">
        <f>SUM([3]Frontier!$IT$41:$IV$41)</f>
        <v>162642</v>
      </c>
      <c r="Q33" s="248">
        <f>(O33-P33)/P33</f>
        <v>-0.41639920807663455</v>
      </c>
      <c r="R33" s="250">
        <f>O33/$O$60</f>
        <v>1.1832072773019115E-2</v>
      </c>
      <c r="S33" s="246" t="s">
        <v>47</v>
      </c>
      <c r="T33" s="37"/>
      <c r="U33" s="247">
        <f>[3]Frontier!$JJ$64</f>
        <v>0</v>
      </c>
      <c r="V33" s="249">
        <f>[3]Frontier!$IV$64</f>
        <v>0</v>
      </c>
      <c r="W33" s="250">
        <f>IFERROR((U33-V33)/V33,0)</f>
        <v>0</v>
      </c>
      <c r="X33" s="247">
        <f>SUM([3]Frontier!$JH$64:$JJ$64)</f>
        <v>0</v>
      </c>
      <c r="Y33" s="249">
        <f>SUM([3]Frontier!$IT$64:$IV$64)</f>
        <v>0</v>
      </c>
      <c r="Z33" s="248">
        <f>IFERROR((X33-Y33)/Y33,0)</f>
        <v>0</v>
      </c>
      <c r="AA33" s="250">
        <f>X33/$X$60</f>
        <v>0</v>
      </c>
      <c r="AB33" s="246" t="s">
        <v>47</v>
      </c>
      <c r="AC33" s="37"/>
      <c r="AD33" s="247">
        <f>[3]Frontier!$JJ$43</f>
        <v>34104</v>
      </c>
      <c r="AE33" s="249">
        <f>[3]Frontier!$IV$43</f>
        <v>64615</v>
      </c>
      <c r="AF33" s="250">
        <f>(AD33-AE33)/AE33</f>
        <v>-0.47219685831463282</v>
      </c>
      <c r="AG33" s="247">
        <f>SUM([3]Frontier!$JH$43:$JJ$43)</f>
        <v>95571</v>
      </c>
      <c r="AH33" s="249">
        <f>SUM([3]Frontier!$IT$43:$IV$43)</f>
        <v>163499</v>
      </c>
      <c r="AI33" s="248">
        <f>(AG33-AH33)/AH33</f>
        <v>-0.41546431476645118</v>
      </c>
      <c r="AJ33" s="250">
        <f>AG33/$AG$60</f>
        <v>1.1554709350173185E-2</v>
      </c>
    </row>
    <row r="34" spans="1:36" ht="14.1" customHeight="1" x14ac:dyDescent="0.2">
      <c r="A34" s="246"/>
      <c r="B34" s="37"/>
      <c r="C34" s="247"/>
      <c r="D34" s="249"/>
      <c r="E34" s="250"/>
      <c r="F34" s="249"/>
      <c r="G34" s="249"/>
      <c r="H34" s="248"/>
      <c r="I34" s="250"/>
      <c r="J34" s="246"/>
      <c r="K34" s="37"/>
      <c r="L34" s="251"/>
      <c r="N34" s="63"/>
      <c r="O34" s="251"/>
      <c r="P34" s="2"/>
      <c r="Q34" s="3"/>
      <c r="R34" s="63"/>
      <c r="S34" s="246"/>
      <c r="T34" s="37"/>
      <c r="U34" s="251"/>
      <c r="V34" s="2"/>
      <c r="W34" s="63"/>
      <c r="X34" s="251"/>
      <c r="Y34" s="2"/>
      <c r="Z34" s="3"/>
      <c r="AA34" s="63"/>
      <c r="AB34" s="246"/>
      <c r="AC34" s="37"/>
      <c r="AD34" s="251"/>
      <c r="AE34" s="2"/>
      <c r="AF34" s="63"/>
      <c r="AG34" s="251"/>
      <c r="AH34" s="2"/>
      <c r="AI34" s="3"/>
      <c r="AJ34" s="63"/>
    </row>
    <row r="35" spans="1:36" ht="14.1" customHeight="1" x14ac:dyDescent="0.2">
      <c r="A35" s="246" t="s">
        <v>48</v>
      </c>
      <c r="B35" s="37"/>
      <c r="C35" s="247">
        <f>[3]Icelandair!$JJ$19</f>
        <v>38</v>
      </c>
      <c r="D35" s="249">
        <f>[3]Icelandair!$IV$19</f>
        <v>8</v>
      </c>
      <c r="E35" s="250">
        <f>(C35-D35)/D35</f>
        <v>3.75</v>
      </c>
      <c r="F35" s="249">
        <f>SUM([3]Icelandair!$JH$19:$JJ$19)</f>
        <v>48</v>
      </c>
      <c r="G35" s="249">
        <f>SUM([3]Icelandair!$IT$19:$IV$19)</f>
        <v>18</v>
      </c>
      <c r="H35" s="248">
        <f>(F35-G35)/G35</f>
        <v>1.6666666666666667</v>
      </c>
      <c r="I35" s="250">
        <f>F35/$F$60</f>
        <v>6.5498608154576719E-4</v>
      </c>
      <c r="J35" s="246" t="s">
        <v>48</v>
      </c>
      <c r="K35" s="37"/>
      <c r="L35" s="247">
        <f>[3]Icelandair!$JJ$41</f>
        <v>5515</v>
      </c>
      <c r="M35" s="249">
        <f>[3]Icelandair!$IV$41</f>
        <v>969</v>
      </c>
      <c r="N35" s="250">
        <f>(L35-M35)/M35</f>
        <v>4.6914344685242515</v>
      </c>
      <c r="O35" s="247">
        <f>SUM([3]Icelandair!$JH$41:$JJ$41)</f>
        <v>6745</v>
      </c>
      <c r="P35" s="249">
        <f>SUM([3]Icelandair!$IT$41:$IV$41)</f>
        <v>2117</v>
      </c>
      <c r="Q35" s="248">
        <f>(O35-P35)/P35</f>
        <v>2.1861124232404348</v>
      </c>
      <c r="R35" s="250">
        <f>O35/$O$60</f>
        <v>8.4080291255624778E-4</v>
      </c>
      <c r="S35" s="246" t="s">
        <v>48</v>
      </c>
      <c r="T35" s="37"/>
      <c r="U35" s="247">
        <f>[3]Icelandair!$JJ$64</f>
        <v>0</v>
      </c>
      <c r="V35" s="249">
        <f>[3]Icelandair!$IV$64</f>
        <v>1097</v>
      </c>
      <c r="W35" s="250">
        <f>(U35-V35)/V35</f>
        <v>-1</v>
      </c>
      <c r="X35" s="247">
        <f>SUM([3]Icelandair!$JH$64:$JJ$64)</f>
        <v>0</v>
      </c>
      <c r="Y35" s="249">
        <f>SUM([3]Icelandair!$IT$64:$IV$64)</f>
        <v>1143</v>
      </c>
      <c r="Z35" s="248">
        <f>(X35-Y35)/Y35</f>
        <v>-1</v>
      </c>
      <c r="AA35" s="250">
        <f>X35/$X$60</f>
        <v>0</v>
      </c>
      <c r="AB35" s="246" t="s">
        <v>48</v>
      </c>
      <c r="AC35" s="37"/>
      <c r="AD35" s="247">
        <f>[3]Icelandair!$JJ$43</f>
        <v>5568</v>
      </c>
      <c r="AE35" s="249">
        <f>[3]Icelandair!$IV$43</f>
        <v>1005</v>
      </c>
      <c r="AF35" s="250">
        <f>(AD35-AE35)/AE35</f>
        <v>4.5402985074626869</v>
      </c>
      <c r="AG35" s="247">
        <f>SUM([3]Icelandair!$JH$43:$JJ$43)</f>
        <v>6809</v>
      </c>
      <c r="AH35" s="249">
        <f>SUM([3]Icelandair!$IT$43:$IV$43)</f>
        <v>2179</v>
      </c>
      <c r="AI35" s="248">
        <f>(AG35-AH35)/AH35</f>
        <v>2.124827902707664</v>
      </c>
      <c r="AJ35" s="250">
        <f>AG35/$AG$60</f>
        <v>8.2322060002855706E-4</v>
      </c>
    </row>
    <row r="36" spans="1:36" ht="14.1" customHeight="1" x14ac:dyDescent="0.2">
      <c r="A36" s="246"/>
      <c r="B36" s="37"/>
      <c r="C36" s="247"/>
      <c r="D36" s="249"/>
      <c r="E36" s="250"/>
      <c r="F36" s="249"/>
      <c r="G36" s="249"/>
      <c r="H36" s="248"/>
      <c r="I36" s="250"/>
      <c r="J36" s="246"/>
      <c r="K36" s="37"/>
      <c r="L36" s="251"/>
      <c r="N36" s="63"/>
      <c r="O36" s="251"/>
      <c r="P36" s="2"/>
      <c r="Q36" s="3"/>
      <c r="R36" s="63"/>
      <c r="S36" s="246"/>
      <c r="T36" s="37"/>
      <c r="U36" s="251"/>
      <c r="V36" s="2"/>
      <c r="W36" s="63"/>
      <c r="X36" s="251"/>
      <c r="Y36" s="2"/>
      <c r="Z36" s="3"/>
      <c r="AA36" s="63"/>
      <c r="AB36" s="246"/>
      <c r="AC36" s="37"/>
      <c r="AD36" s="251"/>
      <c r="AE36" s="2"/>
      <c r="AF36" s="63"/>
      <c r="AG36" s="251"/>
      <c r="AH36" s="2"/>
      <c r="AI36" s="3"/>
      <c r="AJ36" s="63"/>
    </row>
    <row r="37" spans="1:36" ht="14.1" customHeight="1" x14ac:dyDescent="0.2">
      <c r="A37" s="246" t="s">
        <v>182</v>
      </c>
      <c r="B37" s="37"/>
      <c r="C37" s="247">
        <f>'[3]Jet Blue'!$JJ$19</f>
        <v>0</v>
      </c>
      <c r="D37" s="249">
        <f>'[3]Jet Blue'!$IV$19</f>
        <v>62</v>
      </c>
      <c r="E37" s="250">
        <f>(C37-D37)/D37</f>
        <v>-1</v>
      </c>
      <c r="F37" s="249">
        <f>SUM('[3]Jet Blue'!$JH$19:$JJ$19)</f>
        <v>0</v>
      </c>
      <c r="G37" s="249">
        <f>SUM('[3]Jet Blue'!$IT$19:$IV$19)</f>
        <v>180</v>
      </c>
      <c r="H37" s="248">
        <f>(F37-G37)/G37</f>
        <v>-1</v>
      </c>
      <c r="I37" s="250">
        <f>F37/$F$60</f>
        <v>0</v>
      </c>
      <c r="J37" s="246" t="s">
        <v>182</v>
      </c>
      <c r="K37" s="37"/>
      <c r="L37" s="247">
        <f>'[3]Jet Blue'!$JJ$41</f>
        <v>0</v>
      </c>
      <c r="M37" s="249">
        <f>'[3]Jet Blue'!$IV$41</f>
        <v>5125</v>
      </c>
      <c r="N37" s="250">
        <f>(L37-M37)/M37</f>
        <v>-1</v>
      </c>
      <c r="O37" s="247">
        <f>SUM('[3]Jet Blue'!$JH$41:$JJ$41)</f>
        <v>0</v>
      </c>
      <c r="P37" s="249">
        <f>SUM('[3]Jet Blue'!$IT$41:$IV$41)</f>
        <v>14914</v>
      </c>
      <c r="Q37" s="248">
        <f>(O37-P37)/P37</f>
        <v>-1</v>
      </c>
      <c r="R37" s="250">
        <f>O37/$O$60</f>
        <v>0</v>
      </c>
      <c r="S37" s="246" t="s">
        <v>182</v>
      </c>
      <c r="T37" s="37"/>
      <c r="U37" s="247">
        <f>'[3]Jet Blue'!$JJ$64</f>
        <v>0</v>
      </c>
      <c r="V37" s="249">
        <f>'[3]Jet Blue'!$IV$64</f>
        <v>0</v>
      </c>
      <c r="W37" s="250">
        <f>IFERROR((U37-V37)/V37,0)</f>
        <v>0</v>
      </c>
      <c r="X37" s="247">
        <f>SUM('[3]Jet Blue'!$JH$64:$JJ$64)</f>
        <v>0</v>
      </c>
      <c r="Y37" s="249">
        <f>SUM('[3]Jet Blue'!$IT$64:$IV$64)</f>
        <v>0</v>
      </c>
      <c r="Z37" s="248">
        <f>IFERROR((X37-Y37)/Y37,0)</f>
        <v>0</v>
      </c>
      <c r="AA37" s="250">
        <f>X37/$X$60</f>
        <v>0</v>
      </c>
      <c r="AB37" s="246" t="s">
        <v>182</v>
      </c>
      <c r="AC37" s="37"/>
      <c r="AD37" s="247">
        <f>'[3]Jet Blue'!$JJ$43</f>
        <v>0</v>
      </c>
      <c r="AE37" s="249">
        <f>'[3]Jet Blue'!$IV$43</f>
        <v>5234</v>
      </c>
      <c r="AF37" s="250">
        <f>(AD37-AE37)/AE37</f>
        <v>-1</v>
      </c>
      <c r="AG37" s="247">
        <f>SUM('[3]Jet Blue'!$JH$43:$JJ$43)</f>
        <v>0</v>
      </c>
      <c r="AH37" s="249">
        <f>SUM('[3]Jet Blue'!$IT$43:$IV$43)</f>
        <v>15232</v>
      </c>
      <c r="AI37" s="248">
        <f>(AG37-AH37)/AH37</f>
        <v>-1</v>
      </c>
      <c r="AJ37" s="250">
        <f>AG37/$AG$60</f>
        <v>0</v>
      </c>
    </row>
    <row r="38" spans="1:36" ht="14.1" customHeight="1" x14ac:dyDescent="0.2">
      <c r="A38" s="246"/>
      <c r="B38" s="37"/>
      <c r="C38" s="247"/>
      <c r="D38" s="249"/>
      <c r="E38" s="250"/>
      <c r="F38" s="249"/>
      <c r="G38" s="249"/>
      <c r="H38" s="248"/>
      <c r="I38" s="250"/>
      <c r="J38" s="246"/>
      <c r="K38" s="37"/>
      <c r="L38" s="251"/>
      <c r="N38" s="63"/>
      <c r="O38" s="251"/>
      <c r="P38" s="2"/>
      <c r="Q38" s="3"/>
      <c r="R38" s="63"/>
      <c r="S38" s="246"/>
      <c r="T38" s="37"/>
      <c r="U38" s="251"/>
      <c r="V38" s="2"/>
      <c r="W38" s="63"/>
      <c r="X38" s="251"/>
      <c r="Y38" s="2"/>
      <c r="Z38" s="3"/>
      <c r="AA38" s="63"/>
      <c r="AB38" s="246"/>
      <c r="AC38" s="37"/>
      <c r="AD38" s="251"/>
      <c r="AE38" s="2"/>
      <c r="AF38" s="63"/>
      <c r="AG38" s="251"/>
      <c r="AH38" s="2"/>
      <c r="AI38" s="3"/>
      <c r="AJ38" s="63"/>
    </row>
    <row r="39" spans="1:36" ht="14.1" customHeight="1" x14ac:dyDescent="0.2">
      <c r="A39" s="246" t="s">
        <v>178</v>
      </c>
      <c r="B39" s="37"/>
      <c r="C39" s="247">
        <f>[3]KLM!$JJ$19</f>
        <v>2</v>
      </c>
      <c r="D39" s="249">
        <f>[3]KLM!$IV$19</f>
        <v>32</v>
      </c>
      <c r="E39" s="250">
        <f>(C39-D39)/D39</f>
        <v>-0.9375</v>
      </c>
      <c r="F39" s="249">
        <f>SUM([3]KLM!$JH$19:$JJ$19)</f>
        <v>2</v>
      </c>
      <c r="G39" s="249">
        <f>SUM([3]KLM!$IT$19:$IV$19)</f>
        <v>88</v>
      </c>
      <c r="H39" s="248">
        <f>(F39-G39)/G39</f>
        <v>-0.97727272727272729</v>
      </c>
      <c r="I39" s="250">
        <f>F39/$F$60</f>
        <v>2.7291086731073631E-5</v>
      </c>
      <c r="J39" s="246" t="s">
        <v>178</v>
      </c>
      <c r="K39" s="37"/>
      <c r="L39" s="247">
        <f>[3]KLM!$JJ$41</f>
        <v>588</v>
      </c>
      <c r="M39" s="249">
        <f>[3]KLM!$IV$41</f>
        <v>7242</v>
      </c>
      <c r="N39" s="250">
        <f>(L39-M39)/M39</f>
        <v>-0.91880695940347967</v>
      </c>
      <c r="O39" s="247">
        <f>SUM([3]KLM!$JH$41:$JJ$41)</f>
        <v>588</v>
      </c>
      <c r="P39" s="249">
        <f>SUM([3]KLM!$IT$41:$IV$41)</f>
        <v>17000</v>
      </c>
      <c r="Q39" s="248">
        <f>(O39-P39)/P39</f>
        <v>-0.9654117647058823</v>
      </c>
      <c r="R39" s="250">
        <f>O39/$O$60</f>
        <v>7.3297570434851549E-5</v>
      </c>
      <c r="S39" s="246" t="s">
        <v>178</v>
      </c>
      <c r="T39" s="37"/>
      <c r="U39" s="247">
        <f>[3]KLM!$JJ$64</f>
        <v>31343</v>
      </c>
      <c r="V39" s="249">
        <f>[3]KLM!$IV$64</f>
        <v>382902</v>
      </c>
      <c r="W39" s="250">
        <f>(U39-V39)/V39</f>
        <v>-0.9181435458681334</v>
      </c>
      <c r="X39" s="247">
        <f>SUM([3]KLM!$JH$64:$JJ$64)</f>
        <v>31343</v>
      </c>
      <c r="Y39" s="249">
        <f>SUM([3]KLM!$IT$64:$IV$64)</f>
        <v>918036</v>
      </c>
      <c r="Z39" s="248">
        <f>(X39-Y39)/Y39</f>
        <v>-0.96585863735191213</v>
      </c>
      <c r="AA39" s="250">
        <f>X39/$X$60</f>
        <v>1.6106556037379606E-3</v>
      </c>
      <c r="AB39" s="246" t="s">
        <v>178</v>
      </c>
      <c r="AC39" s="37"/>
      <c r="AD39" s="247">
        <f>[3]KLM!$JJ$43</f>
        <v>588</v>
      </c>
      <c r="AE39" s="249">
        <f>[3]KLM!$IV$43</f>
        <v>7257</v>
      </c>
      <c r="AF39" s="250">
        <f>(AD39-AE39)/AE39</f>
        <v>-0.9189747829681687</v>
      </c>
      <c r="AG39" s="247">
        <f>SUM([3]KLM!$JH$43:$JJ$43)</f>
        <v>588</v>
      </c>
      <c r="AH39" s="249">
        <f>SUM([3]KLM!$IT$43:$IV$43)</f>
        <v>17028</v>
      </c>
      <c r="AI39" s="248">
        <f>(AG39-AH39)/AH39</f>
        <v>-0.96546863988724452</v>
      </c>
      <c r="AJ39" s="250">
        <f>AG39/$AG$60</f>
        <v>7.1090279456130341E-5</v>
      </c>
    </row>
    <row r="40" spans="1:36" ht="14.1" customHeight="1" x14ac:dyDescent="0.2">
      <c r="A40" s="246"/>
      <c r="B40" s="37"/>
      <c r="C40" s="247"/>
      <c r="D40" s="249"/>
      <c r="E40" s="250"/>
      <c r="F40" s="249"/>
      <c r="G40" s="249"/>
      <c r="H40" s="248"/>
      <c r="I40" s="250"/>
      <c r="J40" s="246"/>
      <c r="K40" s="37"/>
      <c r="L40" s="251"/>
      <c r="N40" s="63"/>
      <c r="O40" s="251"/>
      <c r="P40" s="2"/>
      <c r="Q40" s="3"/>
      <c r="R40" s="63"/>
      <c r="S40" s="246"/>
      <c r="T40" s="37"/>
      <c r="U40" s="251"/>
      <c r="V40" s="2"/>
      <c r="W40" s="63"/>
      <c r="X40" s="251"/>
      <c r="Y40" s="2"/>
      <c r="Z40" s="3"/>
      <c r="AA40" s="63"/>
      <c r="AB40" s="246"/>
      <c r="AC40" s="37"/>
      <c r="AD40" s="251"/>
      <c r="AE40" s="2"/>
      <c r="AF40" s="63"/>
      <c r="AG40" s="251"/>
      <c r="AH40" s="2"/>
      <c r="AI40" s="3"/>
      <c r="AJ40" s="63"/>
    </row>
    <row r="41" spans="1:36" ht="14.1" customHeight="1" x14ac:dyDescent="0.2">
      <c r="A41" s="246" t="s">
        <v>230</v>
      </c>
      <c r="B41" s="37"/>
      <c r="C41" s="247">
        <f>[3]Lufthansa!$JJ$19</f>
        <v>32</v>
      </c>
      <c r="D41" s="249">
        <f>[3]Lufthansa!$IV$19</f>
        <v>0</v>
      </c>
      <c r="E41" s="250">
        <f>IFERROR((C41-D41)/D41,0)</f>
        <v>0</v>
      </c>
      <c r="F41" s="249">
        <f>SUM([3]Lufthansa!$JH$19:$JJ$19)</f>
        <v>90</v>
      </c>
      <c r="G41" s="249">
        <f>SUM([3]Lufthansa!$IT$19:$IV$19)</f>
        <v>0</v>
      </c>
      <c r="H41" s="248">
        <f>IFERROR((F41-G41)/G41,0)</f>
        <v>0</v>
      </c>
      <c r="I41" s="250">
        <f>F41/$F$60</f>
        <v>1.2280989028983134E-3</v>
      </c>
      <c r="J41" s="246" t="s">
        <v>230</v>
      </c>
      <c r="K41" s="37"/>
      <c r="L41" s="247">
        <f>[3]Lufthansa!$JJ$41</f>
        <v>6271</v>
      </c>
      <c r="M41" s="249">
        <f>[3]Lufthansa!$IV$41</f>
        <v>0</v>
      </c>
      <c r="N41" s="250">
        <f>IFERROR((L41-M41)/M41,0)</f>
        <v>0</v>
      </c>
      <c r="O41" s="247">
        <f>SUM([3]Lufthansa!$JH$41:$JJ$41)</f>
        <v>15615</v>
      </c>
      <c r="P41" s="249">
        <f>SUM([3]Lufthansa!$IT$41:$IV$41)</f>
        <v>0</v>
      </c>
      <c r="Q41" s="248">
        <f>IFERROR((O41-P41)/P41,0)</f>
        <v>0</v>
      </c>
      <c r="R41" s="250">
        <f>O41/$O$60</f>
        <v>1.946499255680624E-3</v>
      </c>
      <c r="S41" s="246" t="s">
        <v>230</v>
      </c>
      <c r="T41" s="37"/>
      <c r="U41" s="247">
        <f>[3]Lufthansa!$JJ$64</f>
        <v>610020</v>
      </c>
      <c r="V41" s="249">
        <f>[3]Lufthansa!$IV$64</f>
        <v>0</v>
      </c>
      <c r="W41" s="250">
        <f>IFERROR((U41-V41)/V41,0)</f>
        <v>0</v>
      </c>
      <c r="X41" s="247">
        <f>SUM([3]Lufthansa!$JH$64:$JJ$64)</f>
        <v>1646225</v>
      </c>
      <c r="Y41" s="249">
        <f>SUM([3]Lufthansa!$IT$64:$IV$64)</f>
        <v>0</v>
      </c>
      <c r="Z41" s="248">
        <f>IFERROR((X41-Y41)/Y41,0)</f>
        <v>0</v>
      </c>
      <c r="AA41" s="250">
        <f>X41/$X$60</f>
        <v>8.4596290121032577E-2</v>
      </c>
      <c r="AB41" s="246" t="s">
        <v>230</v>
      </c>
      <c r="AC41" s="37"/>
      <c r="AD41" s="247">
        <f>[3]Lufthansa!$JJ$43</f>
        <v>6342</v>
      </c>
      <c r="AE41" s="249">
        <f>[3]Lufthansa!$IV$43</f>
        <v>0</v>
      </c>
      <c r="AF41" s="250">
        <f>IFERROR((AD41-AE41)/AE41,0)</f>
        <v>0</v>
      </c>
      <c r="AG41" s="247">
        <f>SUM([3]Lufthansa!$JH$43:$JJ$43)</f>
        <v>15875</v>
      </c>
      <c r="AH41" s="249">
        <f>SUM([3]Lufthansa!$IT$43:$IV$43)</f>
        <v>0</v>
      </c>
      <c r="AI41" s="248">
        <f>IFERROR((AG41-AH41)/AH41,0)</f>
        <v>0</v>
      </c>
      <c r="AJ41" s="250">
        <f>AG41/$AG$60</f>
        <v>1.9193166434797095E-3</v>
      </c>
    </row>
    <row r="42" spans="1:36" ht="14.1" customHeight="1" x14ac:dyDescent="0.2">
      <c r="A42" s="246"/>
      <c r="B42" s="37"/>
      <c r="C42" s="247"/>
      <c r="D42" s="249"/>
      <c r="E42" s="250"/>
      <c r="F42" s="249"/>
      <c r="G42" s="249"/>
      <c r="H42" s="248"/>
      <c r="I42" s="250"/>
      <c r="J42" s="246"/>
      <c r="K42" s="37"/>
      <c r="L42" s="251"/>
      <c r="N42" s="63"/>
      <c r="O42" s="251"/>
      <c r="P42" s="2"/>
      <c r="Q42" s="3"/>
      <c r="R42" s="63"/>
      <c r="S42" s="246"/>
      <c r="T42" s="37"/>
      <c r="U42" s="251"/>
      <c r="V42" s="2"/>
      <c r="W42" s="63"/>
      <c r="X42" s="251"/>
      <c r="Y42" s="2"/>
      <c r="Z42" s="3"/>
      <c r="AA42" s="63"/>
      <c r="AB42" s="246"/>
      <c r="AC42" s="37"/>
      <c r="AD42" s="251"/>
      <c r="AE42" s="2"/>
      <c r="AF42" s="63"/>
      <c r="AG42" s="251"/>
      <c r="AH42" s="2"/>
      <c r="AI42" s="3"/>
      <c r="AJ42" s="63"/>
    </row>
    <row r="43" spans="1:36" ht="14.1" customHeight="1" x14ac:dyDescent="0.2">
      <c r="A43" s="246" t="s">
        <v>128</v>
      </c>
      <c r="B43" s="37"/>
      <c r="C43" s="247">
        <f>[3]Southwest!$JJ$19</f>
        <v>1012</v>
      </c>
      <c r="D43" s="249">
        <f>[3]Southwest!$IV$19</f>
        <v>1329</v>
      </c>
      <c r="E43" s="250">
        <f>(C43-D43)/D43</f>
        <v>-0.23852520692249812</v>
      </c>
      <c r="F43" s="249">
        <f>SUM([3]Southwest!$JH$19:$JJ$19)</f>
        <v>2708</v>
      </c>
      <c r="G43" s="249">
        <f>SUM([3]Southwest!$IT$19:$IV$19)</f>
        <v>3530</v>
      </c>
      <c r="H43" s="248">
        <f>(F43-G43)/G43</f>
        <v>-0.23286118980169973</v>
      </c>
      <c r="I43" s="250">
        <f>F43/$F$60</f>
        <v>3.69521314338737E-2</v>
      </c>
      <c r="J43" s="246" t="s">
        <v>128</v>
      </c>
      <c r="K43" s="37"/>
      <c r="L43" s="247">
        <f>[3]Southwest!$JJ$41</f>
        <v>130406</v>
      </c>
      <c r="M43" s="249">
        <f>[3]Southwest!$IV$41</f>
        <v>169940</v>
      </c>
      <c r="N43" s="250">
        <f>(L43-M43)/M43</f>
        <v>-0.23263504766388138</v>
      </c>
      <c r="O43" s="247">
        <f>SUM([3]Southwest!$JH$41:$JJ$41)</f>
        <v>311583</v>
      </c>
      <c r="P43" s="249">
        <f>SUM([3]Southwest!$IT$41:$IV$41)</f>
        <v>408494</v>
      </c>
      <c r="Q43" s="248">
        <f>(O43-P43)/P43</f>
        <v>-0.23723971465921165</v>
      </c>
      <c r="R43" s="250">
        <f>O43/$O$60</f>
        <v>3.8840606953745492E-2</v>
      </c>
      <c r="S43" s="246" t="s">
        <v>128</v>
      </c>
      <c r="T43" s="37"/>
      <c r="U43" s="247">
        <f>[3]Southwest!$JJ$64</f>
        <v>193127</v>
      </c>
      <c r="V43" s="249">
        <f>[3]Southwest!$IV$64</f>
        <v>249894</v>
      </c>
      <c r="W43" s="250">
        <f>(U43-V43)/V43</f>
        <v>-0.22716431767069237</v>
      </c>
      <c r="X43" s="247">
        <f>SUM([3]Southwest!$JH$64:$JJ$64)</f>
        <v>586381</v>
      </c>
      <c r="Y43" s="249">
        <f>SUM([3]Southwest!$IT$64:$IV$64)</f>
        <v>666327</v>
      </c>
      <c r="Z43" s="248">
        <f>(X43-Y43)/Y43</f>
        <v>-0.1199801298761719</v>
      </c>
      <c r="AA43" s="250">
        <f>X43/$X$60</f>
        <v>3.0132975260041127E-2</v>
      </c>
      <c r="AB43" s="246" t="s">
        <v>128</v>
      </c>
      <c r="AC43" s="37"/>
      <c r="AD43" s="247">
        <f>[3]Southwest!$JJ$43</f>
        <v>133605</v>
      </c>
      <c r="AE43" s="249">
        <f>[3]Southwest!$IV$43</f>
        <v>172909</v>
      </c>
      <c r="AF43" s="250">
        <f>(AD43-AE43)/AE43</f>
        <v>-0.22731031930090395</v>
      </c>
      <c r="AG43" s="247">
        <f>SUM([3]Southwest!$JH$43:$JJ$43)</f>
        <v>321035</v>
      </c>
      <c r="AH43" s="249">
        <f>SUM([3]Southwest!$IT$43:$IV$43)</f>
        <v>417985</v>
      </c>
      <c r="AI43" s="248">
        <f>(AG43-AH43)/AH43</f>
        <v>-0.23194612246850962</v>
      </c>
      <c r="AJ43" s="250">
        <f>AG43/$AG$60</f>
        <v>3.8813720859181645E-2</v>
      </c>
    </row>
    <row r="44" spans="1:36" ht="14.1" customHeight="1" x14ac:dyDescent="0.2">
      <c r="A44" s="246"/>
      <c r="B44" s="37"/>
      <c r="C44" s="247"/>
      <c r="D44" s="249"/>
      <c r="E44" s="250"/>
      <c r="F44" s="249"/>
      <c r="G44" s="249"/>
      <c r="H44" s="248"/>
      <c r="I44" s="250"/>
      <c r="J44" s="246"/>
      <c r="K44" s="37"/>
      <c r="L44" s="251"/>
      <c r="N44" s="63"/>
      <c r="O44" s="251"/>
      <c r="P44" s="2"/>
      <c r="Q44" s="3"/>
      <c r="R44" s="63"/>
      <c r="S44" s="246"/>
      <c r="T44" s="37"/>
      <c r="U44" s="251"/>
      <c r="V44" s="2"/>
      <c r="W44" s="63"/>
      <c r="X44" s="251"/>
      <c r="Y44" s="2"/>
      <c r="Z44" s="3"/>
      <c r="AA44" s="63"/>
      <c r="AB44" s="246"/>
      <c r="AC44" s="37"/>
      <c r="AD44" s="251"/>
      <c r="AE44" s="2"/>
      <c r="AF44" s="63"/>
      <c r="AG44" s="251"/>
      <c r="AH44" s="2"/>
      <c r="AI44" s="3"/>
      <c r="AJ44" s="63"/>
    </row>
    <row r="45" spans="1:36" ht="14.1" customHeight="1" x14ac:dyDescent="0.2">
      <c r="A45" s="246" t="s">
        <v>152</v>
      </c>
      <c r="B45" s="37"/>
      <c r="C45" s="247">
        <f>[3]Spirit!$JJ$19</f>
        <v>304</v>
      </c>
      <c r="D45" s="249">
        <f>[3]Spirit!$IV$19</f>
        <v>258</v>
      </c>
      <c r="E45" s="250">
        <f>(C45-D45)/D45</f>
        <v>0.17829457364341086</v>
      </c>
      <c r="F45" s="249">
        <f>SUM([3]Spirit!$JH$19:$JJ$19)</f>
        <v>554</v>
      </c>
      <c r="G45" s="249">
        <f>SUM([3]Spirit!$IT$19:$IV$19)</f>
        <v>662</v>
      </c>
      <c r="H45" s="248">
        <f>(F45-G45)/G45</f>
        <v>-0.16314199395770393</v>
      </c>
      <c r="I45" s="250">
        <f>F45/$F$60</f>
        <v>7.5596310245073959E-3</v>
      </c>
      <c r="J45" s="246" t="s">
        <v>152</v>
      </c>
      <c r="K45" s="37"/>
      <c r="L45" s="247">
        <f>[3]Spirit!$JJ$41</f>
        <v>44208</v>
      </c>
      <c r="M45" s="249">
        <f>[3]Spirit!$IV$41</f>
        <v>40067</v>
      </c>
      <c r="N45" s="250">
        <f>(L45-M45)/M45</f>
        <v>0.10335188559163401</v>
      </c>
      <c r="O45" s="247">
        <f>SUM([3]Spirit!$JH$41:$JJ$41)</f>
        <v>79306</v>
      </c>
      <c r="P45" s="249">
        <f>SUM([3]Spirit!$IT$41:$IV$41)</f>
        <v>92126</v>
      </c>
      <c r="Q45" s="248">
        <f>(O45-P45)/P45</f>
        <v>-0.13915724116970235</v>
      </c>
      <c r="R45" s="250">
        <f>O45/$O$60</f>
        <v>9.8859474845345869E-3</v>
      </c>
      <c r="S45" s="246" t="s">
        <v>152</v>
      </c>
      <c r="T45" s="37"/>
      <c r="U45" s="247">
        <f>[3]Spirit!$JJ$64</f>
        <v>0</v>
      </c>
      <c r="V45" s="249">
        <f>[3]Spirit!$IV$64</f>
        <v>0</v>
      </c>
      <c r="W45" s="250">
        <f>IFERROR((U45-V45)/V45,0)</f>
        <v>0</v>
      </c>
      <c r="X45" s="247">
        <f>SUM([3]Spirit!$JH$64:$JJ$64)</f>
        <v>0</v>
      </c>
      <c r="Y45" s="249">
        <f>SUM([3]Spirit!$IT$64:$IV$64)</f>
        <v>0</v>
      </c>
      <c r="Z45" s="248">
        <f>IFERROR((X45-Y45)/Y45,0)</f>
        <v>0</v>
      </c>
      <c r="AA45" s="250">
        <f>X45/$X$60</f>
        <v>0</v>
      </c>
      <c r="AB45" s="246" t="s">
        <v>152</v>
      </c>
      <c r="AC45" s="37"/>
      <c r="AD45" s="247">
        <f>[3]Spirit!$JJ$43</f>
        <v>44519</v>
      </c>
      <c r="AE45" s="249">
        <f>[3]Spirit!$IV$43</f>
        <v>40300</v>
      </c>
      <c r="AF45" s="250">
        <f>(AD45-AE45)/AE45</f>
        <v>0.10468982630272952</v>
      </c>
      <c r="AG45" s="247">
        <f>SUM([3]Spirit!$JH$43:$JJ$43)</f>
        <v>79983</v>
      </c>
      <c r="AH45" s="249">
        <f>SUM([3]Spirit!$IT$43:$IV$43)</f>
        <v>92821</v>
      </c>
      <c r="AI45" s="248">
        <f>(AG45-AH45)/AH45</f>
        <v>-0.13830921881901725</v>
      </c>
      <c r="AJ45" s="250">
        <f>AG45/$AG$60</f>
        <v>9.6700915335708737E-3</v>
      </c>
    </row>
    <row r="46" spans="1:36" ht="14.1" customHeight="1" x14ac:dyDescent="0.2">
      <c r="A46" s="246"/>
      <c r="B46" s="37"/>
      <c r="C46" s="247"/>
      <c r="D46" s="249"/>
      <c r="E46" s="250"/>
      <c r="F46" s="249"/>
      <c r="G46" s="249"/>
      <c r="H46" s="248"/>
      <c r="I46" s="250"/>
      <c r="J46" s="246"/>
      <c r="K46" s="37"/>
      <c r="L46" s="251"/>
      <c r="N46" s="63"/>
      <c r="O46" s="251"/>
      <c r="P46" s="2"/>
      <c r="Q46" s="3"/>
      <c r="R46" s="63">
        <f>O46/$O$60</f>
        <v>0</v>
      </c>
      <c r="S46" s="246"/>
      <c r="T46" s="37"/>
      <c r="U46" s="251"/>
      <c r="V46" s="2"/>
      <c r="W46" s="63"/>
      <c r="X46" s="251"/>
      <c r="Y46" s="2"/>
      <c r="Z46" s="3"/>
      <c r="AA46" s="63"/>
      <c r="AB46" s="246"/>
      <c r="AC46" s="37"/>
      <c r="AD46" s="251"/>
      <c r="AE46" s="2"/>
      <c r="AF46" s="63"/>
      <c r="AG46" s="251"/>
      <c r="AH46" s="2"/>
      <c r="AI46" s="3"/>
      <c r="AJ46" s="63"/>
    </row>
    <row r="47" spans="1:36" ht="14.1" customHeight="1" x14ac:dyDescent="0.2">
      <c r="A47" s="246" t="s">
        <v>49</v>
      </c>
      <c r="B47" s="37"/>
      <c r="C47" s="247">
        <f>'[3]Sun Country'!$JJ$19</f>
        <v>2884</v>
      </c>
      <c r="D47" s="249">
        <f>'[3]Sun Country'!$IV$19</f>
        <v>2842</v>
      </c>
      <c r="E47" s="250">
        <f>(C47-D47)/D47</f>
        <v>1.4778325123152709E-2</v>
      </c>
      <c r="F47" s="249">
        <f>SUM('[3]Sun Country'!$JH$19:$JJ$19)</f>
        <v>7228</v>
      </c>
      <c r="G47" s="249">
        <f>SUM('[3]Sun Country'!$IT$19:$IV$19)</f>
        <v>6976</v>
      </c>
      <c r="H47" s="248">
        <f>(F47-G47)/G47</f>
        <v>3.6123853211009173E-2</v>
      </c>
      <c r="I47" s="250">
        <f>F47/$F$60</f>
        <v>9.8629987446100104E-2</v>
      </c>
      <c r="J47" s="246" t="s">
        <v>49</v>
      </c>
      <c r="K47" s="37"/>
      <c r="L47" s="247">
        <f>'[3]Sun Country'!$JJ$41</f>
        <v>440647</v>
      </c>
      <c r="M47" s="249">
        <f>'[3]Sun Country'!$IV$41</f>
        <v>442992</v>
      </c>
      <c r="N47" s="250">
        <f>(L47-M47)/M47</f>
        <v>-5.2935493191750638E-3</v>
      </c>
      <c r="O47" s="247">
        <f>SUM('[3]Sun Country'!$JH$41:$JJ$41)</f>
        <v>1017168</v>
      </c>
      <c r="P47" s="249">
        <f>SUM('[3]Sun Country'!$IT$41:$IV$41)</f>
        <v>1056653</v>
      </c>
      <c r="Q47" s="248">
        <f>(O47-P47)/P47</f>
        <v>-3.7367991194838801E-2</v>
      </c>
      <c r="R47" s="250">
        <f>O47/$O$60</f>
        <v>0.12679582163958686</v>
      </c>
      <c r="S47" s="246" t="s">
        <v>49</v>
      </c>
      <c r="T47" s="37"/>
      <c r="U47" s="247">
        <f>'[3]Sun Country'!$JJ$64</f>
        <v>0</v>
      </c>
      <c r="V47" s="249">
        <f>'[3]Sun Country'!$IV$64</f>
        <v>0</v>
      </c>
      <c r="W47" s="250">
        <f>IFERROR((U47-V47)/V47,0)</f>
        <v>0</v>
      </c>
      <c r="X47" s="247">
        <f>SUM('[3]Sun Country'!$JH$64:$JJ$64)</f>
        <v>0</v>
      </c>
      <c r="Y47" s="249">
        <f>SUM('[3]Sun Country'!$IT$64:$IV$64)</f>
        <v>0</v>
      </c>
      <c r="Z47" s="248">
        <f>IFERROR((X47-Y47)/Y47,0)</f>
        <v>0</v>
      </c>
      <c r="AA47" s="250">
        <f>X47/$X$60</f>
        <v>0</v>
      </c>
      <c r="AB47" s="246" t="s">
        <v>49</v>
      </c>
      <c r="AC47" s="37"/>
      <c r="AD47" s="247">
        <f>'[3]Sun Country'!$JJ$43</f>
        <v>448153</v>
      </c>
      <c r="AE47" s="249">
        <f>'[3]Sun Country'!$IV$43</f>
        <v>449200</v>
      </c>
      <c r="AF47" s="250">
        <f>(AD47-AE47)/AE47</f>
        <v>-2.3308103294746216E-3</v>
      </c>
      <c r="AG47" s="247">
        <f>SUM('[3]Sun Country'!$JH$43:$JJ$43)</f>
        <v>1035417</v>
      </c>
      <c r="AH47" s="249">
        <f>SUM('[3]Sun Country'!$IT$43:$IV$43)</f>
        <v>1072367</v>
      </c>
      <c r="AI47" s="248">
        <f>(AG47-AH47)/AH47</f>
        <v>-3.4456487377921924E-2</v>
      </c>
      <c r="AJ47" s="250">
        <f>AG47/$AG$60</f>
        <v>0.12518381612861923</v>
      </c>
    </row>
    <row r="48" spans="1:36" ht="14.1" customHeight="1" x14ac:dyDescent="0.2">
      <c r="A48" s="246"/>
      <c r="B48" s="37"/>
      <c r="C48" s="247"/>
      <c r="D48" s="249"/>
      <c r="E48" s="250"/>
      <c r="F48" s="249"/>
      <c r="G48" s="249"/>
      <c r="H48" s="248"/>
      <c r="I48" s="250"/>
      <c r="J48" s="246"/>
      <c r="K48" s="37"/>
      <c r="L48" s="251"/>
      <c r="N48" s="63"/>
      <c r="O48" s="251"/>
      <c r="P48" s="2"/>
      <c r="Q48" s="3"/>
      <c r="R48" s="63"/>
      <c r="S48" s="246"/>
      <c r="T48" s="37"/>
      <c r="U48" s="251"/>
      <c r="V48" s="2"/>
      <c r="W48" s="63"/>
      <c r="X48" s="251"/>
      <c r="Y48" s="2"/>
      <c r="Z48" s="3"/>
      <c r="AA48" s="63"/>
      <c r="AB48" s="246"/>
      <c r="AC48" s="37"/>
      <c r="AD48" s="251"/>
      <c r="AE48" s="2"/>
      <c r="AF48" s="63"/>
      <c r="AG48" s="251"/>
      <c r="AH48" s="2"/>
      <c r="AI48" s="3"/>
      <c r="AJ48" s="63"/>
    </row>
    <row r="49" spans="1:36" ht="14.1" customHeight="1" x14ac:dyDescent="0.2">
      <c r="A49" s="246" t="s">
        <v>19</v>
      </c>
      <c r="B49" s="253"/>
      <c r="C49" s="247">
        <f>SUM(C50:C53)</f>
        <v>1211</v>
      </c>
      <c r="D49" s="249">
        <f>SUM(D50:D53)</f>
        <v>1136</v>
      </c>
      <c r="E49" s="250">
        <f t="shared" ref="E49:E53" si="38">(C49-D49)/D49</f>
        <v>6.6021126760563376E-2</v>
      </c>
      <c r="F49" s="249">
        <f>SUM(F50:F53)</f>
        <v>3320</v>
      </c>
      <c r="G49" s="249">
        <f>SUM(G50:G53)</f>
        <v>3161</v>
      </c>
      <c r="H49" s="248">
        <f t="shared" ref="H49:H53" si="39">(F49-G49)/G49</f>
        <v>5.030053780449225E-2</v>
      </c>
      <c r="I49" s="250">
        <f>F49/$F$60</f>
        <v>4.5303203973582229E-2</v>
      </c>
      <c r="J49" s="246" t="s">
        <v>19</v>
      </c>
      <c r="K49" s="253"/>
      <c r="L49" s="247">
        <f>SUM(L50:L53)</f>
        <v>121796</v>
      </c>
      <c r="M49" s="249">
        <f>SUM(M50:M53)</f>
        <v>130399</v>
      </c>
      <c r="N49" s="250">
        <f t="shared" ref="N49:N53" si="40">(L49-M49)/M49</f>
        <v>-6.5974432319266252E-2</v>
      </c>
      <c r="O49" s="247">
        <f>SUM(O50:O53)</f>
        <v>326838</v>
      </c>
      <c r="P49" s="249">
        <f>SUM(P50:P53)</f>
        <v>355650</v>
      </c>
      <c r="Q49" s="248">
        <f t="shared" ref="Q49:Q53" si="41">(O49-P49)/P49</f>
        <v>-8.1012231126107129E-2</v>
      </c>
      <c r="R49" s="250">
        <f>O49/$O$60</f>
        <v>4.0742230145894578E-2</v>
      </c>
      <c r="S49" s="246" t="s">
        <v>19</v>
      </c>
      <c r="T49" s="253"/>
      <c r="U49" s="247">
        <f>SUM(U50:U53)</f>
        <v>23097</v>
      </c>
      <c r="V49" s="249">
        <f>SUM(V50:V53)</f>
        <v>67302</v>
      </c>
      <c r="W49" s="250">
        <f t="shared" ref="W49:W50" si="42">(U49-V49)/V49</f>
        <v>-0.65681554782918783</v>
      </c>
      <c r="X49" s="247">
        <f>SUM(X50:X53)</f>
        <v>78544</v>
      </c>
      <c r="Y49" s="249">
        <f>SUM(Y50:Y53)</f>
        <v>104839</v>
      </c>
      <c r="Z49" s="248">
        <f t="shared" ref="Z49:Z50" si="43">(X49-Y49)/Y49</f>
        <v>-0.25081315159434941</v>
      </c>
      <c r="AA49" s="250">
        <f>X49/$X$60</f>
        <v>4.036222880387786E-3</v>
      </c>
      <c r="AB49" s="246" t="s">
        <v>19</v>
      </c>
      <c r="AC49" s="253"/>
      <c r="AD49" s="247">
        <f>SUM(AD50:AD53)</f>
        <v>126298</v>
      </c>
      <c r="AE49" s="249">
        <f>SUM(AE50:AE53)</f>
        <v>134849</v>
      </c>
      <c r="AF49" s="250">
        <f t="shared" ref="AF49:AF53" si="44">(AD49-AE49)/AE49</f>
        <v>-6.3411667865538493E-2</v>
      </c>
      <c r="AG49" s="247">
        <f>SUM(AG50:AG53)</f>
        <v>341173</v>
      </c>
      <c r="AH49" s="249">
        <f>SUM(AH50:AH53)</f>
        <v>368360</v>
      </c>
      <c r="AI49" s="248">
        <f t="shared" ref="AI49:AI53" si="45">(AG49-AH49)/AH49</f>
        <v>-7.3805516342708224E-2</v>
      </c>
      <c r="AJ49" s="250">
        <f>AG49/$AG$60</f>
        <v>4.1248442028718295E-2</v>
      </c>
    </row>
    <row r="50" spans="1:36" ht="14.1" customHeight="1" x14ac:dyDescent="0.2">
      <c r="A50" s="36"/>
      <c r="B50" s="306" t="s">
        <v>19</v>
      </c>
      <c r="C50" s="251">
        <f>[3]United!$JJ$19</f>
        <v>706</v>
      </c>
      <c r="D50" s="2">
        <f>[3]United!$IV$19+[3]Continental!$IV$19</f>
        <v>778</v>
      </c>
      <c r="E50" s="63">
        <f t="shared" si="38"/>
        <v>-9.2544987146529561E-2</v>
      </c>
      <c r="F50" s="2">
        <f>SUM([3]United!$JH$19:$JJ$19)</f>
        <v>2081</v>
      </c>
      <c r="G50" s="2">
        <f>SUM([3]United!$IT$19:$IV$19)+SUM([3]Continental!$IT$19:$IV$19)</f>
        <v>2269</v>
      </c>
      <c r="H50" s="3">
        <f t="shared" si="39"/>
        <v>-8.285588364918467E-2</v>
      </c>
      <c r="I50" s="63">
        <f>F50/$F$60</f>
        <v>2.8396375743682114E-2</v>
      </c>
      <c r="J50" s="36"/>
      <c r="K50" s="306" t="s">
        <v>19</v>
      </c>
      <c r="L50" s="251">
        <f>[3]United!$JJ$41</f>
        <v>90191</v>
      </c>
      <c r="M50" s="2">
        <f>[3]United!$IV$41+[3]Continental!$IV$41</f>
        <v>107048</v>
      </c>
      <c r="N50" s="63">
        <f t="shared" si="40"/>
        <v>-0.15747141469247442</v>
      </c>
      <c r="O50" s="251">
        <f>SUM([3]United!$JH$41:$JJ$41)</f>
        <v>252003</v>
      </c>
      <c r="P50" s="2">
        <f>SUM([3]United!$IT$41:$IV$41)+SUM([3]Continental!$IT$41:$IV$41)</f>
        <v>299122</v>
      </c>
      <c r="Q50" s="3">
        <f t="shared" si="41"/>
        <v>-0.15752435461116199</v>
      </c>
      <c r="R50" s="63">
        <f>O50/$O$60</f>
        <v>3.1413618439275329E-2</v>
      </c>
      <c r="S50" s="36"/>
      <c r="T50" s="306" t="s">
        <v>19</v>
      </c>
      <c r="U50" s="251">
        <f>[3]United!$JJ$64</f>
        <v>23097</v>
      </c>
      <c r="V50" s="2">
        <f>[3]United!$IV$64+[3]Continental!$IV$64</f>
        <v>67302</v>
      </c>
      <c r="W50" s="63">
        <f t="shared" si="42"/>
        <v>-0.65681554782918783</v>
      </c>
      <c r="X50" s="251">
        <f>SUM([3]United!$JH$64:$JJ$64)</f>
        <v>78544</v>
      </c>
      <c r="Y50" s="2">
        <f>SUM([3]United!$IT$64:$IV$64)+SUM([3]Continental!$IT$64:$IV$64)</f>
        <v>104839</v>
      </c>
      <c r="Z50" s="3">
        <f t="shared" si="43"/>
        <v>-0.25081315159434941</v>
      </c>
      <c r="AA50" s="63">
        <f>X50/$X$60</f>
        <v>4.036222880387786E-3</v>
      </c>
      <c r="AB50" s="36"/>
      <c r="AC50" s="306" t="s">
        <v>19</v>
      </c>
      <c r="AD50" s="251">
        <f>[3]United!$JJ$43</f>
        <v>93655</v>
      </c>
      <c r="AE50" s="2">
        <f>[3]United!$IV$43+[3]Continental!$IV$43</f>
        <v>110616</v>
      </c>
      <c r="AF50" s="63">
        <f t="shared" si="44"/>
        <v>-0.15333224849931293</v>
      </c>
      <c r="AG50" s="251">
        <f>SUM([3]United!$JH$43:$JJ$43)</f>
        <v>263589</v>
      </c>
      <c r="AH50" s="2">
        <f>SUM([3]United!$IT$43:$IV$43)+SUM([3]Continental!$IT$43:$IV$43)</f>
        <v>309683</v>
      </c>
      <c r="AI50" s="3">
        <f t="shared" si="45"/>
        <v>-0.14884252606697818</v>
      </c>
      <c r="AJ50" s="63">
        <f>AG50/$AG$60</f>
        <v>3.1868393999255E-2</v>
      </c>
    </row>
    <row r="51" spans="1:36" ht="14.1" customHeight="1" x14ac:dyDescent="0.2">
      <c r="A51" s="36"/>
      <c r="B51" s="37" t="s">
        <v>51</v>
      </c>
      <c r="C51" s="251">
        <f>[3]MESA_UA!$JJ$19</f>
        <v>194</v>
      </c>
      <c r="D51" s="2">
        <f>[3]MESA_UA!$IV$19</f>
        <v>192</v>
      </c>
      <c r="E51" s="63">
        <f t="shared" si="38"/>
        <v>1.0416666666666666E-2</v>
      </c>
      <c r="F51" s="2">
        <f>SUM([3]MESA_UA!$JH$19:$JJ$19)</f>
        <v>394</v>
      </c>
      <c r="G51" s="2">
        <f>SUM([3]MESA_UA!$IT$19:$IV$19)</f>
        <v>418</v>
      </c>
      <c r="H51" s="3">
        <f>(F51-G51)/G51</f>
        <v>-5.7416267942583733E-2</v>
      </c>
      <c r="I51" s="63">
        <f>F51/$F$60</f>
        <v>5.3763440860215058E-3</v>
      </c>
      <c r="J51" s="36"/>
      <c r="K51" s="37" t="s">
        <v>51</v>
      </c>
      <c r="L51" s="251">
        <f>[3]MESA_UA!$JJ$41</f>
        <v>12241</v>
      </c>
      <c r="M51" s="2">
        <f>[3]MESA_UA!$IV$41</f>
        <v>12768</v>
      </c>
      <c r="N51" s="63">
        <f t="shared" si="40"/>
        <v>-4.1275062656641603E-2</v>
      </c>
      <c r="O51" s="251">
        <f>SUM([3]MESA_UA!$JH$41:$JJ$41)</f>
        <v>24135</v>
      </c>
      <c r="P51" s="2">
        <f>SUM([3]MESA_UA!$IT$41:$IV$41)</f>
        <v>26705</v>
      </c>
      <c r="Q51" s="3">
        <f t="shared" si="41"/>
        <v>-9.6236659801535299E-2</v>
      </c>
      <c r="R51" s="63">
        <f>O51/$O$60</f>
        <v>3.0085660925937793E-3</v>
      </c>
      <c r="S51" s="36"/>
      <c r="T51" s="37" t="s">
        <v>51</v>
      </c>
      <c r="U51" s="251">
        <f>[3]MESA_UA!$JJ$64</f>
        <v>0</v>
      </c>
      <c r="V51" s="2">
        <f>[3]MESA_UA!$IV$64</f>
        <v>0</v>
      </c>
      <c r="W51" s="63">
        <f>IFERROR((U51-V51)/V51,0)</f>
        <v>0</v>
      </c>
      <c r="X51" s="251">
        <f>SUM([3]MESA_UA!$JH$64:$JJ$64)</f>
        <v>0</v>
      </c>
      <c r="Y51" s="2">
        <f>SUM([3]MESA_UA!$IT$64:$IV$64)</f>
        <v>0</v>
      </c>
      <c r="Z51" s="3">
        <f t="shared" ref="Z51:Z53" si="46">IFERROR((X51-Y51)/Y51,0)</f>
        <v>0</v>
      </c>
      <c r="AA51" s="63">
        <f>X51/$X$60</f>
        <v>0</v>
      </c>
      <c r="AB51" s="36"/>
      <c r="AC51" s="37" t="s">
        <v>51</v>
      </c>
      <c r="AD51" s="251">
        <f>[3]MESA_UA!$JJ$43</f>
        <v>12609</v>
      </c>
      <c r="AE51" s="2">
        <f>[3]MESA_UA!$IV$43</f>
        <v>13211</v>
      </c>
      <c r="AF51" s="63">
        <f t="shared" si="44"/>
        <v>-4.5568087200060559E-2</v>
      </c>
      <c r="AG51" s="251">
        <f>SUM([3]MESA_UA!$JH$43:$JJ$43)</f>
        <v>24964</v>
      </c>
      <c r="AH51" s="2">
        <f>SUM([3]MESA_UA!$IT$43:$IV$43)</f>
        <v>27637</v>
      </c>
      <c r="AI51" s="3">
        <f t="shared" si="45"/>
        <v>-9.6718167673770672E-2</v>
      </c>
      <c r="AJ51" s="63">
        <f>AG51/$AG$60</f>
        <v>3.0181934291544864E-3</v>
      </c>
    </row>
    <row r="52" spans="1:36" ht="14.1" customHeight="1" x14ac:dyDescent="0.2">
      <c r="A52" s="36"/>
      <c r="B52" s="306" t="s">
        <v>52</v>
      </c>
      <c r="C52" s="251">
        <f>[3]Republic_UA!$JJ$19</f>
        <v>236</v>
      </c>
      <c r="D52" s="2">
        <f>[3]Republic_UA!$IV$19</f>
        <v>94</v>
      </c>
      <c r="E52" s="63">
        <f t="shared" si="38"/>
        <v>1.5106382978723405</v>
      </c>
      <c r="F52" s="2">
        <f>SUM([3]Republic_UA!$JH$19:$JJ$19)</f>
        <v>616</v>
      </c>
      <c r="G52" s="2">
        <f>SUM([3]Republic_UA!$IT$19:$IV$19)</f>
        <v>232</v>
      </c>
      <c r="H52" s="3">
        <f t="shared" ref="H52" si="47">(F52-G52)/G52</f>
        <v>1.6551724137931034</v>
      </c>
      <c r="I52" s="63">
        <f>F52/$F$60</f>
        <v>8.405654713170679E-3</v>
      </c>
      <c r="J52" s="36"/>
      <c r="K52" s="306" t="s">
        <v>52</v>
      </c>
      <c r="L52" s="251">
        <f>[3]Republic_UA!$JJ$41</f>
        <v>15372</v>
      </c>
      <c r="M52" s="2">
        <f>[3]Republic_UA!$IV$41</f>
        <v>6196</v>
      </c>
      <c r="N52" s="63">
        <f t="shared" si="40"/>
        <v>1.4809554551323434</v>
      </c>
      <c r="O52" s="251">
        <f>SUM([3]Republic_UA!$JH$41:$JJ$41)</f>
        <v>37831</v>
      </c>
      <c r="P52" s="2">
        <f>SUM([3]Republic_UA!$IT$41:$IV$41)</f>
        <v>14722</v>
      </c>
      <c r="Q52" s="3">
        <f t="shared" si="41"/>
        <v>1.5696916179866867</v>
      </c>
      <c r="R52" s="63">
        <f>O52/$O$60</f>
        <v>4.7158509985048792E-3</v>
      </c>
      <c r="S52" s="36"/>
      <c r="T52" s="306" t="s">
        <v>52</v>
      </c>
      <c r="U52" s="251">
        <f>[3]Republic_UA!$JJ$64</f>
        <v>0</v>
      </c>
      <c r="V52" s="2">
        <f>[3]Republic_UA!$IV$64</f>
        <v>0</v>
      </c>
      <c r="W52" s="63">
        <f>IFERROR((U52-V52)/V52,0)</f>
        <v>0</v>
      </c>
      <c r="X52" s="251">
        <f>SUM([3]Republic_UA!$JH$64:$JJ$64)</f>
        <v>0</v>
      </c>
      <c r="Y52" s="2">
        <f>SUM([3]Republic_UA!$IT$64:$IV$64)</f>
        <v>0</v>
      </c>
      <c r="Z52" s="3">
        <f t="shared" si="46"/>
        <v>0</v>
      </c>
      <c r="AA52" s="63">
        <f>X52/$X$60</f>
        <v>0</v>
      </c>
      <c r="AB52" s="36"/>
      <c r="AC52" s="306" t="s">
        <v>52</v>
      </c>
      <c r="AD52" s="251">
        <f>[3]Republic_UA!$JJ$43</f>
        <v>15804</v>
      </c>
      <c r="AE52" s="2">
        <f>[3]Republic_UA!$IV$43</f>
        <v>6415</v>
      </c>
      <c r="AF52" s="63">
        <f t="shared" si="44"/>
        <v>1.4636009353078723</v>
      </c>
      <c r="AG52" s="251">
        <f>SUM([3]Republic_UA!$JH$43:$JJ$43)</f>
        <v>39114</v>
      </c>
      <c r="AH52" s="2">
        <f>SUM([3]Republic_UA!$IT$43:$IV$43)</f>
        <v>15243</v>
      </c>
      <c r="AI52" s="3">
        <f t="shared" si="45"/>
        <v>1.5660303089942924</v>
      </c>
      <c r="AJ52" s="63">
        <f>AG52/$AG$60</f>
        <v>4.728954405862385E-3</v>
      </c>
    </row>
    <row r="53" spans="1:36" ht="14.1" customHeight="1" x14ac:dyDescent="0.2">
      <c r="A53" s="36"/>
      <c r="B53" s="37" t="s">
        <v>97</v>
      </c>
      <c r="C53" s="251">
        <f>'[3]Sky West_UA'!$JJ$19</f>
        <v>75</v>
      </c>
      <c r="D53" s="2">
        <f>'[3]Sky West_UA'!$IV$19+'[3]Sky West_CO'!$IV$19</f>
        <v>72</v>
      </c>
      <c r="E53" s="63">
        <f t="shared" si="38"/>
        <v>4.1666666666666664E-2</v>
      </c>
      <c r="F53" s="2">
        <f>SUM('[3]Sky West_UA'!$JH$19:$JJ$19)</f>
        <v>229</v>
      </c>
      <c r="G53" s="2">
        <f>SUM('[3]Sky West_UA'!$IT$19:$IV$19)+SUM('[3]Sky West_CO'!$IT$19:$IV$19)</f>
        <v>242</v>
      </c>
      <c r="H53" s="3">
        <f t="shared" si="39"/>
        <v>-5.3719008264462811E-2</v>
      </c>
      <c r="I53" s="63">
        <f>F53/$F$60</f>
        <v>3.1248294307079307E-3</v>
      </c>
      <c r="J53" s="36"/>
      <c r="K53" s="37" t="s">
        <v>97</v>
      </c>
      <c r="L53" s="251">
        <f>'[3]Sky West_UA'!$JJ$41</f>
        <v>3992</v>
      </c>
      <c r="M53" s="2">
        <f>'[3]Sky West_UA'!$IV$41+'[3]Sky West_CO'!$IV$41</f>
        <v>4387</v>
      </c>
      <c r="N53" s="63">
        <f t="shared" si="40"/>
        <v>-9.0038750854798261E-2</v>
      </c>
      <c r="O53" s="251">
        <f>SUM('[3]Sky West_UA'!$JH$41:$JJ$41)</f>
        <v>12869</v>
      </c>
      <c r="P53" s="2">
        <f>SUM('[3]Sky West_UA'!$IT$41:$IV$41)+SUM('[3]Sky West_CO'!$IT$41:$IV$41)</f>
        <v>15101</v>
      </c>
      <c r="Q53" s="3">
        <f t="shared" si="41"/>
        <v>-0.14780478114032183</v>
      </c>
      <c r="R53" s="63">
        <f>O53/$O$60</f>
        <v>1.6041946155205861E-3</v>
      </c>
      <c r="S53" s="36"/>
      <c r="T53" s="37" t="s">
        <v>97</v>
      </c>
      <c r="U53" s="251">
        <f>'[3]Sky West_UA'!$JJ$64</f>
        <v>0</v>
      </c>
      <c r="V53" s="2">
        <f>'[3]Sky West_UA'!$IV$64+'[3]Sky West_CO'!$IV$64</f>
        <v>0</v>
      </c>
      <c r="W53" s="63">
        <f>IFERROR((U53-V53)/V53,0)</f>
        <v>0</v>
      </c>
      <c r="X53" s="251">
        <f>SUM('[3]Sky West_UA'!$JH$64:$JJ$64)</f>
        <v>0</v>
      </c>
      <c r="Y53" s="2">
        <f>SUM('[3]Sky West_UA'!$IT$64:$IV$64)+SUM('[3]Sky West_CO'!$IT$64:$IV$64)</f>
        <v>0</v>
      </c>
      <c r="Z53" s="3">
        <f t="shared" si="46"/>
        <v>0</v>
      </c>
      <c r="AA53" s="63">
        <f>X53/$X$60</f>
        <v>0</v>
      </c>
      <c r="AB53" s="36"/>
      <c r="AC53" s="37" t="s">
        <v>97</v>
      </c>
      <c r="AD53" s="251">
        <f>'[3]Sky West_UA'!$JJ$43</f>
        <v>4230</v>
      </c>
      <c r="AE53" s="2">
        <f>'[3]Sky West_UA'!$IV$43+'[3]Sky West_CO'!$IV$43</f>
        <v>4607</v>
      </c>
      <c r="AF53" s="63">
        <f t="shared" si="44"/>
        <v>-8.1831994790536142E-2</v>
      </c>
      <c r="AG53" s="251">
        <f>SUM('[3]Sky West_UA'!$JH$43:$JJ$43)</f>
        <v>13506</v>
      </c>
      <c r="AH53" s="2">
        <f>SUM('[3]Sky West_UA'!$IT$43:$IV$43)+SUM('[3]Sky West_CO'!$IT$43:$IV$43)</f>
        <v>15797</v>
      </c>
      <c r="AI53" s="3">
        <f t="shared" si="45"/>
        <v>-0.14502753687409001</v>
      </c>
      <c r="AJ53" s="63">
        <f>AG53/$AG$60</f>
        <v>1.6329001944464226E-3</v>
      </c>
    </row>
    <row r="54" spans="1:36" ht="14.1" customHeight="1" x14ac:dyDescent="0.2">
      <c r="A54" s="36"/>
      <c r="B54" s="254"/>
      <c r="C54" s="251"/>
      <c r="E54" s="63"/>
      <c r="F54" s="2"/>
      <c r="I54" s="63"/>
      <c r="J54" s="36"/>
      <c r="K54" s="254"/>
      <c r="L54" s="251"/>
      <c r="N54" s="63"/>
      <c r="O54" s="251"/>
      <c r="P54" s="2"/>
      <c r="Q54" s="3"/>
      <c r="R54" s="63"/>
      <c r="S54" s="36"/>
      <c r="T54" s="254"/>
      <c r="U54" s="251"/>
      <c r="V54" s="2"/>
      <c r="W54" s="63"/>
      <c r="X54" s="251"/>
      <c r="Y54" s="2"/>
      <c r="Z54" s="3"/>
      <c r="AA54" s="63"/>
      <c r="AB54" s="36"/>
      <c r="AC54" s="254"/>
      <c r="AD54" s="251"/>
      <c r="AE54" s="2"/>
      <c r="AF54" s="63"/>
      <c r="AG54" s="251"/>
      <c r="AH54" s="2"/>
      <c r="AI54" s="3"/>
      <c r="AJ54" s="63"/>
    </row>
    <row r="55" spans="1:36" ht="14.1" customHeight="1" x14ac:dyDescent="0.2">
      <c r="A55" s="246" t="s">
        <v>213</v>
      </c>
      <c r="B55" s="254"/>
      <c r="C55" s="247">
        <f>[3]WestJet!$JJ$19</f>
        <v>124</v>
      </c>
      <c r="D55" s="249">
        <f>[3]WestJet!$IV$19</f>
        <v>68</v>
      </c>
      <c r="E55" s="250">
        <f>(C55-D55)/D55</f>
        <v>0.82352941176470584</v>
      </c>
      <c r="F55" s="249">
        <f>SUM([3]WestJet!$JH$19:$JJ$19)</f>
        <v>370</v>
      </c>
      <c r="G55" s="249">
        <f>SUM([3]WestJet!$IT$19:$IV$19)</f>
        <v>206</v>
      </c>
      <c r="H55" s="248">
        <f>(F55-G55)/G55</f>
        <v>0.79611650485436891</v>
      </c>
      <c r="I55" s="250">
        <f>F55/$F$60</f>
        <v>5.0488510452486217E-3</v>
      </c>
      <c r="J55" s="246" t="s">
        <v>213</v>
      </c>
      <c r="K55" s="37"/>
      <c r="L55" s="247">
        <f>[3]WestJet!$JJ$41</f>
        <v>9778</v>
      </c>
      <c r="M55" s="249">
        <f>[3]WestJet!$IV$41</f>
        <v>7894</v>
      </c>
      <c r="N55" s="250">
        <f>(L55-M55)/M55</f>
        <v>0.23866227514568025</v>
      </c>
      <c r="O55" s="247">
        <f>SUM([3]WestJet!$JH$41:$JJ$41)</f>
        <v>30024</v>
      </c>
      <c r="P55" s="249">
        <f>SUM([3]WestJet!$IT$41:$IV$41)</f>
        <v>22427</v>
      </c>
      <c r="Q55" s="248">
        <f>(O55-P55)/P55</f>
        <v>0.33874347884246669</v>
      </c>
      <c r="R55" s="250">
        <f>O55/$O$60</f>
        <v>3.742663698530583E-3</v>
      </c>
      <c r="S55" s="246" t="s">
        <v>213</v>
      </c>
      <c r="T55" s="37"/>
      <c r="U55" s="247">
        <f>[3]WestJet!$JJ$64</f>
        <v>0</v>
      </c>
      <c r="V55" s="249">
        <f>[3]WestJet!$IV$64</f>
        <v>0</v>
      </c>
      <c r="W55" s="250">
        <f>IFERROR((U55-V55)/V55,0)</f>
        <v>0</v>
      </c>
      <c r="X55" s="247">
        <f>SUM([3]WestJet!$JH$64:$JJ$64)</f>
        <v>0</v>
      </c>
      <c r="Y55" s="249">
        <f>SUM([3]WestJet!$IT$64:$IV$64)</f>
        <v>0</v>
      </c>
      <c r="Z55" s="248">
        <f>IFERROR((X55-Y55)/Y55,0)</f>
        <v>0</v>
      </c>
      <c r="AA55" s="250">
        <f>X55/$X$60</f>
        <v>0</v>
      </c>
      <c r="AB55" s="246" t="s">
        <v>213</v>
      </c>
      <c r="AC55" s="37"/>
      <c r="AD55" s="247">
        <f>[3]WestJet!$JJ$43</f>
        <v>9783</v>
      </c>
      <c r="AE55" s="249">
        <f>[3]WestJet!$IV$43</f>
        <v>7896</v>
      </c>
      <c r="AF55" s="250">
        <f>(AD55-AE55)/AE55</f>
        <v>0.23898176291793313</v>
      </c>
      <c r="AG55" s="247">
        <f>SUM([3]WestJet!$JH$43:$JJ$43)</f>
        <v>30038</v>
      </c>
      <c r="AH55" s="249">
        <f>SUM([3]WestJet!$IT$43:$IV$43)</f>
        <v>22432</v>
      </c>
      <c r="AI55" s="248">
        <f>(AG55-AH55)/AH55</f>
        <v>0.3390691868758916</v>
      </c>
      <c r="AJ55" s="250">
        <f>AG55/$AG$60</f>
        <v>3.6316493440531348E-3</v>
      </c>
    </row>
    <row r="56" spans="1:36" ht="14.1" customHeight="1" thickBot="1" x14ac:dyDescent="0.25">
      <c r="A56" s="308"/>
      <c r="B56" s="309"/>
      <c r="C56" s="255"/>
      <c r="D56" s="257"/>
      <c r="E56" s="258"/>
      <c r="F56" s="257"/>
      <c r="G56" s="257"/>
      <c r="H56" s="256"/>
      <c r="I56" s="258"/>
      <c r="J56" s="308"/>
      <c r="K56" s="309"/>
      <c r="L56" s="255"/>
      <c r="M56" s="257"/>
      <c r="N56" s="258"/>
      <c r="O56" s="255"/>
      <c r="P56" s="257"/>
      <c r="Q56" s="256"/>
      <c r="R56" s="330"/>
      <c r="S56" s="308"/>
      <c r="T56" s="309"/>
      <c r="U56" s="255"/>
      <c r="V56" s="257"/>
      <c r="W56" s="258"/>
      <c r="X56" s="255"/>
      <c r="Y56" s="257"/>
      <c r="Z56" s="256"/>
      <c r="AA56" s="330"/>
      <c r="AB56" s="308"/>
      <c r="AC56" s="309"/>
      <c r="AD56" s="255"/>
      <c r="AE56" s="257"/>
      <c r="AF56" s="258"/>
      <c r="AG56" s="255"/>
      <c r="AH56" s="257"/>
      <c r="AI56" s="256"/>
      <c r="AJ56" s="330"/>
    </row>
    <row r="57" spans="1:36" s="162" customFormat="1" ht="14.1" customHeight="1" thickBot="1" x14ac:dyDescent="0.25">
      <c r="B57" s="161"/>
      <c r="C57" s="249"/>
      <c r="D57" s="249"/>
      <c r="E57" s="248"/>
      <c r="F57" s="307"/>
      <c r="G57" s="249"/>
      <c r="H57" s="248"/>
      <c r="I57" s="248"/>
      <c r="J57" s="259"/>
      <c r="K57" s="161"/>
      <c r="L57" s="260"/>
      <c r="M57" s="261"/>
      <c r="N57" s="259"/>
      <c r="S57" s="259"/>
      <c r="T57" s="161"/>
      <c r="U57" s="260"/>
      <c r="V57" s="261"/>
      <c r="W57" s="259"/>
      <c r="AB57" s="259"/>
      <c r="AC57" s="161"/>
      <c r="AD57" s="260"/>
      <c r="AE57" s="261"/>
      <c r="AF57" s="259"/>
    </row>
    <row r="58" spans="1:36" ht="14.1" customHeight="1" x14ac:dyDescent="0.2">
      <c r="B58" s="262" t="s">
        <v>131</v>
      </c>
      <c r="C58" s="315">
        <f>+C60-C59</f>
        <v>19045</v>
      </c>
      <c r="D58" s="315">
        <f>+D60-D59</f>
        <v>19166</v>
      </c>
      <c r="E58" s="316">
        <f>(C58-D58)/D58</f>
        <v>-6.3132630700198271E-3</v>
      </c>
      <c r="F58" s="315">
        <f>+F60-F59</f>
        <v>50432</v>
      </c>
      <c r="G58" s="315">
        <f>+G60-G59</f>
        <v>51555</v>
      </c>
      <c r="H58" s="316">
        <f>(F58-G58)/G58</f>
        <v>-2.178256231209388E-2</v>
      </c>
      <c r="I58" s="341">
        <f>F58/$F$60</f>
        <v>0.68817204301075274</v>
      </c>
      <c r="K58" s="262" t="s">
        <v>131</v>
      </c>
      <c r="L58" s="315">
        <f>+L60-L59</f>
        <v>2693248</v>
      </c>
      <c r="M58" s="315">
        <f>+M60-M59</f>
        <v>2756803</v>
      </c>
      <c r="N58" s="316">
        <f>(L58-M58)/M58</f>
        <v>-2.3053877988380017E-2</v>
      </c>
      <c r="O58" s="315">
        <f>+O60-O59</f>
        <v>6794845</v>
      </c>
      <c r="P58" s="315">
        <f>+P60-P59</f>
        <v>7058297</v>
      </c>
      <c r="Q58" s="339">
        <f>(O58-P58)/P58</f>
        <v>-3.7325150811874312E-2</v>
      </c>
      <c r="R58" s="386">
        <f>+O58/O60</f>
        <v>0.84701637751938585</v>
      </c>
      <c r="S58" s="3"/>
      <c r="T58" s="262" t="s">
        <v>131</v>
      </c>
      <c r="U58" s="315">
        <f>+U60-U59</f>
        <v>7168393</v>
      </c>
      <c r="V58" s="315">
        <f>+V60-V59</f>
        <v>5474246</v>
      </c>
      <c r="W58" s="316">
        <f>(U58-V58)/V58</f>
        <v>0.30947586206392624</v>
      </c>
      <c r="X58" s="315">
        <f>+X60-X59</f>
        <v>19397133</v>
      </c>
      <c r="Y58" s="315">
        <f>+Y60-Y59</f>
        <v>18949554</v>
      </c>
      <c r="Z58" s="339">
        <f>(X58-Y58)/Y58</f>
        <v>2.3619500490618409E-2</v>
      </c>
      <c r="AA58" s="386">
        <f>+X58/X60</f>
        <v>0.99678081111892669</v>
      </c>
      <c r="AB58" s="3"/>
      <c r="AC58" s="262" t="s">
        <v>131</v>
      </c>
      <c r="AD58" s="315">
        <f>+AD60-AD59</f>
        <v>2771147</v>
      </c>
      <c r="AE58" s="315">
        <f>+AE60-AE59</f>
        <v>2832007</v>
      </c>
      <c r="AF58" s="341">
        <f>(AD58-AE58)/AE58</f>
        <v>-2.1490059876264431E-2</v>
      </c>
      <c r="AG58" s="315">
        <f>+AG60-AG59</f>
        <v>7003711</v>
      </c>
      <c r="AH58" s="315">
        <f>+AH60-AH59</f>
        <v>7265332</v>
      </c>
      <c r="AI58" s="341">
        <f>(AG58-AH58)/AH58</f>
        <v>-3.6009503763902322E-2</v>
      </c>
      <c r="AJ58" s="386">
        <f>+AG58/AG60</f>
        <v>0.84676151738090832</v>
      </c>
    </row>
    <row r="59" spans="1:36" ht="14.1" customHeight="1" x14ac:dyDescent="0.2">
      <c r="B59" s="161" t="s">
        <v>132</v>
      </c>
      <c r="C59" s="317">
        <f>+C31+C30+C18+C53+C51+C22+C19+C52+C20+C21+C5</f>
        <v>7925</v>
      </c>
      <c r="D59" s="317">
        <f>+D31+D30+D18+D53+D51+D22+D19+D52+D20+D21+D5</f>
        <v>6667</v>
      </c>
      <c r="E59" s="263">
        <f>(C59-D59)/D59</f>
        <v>0.18869056547172641</v>
      </c>
      <c r="F59" s="317">
        <f>+F31+F30+F18+F53+F51+F22+F19+F52+F20+F21+F5</f>
        <v>22852</v>
      </c>
      <c r="G59" s="317">
        <f>+G31+G30+G18+G53+G51+G22+G19+G52+G20+G21+G5</f>
        <v>19346</v>
      </c>
      <c r="H59" s="263">
        <f>(F59-G59)/G59</f>
        <v>0.18122609324925049</v>
      </c>
      <c r="I59" s="342">
        <f>F59/$F$60</f>
        <v>0.31182795698924731</v>
      </c>
      <c r="K59" s="161" t="s">
        <v>132</v>
      </c>
      <c r="L59" s="317">
        <f>+L31+L30+L18+L53+L51+L22+L19+L52+L20+L21+L5</f>
        <v>441815</v>
      </c>
      <c r="M59" s="317">
        <f>+M31+M30+M18+M53+M51+M22+M19+M52+M20+M21+M5</f>
        <v>402043</v>
      </c>
      <c r="N59" s="263">
        <f>(L59-M59)/M59</f>
        <v>9.8924741880843589E-2</v>
      </c>
      <c r="O59" s="317">
        <f>+O31+O30+O18+O53+O51+O22+O19+O52+O20+O21+O5</f>
        <v>1227249</v>
      </c>
      <c r="P59" s="317">
        <f>+P31+P30+P18+P53+P51+P22+P19+P52+P20+P21+P5</f>
        <v>1073219</v>
      </c>
      <c r="Q59" s="338">
        <f>(O59-P59)/P59</f>
        <v>0.14352149933983652</v>
      </c>
      <c r="R59" s="387">
        <f>+O59/O60</f>
        <v>0.15298362248061417</v>
      </c>
      <c r="S59" s="3"/>
      <c r="T59" s="161" t="s">
        <v>132</v>
      </c>
      <c r="U59" s="317">
        <f>+U31+U30+U18+U53+U51+U22+U19+U52+U20+U21+U5</f>
        <v>25200.5</v>
      </c>
      <c r="V59" s="317">
        <f>+V31+V30+V18+V53+V51+V22+V19+V52+V20+V21+V5</f>
        <v>30383.7</v>
      </c>
      <c r="W59" s="263">
        <f>(U59-V59)/V59</f>
        <v>-0.1705914684518344</v>
      </c>
      <c r="X59" s="317">
        <f>+X31+X30+X18+X53+X51+X22+X19+X52+X20+X21+X5</f>
        <v>62644.7</v>
      </c>
      <c r="Y59" s="317">
        <f>+Y31+Y30+Y18+Y53+Y51+Y22+Y19+Y52+Y20+Y21+Y5</f>
        <v>59021.5</v>
      </c>
      <c r="Z59" s="338">
        <f>(X59-Y59)/Y59</f>
        <v>6.1387799361249662E-2</v>
      </c>
      <c r="AA59" s="387">
        <f>+X59/X60</f>
        <v>3.2191888810733948E-3</v>
      </c>
      <c r="AB59" s="3"/>
      <c r="AC59" s="161" t="s">
        <v>132</v>
      </c>
      <c r="AD59" s="317">
        <f>+AD31+AD30+AD18+AD53+AD51+AD22+AD19+AD52+AD20+AD21+AD5</f>
        <v>456250</v>
      </c>
      <c r="AE59" s="317">
        <f>+AE31+AE30+AE18+AE53+AE51+AE22+AE19+AE52+AE20+AE21+AE5</f>
        <v>415794</v>
      </c>
      <c r="AF59" s="342">
        <f>(AD59-AE59)/AE59</f>
        <v>9.7298181310937634E-2</v>
      </c>
      <c r="AG59" s="317">
        <f>+AG31+AG30+AG18+AG53+AG51+AG22+AG19+AG52+AG20+AG21+AG5</f>
        <v>1267462</v>
      </c>
      <c r="AH59" s="317">
        <f>+AH31+AH30+AH18+AH53+AH51+AH22+AH19+AH52+AH20+AH21+AH5</f>
        <v>1109768</v>
      </c>
      <c r="AI59" s="342">
        <f>(AG59-AH59)/AH59</f>
        <v>0.14209636608732637</v>
      </c>
      <c r="AJ59" s="387">
        <f>+AG59/AG60</f>
        <v>0.15323848261909162</v>
      </c>
    </row>
    <row r="60" spans="1:36" ht="14.1" customHeight="1" thickBot="1" x14ac:dyDescent="0.25">
      <c r="B60" s="161" t="s">
        <v>133</v>
      </c>
      <c r="C60" s="318">
        <f>C49+C47+C43+C35+C33+C28+C16+C13+C4+C45+C24+C39+C7+C37+C26+C11+C55+C9+C41</f>
        <v>26970</v>
      </c>
      <c r="D60" s="448">
        <f>D49+D47+D43+D35+D33+D28+D16+D13+D4+D45+D24+D39+D7+D37+D26+D11+D55+D9+D41</f>
        <v>25833</v>
      </c>
      <c r="E60" s="319">
        <f>(C60-D60)/D60</f>
        <v>4.4013471141563114E-2</v>
      </c>
      <c r="F60" s="318">
        <f>F49+F47+F43+F35+F33+F28+F16+F13+F4+F45+F24+F39+F7+F37+F26+F11+F55+F9+F41</f>
        <v>73284</v>
      </c>
      <c r="G60" s="448">
        <f>G49+G47+G43+G35+G33+G28+G16+G13+G4+G45+G24+G39+G7+G37+G26+G11+G55+G9+G41</f>
        <v>70901</v>
      </c>
      <c r="H60" s="319">
        <f>(F60-G60)/G60</f>
        <v>3.3610245271575856E-2</v>
      </c>
      <c r="I60" s="343">
        <f>+H60/H60</f>
        <v>1</v>
      </c>
      <c r="K60" s="161" t="s">
        <v>133</v>
      </c>
      <c r="L60" s="318">
        <f>L49+L47+L43+L35+L33+L28+L16+L13+L4+L45+L24+L39+L7+L37+L26+L11+L55+L9+L41</f>
        <v>3135063</v>
      </c>
      <c r="M60" s="448">
        <f>M49+M47+M43+M35+M33+M28+M16+M13+M4+M45+M24+M39+M7+M37+M26+M11+M55+M9+M41</f>
        <v>3158846</v>
      </c>
      <c r="N60" s="319">
        <f>(L60-M60)/M60</f>
        <v>-7.52901534294486E-3</v>
      </c>
      <c r="O60" s="318">
        <f>O49+O47+O43+O35+O33+O28+O16+O13+O4+O45+O24+O39+O7+O37+O26+O11+O55+O9+O41</f>
        <v>8022094</v>
      </c>
      <c r="P60" s="448">
        <f>P49+P47+P43+P35+P33+P28+P16+P13+P4+P45+P24+P39+P7+P37+P26+P11+P55+P9+P41</f>
        <v>8131516</v>
      </c>
      <c r="Q60" s="385">
        <f>(O60-P60)/P60</f>
        <v>-1.345653135282523E-2</v>
      </c>
      <c r="R60" s="343">
        <f>+Q60/Q60</f>
        <v>1</v>
      </c>
      <c r="S60" s="3"/>
      <c r="T60" s="161" t="s">
        <v>133</v>
      </c>
      <c r="U60" s="318">
        <f>U49+U47+U43+U35+U33+U28+U16+U13+U4+U45+U24+U39+U7+U37+U26+U11+U55+U9+U41</f>
        <v>7193593.5</v>
      </c>
      <c r="V60" s="448">
        <f>V49+V47+V43+V35+V33+V28+V16+V13+V4+V45+V24+V39+V7+V37+V26+V11+V55+V9+V41</f>
        <v>5504629.7000000002</v>
      </c>
      <c r="W60" s="319">
        <f>(U60-V60)/V60</f>
        <v>0.30682605225924636</v>
      </c>
      <c r="X60" s="318">
        <f>X49+X47+X43+X35+X33+X28+X16+X13+X4+X45+X24+X39+X7+X37+X26+X11+X55+X9+X41</f>
        <v>19459777.699999999</v>
      </c>
      <c r="Y60" s="448">
        <f>Y49+Y47+Y43+Y35+Y33+Y28+Y16+Y13+Y4+Y45+Y24+Y39+Y7+Y37+Y26+Y11+Y55+Y9+Y41</f>
        <v>19008575.5</v>
      </c>
      <c r="Z60" s="385">
        <f>(X60-Y60)/Y60</f>
        <v>2.373677080641836E-2</v>
      </c>
      <c r="AA60" s="343">
        <f>+Z60/Z60</f>
        <v>1</v>
      </c>
      <c r="AB60" s="3"/>
      <c r="AC60" s="161" t="s">
        <v>133</v>
      </c>
      <c r="AD60" s="318">
        <f>AD49+AD47+AD43+AD35+AD33+AD28+AD16+AD13+AD4+AD45+AD24+AD39+AD7+AD37+AD26+AD11+AD55+AD9+AD41</f>
        <v>3227397</v>
      </c>
      <c r="AE60" s="448">
        <f>AE49+AE47+AE43+AE35+AE33+AE28+AE16+AE13+AE4+AE45+AE24+AE39+AE7+AE37+AE26+AE11+AE55+AE9+AE41</f>
        <v>3247801</v>
      </c>
      <c r="AF60" s="343">
        <f>(AD60-AE60)/AE60</f>
        <v>-6.2824046177706082E-3</v>
      </c>
      <c r="AG60" s="318">
        <f>AG49+AG47+AG43+AG35+AG33+AG28+AG16+AG13+AG4+AG45+AG24+AG39+AG7+AG37+AG26+AG11+AG55+AG9+AG41</f>
        <v>8271173</v>
      </c>
      <c r="AH60" s="448">
        <f>AH49+AH47+AH43+AH35+AH33+AH28+AH16+AH13+AH4+AH45+AH24+AH39+AH7+AH37+AH26+AH11+AH55+AH9+AH41</f>
        <v>8375100</v>
      </c>
      <c r="AI60" s="343">
        <f>(AG60-AH60)/AH60</f>
        <v>-1.240904586213896E-2</v>
      </c>
      <c r="AJ60" s="343">
        <f>+AI60/AI60</f>
        <v>1</v>
      </c>
    </row>
    <row r="61" spans="1:36" x14ac:dyDescent="0.2">
      <c r="D61" s="3"/>
      <c r="F61" s="2"/>
      <c r="G61"/>
      <c r="H61"/>
      <c r="I61"/>
      <c r="J61"/>
      <c r="K61"/>
      <c r="M61"/>
      <c r="N61"/>
    </row>
    <row r="62" spans="1:36" x14ac:dyDescent="0.2">
      <c r="B62" s="161"/>
      <c r="E62"/>
      <c r="F62" s="2"/>
      <c r="H62"/>
      <c r="I62"/>
      <c r="J62"/>
      <c r="K62"/>
      <c r="N62"/>
      <c r="O62" s="2"/>
      <c r="P62" s="2"/>
      <c r="U62" s="87"/>
      <c r="V62" s="87"/>
      <c r="W62" s="87"/>
    </row>
    <row r="63" spans="1:36" x14ac:dyDescent="0.2">
      <c r="E63"/>
      <c r="F63" s="2"/>
      <c r="H63"/>
      <c r="I63"/>
      <c r="J63"/>
      <c r="K63"/>
      <c r="N63"/>
      <c r="O63" s="2"/>
      <c r="P63" s="2"/>
      <c r="U63" s="87"/>
      <c r="V63" s="87"/>
      <c r="W63" s="87"/>
      <c r="AD63" s="2"/>
      <c r="AE63" s="2"/>
      <c r="AG63" s="2"/>
      <c r="AH63" s="2"/>
    </row>
    <row r="64" spans="1:36" x14ac:dyDescent="0.2">
      <c r="E64"/>
      <c r="F64" s="2"/>
      <c r="H64"/>
      <c r="I64"/>
      <c r="J64"/>
      <c r="K64"/>
      <c r="N64"/>
      <c r="O64" s="2"/>
      <c r="P64" s="2"/>
      <c r="U64" s="87"/>
      <c r="AD64" s="2"/>
      <c r="AE64" s="2"/>
      <c r="AG64" s="2"/>
      <c r="AH64" s="2"/>
    </row>
    <row r="65" spans="4:34" x14ac:dyDescent="0.2">
      <c r="E65"/>
      <c r="F65" s="2"/>
      <c r="H65"/>
      <c r="I65"/>
      <c r="J65"/>
      <c r="K65"/>
      <c r="N65"/>
      <c r="O65" s="2"/>
      <c r="P65" s="2"/>
      <c r="AG65" s="87"/>
      <c r="AH65" s="87"/>
    </row>
    <row r="66" spans="4:34" x14ac:dyDescent="0.2">
      <c r="E66"/>
      <c r="F66" s="2"/>
      <c r="H66"/>
      <c r="I66"/>
      <c r="J66"/>
      <c r="K66"/>
      <c r="N66"/>
      <c r="O66" s="2"/>
      <c r="P66" s="2"/>
    </row>
    <row r="67" spans="4:34" x14ac:dyDescent="0.2">
      <c r="E67"/>
      <c r="F67" s="2"/>
      <c r="H67"/>
      <c r="I67"/>
      <c r="J67"/>
      <c r="K67"/>
      <c r="N67"/>
      <c r="O67" s="2"/>
      <c r="P67" s="2"/>
      <c r="AD67" s="2"/>
      <c r="AE67" s="2"/>
      <c r="AG67" s="2"/>
      <c r="AH67" s="2"/>
    </row>
    <row r="68" spans="4:34" x14ac:dyDescent="0.2">
      <c r="D68" s="3"/>
      <c r="F68"/>
      <c r="G68"/>
      <c r="H68"/>
      <c r="I68"/>
      <c r="J68"/>
      <c r="K68"/>
      <c r="M68"/>
      <c r="N68"/>
    </row>
    <row r="69" spans="4:34" x14ac:dyDescent="0.2">
      <c r="D69" s="3"/>
      <c r="F69"/>
      <c r="G69"/>
      <c r="H69"/>
      <c r="I69"/>
      <c r="J69"/>
      <c r="K69"/>
      <c r="L69"/>
      <c r="M69"/>
      <c r="N69"/>
      <c r="AD69" s="2"/>
      <c r="AE69" s="2"/>
      <c r="AG69" s="2"/>
      <c r="AH69" s="2"/>
    </row>
    <row r="70" spans="4:34" x14ac:dyDescent="0.2">
      <c r="D70" s="3"/>
      <c r="F70"/>
      <c r="G70"/>
      <c r="H70"/>
      <c r="I70"/>
      <c r="J70"/>
      <c r="K70"/>
      <c r="L70"/>
      <c r="M70"/>
      <c r="N70"/>
    </row>
    <row r="71" spans="4:34" x14ac:dyDescent="0.2">
      <c r="D71" s="3"/>
      <c r="F71"/>
      <c r="G71"/>
      <c r="H71"/>
      <c r="I71"/>
      <c r="J71"/>
      <c r="K71"/>
      <c r="L71"/>
      <c r="M71"/>
      <c r="N71"/>
    </row>
    <row r="72" spans="4:34" x14ac:dyDescent="0.2">
      <c r="D72" s="3"/>
      <c r="F72"/>
      <c r="G72"/>
      <c r="H72"/>
      <c r="I72"/>
      <c r="J72"/>
      <c r="K72"/>
      <c r="L72"/>
      <c r="M72"/>
      <c r="N72"/>
    </row>
    <row r="73" spans="4:34" x14ac:dyDescent="0.2">
      <c r="D73" s="3"/>
      <c r="F73"/>
      <c r="G73"/>
      <c r="H73"/>
      <c r="I73"/>
      <c r="J73"/>
      <c r="K73"/>
      <c r="L73"/>
      <c r="M73"/>
      <c r="N73"/>
    </row>
    <row r="74" spans="4:34" x14ac:dyDescent="0.2">
      <c r="D74" s="3"/>
      <c r="F74"/>
      <c r="G74"/>
      <c r="H74"/>
      <c r="I74"/>
      <c r="J74"/>
      <c r="K74"/>
      <c r="L74"/>
      <c r="M74"/>
      <c r="N74"/>
    </row>
    <row r="75" spans="4:34" x14ac:dyDescent="0.2">
      <c r="D75" s="3"/>
      <c r="F75"/>
      <c r="G75"/>
      <c r="H75"/>
      <c r="I75"/>
      <c r="J75"/>
      <c r="K75"/>
      <c r="L75"/>
      <c r="M75"/>
      <c r="N75"/>
    </row>
    <row r="76" spans="4:34" x14ac:dyDescent="0.2">
      <c r="D76" s="3"/>
      <c r="F76"/>
      <c r="G76"/>
      <c r="H76"/>
      <c r="I76"/>
      <c r="J76"/>
      <c r="K76"/>
      <c r="L76"/>
      <c r="M76"/>
      <c r="N76"/>
    </row>
    <row r="77" spans="4:34" x14ac:dyDescent="0.2">
      <c r="D77" s="3"/>
      <c r="F77"/>
      <c r="G77"/>
      <c r="H77"/>
      <c r="I77"/>
      <c r="J77"/>
      <c r="K77"/>
      <c r="L77"/>
      <c r="M77"/>
      <c r="N77"/>
    </row>
    <row r="78" spans="4:34" x14ac:dyDescent="0.2">
      <c r="D78" s="3"/>
      <c r="F78"/>
      <c r="G78"/>
      <c r="H78"/>
      <c r="I78"/>
      <c r="J78"/>
      <c r="K78"/>
      <c r="L78"/>
      <c r="M78"/>
      <c r="N78"/>
    </row>
    <row r="79" spans="4:34" x14ac:dyDescent="0.2">
      <c r="D79" s="3"/>
      <c r="F79"/>
      <c r="G79"/>
      <c r="H79"/>
      <c r="I79"/>
      <c r="J79"/>
      <c r="K79"/>
      <c r="L79"/>
      <c r="M79"/>
      <c r="N79"/>
    </row>
    <row r="80" spans="4:34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D102" s="3"/>
      <c r="F102"/>
      <c r="G102"/>
      <c r="H102"/>
      <c r="I102"/>
      <c r="J102"/>
      <c r="K102"/>
      <c r="L102"/>
      <c r="M102"/>
      <c r="N102"/>
    </row>
    <row r="103" spans="4:14" x14ac:dyDescent="0.2">
      <c r="D103" s="3"/>
      <c r="F103"/>
      <c r="G103"/>
      <c r="H103"/>
      <c r="I103"/>
      <c r="J103"/>
      <c r="K103"/>
      <c r="L103"/>
      <c r="M103"/>
      <c r="N103"/>
    </row>
    <row r="104" spans="4:14" x14ac:dyDescent="0.2">
      <c r="D104" s="3"/>
      <c r="F104"/>
      <c r="G104"/>
      <c r="H104"/>
      <c r="I104"/>
      <c r="J104"/>
      <c r="K104"/>
      <c r="L104"/>
      <c r="M104"/>
      <c r="N104"/>
    </row>
    <row r="105" spans="4:14" x14ac:dyDescent="0.2">
      <c r="D105" s="3"/>
      <c r="F105"/>
      <c r="G105"/>
      <c r="H105"/>
      <c r="I105"/>
      <c r="J105"/>
      <c r="K105"/>
      <c r="L105"/>
      <c r="M105"/>
      <c r="N105"/>
    </row>
    <row r="106" spans="4:14" x14ac:dyDescent="0.2">
      <c r="D106" s="3"/>
      <c r="F106"/>
      <c r="G106"/>
      <c r="H106"/>
      <c r="I106"/>
      <c r="J106"/>
      <c r="K106"/>
      <c r="L106"/>
      <c r="M106"/>
      <c r="N106"/>
    </row>
    <row r="107" spans="4:14" x14ac:dyDescent="0.2">
      <c r="D107" s="3"/>
      <c r="F107"/>
      <c r="G107"/>
      <c r="H107"/>
      <c r="I107"/>
      <c r="J107"/>
      <c r="K107"/>
      <c r="L107"/>
      <c r="M107"/>
      <c r="N107"/>
    </row>
    <row r="108" spans="4:14" x14ac:dyDescent="0.2">
      <c r="D108" s="3"/>
      <c r="F108"/>
      <c r="G108"/>
      <c r="H108"/>
      <c r="I108"/>
      <c r="J108"/>
      <c r="K108"/>
      <c r="L108"/>
      <c r="M108"/>
      <c r="N108"/>
    </row>
    <row r="109" spans="4:14" x14ac:dyDescent="0.2">
      <c r="D109" s="3"/>
      <c r="F109"/>
      <c r="G109"/>
      <c r="H109"/>
      <c r="I109"/>
      <c r="J109"/>
      <c r="K109"/>
      <c r="L109"/>
      <c r="M109"/>
      <c r="N109"/>
    </row>
    <row r="110" spans="4:14" x14ac:dyDescent="0.2">
      <c r="D110" s="3"/>
      <c r="F110"/>
      <c r="G110"/>
      <c r="H110"/>
      <c r="I110"/>
      <c r="J110"/>
      <c r="K110"/>
      <c r="L110"/>
      <c r="M110"/>
      <c r="N110"/>
    </row>
    <row r="111" spans="4:14" x14ac:dyDescent="0.2">
      <c r="D111" s="3"/>
      <c r="F111"/>
      <c r="G111"/>
      <c r="H111"/>
      <c r="I111"/>
      <c r="J111"/>
      <c r="K111"/>
      <c r="L111"/>
      <c r="M111"/>
      <c r="N111"/>
    </row>
    <row r="112" spans="4:14" x14ac:dyDescent="0.2">
      <c r="D112" s="3"/>
      <c r="F112"/>
      <c r="G112"/>
      <c r="H112"/>
      <c r="I112"/>
      <c r="J112"/>
      <c r="K112"/>
      <c r="L112"/>
      <c r="M112"/>
      <c r="N112"/>
    </row>
    <row r="113" spans="4:14" x14ac:dyDescent="0.2">
      <c r="D113" s="3"/>
      <c r="F113"/>
      <c r="G113"/>
      <c r="H113"/>
      <c r="I113"/>
      <c r="J113"/>
      <c r="K113"/>
      <c r="L113"/>
      <c r="M113"/>
      <c r="N113"/>
    </row>
    <row r="114" spans="4:14" x14ac:dyDescent="0.2">
      <c r="D114" s="3"/>
      <c r="F114"/>
      <c r="G114"/>
      <c r="H114"/>
      <c r="I114"/>
      <c r="J114"/>
      <c r="K114"/>
      <c r="L114"/>
      <c r="M114"/>
      <c r="N114"/>
    </row>
    <row r="115" spans="4:14" x14ac:dyDescent="0.2">
      <c r="D115" s="3"/>
      <c r="F115"/>
      <c r="G115"/>
      <c r="H115"/>
      <c r="I115"/>
      <c r="J115"/>
      <c r="K115"/>
      <c r="L115"/>
      <c r="M115"/>
      <c r="N115"/>
    </row>
    <row r="116" spans="4:14" x14ac:dyDescent="0.2">
      <c r="D116" s="3"/>
      <c r="F116"/>
      <c r="G116"/>
      <c r="H116"/>
      <c r="I116"/>
      <c r="J116"/>
      <c r="K116"/>
      <c r="L116"/>
      <c r="M116"/>
      <c r="N116"/>
    </row>
    <row r="117" spans="4:14" x14ac:dyDescent="0.2">
      <c r="D117" s="3"/>
      <c r="F117"/>
      <c r="G117"/>
      <c r="H117"/>
      <c r="I117"/>
      <c r="J117"/>
      <c r="K117"/>
      <c r="L117"/>
      <c r="M117"/>
      <c r="N117"/>
    </row>
    <row r="118" spans="4:14" x14ac:dyDescent="0.2">
      <c r="D118" s="3"/>
      <c r="F118"/>
      <c r="G118"/>
      <c r="H118"/>
      <c r="I118"/>
      <c r="J118"/>
      <c r="K118"/>
      <c r="L118"/>
      <c r="M118"/>
      <c r="N118"/>
    </row>
    <row r="119" spans="4:14" x14ac:dyDescent="0.2">
      <c r="D119" s="3"/>
      <c r="F119"/>
      <c r="G119"/>
      <c r="H119"/>
      <c r="I119"/>
      <c r="J119"/>
      <c r="K119"/>
      <c r="L119"/>
      <c r="M119"/>
      <c r="N119"/>
    </row>
    <row r="120" spans="4:14" x14ac:dyDescent="0.2">
      <c r="D120" s="3"/>
      <c r="F120"/>
      <c r="G120"/>
      <c r="H120"/>
      <c r="I120"/>
      <c r="J120"/>
      <c r="K120"/>
      <c r="L120"/>
      <c r="M120"/>
      <c r="N120"/>
    </row>
    <row r="121" spans="4:14" x14ac:dyDescent="0.2">
      <c r="D121" s="3"/>
      <c r="F121"/>
      <c r="G121"/>
      <c r="H121"/>
      <c r="I121"/>
      <c r="J121"/>
      <c r="K121"/>
      <c r="L121"/>
      <c r="M121"/>
      <c r="N121"/>
    </row>
    <row r="122" spans="4:14" x14ac:dyDescent="0.2">
      <c r="D122" s="3"/>
      <c r="F122"/>
      <c r="G122"/>
      <c r="H122"/>
      <c r="I122"/>
      <c r="J122"/>
      <c r="K122"/>
      <c r="L122"/>
      <c r="M122"/>
      <c r="N122"/>
    </row>
    <row r="123" spans="4:14" x14ac:dyDescent="0.2">
      <c r="D123" s="3"/>
      <c r="F123"/>
      <c r="G123"/>
      <c r="H123"/>
      <c r="I123"/>
      <c r="J123"/>
      <c r="K123"/>
      <c r="L123"/>
      <c r="M123"/>
      <c r="N123"/>
    </row>
    <row r="124" spans="4:14" x14ac:dyDescent="0.2">
      <c r="D124" s="3"/>
      <c r="F124"/>
      <c r="G124"/>
      <c r="H124"/>
      <c r="I124"/>
      <c r="J124"/>
      <c r="K124"/>
      <c r="L124"/>
      <c r="M124"/>
      <c r="N124"/>
    </row>
    <row r="125" spans="4:14" x14ac:dyDescent="0.2">
      <c r="D125" s="3"/>
      <c r="F125"/>
      <c r="G125"/>
      <c r="H125"/>
      <c r="I125"/>
      <c r="J125"/>
      <c r="K125"/>
      <c r="L125"/>
      <c r="M125"/>
      <c r="N125"/>
    </row>
    <row r="126" spans="4:14" x14ac:dyDescent="0.2">
      <c r="D126" s="3"/>
      <c r="F126"/>
      <c r="G126"/>
      <c r="H126"/>
      <c r="I126"/>
      <c r="J126"/>
      <c r="K126"/>
      <c r="L126"/>
      <c r="M126"/>
      <c r="N126"/>
    </row>
    <row r="127" spans="4:14" x14ac:dyDescent="0.2">
      <c r="D127" s="3"/>
      <c r="F127"/>
      <c r="G127"/>
      <c r="H127"/>
      <c r="I127"/>
      <c r="J127"/>
      <c r="K127"/>
      <c r="L127"/>
      <c r="M127"/>
      <c r="N127"/>
    </row>
    <row r="128" spans="4:14" x14ac:dyDescent="0.2">
      <c r="D128" s="3"/>
      <c r="F128"/>
      <c r="G128"/>
      <c r="H128"/>
      <c r="I128"/>
      <c r="J128"/>
      <c r="K128"/>
      <c r="L128"/>
      <c r="M128"/>
      <c r="N128"/>
    </row>
    <row r="129" spans="4:14" x14ac:dyDescent="0.2">
      <c r="D129" s="3"/>
      <c r="F129"/>
      <c r="G129"/>
      <c r="H129"/>
      <c r="I129"/>
      <c r="J129"/>
      <c r="K129"/>
      <c r="L129"/>
      <c r="M129"/>
      <c r="N129"/>
    </row>
    <row r="130" spans="4:14" x14ac:dyDescent="0.2">
      <c r="D130" s="3"/>
      <c r="F130"/>
      <c r="G130"/>
      <c r="H130"/>
      <c r="I130"/>
      <c r="J130"/>
      <c r="K130"/>
      <c r="L130"/>
      <c r="M130"/>
      <c r="N130"/>
    </row>
    <row r="131" spans="4:14" x14ac:dyDescent="0.2">
      <c r="D131" s="3"/>
      <c r="F131"/>
      <c r="G131"/>
      <c r="H131"/>
      <c r="I131"/>
      <c r="J131"/>
      <c r="K131"/>
      <c r="L131"/>
      <c r="M131"/>
      <c r="N131"/>
    </row>
    <row r="132" spans="4:14" x14ac:dyDescent="0.2">
      <c r="F132" s="163"/>
      <c r="K132"/>
    </row>
    <row r="133" spans="4:14" x14ac:dyDescent="0.2">
      <c r="F133" s="163"/>
      <c r="K133"/>
    </row>
    <row r="134" spans="4:14" x14ac:dyDescent="0.2">
      <c r="F134" s="163"/>
      <c r="K134"/>
    </row>
    <row r="135" spans="4:14" x14ac:dyDescent="0.2">
      <c r="F135" s="163"/>
      <c r="K135"/>
    </row>
    <row r="136" spans="4:14" x14ac:dyDescent="0.2">
      <c r="F136" s="163"/>
      <c r="K136"/>
    </row>
    <row r="137" spans="4:14" x14ac:dyDescent="0.2">
      <c r="F137" s="163"/>
      <c r="K137"/>
    </row>
    <row r="138" spans="4:14" x14ac:dyDescent="0.2">
      <c r="F138" s="163"/>
      <c r="K138"/>
    </row>
    <row r="139" spans="4:14" x14ac:dyDescent="0.2">
      <c r="F139" s="163"/>
      <c r="K139"/>
    </row>
    <row r="140" spans="4:14" x14ac:dyDescent="0.2">
      <c r="F140" s="163"/>
      <c r="K140"/>
    </row>
    <row r="141" spans="4:14" x14ac:dyDescent="0.2">
      <c r="F141" s="163"/>
      <c r="K141"/>
    </row>
    <row r="142" spans="4:14" x14ac:dyDescent="0.2">
      <c r="F142" s="163"/>
      <c r="K142"/>
    </row>
    <row r="143" spans="4:14" x14ac:dyDescent="0.2">
      <c r="F143" s="163"/>
      <c r="K143"/>
    </row>
    <row r="144" spans="4:14" x14ac:dyDescent="0.2">
      <c r="F144" s="163"/>
      <c r="K144"/>
    </row>
    <row r="145" spans="6:11" x14ac:dyDescent="0.2">
      <c r="F145" s="163"/>
      <c r="K145"/>
    </row>
    <row r="146" spans="6:11" x14ac:dyDescent="0.2">
      <c r="F146" s="163"/>
      <c r="K146"/>
    </row>
    <row r="147" spans="6:11" x14ac:dyDescent="0.2">
      <c r="F147" s="163"/>
      <c r="K147"/>
    </row>
    <row r="148" spans="6:11" x14ac:dyDescent="0.2">
      <c r="F148" s="163"/>
      <c r="K148"/>
    </row>
    <row r="149" spans="6:11" x14ac:dyDescent="0.2">
      <c r="F149" s="163"/>
      <c r="K149"/>
    </row>
    <row r="150" spans="6:11" x14ac:dyDescent="0.2">
      <c r="F150" s="163"/>
      <c r="K150"/>
    </row>
    <row r="151" spans="6:11" x14ac:dyDescent="0.2">
      <c r="F151" s="163"/>
      <c r="K151"/>
    </row>
    <row r="152" spans="6:11" x14ac:dyDescent="0.2">
      <c r="F152" s="163"/>
      <c r="K152"/>
    </row>
    <row r="153" spans="6:11" x14ac:dyDescent="0.2">
      <c r="F153" s="163"/>
      <c r="K153"/>
    </row>
    <row r="154" spans="6:11" x14ac:dyDescent="0.2">
      <c r="F154" s="163"/>
      <c r="K154"/>
    </row>
    <row r="155" spans="6:11" x14ac:dyDescent="0.2">
      <c r="F155" s="163"/>
      <c r="K155"/>
    </row>
    <row r="156" spans="6:11" x14ac:dyDescent="0.2">
      <c r="F156" s="163"/>
      <c r="K156"/>
    </row>
    <row r="157" spans="6:11" x14ac:dyDescent="0.2">
      <c r="F157" s="163"/>
      <c r="K157"/>
    </row>
    <row r="158" spans="6:11" x14ac:dyDescent="0.2">
      <c r="F158" s="163"/>
      <c r="K158"/>
    </row>
    <row r="159" spans="6:11" x14ac:dyDescent="0.2">
      <c r="F159" s="163"/>
      <c r="K159"/>
    </row>
    <row r="160" spans="6:11" x14ac:dyDescent="0.2">
      <c r="F160" s="163"/>
      <c r="K160"/>
    </row>
    <row r="161" spans="6:11" x14ac:dyDescent="0.2">
      <c r="F161" s="163"/>
      <c r="K161"/>
    </row>
    <row r="162" spans="6:11" x14ac:dyDescent="0.2">
      <c r="F162" s="163"/>
      <c r="K162"/>
    </row>
    <row r="163" spans="6:11" x14ac:dyDescent="0.2">
      <c r="F163" s="163"/>
      <c r="K163"/>
    </row>
    <row r="164" spans="6:11" x14ac:dyDescent="0.2">
      <c r="F164" s="163"/>
      <c r="K164"/>
    </row>
    <row r="165" spans="6:11" x14ac:dyDescent="0.2">
      <c r="F165" s="163"/>
      <c r="K165"/>
    </row>
    <row r="166" spans="6:11" x14ac:dyDescent="0.2">
      <c r="F166" s="163"/>
      <c r="K166"/>
    </row>
    <row r="167" spans="6:11" x14ac:dyDescent="0.2">
      <c r="F167" s="163"/>
      <c r="K167"/>
    </row>
    <row r="168" spans="6:11" x14ac:dyDescent="0.2">
      <c r="F168" s="163"/>
      <c r="K168"/>
    </row>
    <row r="169" spans="6:11" x14ac:dyDescent="0.2">
      <c r="F169" s="163"/>
      <c r="K169"/>
    </row>
    <row r="170" spans="6:11" x14ac:dyDescent="0.2">
      <c r="F170" s="163"/>
      <c r="K170"/>
    </row>
    <row r="171" spans="6:11" x14ac:dyDescent="0.2">
      <c r="F171" s="163"/>
      <c r="K171"/>
    </row>
    <row r="172" spans="6:11" x14ac:dyDescent="0.2">
      <c r="F172" s="163"/>
      <c r="K172"/>
    </row>
    <row r="173" spans="6:11" x14ac:dyDescent="0.2">
      <c r="F173" s="163"/>
      <c r="K173"/>
    </row>
    <row r="174" spans="6:11" x14ac:dyDescent="0.2">
      <c r="F174" s="163"/>
      <c r="K174"/>
    </row>
    <row r="175" spans="6:11" x14ac:dyDescent="0.2">
      <c r="F175" s="163"/>
      <c r="K175"/>
    </row>
    <row r="176" spans="6:11" x14ac:dyDescent="0.2">
      <c r="F176" s="163"/>
      <c r="K176"/>
    </row>
    <row r="177" spans="6:11" x14ac:dyDescent="0.2">
      <c r="F177" s="163"/>
      <c r="K177"/>
    </row>
    <row r="178" spans="6:11" x14ac:dyDescent="0.2">
      <c r="F178" s="163"/>
      <c r="K178"/>
    </row>
    <row r="179" spans="6:11" x14ac:dyDescent="0.2">
      <c r="F179" s="163"/>
      <c r="K179"/>
    </row>
    <row r="180" spans="6:11" x14ac:dyDescent="0.2">
      <c r="F180" s="163"/>
      <c r="K180"/>
    </row>
    <row r="181" spans="6:11" x14ac:dyDescent="0.2">
      <c r="F181" s="163"/>
      <c r="K181"/>
    </row>
    <row r="182" spans="6:11" x14ac:dyDescent="0.2">
      <c r="F182" s="163"/>
      <c r="K182"/>
    </row>
    <row r="183" spans="6:11" x14ac:dyDescent="0.2">
      <c r="F183" s="163"/>
      <c r="K183"/>
    </row>
    <row r="184" spans="6:11" x14ac:dyDescent="0.2">
      <c r="F184" s="163"/>
      <c r="K184"/>
    </row>
    <row r="185" spans="6:11" x14ac:dyDescent="0.2">
      <c r="F185" s="163"/>
      <c r="K185"/>
    </row>
    <row r="186" spans="6:11" x14ac:dyDescent="0.2">
      <c r="F186" s="163"/>
      <c r="K186"/>
    </row>
    <row r="187" spans="6:11" x14ac:dyDescent="0.2">
      <c r="F187" s="163"/>
      <c r="K187"/>
    </row>
    <row r="188" spans="6:11" x14ac:dyDescent="0.2">
      <c r="F188" s="163"/>
      <c r="K188"/>
    </row>
    <row r="189" spans="6:11" x14ac:dyDescent="0.2">
      <c r="F189" s="163"/>
      <c r="K189"/>
    </row>
    <row r="190" spans="6:11" x14ac:dyDescent="0.2">
      <c r="F190" s="163"/>
      <c r="K190"/>
    </row>
    <row r="191" spans="6:11" x14ac:dyDescent="0.2">
      <c r="F191" s="163"/>
      <c r="K191"/>
    </row>
    <row r="192" spans="6:11" x14ac:dyDescent="0.2">
      <c r="F192" s="163"/>
      <c r="K192"/>
    </row>
    <row r="193" spans="6:11" x14ac:dyDescent="0.2">
      <c r="F193" s="163"/>
      <c r="K193"/>
    </row>
    <row r="194" spans="6:11" x14ac:dyDescent="0.2">
      <c r="F194" s="163"/>
      <c r="K194"/>
    </row>
    <row r="195" spans="6:11" x14ac:dyDescent="0.2">
      <c r="F195" s="163"/>
      <c r="K195"/>
    </row>
    <row r="196" spans="6:11" x14ac:dyDescent="0.2">
      <c r="F196" s="163"/>
      <c r="K196"/>
    </row>
    <row r="197" spans="6:11" x14ac:dyDescent="0.2">
      <c r="F197" s="163"/>
      <c r="K197"/>
    </row>
    <row r="198" spans="6:11" x14ac:dyDescent="0.2">
      <c r="F198" s="163"/>
      <c r="K198"/>
    </row>
    <row r="199" spans="6:11" x14ac:dyDescent="0.2">
      <c r="F199" s="163"/>
      <c r="K199"/>
    </row>
    <row r="200" spans="6:11" x14ac:dyDescent="0.2">
      <c r="F200" s="163"/>
      <c r="K200"/>
    </row>
    <row r="201" spans="6:11" x14ac:dyDescent="0.2">
      <c r="F201" s="163"/>
      <c r="K201"/>
    </row>
    <row r="202" spans="6:11" x14ac:dyDescent="0.2">
      <c r="F202" s="163"/>
      <c r="K202"/>
    </row>
    <row r="203" spans="6:11" x14ac:dyDescent="0.2">
      <c r="F203" s="163"/>
      <c r="K203"/>
    </row>
    <row r="204" spans="6:11" x14ac:dyDescent="0.2">
      <c r="F204" s="163"/>
      <c r="K204"/>
    </row>
    <row r="205" spans="6:11" x14ac:dyDescent="0.2">
      <c r="F205" s="163"/>
      <c r="K205"/>
    </row>
    <row r="206" spans="6:11" x14ac:dyDescent="0.2">
      <c r="F206" s="163"/>
      <c r="K206"/>
    </row>
    <row r="207" spans="6:11" x14ac:dyDescent="0.2">
      <c r="F207" s="163"/>
      <c r="K207"/>
    </row>
    <row r="208" spans="6:11" x14ac:dyDescent="0.2">
      <c r="F208" s="163"/>
      <c r="K208"/>
    </row>
    <row r="209" spans="6:11" x14ac:dyDescent="0.2">
      <c r="F209" s="163"/>
      <c r="K209"/>
    </row>
    <row r="210" spans="6:11" x14ac:dyDescent="0.2">
      <c r="F210" s="163"/>
      <c r="K210"/>
    </row>
    <row r="211" spans="6:11" x14ac:dyDescent="0.2">
      <c r="F211" s="163"/>
      <c r="K211"/>
    </row>
    <row r="212" spans="6:11" x14ac:dyDescent="0.2">
      <c r="F212" s="163"/>
      <c r="K212"/>
    </row>
    <row r="213" spans="6:11" x14ac:dyDescent="0.2">
      <c r="F213" s="163"/>
      <c r="K213"/>
    </row>
    <row r="214" spans="6:11" x14ac:dyDescent="0.2">
      <c r="F214" s="163"/>
      <c r="K214"/>
    </row>
    <row r="215" spans="6:11" x14ac:dyDescent="0.2">
      <c r="F215" s="163"/>
      <c r="K215"/>
    </row>
    <row r="216" spans="6:11" x14ac:dyDescent="0.2">
      <c r="F216" s="163"/>
      <c r="K216"/>
    </row>
    <row r="217" spans="6:11" x14ac:dyDescent="0.2">
      <c r="F217" s="163"/>
      <c r="K217"/>
    </row>
    <row r="218" spans="6:11" x14ac:dyDescent="0.2">
      <c r="F218" s="163"/>
      <c r="K218"/>
    </row>
    <row r="219" spans="6:11" x14ac:dyDescent="0.2">
      <c r="F219" s="163"/>
      <c r="K219"/>
    </row>
    <row r="220" spans="6:11" x14ac:dyDescent="0.2">
      <c r="F220" s="163"/>
      <c r="K220"/>
    </row>
    <row r="221" spans="6:11" x14ac:dyDescent="0.2">
      <c r="F221" s="163"/>
      <c r="K221"/>
    </row>
    <row r="222" spans="6:11" x14ac:dyDescent="0.2">
      <c r="F222" s="163"/>
      <c r="K222"/>
    </row>
    <row r="223" spans="6:11" x14ac:dyDescent="0.2">
      <c r="F223" s="163"/>
      <c r="K223"/>
    </row>
    <row r="224" spans="6:11" x14ac:dyDescent="0.2">
      <c r="F224" s="163"/>
      <c r="K224"/>
    </row>
    <row r="225" spans="6:11" x14ac:dyDescent="0.2">
      <c r="F225" s="163"/>
      <c r="K225"/>
    </row>
    <row r="226" spans="6:11" x14ac:dyDescent="0.2">
      <c r="F226" s="163"/>
      <c r="K226"/>
    </row>
    <row r="227" spans="6:11" x14ac:dyDescent="0.2">
      <c r="F227" s="163"/>
      <c r="K227"/>
    </row>
    <row r="228" spans="6:11" x14ac:dyDescent="0.2">
      <c r="F228" s="163"/>
      <c r="K228"/>
    </row>
    <row r="229" spans="6:11" x14ac:dyDescent="0.2">
      <c r="F229" s="163"/>
      <c r="K229"/>
    </row>
    <row r="230" spans="6:11" x14ac:dyDescent="0.2">
      <c r="F230" s="163"/>
      <c r="K230"/>
    </row>
    <row r="231" spans="6:11" x14ac:dyDescent="0.2">
      <c r="F231" s="163"/>
      <c r="K231"/>
    </row>
    <row r="232" spans="6:11" x14ac:dyDescent="0.2">
      <c r="F232" s="163"/>
      <c r="K232"/>
    </row>
    <row r="233" spans="6:11" x14ac:dyDescent="0.2">
      <c r="F233" s="163"/>
      <c r="K233"/>
    </row>
    <row r="234" spans="6:11" x14ac:dyDescent="0.2">
      <c r="F234" s="163"/>
      <c r="K234"/>
    </row>
    <row r="235" spans="6:11" x14ac:dyDescent="0.2">
      <c r="F235" s="163"/>
      <c r="K235"/>
    </row>
    <row r="236" spans="6:11" x14ac:dyDescent="0.2">
      <c r="F236" s="163"/>
      <c r="K236"/>
    </row>
    <row r="237" spans="6:11" x14ac:dyDescent="0.2">
      <c r="F237" s="163"/>
      <c r="K237"/>
    </row>
    <row r="238" spans="6:11" x14ac:dyDescent="0.2">
      <c r="F238" s="163"/>
      <c r="K238"/>
    </row>
    <row r="239" spans="6:11" x14ac:dyDescent="0.2">
      <c r="F239" s="163"/>
      <c r="K239"/>
    </row>
    <row r="240" spans="6:11" x14ac:dyDescent="0.2">
      <c r="F240" s="163"/>
      <c r="K240"/>
    </row>
    <row r="241" spans="6:11" x14ac:dyDescent="0.2">
      <c r="F241" s="163"/>
      <c r="K241"/>
    </row>
    <row r="242" spans="6:11" x14ac:dyDescent="0.2">
      <c r="F242" s="163"/>
      <c r="K242"/>
    </row>
    <row r="243" spans="6:11" x14ac:dyDescent="0.2">
      <c r="F243" s="163"/>
      <c r="K243"/>
    </row>
    <row r="244" spans="6:11" x14ac:dyDescent="0.2">
      <c r="F244" s="163"/>
      <c r="K244"/>
    </row>
    <row r="245" spans="6:11" x14ac:dyDescent="0.2">
      <c r="F245" s="163"/>
      <c r="K245"/>
    </row>
    <row r="246" spans="6:11" x14ac:dyDescent="0.2">
      <c r="F246" s="163"/>
      <c r="K246"/>
    </row>
    <row r="247" spans="6:11" x14ac:dyDescent="0.2">
      <c r="F247" s="163"/>
      <c r="K247"/>
    </row>
    <row r="248" spans="6:11" x14ac:dyDescent="0.2">
      <c r="F248" s="163"/>
      <c r="K248"/>
    </row>
    <row r="249" spans="6:11" x14ac:dyDescent="0.2">
      <c r="F249" s="163"/>
      <c r="K249"/>
    </row>
    <row r="250" spans="6:11" x14ac:dyDescent="0.2">
      <c r="F250" s="163"/>
      <c r="K250"/>
    </row>
    <row r="251" spans="6:11" x14ac:dyDescent="0.2">
      <c r="F251" s="163"/>
      <c r="K251"/>
    </row>
    <row r="252" spans="6:11" x14ac:dyDescent="0.2">
      <c r="F252" s="163"/>
      <c r="K252"/>
    </row>
    <row r="253" spans="6:11" x14ac:dyDescent="0.2">
      <c r="F253" s="163"/>
      <c r="K253"/>
    </row>
    <row r="254" spans="6:11" x14ac:dyDescent="0.2">
      <c r="F254" s="163"/>
      <c r="K254"/>
    </row>
    <row r="255" spans="6:11" x14ac:dyDescent="0.2">
      <c r="F255" s="163"/>
      <c r="K255"/>
    </row>
    <row r="256" spans="6:11" x14ac:dyDescent="0.2">
      <c r="F256" s="163"/>
      <c r="K256"/>
    </row>
    <row r="257" spans="6:11" x14ac:dyDescent="0.2">
      <c r="F257" s="163"/>
      <c r="K257"/>
    </row>
    <row r="258" spans="6:11" x14ac:dyDescent="0.2">
      <c r="F258" s="163"/>
      <c r="K258"/>
    </row>
    <row r="259" spans="6:11" x14ac:dyDescent="0.2">
      <c r="F259" s="163"/>
      <c r="K259"/>
    </row>
    <row r="260" spans="6:11" x14ac:dyDescent="0.2">
      <c r="F260" s="163"/>
      <c r="K260"/>
    </row>
    <row r="261" spans="6:11" x14ac:dyDescent="0.2">
      <c r="F261" s="163"/>
      <c r="K261"/>
    </row>
    <row r="262" spans="6:11" x14ac:dyDescent="0.2">
      <c r="F262" s="163"/>
      <c r="K262"/>
    </row>
    <row r="263" spans="6:11" x14ac:dyDescent="0.2">
      <c r="F263" s="163"/>
      <c r="K263"/>
    </row>
    <row r="264" spans="6:11" x14ac:dyDescent="0.2">
      <c r="F264" s="163"/>
      <c r="K264"/>
    </row>
    <row r="265" spans="6:11" x14ac:dyDescent="0.2">
      <c r="F265" s="163"/>
      <c r="K265"/>
    </row>
    <row r="266" spans="6:11" x14ac:dyDescent="0.2">
      <c r="F266" s="163"/>
      <c r="K266"/>
    </row>
    <row r="267" spans="6:11" x14ac:dyDescent="0.2">
      <c r="F267" s="163"/>
      <c r="K267"/>
    </row>
    <row r="268" spans="6:11" x14ac:dyDescent="0.2">
      <c r="F268" s="163"/>
      <c r="K268"/>
    </row>
    <row r="269" spans="6:11" x14ac:dyDescent="0.2">
      <c r="F269" s="163"/>
      <c r="K269"/>
    </row>
    <row r="270" spans="6:11" x14ac:dyDescent="0.2">
      <c r="F270" s="163"/>
      <c r="K270"/>
    </row>
    <row r="271" spans="6:11" x14ac:dyDescent="0.2">
      <c r="F271" s="163"/>
      <c r="K271"/>
    </row>
    <row r="272" spans="6:11" x14ac:dyDescent="0.2">
      <c r="F272" s="163"/>
      <c r="K272"/>
    </row>
    <row r="273" spans="6:11" x14ac:dyDescent="0.2">
      <c r="F273" s="163"/>
      <c r="K273"/>
    </row>
    <row r="274" spans="6:11" x14ac:dyDescent="0.2">
      <c r="F274" s="163"/>
      <c r="K274"/>
    </row>
    <row r="275" spans="6:11" x14ac:dyDescent="0.2">
      <c r="F275" s="163"/>
      <c r="K275"/>
    </row>
    <row r="276" spans="6:11" x14ac:dyDescent="0.2">
      <c r="F276" s="163"/>
      <c r="K276"/>
    </row>
    <row r="277" spans="6:11" x14ac:dyDescent="0.2">
      <c r="F277" s="163"/>
      <c r="K277"/>
    </row>
    <row r="278" spans="6:11" x14ac:dyDescent="0.2">
      <c r="F278" s="163"/>
      <c r="K278"/>
    </row>
    <row r="279" spans="6:11" x14ac:dyDescent="0.2">
      <c r="F279" s="163"/>
      <c r="K279"/>
    </row>
    <row r="280" spans="6:11" x14ac:dyDescent="0.2">
      <c r="F280" s="163"/>
      <c r="K280"/>
    </row>
    <row r="281" spans="6:11" x14ac:dyDescent="0.2">
      <c r="F281" s="163"/>
      <c r="K281"/>
    </row>
    <row r="282" spans="6:11" x14ac:dyDescent="0.2">
      <c r="F282" s="163"/>
      <c r="K282"/>
    </row>
    <row r="283" spans="6:11" x14ac:dyDescent="0.2">
      <c r="F283" s="163"/>
      <c r="K283"/>
    </row>
    <row r="284" spans="6:11" x14ac:dyDescent="0.2">
      <c r="F284" s="163"/>
      <c r="K284"/>
    </row>
    <row r="285" spans="6:11" x14ac:dyDescent="0.2">
      <c r="F285" s="163"/>
      <c r="K285"/>
    </row>
    <row r="286" spans="6:11" x14ac:dyDescent="0.2">
      <c r="F286" s="163"/>
      <c r="K286"/>
    </row>
    <row r="287" spans="6:11" x14ac:dyDescent="0.2">
      <c r="F287" s="163"/>
      <c r="K287"/>
    </row>
    <row r="288" spans="6:11" x14ac:dyDescent="0.2">
      <c r="F288" s="163"/>
      <c r="K288"/>
    </row>
    <row r="289" spans="6:11" x14ac:dyDescent="0.2">
      <c r="F289" s="163"/>
      <c r="K289"/>
    </row>
    <row r="290" spans="6:11" x14ac:dyDescent="0.2">
      <c r="F290" s="163"/>
      <c r="K290"/>
    </row>
    <row r="291" spans="6:11" x14ac:dyDescent="0.2">
      <c r="F291" s="163"/>
      <c r="K291"/>
    </row>
    <row r="292" spans="6:11" x14ac:dyDescent="0.2">
      <c r="F292" s="163"/>
      <c r="K292"/>
    </row>
    <row r="293" spans="6:11" x14ac:dyDescent="0.2">
      <c r="F293" s="163"/>
      <c r="K293"/>
    </row>
    <row r="294" spans="6:11" x14ac:dyDescent="0.2">
      <c r="F294" s="163"/>
      <c r="K294"/>
    </row>
    <row r="295" spans="6:11" x14ac:dyDescent="0.2">
      <c r="F295" s="163"/>
      <c r="K295"/>
    </row>
    <row r="296" spans="6:11" x14ac:dyDescent="0.2">
      <c r="F296" s="163"/>
      <c r="K296"/>
    </row>
    <row r="297" spans="6:11" x14ac:dyDescent="0.2">
      <c r="F297" s="163"/>
      <c r="K297"/>
    </row>
    <row r="298" spans="6:11" x14ac:dyDescent="0.2">
      <c r="F298" s="163"/>
      <c r="K298"/>
    </row>
    <row r="299" spans="6:11" x14ac:dyDescent="0.2">
      <c r="F299" s="163"/>
      <c r="K299"/>
    </row>
    <row r="300" spans="6:11" x14ac:dyDescent="0.2">
      <c r="F300" s="163"/>
      <c r="K300"/>
    </row>
    <row r="301" spans="6:11" x14ac:dyDescent="0.2">
      <c r="F301" s="163"/>
      <c r="K301"/>
    </row>
    <row r="302" spans="6:11" x14ac:dyDescent="0.2">
      <c r="F302" s="163"/>
      <c r="K302"/>
    </row>
    <row r="303" spans="6:11" x14ac:dyDescent="0.2">
      <c r="F303" s="163"/>
      <c r="K303"/>
    </row>
    <row r="304" spans="6:11" x14ac:dyDescent="0.2">
      <c r="F304" s="163"/>
      <c r="K304"/>
    </row>
    <row r="305" spans="6:11" x14ac:dyDescent="0.2">
      <c r="F305" s="163"/>
      <c r="K305"/>
    </row>
    <row r="306" spans="6:11" x14ac:dyDescent="0.2">
      <c r="F306" s="163"/>
      <c r="K306"/>
    </row>
    <row r="307" spans="6:11" x14ac:dyDescent="0.2">
      <c r="F307" s="163"/>
      <c r="K307"/>
    </row>
    <row r="308" spans="6:11" x14ac:dyDescent="0.2">
      <c r="F308" s="163"/>
      <c r="K308"/>
    </row>
    <row r="309" spans="6:11" x14ac:dyDescent="0.2">
      <c r="F309" s="163"/>
      <c r="K309"/>
    </row>
    <row r="310" spans="6:11" x14ac:dyDescent="0.2">
      <c r="F310" s="163"/>
      <c r="K310"/>
    </row>
    <row r="311" spans="6:11" x14ac:dyDescent="0.2">
      <c r="F311" s="163"/>
      <c r="K311"/>
    </row>
    <row r="312" spans="6:11" x14ac:dyDescent="0.2">
      <c r="F312" s="163"/>
      <c r="K312"/>
    </row>
    <row r="313" spans="6:11" x14ac:dyDescent="0.2">
      <c r="F313" s="163"/>
      <c r="K313"/>
    </row>
    <row r="314" spans="6:11" x14ac:dyDescent="0.2">
      <c r="F314" s="163"/>
      <c r="K314"/>
    </row>
    <row r="315" spans="6:11" x14ac:dyDescent="0.2">
      <c r="F315" s="163"/>
      <c r="K315"/>
    </row>
    <row r="316" spans="6:11" x14ac:dyDescent="0.2">
      <c r="F316" s="163"/>
      <c r="K316"/>
    </row>
    <row r="317" spans="6:11" x14ac:dyDescent="0.2">
      <c r="F317" s="163"/>
      <c r="K317"/>
    </row>
    <row r="318" spans="6:11" x14ac:dyDescent="0.2">
      <c r="F318" s="163"/>
      <c r="K318"/>
    </row>
    <row r="319" spans="6:11" x14ac:dyDescent="0.2">
      <c r="F319" s="163"/>
      <c r="K319"/>
    </row>
    <row r="320" spans="6:11" x14ac:dyDescent="0.2">
      <c r="F320" s="163"/>
      <c r="K320"/>
    </row>
    <row r="321" spans="6:11" x14ac:dyDescent="0.2">
      <c r="F321" s="163"/>
      <c r="K321"/>
    </row>
    <row r="322" spans="6:11" x14ac:dyDescent="0.2">
      <c r="F322" s="163"/>
      <c r="K322"/>
    </row>
    <row r="323" spans="6:11" x14ac:dyDescent="0.2">
      <c r="F323" s="163"/>
      <c r="K323"/>
    </row>
    <row r="324" spans="6:11" x14ac:dyDescent="0.2">
      <c r="F324" s="163"/>
      <c r="K324"/>
    </row>
    <row r="325" spans="6:11" x14ac:dyDescent="0.2">
      <c r="F325" s="163"/>
      <c r="K325"/>
    </row>
    <row r="326" spans="6:11" x14ac:dyDescent="0.2">
      <c r="F326" s="163"/>
      <c r="K326"/>
    </row>
    <row r="327" spans="6:11" x14ac:dyDescent="0.2">
      <c r="F327" s="163"/>
      <c r="K327"/>
    </row>
    <row r="328" spans="6:11" x14ac:dyDescent="0.2">
      <c r="F328" s="163"/>
      <c r="K328"/>
    </row>
    <row r="329" spans="6:11" x14ac:dyDescent="0.2">
      <c r="F329" s="163"/>
      <c r="K329"/>
    </row>
    <row r="330" spans="6:11" x14ac:dyDescent="0.2">
      <c r="F330" s="163"/>
      <c r="K330"/>
    </row>
    <row r="331" spans="6:11" x14ac:dyDescent="0.2">
      <c r="F331" s="163"/>
      <c r="K331"/>
    </row>
    <row r="332" spans="6:11" x14ac:dyDescent="0.2">
      <c r="F332" s="163"/>
      <c r="K332"/>
    </row>
    <row r="333" spans="6:11" x14ac:dyDescent="0.2">
      <c r="F333" s="163"/>
      <c r="K333"/>
    </row>
    <row r="334" spans="6:11" x14ac:dyDescent="0.2">
      <c r="F334" s="163"/>
      <c r="K334"/>
    </row>
    <row r="335" spans="6:11" x14ac:dyDescent="0.2">
      <c r="F335" s="163"/>
      <c r="K335"/>
    </row>
    <row r="336" spans="6:11" x14ac:dyDescent="0.2">
      <c r="F336" s="163"/>
      <c r="K336"/>
    </row>
    <row r="337" spans="6:11" x14ac:dyDescent="0.2">
      <c r="F337" s="163"/>
      <c r="K337"/>
    </row>
    <row r="338" spans="6:11" x14ac:dyDescent="0.2">
      <c r="F338" s="163"/>
      <c r="K338"/>
    </row>
    <row r="339" spans="6:11" x14ac:dyDescent="0.2">
      <c r="F339" s="163"/>
      <c r="K339"/>
    </row>
    <row r="340" spans="6:11" x14ac:dyDescent="0.2">
      <c r="F340" s="163"/>
      <c r="K340"/>
    </row>
    <row r="341" spans="6:11" x14ac:dyDescent="0.2">
      <c r="F341" s="163"/>
      <c r="K341"/>
    </row>
    <row r="342" spans="6:11" x14ac:dyDescent="0.2">
      <c r="F342" s="163"/>
      <c r="K342"/>
    </row>
    <row r="343" spans="6:11" x14ac:dyDescent="0.2">
      <c r="F343" s="163"/>
      <c r="K343"/>
    </row>
    <row r="344" spans="6:11" x14ac:dyDescent="0.2">
      <c r="F344" s="163"/>
      <c r="K344"/>
    </row>
    <row r="345" spans="6:11" x14ac:dyDescent="0.2">
      <c r="F345" s="163"/>
      <c r="K345"/>
    </row>
    <row r="346" spans="6:11" x14ac:dyDescent="0.2">
      <c r="F346" s="163"/>
      <c r="K346"/>
    </row>
    <row r="347" spans="6:11" x14ac:dyDescent="0.2">
      <c r="F347" s="163"/>
      <c r="K347"/>
    </row>
    <row r="348" spans="6:11" x14ac:dyDescent="0.2">
      <c r="F348" s="163"/>
      <c r="K348"/>
    </row>
    <row r="349" spans="6:11" x14ac:dyDescent="0.2">
      <c r="F349" s="163"/>
      <c r="K349"/>
    </row>
    <row r="350" spans="6:11" x14ac:dyDescent="0.2">
      <c r="F350" s="163"/>
      <c r="K350"/>
    </row>
    <row r="351" spans="6:11" x14ac:dyDescent="0.2">
      <c r="F351" s="163"/>
      <c r="K351"/>
    </row>
    <row r="352" spans="6:11" x14ac:dyDescent="0.2">
      <c r="F352" s="163"/>
      <c r="K352"/>
    </row>
    <row r="353" spans="6:11" x14ac:dyDescent="0.2">
      <c r="F353" s="163"/>
      <c r="K353"/>
    </row>
    <row r="354" spans="6:11" x14ac:dyDescent="0.2">
      <c r="F354" s="163"/>
      <c r="K354"/>
    </row>
    <row r="355" spans="6:11" x14ac:dyDescent="0.2">
      <c r="F355" s="163"/>
      <c r="K355"/>
    </row>
    <row r="356" spans="6:11" x14ac:dyDescent="0.2">
      <c r="F356" s="163"/>
      <c r="K356"/>
    </row>
    <row r="357" spans="6:11" x14ac:dyDescent="0.2">
      <c r="F357" s="163"/>
      <c r="K357"/>
    </row>
    <row r="358" spans="6:11" x14ac:dyDescent="0.2">
      <c r="F358" s="163"/>
      <c r="K358"/>
    </row>
    <row r="359" spans="6:11" x14ac:dyDescent="0.2">
      <c r="F359" s="163"/>
      <c r="K359"/>
    </row>
    <row r="360" spans="6:11" x14ac:dyDescent="0.2">
      <c r="F360" s="163"/>
      <c r="K360"/>
    </row>
    <row r="361" spans="6:11" x14ac:dyDescent="0.2">
      <c r="F361" s="163"/>
      <c r="K361"/>
    </row>
    <row r="362" spans="6:11" x14ac:dyDescent="0.2">
      <c r="F362" s="163"/>
      <c r="K362"/>
    </row>
    <row r="363" spans="6:11" x14ac:dyDescent="0.2">
      <c r="F363" s="163"/>
      <c r="K363"/>
    </row>
    <row r="364" spans="6:11" x14ac:dyDescent="0.2">
      <c r="F364" s="163"/>
      <c r="K364"/>
    </row>
    <row r="365" spans="6:11" x14ac:dyDescent="0.2">
      <c r="F365" s="163"/>
      <c r="K365"/>
    </row>
    <row r="366" spans="6:11" x14ac:dyDescent="0.2">
      <c r="F366" s="163"/>
      <c r="K366"/>
    </row>
    <row r="367" spans="6:11" x14ac:dyDescent="0.2">
      <c r="F367" s="163"/>
      <c r="K367"/>
    </row>
    <row r="368" spans="6:11" x14ac:dyDescent="0.2">
      <c r="F368" s="163"/>
      <c r="K368"/>
    </row>
    <row r="369" spans="6:11" x14ac:dyDescent="0.2">
      <c r="F369" s="163"/>
      <c r="K369"/>
    </row>
    <row r="370" spans="6:11" x14ac:dyDescent="0.2">
      <c r="F370" s="163"/>
      <c r="K370"/>
    </row>
    <row r="371" spans="6:11" x14ac:dyDescent="0.2">
      <c r="F371" s="163"/>
      <c r="K371"/>
    </row>
    <row r="372" spans="6:11" x14ac:dyDescent="0.2">
      <c r="F372" s="163"/>
      <c r="K372"/>
    </row>
    <row r="373" spans="6:11" x14ac:dyDescent="0.2">
      <c r="F373" s="163"/>
      <c r="K373"/>
    </row>
    <row r="374" spans="6:11" x14ac:dyDescent="0.2">
      <c r="F374" s="163"/>
      <c r="K374"/>
    </row>
    <row r="375" spans="6:11" x14ac:dyDescent="0.2">
      <c r="F375" s="163"/>
      <c r="K375"/>
    </row>
    <row r="376" spans="6:11" x14ac:dyDescent="0.2">
      <c r="F376" s="163"/>
      <c r="K376"/>
    </row>
    <row r="377" spans="6:11" x14ac:dyDescent="0.2">
      <c r="F377" s="163"/>
      <c r="K377"/>
    </row>
    <row r="378" spans="6:11" x14ac:dyDescent="0.2">
      <c r="F378" s="163"/>
      <c r="K378"/>
    </row>
    <row r="379" spans="6:11" x14ac:dyDescent="0.2">
      <c r="F379" s="163"/>
      <c r="K379"/>
    </row>
    <row r="380" spans="6:11" x14ac:dyDescent="0.2">
      <c r="F380" s="163"/>
      <c r="K380"/>
    </row>
    <row r="381" spans="6:11" x14ac:dyDescent="0.2">
      <c r="F381" s="163"/>
      <c r="K381"/>
    </row>
    <row r="382" spans="6:11" x14ac:dyDescent="0.2">
      <c r="F382" s="163"/>
      <c r="K382"/>
    </row>
    <row r="383" spans="6:11" x14ac:dyDescent="0.2">
      <c r="F383" s="163"/>
      <c r="K383"/>
    </row>
    <row r="384" spans="6:11" x14ac:dyDescent="0.2">
      <c r="F384" s="163"/>
      <c r="K384"/>
    </row>
    <row r="385" spans="6:11" x14ac:dyDescent="0.2">
      <c r="F385" s="163"/>
      <c r="K385"/>
    </row>
    <row r="386" spans="6:11" x14ac:dyDescent="0.2">
      <c r="F386" s="163"/>
      <c r="K386"/>
    </row>
    <row r="387" spans="6:11" x14ac:dyDescent="0.2">
      <c r="F387" s="163"/>
      <c r="K387"/>
    </row>
    <row r="388" spans="6:11" x14ac:dyDescent="0.2">
      <c r="F388" s="163"/>
      <c r="K388"/>
    </row>
    <row r="389" spans="6:11" x14ac:dyDescent="0.2">
      <c r="F389" s="163"/>
      <c r="K389"/>
    </row>
    <row r="390" spans="6:11" x14ac:dyDescent="0.2">
      <c r="F390" s="163"/>
      <c r="K390"/>
    </row>
    <row r="391" spans="6:11" x14ac:dyDescent="0.2">
      <c r="F391" s="163"/>
      <c r="K391"/>
    </row>
    <row r="392" spans="6:11" x14ac:dyDescent="0.2">
      <c r="F392" s="163"/>
      <c r="K392"/>
    </row>
    <row r="393" spans="6:11" x14ac:dyDescent="0.2">
      <c r="F393" s="163"/>
      <c r="K393"/>
    </row>
    <row r="394" spans="6:11" x14ac:dyDescent="0.2">
      <c r="F394" s="163"/>
      <c r="K394"/>
    </row>
    <row r="395" spans="6:11" x14ac:dyDescent="0.2">
      <c r="F395" s="163"/>
      <c r="K395"/>
    </row>
    <row r="396" spans="6:11" x14ac:dyDescent="0.2">
      <c r="F396" s="163"/>
      <c r="K396"/>
    </row>
    <row r="397" spans="6:11" x14ac:dyDescent="0.2">
      <c r="F397" s="163"/>
      <c r="K397"/>
    </row>
    <row r="398" spans="6:11" x14ac:dyDescent="0.2">
      <c r="F398" s="163"/>
      <c r="K398"/>
    </row>
    <row r="399" spans="6:11" x14ac:dyDescent="0.2">
      <c r="F399" s="163"/>
      <c r="K399"/>
    </row>
    <row r="400" spans="6:11" x14ac:dyDescent="0.2">
      <c r="F400" s="163"/>
      <c r="K400"/>
    </row>
    <row r="401" spans="6:11" x14ac:dyDescent="0.2">
      <c r="F401" s="163"/>
      <c r="K401"/>
    </row>
    <row r="402" spans="6:11" x14ac:dyDescent="0.2">
      <c r="F402" s="163"/>
      <c r="K402"/>
    </row>
    <row r="403" spans="6:11" x14ac:dyDescent="0.2">
      <c r="F403" s="163"/>
      <c r="K403"/>
    </row>
    <row r="404" spans="6:11" x14ac:dyDescent="0.2">
      <c r="F404" s="163"/>
      <c r="K404"/>
    </row>
    <row r="405" spans="6:11" x14ac:dyDescent="0.2">
      <c r="F405" s="163"/>
      <c r="K405"/>
    </row>
    <row r="406" spans="6:11" x14ac:dyDescent="0.2">
      <c r="F406" s="163"/>
      <c r="K406"/>
    </row>
    <row r="407" spans="6:11" x14ac:dyDescent="0.2">
      <c r="F407" s="163"/>
      <c r="K407"/>
    </row>
    <row r="408" spans="6:11" x14ac:dyDescent="0.2">
      <c r="F408" s="163"/>
      <c r="K408"/>
    </row>
    <row r="409" spans="6:11" x14ac:dyDescent="0.2">
      <c r="F409" s="163"/>
      <c r="K409"/>
    </row>
    <row r="410" spans="6:11" x14ac:dyDescent="0.2">
      <c r="F410" s="163"/>
      <c r="K410"/>
    </row>
    <row r="411" spans="6:11" x14ac:dyDescent="0.2">
      <c r="F411" s="163"/>
      <c r="K411"/>
    </row>
    <row r="412" spans="6:11" x14ac:dyDescent="0.2">
      <c r="F412" s="163"/>
      <c r="K412"/>
    </row>
    <row r="413" spans="6:11" x14ac:dyDescent="0.2">
      <c r="F413" s="163"/>
      <c r="K413"/>
    </row>
    <row r="414" spans="6:11" x14ac:dyDescent="0.2">
      <c r="F414" s="163"/>
      <c r="K414"/>
    </row>
    <row r="415" spans="6:11" x14ac:dyDescent="0.2">
      <c r="F415" s="163"/>
      <c r="K415"/>
    </row>
    <row r="416" spans="6:11" x14ac:dyDescent="0.2">
      <c r="F416" s="163"/>
      <c r="K416"/>
    </row>
    <row r="417" spans="6:11" x14ac:dyDescent="0.2">
      <c r="F417" s="163"/>
      <c r="K417"/>
    </row>
    <row r="418" spans="6:11" x14ac:dyDescent="0.2">
      <c r="F418" s="163"/>
      <c r="K418"/>
    </row>
    <row r="419" spans="6:11" x14ac:dyDescent="0.2">
      <c r="F419" s="163"/>
      <c r="K419"/>
    </row>
    <row r="420" spans="6:11" x14ac:dyDescent="0.2">
      <c r="F420" s="163"/>
      <c r="K420"/>
    </row>
    <row r="421" spans="6:11" x14ac:dyDescent="0.2">
      <c r="F421" s="163"/>
      <c r="K421"/>
    </row>
    <row r="422" spans="6:11" x14ac:dyDescent="0.2">
      <c r="F422" s="163"/>
      <c r="K422"/>
    </row>
    <row r="423" spans="6:11" x14ac:dyDescent="0.2">
      <c r="F423" s="163"/>
      <c r="K423"/>
    </row>
    <row r="424" spans="6:11" x14ac:dyDescent="0.2">
      <c r="F424" s="163"/>
      <c r="K424"/>
    </row>
    <row r="425" spans="6:11" x14ac:dyDescent="0.2">
      <c r="F425" s="163"/>
      <c r="K425"/>
    </row>
    <row r="426" spans="6:11" x14ac:dyDescent="0.2">
      <c r="F426" s="163"/>
      <c r="K426"/>
    </row>
    <row r="427" spans="6:11" x14ac:dyDescent="0.2">
      <c r="F427" s="163"/>
      <c r="K427"/>
    </row>
    <row r="428" spans="6:11" x14ac:dyDescent="0.2">
      <c r="F428" s="163"/>
      <c r="K428"/>
    </row>
    <row r="429" spans="6:11" x14ac:dyDescent="0.2">
      <c r="F429" s="163"/>
      <c r="K429"/>
    </row>
    <row r="430" spans="6:11" x14ac:dyDescent="0.2">
      <c r="F430" s="163"/>
      <c r="K430"/>
    </row>
    <row r="431" spans="6:11" x14ac:dyDescent="0.2">
      <c r="F431" s="163"/>
      <c r="K431"/>
    </row>
    <row r="432" spans="6:11" x14ac:dyDescent="0.2">
      <c r="F432" s="163"/>
      <c r="K432"/>
    </row>
    <row r="433" spans="6:11" x14ac:dyDescent="0.2">
      <c r="F433" s="163"/>
      <c r="K433"/>
    </row>
    <row r="434" spans="6:11" x14ac:dyDescent="0.2">
      <c r="F434" s="163"/>
      <c r="K434"/>
    </row>
    <row r="435" spans="6:11" x14ac:dyDescent="0.2">
      <c r="F435" s="163"/>
      <c r="K435"/>
    </row>
    <row r="436" spans="6:11" x14ac:dyDescent="0.2">
      <c r="F436" s="163"/>
      <c r="K436"/>
    </row>
    <row r="437" spans="6:11" x14ac:dyDescent="0.2">
      <c r="F437" s="163"/>
      <c r="K437"/>
    </row>
    <row r="438" spans="6:11" x14ac:dyDescent="0.2">
      <c r="F438" s="163"/>
      <c r="K438"/>
    </row>
    <row r="439" spans="6:11" x14ac:dyDescent="0.2">
      <c r="F439" s="163"/>
      <c r="K439"/>
    </row>
    <row r="440" spans="6:11" x14ac:dyDescent="0.2">
      <c r="F440" s="163"/>
      <c r="K440"/>
    </row>
    <row r="441" spans="6:11" x14ac:dyDescent="0.2">
      <c r="F441" s="163"/>
      <c r="K441"/>
    </row>
    <row r="442" spans="6:11" x14ac:dyDescent="0.2">
      <c r="F442" s="163"/>
      <c r="K442"/>
    </row>
    <row r="443" spans="6:11" x14ac:dyDescent="0.2">
      <c r="F443" s="163"/>
      <c r="K443"/>
    </row>
    <row r="444" spans="6:11" x14ac:dyDescent="0.2">
      <c r="F444" s="163"/>
      <c r="K444"/>
    </row>
    <row r="445" spans="6:11" x14ac:dyDescent="0.2">
      <c r="F445" s="163"/>
      <c r="K445"/>
    </row>
    <row r="446" spans="6:11" x14ac:dyDescent="0.2">
      <c r="F446" s="163"/>
      <c r="K446"/>
    </row>
    <row r="447" spans="6:11" x14ac:dyDescent="0.2">
      <c r="F447" s="163"/>
      <c r="K447"/>
    </row>
    <row r="448" spans="6:11" x14ac:dyDescent="0.2">
      <c r="F448" s="163"/>
      <c r="K448"/>
    </row>
    <row r="449" spans="6:11" x14ac:dyDescent="0.2">
      <c r="F449" s="163"/>
      <c r="K449"/>
    </row>
    <row r="450" spans="6:11" x14ac:dyDescent="0.2">
      <c r="F450" s="163"/>
      <c r="K450"/>
    </row>
    <row r="451" spans="6:11" x14ac:dyDescent="0.2">
      <c r="F451" s="163"/>
      <c r="K451"/>
    </row>
    <row r="452" spans="6:11" x14ac:dyDescent="0.2">
      <c r="F452" s="163"/>
      <c r="K452"/>
    </row>
    <row r="453" spans="6:11" x14ac:dyDescent="0.2">
      <c r="F453" s="163"/>
      <c r="K453"/>
    </row>
    <row r="454" spans="6:11" x14ac:dyDescent="0.2">
      <c r="F454" s="163"/>
      <c r="K454"/>
    </row>
    <row r="455" spans="6:11" x14ac:dyDescent="0.2">
      <c r="F455" s="163"/>
      <c r="K455"/>
    </row>
    <row r="456" spans="6:11" x14ac:dyDescent="0.2">
      <c r="F456" s="163"/>
      <c r="K456"/>
    </row>
    <row r="457" spans="6:11" x14ac:dyDescent="0.2">
      <c r="F457" s="163"/>
      <c r="K457"/>
    </row>
    <row r="458" spans="6:11" x14ac:dyDescent="0.2">
      <c r="F458" s="163"/>
      <c r="K458"/>
    </row>
    <row r="459" spans="6:11" x14ac:dyDescent="0.2">
      <c r="F459" s="163"/>
      <c r="K459"/>
    </row>
    <row r="460" spans="6:11" x14ac:dyDescent="0.2">
      <c r="F460" s="163"/>
      <c r="K460"/>
    </row>
    <row r="461" spans="6:11" x14ac:dyDescent="0.2">
      <c r="F461" s="163"/>
      <c r="K461"/>
    </row>
    <row r="462" spans="6:11" x14ac:dyDescent="0.2">
      <c r="F462" s="163"/>
      <c r="K462"/>
    </row>
    <row r="463" spans="6:11" x14ac:dyDescent="0.2">
      <c r="F463" s="163"/>
      <c r="K463"/>
    </row>
    <row r="464" spans="6:11" x14ac:dyDescent="0.2">
      <c r="F464" s="163"/>
      <c r="K464"/>
    </row>
    <row r="465" spans="6:11" x14ac:dyDescent="0.2">
      <c r="F465" s="163"/>
      <c r="K465"/>
    </row>
    <row r="466" spans="6:11" x14ac:dyDescent="0.2">
      <c r="F466" s="163"/>
      <c r="K466"/>
    </row>
    <row r="467" spans="6:11" x14ac:dyDescent="0.2">
      <c r="F467" s="163"/>
      <c r="K467"/>
    </row>
    <row r="468" spans="6:11" x14ac:dyDescent="0.2">
      <c r="F468" s="163"/>
      <c r="K468"/>
    </row>
    <row r="469" spans="6:11" x14ac:dyDescent="0.2">
      <c r="F469" s="163"/>
      <c r="K469"/>
    </row>
    <row r="470" spans="6:11" x14ac:dyDescent="0.2">
      <c r="F470" s="163"/>
      <c r="K470"/>
    </row>
    <row r="471" spans="6:11" x14ac:dyDescent="0.2">
      <c r="F471" s="163"/>
      <c r="K471"/>
    </row>
    <row r="472" spans="6:11" x14ac:dyDescent="0.2">
      <c r="F472" s="163"/>
      <c r="K472"/>
    </row>
    <row r="473" spans="6:11" x14ac:dyDescent="0.2">
      <c r="F473" s="163"/>
      <c r="K473"/>
    </row>
    <row r="474" spans="6:11" x14ac:dyDescent="0.2">
      <c r="F474" s="163"/>
      <c r="K474"/>
    </row>
    <row r="475" spans="6:11" x14ac:dyDescent="0.2">
      <c r="F475" s="163"/>
      <c r="K475"/>
    </row>
    <row r="476" spans="6:11" x14ac:dyDescent="0.2">
      <c r="F476" s="163"/>
      <c r="K476"/>
    </row>
    <row r="477" spans="6:11" x14ac:dyDescent="0.2">
      <c r="F477" s="163"/>
      <c r="K477"/>
    </row>
    <row r="478" spans="6:11" x14ac:dyDescent="0.2">
      <c r="F478" s="163"/>
      <c r="K478"/>
    </row>
    <row r="479" spans="6:11" x14ac:dyDescent="0.2">
      <c r="F479" s="163"/>
      <c r="K479"/>
    </row>
    <row r="480" spans="6:11" x14ac:dyDescent="0.2">
      <c r="F480" s="163"/>
      <c r="K480"/>
    </row>
    <row r="481" spans="6:11" x14ac:dyDescent="0.2">
      <c r="F481" s="163"/>
      <c r="K481"/>
    </row>
    <row r="482" spans="6:11" x14ac:dyDescent="0.2">
      <c r="F482" s="163"/>
      <c r="K482"/>
    </row>
    <row r="483" spans="6:11" x14ac:dyDescent="0.2">
      <c r="F483" s="163"/>
      <c r="K483"/>
    </row>
    <row r="484" spans="6:11" x14ac:dyDescent="0.2">
      <c r="F484" s="163"/>
      <c r="K484"/>
    </row>
    <row r="485" spans="6:11" x14ac:dyDescent="0.2">
      <c r="F485" s="163"/>
      <c r="K485"/>
    </row>
    <row r="486" spans="6:11" x14ac:dyDescent="0.2">
      <c r="F486" s="163"/>
      <c r="K486"/>
    </row>
    <row r="487" spans="6:11" x14ac:dyDescent="0.2">
      <c r="F487" s="163"/>
      <c r="K487"/>
    </row>
    <row r="488" spans="6:11" x14ac:dyDescent="0.2">
      <c r="F488" s="163"/>
      <c r="K488"/>
    </row>
    <row r="489" spans="6:11" x14ac:dyDescent="0.2">
      <c r="F489" s="163"/>
      <c r="K489"/>
    </row>
    <row r="490" spans="6:11" x14ac:dyDescent="0.2">
      <c r="F490" s="163"/>
      <c r="K490"/>
    </row>
    <row r="491" spans="6:11" x14ac:dyDescent="0.2">
      <c r="F491" s="163"/>
      <c r="K491"/>
    </row>
    <row r="492" spans="6:11" x14ac:dyDescent="0.2">
      <c r="F492" s="163"/>
      <c r="K492"/>
    </row>
    <row r="493" spans="6:11" x14ac:dyDescent="0.2">
      <c r="F493" s="163"/>
      <c r="K493"/>
    </row>
    <row r="494" spans="6:11" x14ac:dyDescent="0.2">
      <c r="F494" s="163"/>
      <c r="K494"/>
    </row>
    <row r="495" spans="6:11" x14ac:dyDescent="0.2">
      <c r="F495" s="163"/>
      <c r="K495"/>
    </row>
    <row r="496" spans="6:11" x14ac:dyDescent="0.2">
      <c r="F496" s="163"/>
      <c r="K496"/>
    </row>
    <row r="497" spans="6:11" x14ac:dyDescent="0.2">
      <c r="F497" s="163"/>
      <c r="K497"/>
    </row>
    <row r="498" spans="6:11" x14ac:dyDescent="0.2">
      <c r="F498" s="163"/>
      <c r="K498"/>
    </row>
    <row r="499" spans="6:11" x14ac:dyDescent="0.2">
      <c r="F499" s="163"/>
      <c r="K499"/>
    </row>
    <row r="500" spans="6:11" x14ac:dyDescent="0.2">
      <c r="F500" s="163"/>
      <c r="K500"/>
    </row>
    <row r="501" spans="6:11" x14ac:dyDescent="0.2">
      <c r="F501" s="163"/>
      <c r="K501"/>
    </row>
    <row r="502" spans="6:11" x14ac:dyDescent="0.2">
      <c r="F502" s="163"/>
      <c r="K502"/>
    </row>
    <row r="503" spans="6:11" x14ac:dyDescent="0.2">
      <c r="F503" s="163"/>
      <c r="K503"/>
    </row>
    <row r="504" spans="6:11" x14ac:dyDescent="0.2">
      <c r="F504" s="163"/>
      <c r="K504"/>
    </row>
    <row r="505" spans="6:11" x14ac:dyDescent="0.2">
      <c r="F505" s="163"/>
      <c r="K505"/>
    </row>
    <row r="506" spans="6:11" x14ac:dyDescent="0.2">
      <c r="F506" s="163"/>
      <c r="K506"/>
    </row>
    <row r="507" spans="6:11" x14ac:dyDescent="0.2">
      <c r="F507" s="163"/>
      <c r="K507"/>
    </row>
    <row r="508" spans="6:11" x14ac:dyDescent="0.2">
      <c r="F508" s="163"/>
      <c r="K508"/>
    </row>
    <row r="509" spans="6:11" x14ac:dyDescent="0.2">
      <c r="F509" s="163"/>
      <c r="K509"/>
    </row>
    <row r="510" spans="6:11" x14ac:dyDescent="0.2">
      <c r="F510" s="163"/>
      <c r="K510"/>
    </row>
    <row r="511" spans="6:11" x14ac:dyDescent="0.2">
      <c r="F511" s="163"/>
      <c r="K511"/>
    </row>
    <row r="512" spans="6:11" x14ac:dyDescent="0.2">
      <c r="F512" s="163"/>
      <c r="K512"/>
    </row>
    <row r="513" spans="6:11" x14ac:dyDescent="0.2">
      <c r="F513" s="163"/>
      <c r="K513"/>
    </row>
    <row r="514" spans="6:11" x14ac:dyDescent="0.2">
      <c r="F514" s="163"/>
      <c r="K514"/>
    </row>
    <row r="515" spans="6:11" x14ac:dyDescent="0.2">
      <c r="F515" s="163"/>
      <c r="K515"/>
    </row>
    <row r="516" spans="6:11" x14ac:dyDescent="0.2">
      <c r="F516" s="163"/>
      <c r="K516"/>
    </row>
    <row r="517" spans="6:11" x14ac:dyDescent="0.2">
      <c r="F517" s="163"/>
      <c r="K517"/>
    </row>
    <row r="518" spans="6:11" x14ac:dyDescent="0.2">
      <c r="F518" s="163"/>
      <c r="K518"/>
    </row>
    <row r="519" spans="6:11" x14ac:dyDescent="0.2">
      <c r="F519" s="163"/>
      <c r="K519"/>
    </row>
    <row r="520" spans="6:11" x14ac:dyDescent="0.2">
      <c r="F520" s="163"/>
      <c r="K520"/>
    </row>
    <row r="521" spans="6:11" x14ac:dyDescent="0.2">
      <c r="F521" s="163"/>
      <c r="K521"/>
    </row>
    <row r="522" spans="6:11" x14ac:dyDescent="0.2">
      <c r="F522" s="163"/>
      <c r="K522"/>
    </row>
    <row r="523" spans="6:11" x14ac:dyDescent="0.2">
      <c r="F523" s="163"/>
      <c r="K523"/>
    </row>
    <row r="524" spans="6:11" x14ac:dyDescent="0.2">
      <c r="F524" s="163"/>
      <c r="K524"/>
    </row>
    <row r="525" spans="6:11" x14ac:dyDescent="0.2">
      <c r="F525" s="163"/>
      <c r="K525"/>
    </row>
    <row r="526" spans="6:11" x14ac:dyDescent="0.2">
      <c r="F526" s="163"/>
      <c r="K526"/>
    </row>
    <row r="527" spans="6:11" x14ac:dyDescent="0.2">
      <c r="F527" s="163"/>
      <c r="K527"/>
    </row>
    <row r="528" spans="6:11" x14ac:dyDescent="0.2">
      <c r="F528" s="163"/>
      <c r="K528"/>
    </row>
    <row r="529" spans="6:11" x14ac:dyDescent="0.2">
      <c r="F529" s="163"/>
      <c r="K529"/>
    </row>
    <row r="530" spans="6:11" x14ac:dyDescent="0.2">
      <c r="F530" s="163"/>
      <c r="K530"/>
    </row>
    <row r="531" spans="6:11" x14ac:dyDescent="0.2">
      <c r="F531" s="163"/>
      <c r="K531"/>
    </row>
    <row r="532" spans="6:11" x14ac:dyDescent="0.2">
      <c r="F532" s="163"/>
      <c r="K532"/>
    </row>
    <row r="533" spans="6:11" x14ac:dyDescent="0.2">
      <c r="F533" s="163"/>
      <c r="K533"/>
    </row>
    <row r="534" spans="6:11" x14ac:dyDescent="0.2">
      <c r="F534" s="163"/>
      <c r="K534"/>
    </row>
    <row r="535" spans="6:11" x14ac:dyDescent="0.2">
      <c r="F535" s="163"/>
      <c r="K535"/>
    </row>
    <row r="536" spans="6:11" x14ac:dyDescent="0.2">
      <c r="F536" s="163"/>
      <c r="K536"/>
    </row>
    <row r="537" spans="6:11" x14ac:dyDescent="0.2">
      <c r="F537" s="163"/>
      <c r="K537"/>
    </row>
    <row r="538" spans="6:11" x14ac:dyDescent="0.2">
      <c r="F538" s="163"/>
      <c r="K538"/>
    </row>
    <row r="539" spans="6:11" x14ac:dyDescent="0.2">
      <c r="F539" s="163"/>
      <c r="K539"/>
    </row>
    <row r="540" spans="6:11" x14ac:dyDescent="0.2">
      <c r="F540" s="163"/>
      <c r="K540"/>
    </row>
    <row r="541" spans="6:11" x14ac:dyDescent="0.2">
      <c r="F541" s="163"/>
      <c r="K541"/>
    </row>
    <row r="542" spans="6:11" x14ac:dyDescent="0.2">
      <c r="F542" s="163"/>
      <c r="K542"/>
    </row>
    <row r="543" spans="6:11" x14ac:dyDescent="0.2">
      <c r="F543" s="163"/>
      <c r="K543"/>
    </row>
    <row r="544" spans="6:11" x14ac:dyDescent="0.2">
      <c r="F544" s="163"/>
      <c r="K544"/>
    </row>
    <row r="545" spans="6:11" x14ac:dyDescent="0.2">
      <c r="F545" s="163"/>
      <c r="K545"/>
    </row>
    <row r="546" spans="6:11" x14ac:dyDescent="0.2">
      <c r="F546" s="163"/>
      <c r="K546"/>
    </row>
    <row r="547" spans="6:11" x14ac:dyDescent="0.2">
      <c r="F547" s="163"/>
      <c r="K547"/>
    </row>
    <row r="548" spans="6:11" x14ac:dyDescent="0.2">
      <c r="F548" s="163"/>
      <c r="K548"/>
    </row>
    <row r="549" spans="6:11" x14ac:dyDescent="0.2">
      <c r="F549" s="163"/>
      <c r="K549"/>
    </row>
    <row r="550" spans="6:11" x14ac:dyDescent="0.2">
      <c r="F550" s="163"/>
      <c r="K550"/>
    </row>
    <row r="551" spans="6:11" x14ac:dyDescent="0.2">
      <c r="F551" s="163"/>
      <c r="K551"/>
    </row>
    <row r="552" spans="6:11" x14ac:dyDescent="0.2">
      <c r="F552" s="163"/>
      <c r="K552"/>
    </row>
    <row r="553" spans="6:11" x14ac:dyDescent="0.2">
      <c r="F553" s="163"/>
      <c r="K553"/>
    </row>
    <row r="554" spans="6:11" x14ac:dyDescent="0.2">
      <c r="F554" s="163"/>
      <c r="K554"/>
    </row>
    <row r="555" spans="6:11" x14ac:dyDescent="0.2">
      <c r="F555" s="163"/>
      <c r="K555"/>
    </row>
    <row r="556" spans="6:11" x14ac:dyDescent="0.2">
      <c r="F556" s="163"/>
      <c r="K556"/>
    </row>
    <row r="557" spans="6:11" x14ac:dyDescent="0.2">
      <c r="F557" s="163"/>
      <c r="K557"/>
    </row>
    <row r="558" spans="6:11" x14ac:dyDescent="0.2">
      <c r="F558" s="163"/>
      <c r="K558"/>
    </row>
    <row r="559" spans="6:11" x14ac:dyDescent="0.2">
      <c r="F559" s="163"/>
      <c r="K559"/>
    </row>
    <row r="560" spans="6:11" x14ac:dyDescent="0.2">
      <c r="F560" s="163"/>
      <c r="K560"/>
    </row>
    <row r="561" spans="6:11" x14ac:dyDescent="0.2">
      <c r="F561" s="163"/>
      <c r="K561"/>
    </row>
    <row r="562" spans="6:11" x14ac:dyDescent="0.2">
      <c r="F562" s="163"/>
      <c r="K562"/>
    </row>
    <row r="563" spans="6:11" x14ac:dyDescent="0.2">
      <c r="F563" s="163"/>
      <c r="K563"/>
    </row>
    <row r="564" spans="6:11" x14ac:dyDescent="0.2">
      <c r="F564" s="163"/>
      <c r="K564"/>
    </row>
    <row r="565" spans="6:11" x14ac:dyDescent="0.2">
      <c r="F565" s="163"/>
      <c r="K565"/>
    </row>
    <row r="566" spans="6:11" x14ac:dyDescent="0.2">
      <c r="F566" s="163"/>
      <c r="K566"/>
    </row>
    <row r="567" spans="6:11" x14ac:dyDescent="0.2">
      <c r="F567" s="163"/>
      <c r="K567"/>
    </row>
    <row r="568" spans="6:11" x14ac:dyDescent="0.2">
      <c r="F568" s="163"/>
      <c r="K568"/>
    </row>
    <row r="569" spans="6:11" x14ac:dyDescent="0.2">
      <c r="F569" s="163"/>
      <c r="K569"/>
    </row>
    <row r="570" spans="6:11" x14ac:dyDescent="0.2">
      <c r="F570" s="163"/>
      <c r="K570"/>
    </row>
    <row r="571" spans="6:11" x14ac:dyDescent="0.2">
      <c r="F571" s="163"/>
      <c r="K571"/>
    </row>
    <row r="572" spans="6:11" x14ac:dyDescent="0.2">
      <c r="F572" s="163"/>
      <c r="K572"/>
    </row>
    <row r="573" spans="6:11" x14ac:dyDescent="0.2">
      <c r="F573" s="163"/>
      <c r="K573"/>
    </row>
    <row r="574" spans="6:11" x14ac:dyDescent="0.2">
      <c r="F574" s="163"/>
      <c r="K574"/>
    </row>
    <row r="575" spans="6:11" x14ac:dyDescent="0.2">
      <c r="F575" s="163"/>
      <c r="K575"/>
    </row>
    <row r="576" spans="6:11" x14ac:dyDescent="0.2">
      <c r="F576" s="163"/>
      <c r="K576"/>
    </row>
    <row r="577" spans="6:11" x14ac:dyDescent="0.2">
      <c r="F577" s="163"/>
      <c r="K577"/>
    </row>
    <row r="578" spans="6:11" x14ac:dyDescent="0.2">
      <c r="F578" s="163"/>
      <c r="K578"/>
    </row>
    <row r="579" spans="6:11" x14ac:dyDescent="0.2">
      <c r="F579" s="163"/>
      <c r="K579"/>
    </row>
    <row r="580" spans="6:11" x14ac:dyDescent="0.2">
      <c r="F580" s="163"/>
      <c r="K580"/>
    </row>
    <row r="581" spans="6:11" x14ac:dyDescent="0.2">
      <c r="F581" s="163"/>
      <c r="K581"/>
    </row>
    <row r="582" spans="6:11" x14ac:dyDescent="0.2">
      <c r="F582" s="163"/>
      <c r="K582"/>
    </row>
    <row r="583" spans="6:11" x14ac:dyDescent="0.2">
      <c r="F583" s="163"/>
      <c r="K583"/>
    </row>
    <row r="584" spans="6:11" x14ac:dyDescent="0.2">
      <c r="F584" s="163"/>
      <c r="K584"/>
    </row>
    <row r="585" spans="6:11" x14ac:dyDescent="0.2">
      <c r="F585" s="163"/>
      <c r="K585"/>
    </row>
    <row r="586" spans="6:11" x14ac:dyDescent="0.2">
      <c r="F586" s="163"/>
      <c r="K586"/>
    </row>
    <row r="587" spans="6:11" x14ac:dyDescent="0.2">
      <c r="F587" s="163"/>
      <c r="K587"/>
    </row>
    <row r="588" spans="6:11" x14ac:dyDescent="0.2">
      <c r="F588" s="163"/>
      <c r="K588"/>
    </row>
    <row r="589" spans="6:11" x14ac:dyDescent="0.2">
      <c r="F589" s="163"/>
      <c r="K589"/>
    </row>
    <row r="590" spans="6:11" x14ac:dyDescent="0.2">
      <c r="F590" s="163"/>
      <c r="K590"/>
    </row>
    <row r="591" spans="6:11" x14ac:dyDescent="0.2">
      <c r="F591" s="163"/>
      <c r="K591"/>
    </row>
    <row r="592" spans="6:11" x14ac:dyDescent="0.2">
      <c r="F592" s="163"/>
      <c r="K592"/>
    </row>
    <row r="593" spans="6:11" x14ac:dyDescent="0.2">
      <c r="F593" s="163"/>
      <c r="K593"/>
    </row>
    <row r="594" spans="6:11" x14ac:dyDescent="0.2">
      <c r="F594" s="163"/>
      <c r="K594"/>
    </row>
    <row r="595" spans="6:11" x14ac:dyDescent="0.2">
      <c r="F595" s="163"/>
      <c r="K595"/>
    </row>
    <row r="596" spans="6:11" x14ac:dyDescent="0.2">
      <c r="F596" s="163"/>
      <c r="K596"/>
    </row>
    <row r="597" spans="6:11" x14ac:dyDescent="0.2">
      <c r="F597" s="163"/>
      <c r="K597"/>
    </row>
    <row r="598" spans="6:11" x14ac:dyDescent="0.2">
      <c r="F598" s="163"/>
      <c r="K598"/>
    </row>
    <row r="599" spans="6:11" x14ac:dyDescent="0.2">
      <c r="F599" s="163"/>
      <c r="K599"/>
    </row>
    <row r="600" spans="6:11" x14ac:dyDescent="0.2">
      <c r="F600" s="163"/>
      <c r="K600"/>
    </row>
    <row r="601" spans="6:11" x14ac:dyDescent="0.2">
      <c r="F601" s="163"/>
      <c r="K601"/>
    </row>
    <row r="602" spans="6:11" x14ac:dyDescent="0.2">
      <c r="F602" s="163"/>
      <c r="K602"/>
    </row>
    <row r="603" spans="6:11" x14ac:dyDescent="0.2">
      <c r="F603" s="163"/>
      <c r="K603"/>
    </row>
    <row r="604" spans="6:11" x14ac:dyDescent="0.2">
      <c r="F604" s="163"/>
      <c r="K604"/>
    </row>
    <row r="605" spans="6:11" x14ac:dyDescent="0.2">
      <c r="F605" s="163"/>
      <c r="K605"/>
    </row>
    <row r="606" spans="6:11" x14ac:dyDescent="0.2">
      <c r="F606" s="163"/>
      <c r="K606"/>
    </row>
    <row r="607" spans="6:11" x14ac:dyDescent="0.2">
      <c r="F607" s="163"/>
      <c r="K607"/>
    </row>
    <row r="608" spans="6:11" x14ac:dyDescent="0.2">
      <c r="F608" s="163"/>
      <c r="K608"/>
    </row>
    <row r="609" spans="6:11" x14ac:dyDescent="0.2">
      <c r="F609" s="163"/>
      <c r="K609"/>
    </row>
    <row r="610" spans="6:11" x14ac:dyDescent="0.2">
      <c r="F610" s="163"/>
      <c r="K610"/>
    </row>
    <row r="611" spans="6:11" x14ac:dyDescent="0.2">
      <c r="F611" s="163"/>
      <c r="K611"/>
    </row>
    <row r="612" spans="6:11" x14ac:dyDescent="0.2">
      <c r="F612" s="163"/>
      <c r="K612"/>
    </row>
    <row r="613" spans="6:11" x14ac:dyDescent="0.2">
      <c r="F613" s="163"/>
      <c r="K613"/>
    </row>
    <row r="614" spans="6:11" x14ac:dyDescent="0.2">
      <c r="F614" s="163"/>
      <c r="K614"/>
    </row>
    <row r="615" spans="6:11" x14ac:dyDescent="0.2">
      <c r="F615" s="163"/>
      <c r="K615"/>
    </row>
    <row r="616" spans="6:11" x14ac:dyDescent="0.2">
      <c r="F616" s="163"/>
      <c r="K616"/>
    </row>
    <row r="617" spans="6:11" x14ac:dyDescent="0.2">
      <c r="F617" s="163"/>
      <c r="K617"/>
    </row>
    <row r="618" spans="6:11" x14ac:dyDescent="0.2">
      <c r="F618" s="163"/>
      <c r="K618"/>
    </row>
    <row r="619" spans="6:11" x14ac:dyDescent="0.2">
      <c r="F619" s="163"/>
      <c r="K619"/>
    </row>
    <row r="620" spans="6:11" x14ac:dyDescent="0.2">
      <c r="F620" s="163"/>
      <c r="K620"/>
    </row>
    <row r="621" spans="6:11" x14ac:dyDescent="0.2">
      <c r="F621" s="163"/>
      <c r="K621"/>
    </row>
    <row r="622" spans="6:11" x14ac:dyDescent="0.2">
      <c r="F622" s="163"/>
      <c r="K622"/>
    </row>
    <row r="623" spans="6:11" x14ac:dyDescent="0.2">
      <c r="F623" s="163"/>
      <c r="K623"/>
    </row>
    <row r="624" spans="6:11" x14ac:dyDescent="0.2">
      <c r="F624" s="163"/>
      <c r="K624"/>
    </row>
    <row r="625" spans="6:11" x14ac:dyDescent="0.2">
      <c r="F625" s="163"/>
      <c r="K625"/>
    </row>
    <row r="626" spans="6:11" x14ac:dyDescent="0.2">
      <c r="F626" s="163"/>
      <c r="K626"/>
    </row>
    <row r="627" spans="6:11" x14ac:dyDescent="0.2">
      <c r="F627" s="163"/>
      <c r="K627"/>
    </row>
    <row r="628" spans="6:11" x14ac:dyDescent="0.2">
      <c r="F628" s="163"/>
      <c r="K628"/>
    </row>
    <row r="629" spans="6:11" x14ac:dyDescent="0.2">
      <c r="F629" s="163"/>
      <c r="K629"/>
    </row>
    <row r="630" spans="6:11" x14ac:dyDescent="0.2">
      <c r="F630" s="163"/>
      <c r="K630"/>
    </row>
    <row r="631" spans="6:11" x14ac:dyDescent="0.2">
      <c r="F631" s="163"/>
      <c r="K631"/>
    </row>
    <row r="632" spans="6:11" x14ac:dyDescent="0.2">
      <c r="F632" s="163"/>
      <c r="K632"/>
    </row>
    <row r="633" spans="6:11" x14ac:dyDescent="0.2">
      <c r="F633" s="163"/>
      <c r="K633"/>
    </row>
    <row r="634" spans="6:11" x14ac:dyDescent="0.2">
      <c r="F634" s="163"/>
      <c r="K634"/>
    </row>
    <row r="635" spans="6:11" x14ac:dyDescent="0.2">
      <c r="F635" s="163"/>
      <c r="K635"/>
    </row>
    <row r="636" spans="6:11" x14ac:dyDescent="0.2">
      <c r="F636" s="163"/>
      <c r="K636"/>
    </row>
    <row r="637" spans="6:11" x14ac:dyDescent="0.2">
      <c r="F637" s="163"/>
      <c r="K637"/>
    </row>
    <row r="638" spans="6:11" x14ac:dyDescent="0.2">
      <c r="F638" s="163"/>
      <c r="K638"/>
    </row>
    <row r="639" spans="6:11" x14ac:dyDescent="0.2">
      <c r="F639" s="163"/>
      <c r="K639"/>
    </row>
    <row r="640" spans="6:11" x14ac:dyDescent="0.2">
      <c r="F640" s="163"/>
      <c r="K640"/>
    </row>
    <row r="641" spans="6:11" x14ac:dyDescent="0.2">
      <c r="F641" s="163"/>
      <c r="K641"/>
    </row>
    <row r="642" spans="6:11" x14ac:dyDescent="0.2">
      <c r="F642" s="163"/>
      <c r="K642"/>
    </row>
    <row r="643" spans="6:11" x14ac:dyDescent="0.2">
      <c r="F643" s="163"/>
      <c r="K643"/>
    </row>
    <row r="644" spans="6:11" x14ac:dyDescent="0.2">
      <c r="F644" s="163"/>
      <c r="K644"/>
    </row>
    <row r="645" spans="6:11" x14ac:dyDescent="0.2">
      <c r="F645" s="163"/>
      <c r="K645"/>
    </row>
    <row r="646" spans="6:11" x14ac:dyDescent="0.2">
      <c r="F646" s="163"/>
      <c r="K646"/>
    </row>
    <row r="647" spans="6:11" x14ac:dyDescent="0.2">
      <c r="F647" s="163"/>
      <c r="K647"/>
    </row>
    <row r="648" spans="6:11" x14ac:dyDescent="0.2">
      <c r="F648" s="163"/>
      <c r="K648"/>
    </row>
    <row r="649" spans="6:11" x14ac:dyDescent="0.2">
      <c r="F649" s="163"/>
      <c r="K649"/>
    </row>
    <row r="650" spans="6:11" x14ac:dyDescent="0.2">
      <c r="F650" s="163"/>
      <c r="K650"/>
    </row>
    <row r="651" spans="6:11" x14ac:dyDescent="0.2">
      <c r="F651" s="163"/>
      <c r="K651"/>
    </row>
    <row r="652" spans="6:11" x14ac:dyDescent="0.2">
      <c r="F652" s="163"/>
      <c r="K652"/>
    </row>
    <row r="653" spans="6:11" x14ac:dyDescent="0.2">
      <c r="F653" s="163"/>
      <c r="K653"/>
    </row>
    <row r="654" spans="6:11" x14ac:dyDescent="0.2">
      <c r="F654" s="163"/>
      <c r="K654"/>
    </row>
    <row r="655" spans="6:11" x14ac:dyDescent="0.2">
      <c r="F655" s="163"/>
      <c r="K655"/>
    </row>
    <row r="656" spans="6:11" x14ac:dyDescent="0.2">
      <c r="F656" s="163"/>
      <c r="K656"/>
    </row>
    <row r="657" spans="6:11" x14ac:dyDescent="0.2">
      <c r="F657" s="163"/>
      <c r="K657"/>
    </row>
    <row r="658" spans="6:11" x14ac:dyDescent="0.2">
      <c r="F658" s="163"/>
      <c r="K658"/>
    </row>
    <row r="659" spans="6:11" x14ac:dyDescent="0.2">
      <c r="F659" s="163"/>
      <c r="K659"/>
    </row>
    <row r="660" spans="6:11" x14ac:dyDescent="0.2">
      <c r="F660" s="163"/>
      <c r="K660"/>
    </row>
    <row r="661" spans="6:11" x14ac:dyDescent="0.2">
      <c r="F661" s="163"/>
      <c r="K661"/>
    </row>
    <row r="662" spans="6:11" x14ac:dyDescent="0.2">
      <c r="F662" s="163"/>
      <c r="K662"/>
    </row>
    <row r="663" spans="6:11" x14ac:dyDescent="0.2">
      <c r="F663" s="163"/>
      <c r="K663"/>
    </row>
    <row r="664" spans="6:11" x14ac:dyDescent="0.2">
      <c r="F664" s="163"/>
      <c r="K664"/>
    </row>
    <row r="665" spans="6:11" x14ac:dyDescent="0.2">
      <c r="F665" s="163"/>
      <c r="K665"/>
    </row>
    <row r="666" spans="6:11" x14ac:dyDescent="0.2">
      <c r="F666" s="163"/>
      <c r="K666"/>
    </row>
    <row r="667" spans="6:11" x14ac:dyDescent="0.2">
      <c r="F667" s="163"/>
      <c r="K667"/>
    </row>
    <row r="668" spans="6:11" x14ac:dyDescent="0.2">
      <c r="F668" s="163"/>
      <c r="K668"/>
    </row>
    <row r="669" spans="6:11" x14ac:dyDescent="0.2">
      <c r="F669" s="163"/>
      <c r="K669"/>
    </row>
    <row r="670" spans="6:11" x14ac:dyDescent="0.2">
      <c r="F670" s="163"/>
      <c r="K670"/>
    </row>
    <row r="671" spans="6:11" x14ac:dyDescent="0.2">
      <c r="F671" s="163"/>
      <c r="K671"/>
    </row>
    <row r="672" spans="6:11" x14ac:dyDescent="0.2">
      <c r="F672" s="163"/>
      <c r="K672"/>
    </row>
    <row r="673" spans="6:11" x14ac:dyDescent="0.2">
      <c r="F673" s="163"/>
      <c r="K673"/>
    </row>
    <row r="674" spans="6:11" x14ac:dyDescent="0.2">
      <c r="F674" s="163"/>
      <c r="K674"/>
    </row>
    <row r="675" spans="6:11" x14ac:dyDescent="0.2">
      <c r="F675" s="163"/>
      <c r="K675"/>
    </row>
    <row r="676" spans="6:11" x14ac:dyDescent="0.2">
      <c r="F676" s="163"/>
      <c r="K676"/>
    </row>
    <row r="677" spans="6:11" x14ac:dyDescent="0.2">
      <c r="F677" s="163"/>
      <c r="K677"/>
    </row>
    <row r="678" spans="6:11" x14ac:dyDescent="0.2">
      <c r="F678" s="163"/>
      <c r="K678"/>
    </row>
    <row r="679" spans="6:11" x14ac:dyDescent="0.2">
      <c r="F679" s="163"/>
      <c r="K679"/>
    </row>
    <row r="680" spans="6:11" x14ac:dyDescent="0.2">
      <c r="F680" s="163"/>
      <c r="K680"/>
    </row>
    <row r="681" spans="6:11" x14ac:dyDescent="0.2">
      <c r="F681" s="163"/>
      <c r="K681"/>
    </row>
    <row r="682" spans="6:11" x14ac:dyDescent="0.2">
      <c r="F682" s="163"/>
      <c r="K682"/>
    </row>
    <row r="683" spans="6:11" x14ac:dyDescent="0.2">
      <c r="F683" s="163"/>
      <c r="K683"/>
    </row>
    <row r="684" spans="6:11" x14ac:dyDescent="0.2">
      <c r="F684" s="163"/>
      <c r="K684"/>
    </row>
    <row r="685" spans="6:11" x14ac:dyDescent="0.2">
      <c r="F685" s="163"/>
      <c r="K685"/>
    </row>
    <row r="686" spans="6:11" x14ac:dyDescent="0.2">
      <c r="F686" s="163"/>
      <c r="K686"/>
    </row>
    <row r="687" spans="6:11" x14ac:dyDescent="0.2">
      <c r="F687" s="163"/>
      <c r="K687"/>
    </row>
    <row r="688" spans="6:11" x14ac:dyDescent="0.2">
      <c r="F688" s="163"/>
      <c r="K688"/>
    </row>
    <row r="689" spans="6:11" x14ac:dyDescent="0.2">
      <c r="F689" s="163"/>
      <c r="K689"/>
    </row>
    <row r="690" spans="6:11" x14ac:dyDescent="0.2">
      <c r="F690" s="163"/>
      <c r="K690"/>
    </row>
    <row r="691" spans="6:11" x14ac:dyDescent="0.2">
      <c r="F691" s="163"/>
      <c r="K691"/>
    </row>
    <row r="692" spans="6:11" x14ac:dyDescent="0.2">
      <c r="F692" s="163"/>
      <c r="K692"/>
    </row>
    <row r="693" spans="6:11" x14ac:dyDescent="0.2">
      <c r="F693" s="163"/>
      <c r="K693"/>
    </row>
    <row r="694" spans="6:11" x14ac:dyDescent="0.2">
      <c r="F694" s="163"/>
      <c r="K694"/>
    </row>
    <row r="695" spans="6:11" x14ac:dyDescent="0.2">
      <c r="F695" s="163"/>
      <c r="K695"/>
    </row>
    <row r="696" spans="6:11" x14ac:dyDescent="0.2">
      <c r="F696" s="163"/>
      <c r="K696"/>
    </row>
    <row r="697" spans="6:11" x14ac:dyDescent="0.2">
      <c r="F697" s="163"/>
      <c r="K697"/>
    </row>
    <row r="698" spans="6:11" x14ac:dyDescent="0.2">
      <c r="F698" s="163"/>
      <c r="K698"/>
    </row>
    <row r="699" spans="6:11" x14ac:dyDescent="0.2">
      <c r="F699" s="163"/>
      <c r="K699"/>
    </row>
    <row r="700" spans="6:11" x14ac:dyDescent="0.2">
      <c r="F700" s="163"/>
      <c r="K700"/>
    </row>
    <row r="701" spans="6:11" x14ac:dyDescent="0.2">
      <c r="F701" s="163"/>
      <c r="K701"/>
    </row>
    <row r="702" spans="6:11" x14ac:dyDescent="0.2">
      <c r="F702" s="163"/>
      <c r="K702"/>
    </row>
    <row r="703" spans="6:11" x14ac:dyDescent="0.2">
      <c r="F703" s="163"/>
      <c r="K703"/>
    </row>
    <row r="704" spans="6:11" x14ac:dyDescent="0.2">
      <c r="F704" s="163"/>
      <c r="K704"/>
    </row>
    <row r="705" spans="6:11" x14ac:dyDescent="0.2">
      <c r="F705" s="163"/>
      <c r="K705"/>
    </row>
    <row r="706" spans="6:11" x14ac:dyDescent="0.2">
      <c r="F706" s="163"/>
      <c r="K706"/>
    </row>
    <row r="707" spans="6:11" x14ac:dyDescent="0.2">
      <c r="F707" s="163"/>
      <c r="K707"/>
    </row>
    <row r="708" spans="6:11" x14ac:dyDescent="0.2">
      <c r="F708" s="163"/>
      <c r="K708"/>
    </row>
    <row r="709" spans="6:11" x14ac:dyDescent="0.2">
      <c r="F709" s="163"/>
      <c r="K709"/>
    </row>
    <row r="710" spans="6:11" x14ac:dyDescent="0.2">
      <c r="F710" s="163"/>
      <c r="K710"/>
    </row>
    <row r="711" spans="6:11" x14ac:dyDescent="0.2">
      <c r="F711" s="163"/>
      <c r="K711"/>
    </row>
    <row r="712" spans="6:11" x14ac:dyDescent="0.2">
      <c r="F712" s="163"/>
      <c r="K712"/>
    </row>
    <row r="713" spans="6:11" x14ac:dyDescent="0.2">
      <c r="F713" s="163"/>
      <c r="K713"/>
    </row>
    <row r="714" spans="6:11" x14ac:dyDescent="0.2">
      <c r="F714" s="163"/>
      <c r="K714"/>
    </row>
    <row r="715" spans="6:11" x14ac:dyDescent="0.2">
      <c r="F715" s="163"/>
      <c r="K715"/>
    </row>
    <row r="716" spans="6:11" x14ac:dyDescent="0.2">
      <c r="F716" s="163"/>
      <c r="K716"/>
    </row>
    <row r="717" spans="6:11" x14ac:dyDescent="0.2">
      <c r="F717" s="163"/>
      <c r="K717"/>
    </row>
    <row r="718" spans="6:11" x14ac:dyDescent="0.2">
      <c r="F718" s="163"/>
      <c r="K718"/>
    </row>
    <row r="719" spans="6:11" x14ac:dyDescent="0.2">
      <c r="F719" s="163"/>
      <c r="K719"/>
    </row>
    <row r="720" spans="6:11" x14ac:dyDescent="0.2">
      <c r="F720" s="163"/>
      <c r="K720"/>
    </row>
    <row r="721" spans="6:11" x14ac:dyDescent="0.2">
      <c r="F721" s="163"/>
      <c r="K721"/>
    </row>
    <row r="722" spans="6:11" x14ac:dyDescent="0.2">
      <c r="F722" s="163"/>
      <c r="K722"/>
    </row>
    <row r="723" spans="6:11" x14ac:dyDescent="0.2">
      <c r="F723" s="163"/>
      <c r="K723"/>
    </row>
    <row r="724" spans="6:11" x14ac:dyDescent="0.2">
      <c r="F724" s="163"/>
      <c r="K724"/>
    </row>
    <row r="725" spans="6:11" x14ac:dyDescent="0.2">
      <c r="F725" s="163"/>
      <c r="K725"/>
    </row>
    <row r="726" spans="6:11" x14ac:dyDescent="0.2">
      <c r="F726" s="163"/>
      <c r="K726"/>
    </row>
    <row r="727" spans="6:11" x14ac:dyDescent="0.2">
      <c r="F727" s="163"/>
      <c r="K727"/>
    </row>
    <row r="728" spans="6:11" x14ac:dyDescent="0.2">
      <c r="F728" s="163"/>
      <c r="K728"/>
    </row>
    <row r="729" spans="6:11" x14ac:dyDescent="0.2">
      <c r="F729" s="163"/>
      <c r="K729"/>
    </row>
    <row r="730" spans="6:11" x14ac:dyDescent="0.2">
      <c r="F730" s="163"/>
      <c r="K730"/>
    </row>
    <row r="731" spans="6:11" x14ac:dyDescent="0.2">
      <c r="F731" s="163"/>
      <c r="K731"/>
    </row>
    <row r="732" spans="6:11" x14ac:dyDescent="0.2">
      <c r="F732" s="163"/>
      <c r="K732"/>
    </row>
    <row r="733" spans="6:11" x14ac:dyDescent="0.2">
      <c r="F733" s="163"/>
      <c r="K733"/>
    </row>
    <row r="734" spans="6:11" x14ac:dyDescent="0.2">
      <c r="F734" s="163"/>
      <c r="K734"/>
    </row>
    <row r="735" spans="6:11" x14ac:dyDescent="0.2">
      <c r="F735" s="163"/>
      <c r="K735"/>
    </row>
    <row r="736" spans="6:11" x14ac:dyDescent="0.2">
      <c r="F736" s="163"/>
      <c r="K736"/>
    </row>
    <row r="737" spans="6:11" x14ac:dyDescent="0.2">
      <c r="F737" s="163"/>
      <c r="K737"/>
    </row>
    <row r="738" spans="6:11" x14ac:dyDescent="0.2">
      <c r="F738" s="163"/>
      <c r="K738"/>
    </row>
    <row r="739" spans="6:11" x14ac:dyDescent="0.2">
      <c r="F739" s="163"/>
      <c r="K739"/>
    </row>
    <row r="740" spans="6:11" x14ac:dyDescent="0.2">
      <c r="F740" s="163"/>
      <c r="K740"/>
    </row>
    <row r="741" spans="6:11" x14ac:dyDescent="0.2">
      <c r="F741" s="163"/>
      <c r="K741"/>
    </row>
    <row r="742" spans="6:11" x14ac:dyDescent="0.2">
      <c r="F742" s="163"/>
      <c r="K742"/>
    </row>
    <row r="743" spans="6:11" x14ac:dyDescent="0.2">
      <c r="F743" s="163"/>
      <c r="K743"/>
    </row>
    <row r="744" spans="6:11" x14ac:dyDescent="0.2">
      <c r="F744" s="163"/>
      <c r="K744"/>
    </row>
    <row r="745" spans="6:11" x14ac:dyDescent="0.2">
      <c r="F745" s="163"/>
      <c r="K745"/>
    </row>
    <row r="746" spans="6:11" x14ac:dyDescent="0.2">
      <c r="F746" s="163"/>
      <c r="K746"/>
    </row>
    <row r="747" spans="6:11" x14ac:dyDescent="0.2">
      <c r="F747" s="163"/>
      <c r="K747"/>
    </row>
    <row r="748" spans="6:11" x14ac:dyDescent="0.2">
      <c r="F748" s="163"/>
      <c r="K748"/>
    </row>
    <row r="749" spans="6:11" x14ac:dyDescent="0.2">
      <c r="F749" s="163"/>
      <c r="K749"/>
    </row>
    <row r="750" spans="6:11" x14ac:dyDescent="0.2">
      <c r="F750" s="163"/>
      <c r="K750"/>
    </row>
    <row r="751" spans="6:11" x14ac:dyDescent="0.2">
      <c r="F751" s="163"/>
      <c r="K751"/>
    </row>
    <row r="752" spans="6:11" x14ac:dyDescent="0.2">
      <c r="F752" s="163"/>
      <c r="K752"/>
    </row>
    <row r="753" spans="6:11" x14ac:dyDescent="0.2">
      <c r="F753" s="163"/>
      <c r="K753"/>
    </row>
    <row r="754" spans="6:11" x14ac:dyDescent="0.2">
      <c r="F754" s="163"/>
      <c r="K754"/>
    </row>
    <row r="755" spans="6:11" x14ac:dyDescent="0.2">
      <c r="F755" s="163"/>
      <c r="K755"/>
    </row>
    <row r="756" spans="6:11" x14ac:dyDescent="0.2">
      <c r="F756" s="163"/>
      <c r="K756"/>
    </row>
    <row r="757" spans="6:11" x14ac:dyDescent="0.2">
      <c r="F757" s="163"/>
      <c r="K757"/>
    </row>
    <row r="758" spans="6:11" x14ac:dyDescent="0.2">
      <c r="F758" s="163"/>
      <c r="K758"/>
    </row>
    <row r="759" spans="6:11" x14ac:dyDescent="0.2">
      <c r="F759" s="163"/>
      <c r="K759"/>
    </row>
    <row r="760" spans="6:11" x14ac:dyDescent="0.2">
      <c r="F760" s="163"/>
      <c r="K760"/>
    </row>
    <row r="761" spans="6:11" x14ac:dyDescent="0.2">
      <c r="F761" s="163"/>
      <c r="K761"/>
    </row>
    <row r="762" spans="6:11" x14ac:dyDescent="0.2">
      <c r="F762" s="163"/>
      <c r="K762"/>
    </row>
    <row r="763" spans="6:11" x14ac:dyDescent="0.2">
      <c r="F763" s="163"/>
      <c r="K763"/>
    </row>
    <row r="764" spans="6:11" x14ac:dyDescent="0.2">
      <c r="F764" s="163"/>
      <c r="K764"/>
    </row>
    <row r="765" spans="6:11" x14ac:dyDescent="0.2">
      <c r="F765" s="163"/>
      <c r="K765"/>
    </row>
    <row r="766" spans="6:11" x14ac:dyDescent="0.2">
      <c r="F766" s="163"/>
      <c r="K766"/>
    </row>
    <row r="767" spans="6:11" x14ac:dyDescent="0.2">
      <c r="F767" s="163"/>
      <c r="K767"/>
    </row>
    <row r="768" spans="6:11" x14ac:dyDescent="0.2">
      <c r="F768" s="163"/>
      <c r="K768"/>
    </row>
    <row r="769" spans="6:11" x14ac:dyDescent="0.2">
      <c r="F769" s="163"/>
      <c r="K769"/>
    </row>
    <row r="770" spans="6:11" x14ac:dyDescent="0.2">
      <c r="F770" s="163"/>
      <c r="K770"/>
    </row>
    <row r="771" spans="6:11" x14ac:dyDescent="0.2">
      <c r="F771" s="163"/>
      <c r="K771"/>
    </row>
    <row r="772" spans="6:11" x14ac:dyDescent="0.2">
      <c r="F772" s="163"/>
      <c r="K772"/>
    </row>
    <row r="773" spans="6:11" x14ac:dyDescent="0.2">
      <c r="F773" s="163"/>
      <c r="K773"/>
    </row>
    <row r="774" spans="6:11" x14ac:dyDescent="0.2">
      <c r="F774" s="163"/>
      <c r="K774"/>
    </row>
    <row r="775" spans="6:11" x14ac:dyDescent="0.2">
      <c r="F775" s="163"/>
      <c r="K775"/>
    </row>
    <row r="776" spans="6:11" x14ac:dyDescent="0.2">
      <c r="F776" s="163"/>
      <c r="K776"/>
    </row>
    <row r="777" spans="6:11" x14ac:dyDescent="0.2">
      <c r="F777" s="163"/>
      <c r="K777"/>
    </row>
    <row r="778" spans="6:11" x14ac:dyDescent="0.2">
      <c r="F778" s="163"/>
      <c r="K778"/>
    </row>
    <row r="779" spans="6:11" x14ac:dyDescent="0.2">
      <c r="F779" s="163"/>
      <c r="K779"/>
    </row>
    <row r="780" spans="6:11" x14ac:dyDescent="0.2">
      <c r="F780" s="163"/>
      <c r="K780"/>
    </row>
    <row r="781" spans="6:11" x14ac:dyDescent="0.2">
      <c r="F781" s="163"/>
      <c r="K781"/>
    </row>
    <row r="782" spans="6:11" x14ac:dyDescent="0.2">
      <c r="F782" s="163"/>
      <c r="K782"/>
    </row>
    <row r="783" spans="6:11" x14ac:dyDescent="0.2">
      <c r="F783" s="163"/>
      <c r="K783"/>
    </row>
    <row r="784" spans="6:11" x14ac:dyDescent="0.2">
      <c r="F784" s="163"/>
      <c r="K784"/>
    </row>
    <row r="785" spans="6:11" x14ac:dyDescent="0.2">
      <c r="F785" s="163"/>
      <c r="K785"/>
    </row>
    <row r="786" spans="6:11" x14ac:dyDescent="0.2">
      <c r="F786" s="163"/>
      <c r="K786"/>
    </row>
    <row r="787" spans="6:11" x14ac:dyDescent="0.2">
      <c r="F787" s="163"/>
      <c r="K787"/>
    </row>
    <row r="788" spans="6:11" x14ac:dyDescent="0.2">
      <c r="F788" s="163"/>
      <c r="K788"/>
    </row>
    <row r="789" spans="6:11" x14ac:dyDescent="0.2">
      <c r="F789" s="163"/>
      <c r="K789"/>
    </row>
    <row r="790" spans="6:11" x14ac:dyDescent="0.2">
      <c r="F790" s="163"/>
      <c r="K790"/>
    </row>
    <row r="791" spans="6:11" x14ac:dyDescent="0.2">
      <c r="F791" s="163"/>
      <c r="K791"/>
    </row>
    <row r="792" spans="6:11" x14ac:dyDescent="0.2">
      <c r="F792" s="163"/>
      <c r="K792"/>
    </row>
    <row r="793" spans="6:11" x14ac:dyDescent="0.2">
      <c r="F793" s="163"/>
      <c r="K793"/>
    </row>
    <row r="794" spans="6:11" x14ac:dyDescent="0.2">
      <c r="F794" s="163"/>
      <c r="K794"/>
    </row>
    <row r="795" spans="6:11" x14ac:dyDescent="0.2">
      <c r="F795" s="163"/>
      <c r="K795"/>
    </row>
    <row r="796" spans="6:11" x14ac:dyDescent="0.2">
      <c r="F796" s="163"/>
      <c r="K796"/>
    </row>
    <row r="797" spans="6:11" x14ac:dyDescent="0.2">
      <c r="F797" s="163"/>
      <c r="K797"/>
    </row>
    <row r="798" spans="6:11" x14ac:dyDescent="0.2">
      <c r="F798" s="163"/>
      <c r="K798"/>
    </row>
    <row r="799" spans="6:11" x14ac:dyDescent="0.2">
      <c r="F799" s="163"/>
      <c r="K799"/>
    </row>
    <row r="800" spans="6:11" x14ac:dyDescent="0.2">
      <c r="F800" s="163"/>
      <c r="K800"/>
    </row>
    <row r="801" spans="6:11" x14ac:dyDescent="0.2">
      <c r="F801" s="163"/>
      <c r="K801"/>
    </row>
    <row r="802" spans="6:11" x14ac:dyDescent="0.2">
      <c r="F802" s="163"/>
      <c r="K802"/>
    </row>
    <row r="803" spans="6:11" x14ac:dyDescent="0.2">
      <c r="F803" s="163"/>
      <c r="K803"/>
    </row>
    <row r="804" spans="6:11" x14ac:dyDescent="0.2">
      <c r="F804" s="163"/>
      <c r="K804"/>
    </row>
    <row r="805" spans="6:11" x14ac:dyDescent="0.2">
      <c r="F805" s="163"/>
      <c r="K805"/>
    </row>
    <row r="806" spans="6:11" x14ac:dyDescent="0.2">
      <c r="F806" s="163"/>
      <c r="K806"/>
    </row>
    <row r="807" spans="6:11" x14ac:dyDescent="0.2">
      <c r="F807" s="163"/>
      <c r="K807"/>
    </row>
    <row r="808" spans="6:11" x14ac:dyDescent="0.2">
      <c r="F808" s="163"/>
      <c r="K808"/>
    </row>
    <row r="809" spans="6:11" x14ac:dyDescent="0.2">
      <c r="F809" s="163"/>
      <c r="K809"/>
    </row>
    <row r="810" spans="6:11" x14ac:dyDescent="0.2">
      <c r="F810" s="163"/>
      <c r="K810"/>
    </row>
    <row r="811" spans="6:11" x14ac:dyDescent="0.2">
      <c r="F811" s="163"/>
      <c r="K811"/>
    </row>
    <row r="812" spans="6:11" x14ac:dyDescent="0.2">
      <c r="F812" s="163"/>
      <c r="K812"/>
    </row>
    <row r="813" spans="6:11" x14ac:dyDescent="0.2">
      <c r="F813" s="163"/>
      <c r="K813"/>
    </row>
    <row r="814" spans="6:11" x14ac:dyDescent="0.2">
      <c r="F814" s="163"/>
      <c r="K814"/>
    </row>
    <row r="815" spans="6:11" x14ac:dyDescent="0.2">
      <c r="F815" s="163"/>
      <c r="K815"/>
    </row>
    <row r="816" spans="6:11" x14ac:dyDescent="0.2">
      <c r="F816" s="163"/>
      <c r="K816"/>
    </row>
    <row r="817" spans="6:11" x14ac:dyDescent="0.2">
      <c r="F817" s="163"/>
      <c r="K817"/>
    </row>
    <row r="818" spans="6:11" x14ac:dyDescent="0.2">
      <c r="F818" s="163"/>
      <c r="K818"/>
    </row>
    <row r="819" spans="6:11" x14ac:dyDescent="0.2">
      <c r="F819" s="163"/>
      <c r="K819"/>
    </row>
    <row r="820" spans="6:11" x14ac:dyDescent="0.2">
      <c r="F820" s="163"/>
      <c r="K820"/>
    </row>
    <row r="821" spans="6:11" x14ac:dyDescent="0.2">
      <c r="F821" s="163"/>
      <c r="K821"/>
    </row>
    <row r="822" spans="6:11" x14ac:dyDescent="0.2">
      <c r="F822" s="163"/>
      <c r="K822"/>
    </row>
    <row r="823" spans="6:11" x14ac:dyDescent="0.2">
      <c r="F823" s="163"/>
      <c r="K823"/>
    </row>
    <row r="824" spans="6:11" x14ac:dyDescent="0.2">
      <c r="F824" s="163"/>
      <c r="K824"/>
    </row>
    <row r="825" spans="6:11" x14ac:dyDescent="0.2">
      <c r="F825" s="163"/>
      <c r="K825"/>
    </row>
    <row r="826" spans="6:11" x14ac:dyDescent="0.2">
      <c r="F826" s="163"/>
      <c r="K826"/>
    </row>
    <row r="827" spans="6:11" x14ac:dyDescent="0.2">
      <c r="F827" s="163"/>
      <c r="K827"/>
    </row>
    <row r="828" spans="6:11" x14ac:dyDescent="0.2">
      <c r="F828" s="163"/>
      <c r="K828"/>
    </row>
    <row r="829" spans="6:11" x14ac:dyDescent="0.2">
      <c r="F829" s="163"/>
      <c r="K829"/>
    </row>
    <row r="830" spans="6:11" x14ac:dyDescent="0.2">
      <c r="F830" s="163"/>
      <c r="K830"/>
    </row>
    <row r="831" spans="6:11" x14ac:dyDescent="0.2">
      <c r="F831" s="163"/>
      <c r="K831"/>
    </row>
    <row r="832" spans="6:11" x14ac:dyDescent="0.2">
      <c r="F832" s="163"/>
      <c r="K832"/>
    </row>
    <row r="833" spans="6:11" x14ac:dyDescent="0.2">
      <c r="F833" s="163"/>
      <c r="K833"/>
    </row>
    <row r="834" spans="6:11" x14ac:dyDescent="0.2">
      <c r="F834" s="163"/>
      <c r="K834"/>
    </row>
    <row r="835" spans="6:11" x14ac:dyDescent="0.2">
      <c r="F835" s="163"/>
      <c r="K835"/>
    </row>
    <row r="836" spans="6:11" x14ac:dyDescent="0.2">
      <c r="F836" s="163"/>
      <c r="K836"/>
    </row>
    <row r="837" spans="6:11" x14ac:dyDescent="0.2">
      <c r="F837" s="163"/>
      <c r="K837"/>
    </row>
    <row r="838" spans="6:11" x14ac:dyDescent="0.2">
      <c r="F838" s="163"/>
      <c r="K838"/>
    </row>
    <row r="839" spans="6:11" x14ac:dyDescent="0.2">
      <c r="F839" s="163"/>
      <c r="K839"/>
    </row>
    <row r="840" spans="6:11" x14ac:dyDescent="0.2">
      <c r="F840" s="163"/>
      <c r="K840"/>
    </row>
    <row r="841" spans="6:11" x14ac:dyDescent="0.2">
      <c r="F841" s="163"/>
      <c r="K841"/>
    </row>
    <row r="842" spans="6:11" x14ac:dyDescent="0.2">
      <c r="F842" s="163"/>
      <c r="K842"/>
    </row>
    <row r="843" spans="6:11" x14ac:dyDescent="0.2">
      <c r="F843" s="163"/>
      <c r="K843"/>
    </row>
    <row r="844" spans="6:11" x14ac:dyDescent="0.2">
      <c r="F844" s="163"/>
      <c r="K844"/>
    </row>
    <row r="845" spans="6:11" x14ac:dyDescent="0.2">
      <c r="F845" s="163"/>
      <c r="K845"/>
    </row>
    <row r="846" spans="6:11" x14ac:dyDescent="0.2">
      <c r="F846" s="163"/>
      <c r="K846"/>
    </row>
    <row r="847" spans="6:11" x14ac:dyDescent="0.2">
      <c r="F847" s="163"/>
      <c r="K847"/>
    </row>
    <row r="848" spans="6:11" x14ac:dyDescent="0.2">
      <c r="F848" s="163"/>
      <c r="K848"/>
    </row>
    <row r="849" spans="6:11" x14ac:dyDescent="0.2">
      <c r="F849" s="163"/>
      <c r="K849"/>
    </row>
    <row r="850" spans="6:11" x14ac:dyDescent="0.2">
      <c r="F850" s="163"/>
      <c r="K850"/>
    </row>
    <row r="851" spans="6:11" x14ac:dyDescent="0.2">
      <c r="F851" s="163"/>
      <c r="K851"/>
    </row>
    <row r="852" spans="6:11" x14ac:dyDescent="0.2">
      <c r="F852" s="163"/>
      <c r="K852"/>
    </row>
    <row r="853" spans="6:11" x14ac:dyDescent="0.2">
      <c r="F853" s="163"/>
      <c r="K853"/>
    </row>
    <row r="854" spans="6:11" x14ac:dyDescent="0.2">
      <c r="F854" s="163"/>
      <c r="K854"/>
    </row>
    <row r="855" spans="6:11" x14ac:dyDescent="0.2">
      <c r="F855" s="163"/>
      <c r="K855"/>
    </row>
    <row r="856" spans="6:11" x14ac:dyDescent="0.2">
      <c r="F856" s="163"/>
      <c r="K856"/>
    </row>
    <row r="857" spans="6:11" x14ac:dyDescent="0.2">
      <c r="F857" s="163"/>
      <c r="K857"/>
    </row>
    <row r="858" spans="6:11" x14ac:dyDescent="0.2">
      <c r="F858" s="163"/>
      <c r="K858"/>
    </row>
    <row r="859" spans="6:11" x14ac:dyDescent="0.2">
      <c r="F859" s="163"/>
      <c r="K859"/>
    </row>
    <row r="860" spans="6:11" x14ac:dyDescent="0.2">
      <c r="F860" s="163"/>
      <c r="K860"/>
    </row>
    <row r="861" spans="6:11" x14ac:dyDescent="0.2">
      <c r="F861" s="163"/>
      <c r="K861"/>
    </row>
    <row r="862" spans="6:11" x14ac:dyDescent="0.2">
      <c r="F862" s="163"/>
      <c r="K862"/>
    </row>
    <row r="863" spans="6:11" x14ac:dyDescent="0.2">
      <c r="F863" s="163"/>
      <c r="K863"/>
    </row>
    <row r="864" spans="6:11" x14ac:dyDescent="0.2">
      <c r="F864" s="163"/>
      <c r="K864"/>
    </row>
    <row r="865" spans="6:11" x14ac:dyDescent="0.2">
      <c r="F865" s="163"/>
      <c r="K865"/>
    </row>
    <row r="866" spans="6:11" x14ac:dyDescent="0.2">
      <c r="F866" s="163"/>
      <c r="K866"/>
    </row>
    <row r="867" spans="6:11" x14ac:dyDescent="0.2">
      <c r="F867" s="163"/>
      <c r="K867"/>
    </row>
    <row r="868" spans="6:11" x14ac:dyDescent="0.2">
      <c r="F868" s="163"/>
      <c r="K868"/>
    </row>
    <row r="869" spans="6:11" x14ac:dyDescent="0.2">
      <c r="F869" s="163"/>
      <c r="K869"/>
    </row>
    <row r="870" spans="6:11" x14ac:dyDescent="0.2">
      <c r="F870" s="163"/>
      <c r="K870"/>
    </row>
    <row r="871" spans="6:11" x14ac:dyDescent="0.2">
      <c r="F871" s="163"/>
      <c r="K871"/>
    </row>
    <row r="872" spans="6:11" x14ac:dyDescent="0.2">
      <c r="F872" s="163"/>
      <c r="K872"/>
    </row>
    <row r="873" spans="6:11" x14ac:dyDescent="0.2">
      <c r="F873" s="163"/>
      <c r="K873"/>
    </row>
    <row r="874" spans="6:11" x14ac:dyDescent="0.2">
      <c r="F874" s="163"/>
      <c r="K874"/>
    </row>
    <row r="875" spans="6:11" x14ac:dyDescent="0.2">
      <c r="F875" s="163"/>
      <c r="K875"/>
    </row>
    <row r="876" spans="6:11" x14ac:dyDescent="0.2">
      <c r="F876" s="163"/>
      <c r="K876"/>
    </row>
    <row r="877" spans="6:11" x14ac:dyDescent="0.2">
      <c r="F877" s="163"/>
      <c r="K877"/>
    </row>
    <row r="878" spans="6:11" x14ac:dyDescent="0.2">
      <c r="F878" s="163"/>
      <c r="K878"/>
    </row>
    <row r="879" spans="6:11" x14ac:dyDescent="0.2">
      <c r="F879" s="163"/>
      <c r="K879"/>
    </row>
    <row r="880" spans="6:11" x14ac:dyDescent="0.2">
      <c r="F880" s="163"/>
      <c r="K880"/>
    </row>
    <row r="881" spans="6:11" x14ac:dyDescent="0.2">
      <c r="F881" s="163"/>
      <c r="K881"/>
    </row>
    <row r="882" spans="6:11" x14ac:dyDescent="0.2">
      <c r="F882" s="163"/>
      <c r="K882"/>
    </row>
    <row r="883" spans="6:11" x14ac:dyDescent="0.2">
      <c r="F883" s="163"/>
      <c r="K883"/>
    </row>
    <row r="884" spans="6:11" x14ac:dyDescent="0.2">
      <c r="F884" s="163"/>
      <c r="K884"/>
    </row>
    <row r="885" spans="6:11" x14ac:dyDescent="0.2">
      <c r="F885" s="163"/>
      <c r="K885"/>
    </row>
    <row r="886" spans="6:11" x14ac:dyDescent="0.2">
      <c r="F886" s="163"/>
      <c r="K886"/>
    </row>
    <row r="887" spans="6:11" x14ac:dyDescent="0.2">
      <c r="F887" s="163"/>
      <c r="K887"/>
    </row>
    <row r="888" spans="6:11" x14ac:dyDescent="0.2">
      <c r="F888" s="163"/>
      <c r="K888"/>
    </row>
    <row r="889" spans="6:11" x14ac:dyDescent="0.2">
      <c r="F889" s="163"/>
      <c r="K889"/>
    </row>
    <row r="890" spans="6:11" x14ac:dyDescent="0.2">
      <c r="F890" s="163"/>
      <c r="K890"/>
    </row>
    <row r="891" spans="6:11" x14ac:dyDescent="0.2">
      <c r="F891" s="163"/>
      <c r="K891"/>
    </row>
    <row r="892" spans="6:11" x14ac:dyDescent="0.2">
      <c r="F892" s="163"/>
      <c r="K892"/>
    </row>
    <row r="893" spans="6:11" x14ac:dyDescent="0.2">
      <c r="F893" s="163"/>
      <c r="K893"/>
    </row>
    <row r="894" spans="6:11" x14ac:dyDescent="0.2">
      <c r="F894" s="163"/>
      <c r="K894"/>
    </row>
    <row r="895" spans="6:11" x14ac:dyDescent="0.2">
      <c r="F895" s="163"/>
      <c r="K895"/>
    </row>
    <row r="896" spans="6:11" x14ac:dyDescent="0.2">
      <c r="F896" s="163"/>
      <c r="K896"/>
    </row>
    <row r="897" spans="6:11" x14ac:dyDescent="0.2">
      <c r="F897" s="163"/>
      <c r="K897"/>
    </row>
    <row r="898" spans="6:11" x14ac:dyDescent="0.2">
      <c r="F898" s="163"/>
      <c r="K898"/>
    </row>
    <row r="899" spans="6:11" x14ac:dyDescent="0.2">
      <c r="F899" s="163"/>
      <c r="K899"/>
    </row>
    <row r="900" spans="6:11" x14ac:dyDescent="0.2">
      <c r="F900" s="163"/>
      <c r="K900"/>
    </row>
    <row r="901" spans="6:11" x14ac:dyDescent="0.2">
      <c r="F901" s="163"/>
      <c r="K901"/>
    </row>
    <row r="902" spans="6:11" x14ac:dyDescent="0.2">
      <c r="F902" s="163"/>
      <c r="K902"/>
    </row>
    <row r="903" spans="6:11" x14ac:dyDescent="0.2">
      <c r="F903" s="163"/>
      <c r="K903"/>
    </row>
    <row r="904" spans="6:11" x14ac:dyDescent="0.2">
      <c r="F904" s="163"/>
      <c r="K904"/>
    </row>
    <row r="905" spans="6:11" x14ac:dyDescent="0.2">
      <c r="F905" s="163"/>
      <c r="K905"/>
    </row>
    <row r="906" spans="6:11" x14ac:dyDescent="0.2">
      <c r="F906" s="163"/>
      <c r="K906"/>
    </row>
    <row r="907" spans="6:11" x14ac:dyDescent="0.2">
      <c r="F907" s="163"/>
      <c r="K907"/>
    </row>
    <row r="908" spans="6:11" x14ac:dyDescent="0.2">
      <c r="F908" s="163"/>
      <c r="K908"/>
    </row>
    <row r="909" spans="6:11" x14ac:dyDescent="0.2">
      <c r="F909" s="163"/>
      <c r="K909"/>
    </row>
    <row r="910" spans="6:11" x14ac:dyDescent="0.2">
      <c r="F910" s="163"/>
      <c r="K910"/>
    </row>
    <row r="911" spans="6:11" x14ac:dyDescent="0.2">
      <c r="F911" s="163"/>
      <c r="K911"/>
    </row>
    <row r="912" spans="6:11" x14ac:dyDescent="0.2">
      <c r="F912" s="163"/>
      <c r="K912"/>
    </row>
    <row r="913" spans="6:11" x14ac:dyDescent="0.2">
      <c r="F913" s="163"/>
      <c r="K913"/>
    </row>
    <row r="914" spans="6:11" x14ac:dyDescent="0.2">
      <c r="F914" s="163"/>
      <c r="K914"/>
    </row>
    <row r="915" spans="6:11" x14ac:dyDescent="0.2">
      <c r="F915" s="163"/>
      <c r="K915"/>
    </row>
    <row r="916" spans="6:11" x14ac:dyDescent="0.2">
      <c r="F916" s="163"/>
      <c r="K916"/>
    </row>
    <row r="917" spans="6:11" x14ac:dyDescent="0.2">
      <c r="F917" s="163"/>
      <c r="K917"/>
    </row>
    <row r="918" spans="6:11" x14ac:dyDescent="0.2">
      <c r="F918" s="163"/>
      <c r="K918"/>
    </row>
    <row r="919" spans="6:11" x14ac:dyDescent="0.2">
      <c r="F919" s="163"/>
      <c r="K919"/>
    </row>
    <row r="920" spans="6:11" x14ac:dyDescent="0.2">
      <c r="F920" s="163"/>
      <c r="K920"/>
    </row>
    <row r="921" spans="6:11" x14ac:dyDescent="0.2">
      <c r="F921" s="163"/>
      <c r="K921"/>
    </row>
    <row r="922" spans="6:11" x14ac:dyDescent="0.2">
      <c r="F922" s="163"/>
      <c r="K922"/>
    </row>
    <row r="923" spans="6:11" x14ac:dyDescent="0.2">
      <c r="F923" s="163"/>
      <c r="K923"/>
    </row>
    <row r="924" spans="6:11" x14ac:dyDescent="0.2">
      <c r="F924" s="163"/>
      <c r="K924"/>
    </row>
    <row r="925" spans="6:11" x14ac:dyDescent="0.2">
      <c r="F925" s="163"/>
      <c r="K925"/>
    </row>
    <row r="926" spans="6:11" x14ac:dyDescent="0.2">
      <c r="F926" s="163"/>
      <c r="K926"/>
    </row>
    <row r="927" spans="6:11" x14ac:dyDescent="0.2">
      <c r="F927" s="163"/>
      <c r="K927"/>
    </row>
    <row r="928" spans="6:11" x14ac:dyDescent="0.2">
      <c r="F928" s="163"/>
      <c r="K928"/>
    </row>
    <row r="929" spans="6:11" x14ac:dyDescent="0.2">
      <c r="F929" s="163"/>
      <c r="K929"/>
    </row>
    <row r="930" spans="6:11" x14ac:dyDescent="0.2">
      <c r="F930" s="163"/>
      <c r="K930"/>
    </row>
    <row r="931" spans="6:11" x14ac:dyDescent="0.2">
      <c r="F931" s="163"/>
      <c r="K931"/>
    </row>
    <row r="932" spans="6:11" x14ac:dyDescent="0.2">
      <c r="F932" s="163"/>
      <c r="K932"/>
    </row>
    <row r="933" spans="6:11" x14ac:dyDescent="0.2">
      <c r="F933" s="163"/>
      <c r="K933"/>
    </row>
    <row r="934" spans="6:11" x14ac:dyDescent="0.2">
      <c r="F934" s="163"/>
      <c r="K934"/>
    </row>
    <row r="935" spans="6:11" x14ac:dyDescent="0.2">
      <c r="F935" s="163"/>
      <c r="K935"/>
    </row>
    <row r="936" spans="6:11" x14ac:dyDescent="0.2">
      <c r="F936" s="163"/>
      <c r="K936"/>
    </row>
    <row r="937" spans="6:11" x14ac:dyDescent="0.2">
      <c r="F937" s="163"/>
      <c r="K937"/>
    </row>
    <row r="938" spans="6:11" x14ac:dyDescent="0.2">
      <c r="F938" s="163"/>
      <c r="K938"/>
    </row>
    <row r="939" spans="6:11" x14ac:dyDescent="0.2">
      <c r="F939" s="163"/>
      <c r="K939"/>
    </row>
    <row r="940" spans="6:11" x14ac:dyDescent="0.2">
      <c r="F940" s="163"/>
      <c r="K940"/>
    </row>
    <row r="941" spans="6:11" x14ac:dyDescent="0.2">
      <c r="F941" s="163"/>
      <c r="K941"/>
    </row>
    <row r="942" spans="6:11" x14ac:dyDescent="0.2">
      <c r="F942" s="163"/>
      <c r="K942"/>
    </row>
    <row r="943" spans="6:11" x14ac:dyDescent="0.2">
      <c r="F943" s="163"/>
      <c r="K943"/>
    </row>
    <row r="944" spans="6:11" x14ac:dyDescent="0.2">
      <c r="F944" s="163"/>
      <c r="K944"/>
    </row>
    <row r="945" spans="6:11" x14ac:dyDescent="0.2">
      <c r="F945" s="163"/>
      <c r="K945"/>
    </row>
    <row r="946" spans="6:11" x14ac:dyDescent="0.2">
      <c r="F946" s="163"/>
      <c r="K946"/>
    </row>
    <row r="947" spans="6:11" x14ac:dyDescent="0.2">
      <c r="F947" s="163"/>
      <c r="K947"/>
    </row>
    <row r="948" spans="6:11" x14ac:dyDescent="0.2">
      <c r="F948" s="163"/>
      <c r="K948"/>
    </row>
    <row r="949" spans="6:11" x14ac:dyDescent="0.2">
      <c r="F949" s="163"/>
      <c r="K949"/>
    </row>
    <row r="950" spans="6:11" x14ac:dyDescent="0.2">
      <c r="F950" s="163"/>
      <c r="K950"/>
    </row>
    <row r="951" spans="6:11" x14ac:dyDescent="0.2">
      <c r="F951" s="163"/>
      <c r="K951"/>
    </row>
    <row r="952" spans="6:11" x14ac:dyDescent="0.2">
      <c r="F952" s="163"/>
      <c r="K952"/>
    </row>
    <row r="953" spans="6:11" x14ac:dyDescent="0.2">
      <c r="F953" s="163"/>
      <c r="K953"/>
    </row>
    <row r="954" spans="6:11" x14ac:dyDescent="0.2">
      <c r="F954" s="163"/>
      <c r="K954"/>
    </row>
    <row r="955" spans="6:11" x14ac:dyDescent="0.2">
      <c r="F955" s="163"/>
      <c r="K955"/>
    </row>
    <row r="956" spans="6:11" x14ac:dyDescent="0.2">
      <c r="F956" s="163"/>
      <c r="K956"/>
    </row>
    <row r="957" spans="6:11" x14ac:dyDescent="0.2">
      <c r="F957" s="163"/>
      <c r="K957"/>
    </row>
    <row r="958" spans="6:11" x14ac:dyDescent="0.2">
      <c r="F958" s="163"/>
      <c r="K958"/>
    </row>
    <row r="959" spans="6:11" x14ac:dyDescent="0.2">
      <c r="F959" s="163"/>
      <c r="K959"/>
    </row>
    <row r="960" spans="6:11" x14ac:dyDescent="0.2">
      <c r="F960" s="163"/>
      <c r="K960"/>
    </row>
    <row r="961" spans="6:11" x14ac:dyDescent="0.2">
      <c r="F961" s="163"/>
      <c r="K961"/>
    </row>
    <row r="962" spans="6:11" x14ac:dyDescent="0.2">
      <c r="F962" s="163"/>
      <c r="K962"/>
    </row>
    <row r="963" spans="6:11" x14ac:dyDescent="0.2">
      <c r="F963" s="163"/>
      <c r="K963"/>
    </row>
    <row r="964" spans="6:11" x14ac:dyDescent="0.2">
      <c r="F964" s="163"/>
      <c r="K964"/>
    </row>
    <row r="965" spans="6:11" x14ac:dyDescent="0.2">
      <c r="F965" s="163"/>
      <c r="K965"/>
    </row>
    <row r="966" spans="6:11" x14ac:dyDescent="0.2">
      <c r="F966" s="163"/>
      <c r="K966"/>
    </row>
    <row r="967" spans="6:11" x14ac:dyDescent="0.2">
      <c r="F967" s="163"/>
      <c r="K967"/>
    </row>
    <row r="968" spans="6:11" x14ac:dyDescent="0.2">
      <c r="F968" s="163"/>
      <c r="K968"/>
    </row>
    <row r="969" spans="6:11" x14ac:dyDescent="0.2">
      <c r="F969" s="163"/>
      <c r="K969"/>
    </row>
    <row r="970" spans="6:11" x14ac:dyDescent="0.2">
      <c r="F970" s="163"/>
      <c r="K970"/>
    </row>
    <row r="971" spans="6:11" x14ac:dyDescent="0.2">
      <c r="F971" s="163"/>
      <c r="K971"/>
    </row>
    <row r="972" spans="6:11" x14ac:dyDescent="0.2">
      <c r="F972" s="163"/>
      <c r="K972"/>
    </row>
    <row r="973" spans="6:11" x14ac:dyDescent="0.2">
      <c r="F973" s="163"/>
      <c r="K973"/>
    </row>
    <row r="974" spans="6:11" x14ac:dyDescent="0.2">
      <c r="F974" s="163"/>
      <c r="K974"/>
    </row>
    <row r="975" spans="6:11" x14ac:dyDescent="0.2">
      <c r="F975" s="163"/>
      <c r="K975"/>
    </row>
    <row r="976" spans="6:11" x14ac:dyDescent="0.2">
      <c r="F976" s="163"/>
      <c r="K976"/>
    </row>
    <row r="977" spans="6:11" x14ac:dyDescent="0.2">
      <c r="F977" s="163"/>
      <c r="K977"/>
    </row>
    <row r="978" spans="6:11" x14ac:dyDescent="0.2">
      <c r="F978" s="163"/>
      <c r="K978"/>
    </row>
    <row r="979" spans="6:11" x14ac:dyDescent="0.2">
      <c r="F979" s="163"/>
      <c r="K979"/>
    </row>
    <row r="980" spans="6:11" x14ac:dyDescent="0.2">
      <c r="F980" s="163"/>
      <c r="K980"/>
    </row>
    <row r="981" spans="6:11" x14ac:dyDescent="0.2">
      <c r="F981" s="163"/>
      <c r="K981"/>
    </row>
    <row r="982" spans="6:11" x14ac:dyDescent="0.2">
      <c r="F982" s="163"/>
      <c r="K982"/>
    </row>
    <row r="983" spans="6:11" x14ac:dyDescent="0.2">
      <c r="F983" s="163"/>
      <c r="K983"/>
    </row>
    <row r="984" spans="6:11" x14ac:dyDescent="0.2">
      <c r="F984" s="163"/>
      <c r="K984"/>
    </row>
    <row r="985" spans="6:11" x14ac:dyDescent="0.2">
      <c r="F985" s="163"/>
      <c r="K985"/>
    </row>
    <row r="986" spans="6:11" x14ac:dyDescent="0.2">
      <c r="F986" s="163"/>
      <c r="K986"/>
    </row>
    <row r="987" spans="6:11" x14ac:dyDescent="0.2">
      <c r="F987" s="163"/>
      <c r="K987"/>
    </row>
    <row r="988" spans="6:11" x14ac:dyDescent="0.2">
      <c r="F988" s="163"/>
      <c r="K988"/>
    </row>
    <row r="989" spans="6:11" x14ac:dyDescent="0.2">
      <c r="F989" s="163"/>
      <c r="K989"/>
    </row>
    <row r="990" spans="6:11" x14ac:dyDescent="0.2">
      <c r="F990" s="163"/>
      <c r="K990"/>
    </row>
    <row r="991" spans="6:11" x14ac:dyDescent="0.2">
      <c r="F991" s="163"/>
      <c r="K991"/>
    </row>
    <row r="992" spans="6:11" x14ac:dyDescent="0.2">
      <c r="F992" s="163"/>
      <c r="K992"/>
    </row>
    <row r="993" spans="6:11" x14ac:dyDescent="0.2">
      <c r="F993" s="163"/>
      <c r="K993"/>
    </row>
    <row r="994" spans="6:11" x14ac:dyDescent="0.2">
      <c r="F994" s="163"/>
      <c r="K994"/>
    </row>
    <row r="995" spans="6:11" x14ac:dyDescent="0.2">
      <c r="F995" s="163"/>
      <c r="K995"/>
    </row>
    <row r="996" spans="6:11" x14ac:dyDescent="0.2">
      <c r="F996" s="163"/>
      <c r="K996"/>
    </row>
    <row r="997" spans="6:11" x14ac:dyDescent="0.2">
      <c r="F997" s="163"/>
      <c r="K997"/>
    </row>
    <row r="998" spans="6:11" x14ac:dyDescent="0.2">
      <c r="F998" s="163"/>
      <c r="K998"/>
    </row>
    <row r="999" spans="6:11" x14ac:dyDescent="0.2">
      <c r="F999" s="163"/>
      <c r="K999"/>
    </row>
    <row r="1000" spans="6:11" x14ac:dyDescent="0.2">
      <c r="F1000" s="163"/>
      <c r="K1000"/>
    </row>
    <row r="1001" spans="6:11" x14ac:dyDescent="0.2">
      <c r="F1001" s="163"/>
      <c r="K1001"/>
    </row>
    <row r="1002" spans="6:11" x14ac:dyDescent="0.2">
      <c r="F1002" s="163"/>
      <c r="K1002"/>
    </row>
    <row r="1003" spans="6:11" x14ac:dyDescent="0.2">
      <c r="F1003" s="163"/>
      <c r="K1003"/>
    </row>
    <row r="1004" spans="6:11" x14ac:dyDescent="0.2">
      <c r="F1004" s="163"/>
      <c r="K1004"/>
    </row>
    <row r="1005" spans="6:11" x14ac:dyDescent="0.2">
      <c r="F1005" s="163"/>
      <c r="K1005"/>
    </row>
    <row r="1006" spans="6:11" x14ac:dyDescent="0.2">
      <c r="F1006" s="163"/>
      <c r="K1006"/>
    </row>
    <row r="1007" spans="6:11" x14ac:dyDescent="0.2">
      <c r="F1007" s="163"/>
      <c r="K1007"/>
    </row>
    <row r="1008" spans="6:11" x14ac:dyDescent="0.2">
      <c r="F1008" s="163"/>
      <c r="K1008"/>
    </row>
    <row r="1009" spans="6:11" x14ac:dyDescent="0.2">
      <c r="F1009" s="163"/>
      <c r="K1009"/>
    </row>
    <row r="1010" spans="6:11" x14ac:dyDescent="0.2">
      <c r="F1010" s="163"/>
      <c r="K1010"/>
    </row>
    <row r="1011" spans="6:11" x14ac:dyDescent="0.2">
      <c r="F1011" s="163"/>
      <c r="K1011"/>
    </row>
    <row r="1012" spans="6:11" x14ac:dyDescent="0.2">
      <c r="F1012" s="163"/>
      <c r="K1012"/>
    </row>
    <row r="1013" spans="6:11" x14ac:dyDescent="0.2">
      <c r="F1013" s="163"/>
      <c r="K1013"/>
    </row>
    <row r="1014" spans="6:11" x14ac:dyDescent="0.2">
      <c r="F1014" s="163"/>
      <c r="K1014"/>
    </row>
    <row r="1015" spans="6:11" x14ac:dyDescent="0.2">
      <c r="F1015" s="163"/>
      <c r="K1015"/>
    </row>
    <row r="1016" spans="6:11" x14ac:dyDescent="0.2">
      <c r="F1016" s="163"/>
      <c r="K1016"/>
    </row>
    <row r="1017" spans="6:11" x14ac:dyDescent="0.2">
      <c r="F1017" s="163"/>
      <c r="K1017"/>
    </row>
    <row r="1018" spans="6:11" x14ac:dyDescent="0.2">
      <c r="F1018" s="163"/>
      <c r="K1018"/>
    </row>
    <row r="1019" spans="6:11" x14ac:dyDescent="0.2">
      <c r="F1019" s="163"/>
      <c r="K1019"/>
    </row>
    <row r="1020" spans="6:11" x14ac:dyDescent="0.2">
      <c r="F1020" s="163"/>
      <c r="K1020"/>
    </row>
    <row r="1021" spans="6:11" x14ac:dyDescent="0.2">
      <c r="F1021" s="163"/>
      <c r="K1021"/>
    </row>
    <row r="1022" spans="6:11" x14ac:dyDescent="0.2">
      <c r="F1022" s="163"/>
      <c r="K1022"/>
    </row>
    <row r="1023" spans="6:11" x14ac:dyDescent="0.2">
      <c r="F1023" s="163"/>
      <c r="K1023"/>
    </row>
    <row r="1024" spans="6:11" x14ac:dyDescent="0.2">
      <c r="F1024" s="163"/>
      <c r="K1024"/>
    </row>
    <row r="1025" spans="6:11" x14ac:dyDescent="0.2">
      <c r="F1025" s="163"/>
      <c r="K1025"/>
    </row>
    <row r="1026" spans="6:11" x14ac:dyDescent="0.2">
      <c r="F1026" s="163"/>
      <c r="K1026"/>
    </row>
    <row r="1027" spans="6:11" x14ac:dyDescent="0.2">
      <c r="F1027" s="163"/>
      <c r="K1027"/>
    </row>
    <row r="1028" spans="6:11" x14ac:dyDescent="0.2">
      <c r="F1028" s="163"/>
      <c r="K1028"/>
    </row>
    <row r="1029" spans="6:11" x14ac:dyDescent="0.2">
      <c r="F1029" s="163"/>
      <c r="K1029"/>
    </row>
    <row r="1030" spans="6:11" x14ac:dyDescent="0.2">
      <c r="F1030" s="163"/>
      <c r="K1030"/>
    </row>
    <row r="1031" spans="6:11" x14ac:dyDescent="0.2">
      <c r="F1031" s="163"/>
      <c r="K1031"/>
    </row>
    <row r="1032" spans="6:11" x14ac:dyDescent="0.2">
      <c r="F1032" s="163"/>
      <c r="K1032"/>
    </row>
    <row r="1033" spans="6:11" x14ac:dyDescent="0.2">
      <c r="F1033" s="163"/>
      <c r="K1033"/>
    </row>
    <row r="1034" spans="6:11" x14ac:dyDescent="0.2">
      <c r="F1034" s="163"/>
      <c r="K1034"/>
    </row>
    <row r="1035" spans="6:11" x14ac:dyDescent="0.2">
      <c r="F1035" s="163"/>
      <c r="K1035"/>
    </row>
    <row r="1036" spans="6:11" x14ac:dyDescent="0.2">
      <c r="F1036" s="163"/>
      <c r="K1036"/>
    </row>
    <row r="1037" spans="6:11" x14ac:dyDescent="0.2">
      <c r="F1037" s="163"/>
      <c r="K1037"/>
    </row>
    <row r="1038" spans="6:11" x14ac:dyDescent="0.2">
      <c r="F1038" s="163"/>
      <c r="K1038"/>
    </row>
    <row r="1039" spans="6:11" x14ac:dyDescent="0.2">
      <c r="F1039" s="163"/>
      <c r="K1039"/>
    </row>
    <row r="1040" spans="6:11" x14ac:dyDescent="0.2">
      <c r="F1040" s="163"/>
      <c r="K1040"/>
    </row>
    <row r="1041" spans="6:11" x14ac:dyDescent="0.2">
      <c r="F1041" s="163"/>
      <c r="K1041"/>
    </row>
    <row r="1042" spans="6:11" x14ac:dyDescent="0.2">
      <c r="F1042" s="163"/>
      <c r="K1042"/>
    </row>
    <row r="1043" spans="6:11" x14ac:dyDescent="0.2">
      <c r="F1043" s="163"/>
      <c r="K1043"/>
    </row>
    <row r="1044" spans="6:11" x14ac:dyDescent="0.2">
      <c r="F1044" s="163"/>
      <c r="K1044"/>
    </row>
    <row r="1045" spans="6:11" x14ac:dyDescent="0.2">
      <c r="F1045" s="163"/>
      <c r="K1045"/>
    </row>
    <row r="1046" spans="6:11" x14ac:dyDescent="0.2">
      <c r="F1046" s="163"/>
      <c r="K1046"/>
    </row>
    <row r="1047" spans="6:11" x14ac:dyDescent="0.2">
      <c r="F1047" s="163"/>
      <c r="K1047"/>
    </row>
    <row r="1048" spans="6:11" x14ac:dyDescent="0.2">
      <c r="F1048" s="163"/>
      <c r="K1048"/>
    </row>
    <row r="1049" spans="6:11" x14ac:dyDescent="0.2">
      <c r="F1049" s="163"/>
      <c r="K1049"/>
    </row>
    <row r="1050" spans="6:11" x14ac:dyDescent="0.2">
      <c r="F1050" s="163"/>
      <c r="K1050"/>
    </row>
    <row r="1051" spans="6:11" x14ac:dyDescent="0.2">
      <c r="F1051" s="163"/>
      <c r="K1051"/>
    </row>
    <row r="1052" spans="6:11" x14ac:dyDescent="0.2">
      <c r="F1052" s="163"/>
      <c r="K1052"/>
    </row>
    <row r="1053" spans="6:11" x14ac:dyDescent="0.2">
      <c r="F1053" s="163"/>
      <c r="K1053"/>
    </row>
    <row r="1054" spans="6:11" x14ac:dyDescent="0.2">
      <c r="F1054" s="163"/>
      <c r="K1054"/>
    </row>
    <row r="1055" spans="6:11" x14ac:dyDescent="0.2">
      <c r="F1055" s="163"/>
      <c r="K1055"/>
    </row>
    <row r="1056" spans="6:11" x14ac:dyDescent="0.2">
      <c r="F1056" s="163"/>
      <c r="K1056"/>
    </row>
    <row r="1057" spans="6:11" x14ac:dyDescent="0.2">
      <c r="F1057" s="163"/>
      <c r="K1057"/>
    </row>
    <row r="1058" spans="6:11" x14ac:dyDescent="0.2">
      <c r="F1058" s="163"/>
      <c r="K1058"/>
    </row>
    <row r="1059" spans="6:11" x14ac:dyDescent="0.2">
      <c r="F1059" s="163"/>
      <c r="K1059"/>
    </row>
    <row r="1060" spans="6:11" x14ac:dyDescent="0.2">
      <c r="F1060" s="163"/>
      <c r="K1060"/>
    </row>
    <row r="1061" spans="6:11" x14ac:dyDescent="0.2">
      <c r="F1061" s="163"/>
      <c r="K1061"/>
    </row>
    <row r="1062" spans="6:11" x14ac:dyDescent="0.2">
      <c r="F1062" s="163"/>
      <c r="K1062"/>
    </row>
    <row r="1063" spans="6:11" x14ac:dyDescent="0.2">
      <c r="F1063" s="163"/>
      <c r="K1063"/>
    </row>
    <row r="1064" spans="6:11" x14ac:dyDescent="0.2">
      <c r="F1064" s="163"/>
      <c r="K1064"/>
    </row>
    <row r="1065" spans="6:11" x14ac:dyDescent="0.2">
      <c r="F1065" s="163"/>
      <c r="K1065"/>
    </row>
    <row r="1066" spans="6:11" x14ac:dyDescent="0.2">
      <c r="F1066" s="163"/>
      <c r="K1066"/>
    </row>
    <row r="1067" spans="6:11" x14ac:dyDescent="0.2">
      <c r="F1067" s="163"/>
      <c r="K1067"/>
    </row>
    <row r="1068" spans="6:11" x14ac:dyDescent="0.2">
      <c r="F1068" s="163"/>
      <c r="K1068"/>
    </row>
    <row r="1069" spans="6:11" x14ac:dyDescent="0.2">
      <c r="F1069" s="163"/>
      <c r="K1069"/>
    </row>
    <row r="1070" spans="6:11" x14ac:dyDescent="0.2">
      <c r="F1070" s="163"/>
      <c r="K1070"/>
    </row>
    <row r="1071" spans="6:11" x14ac:dyDescent="0.2">
      <c r="F1071" s="163"/>
      <c r="K1071"/>
    </row>
    <row r="1072" spans="6:11" x14ac:dyDescent="0.2">
      <c r="F1072" s="163"/>
      <c r="K1072"/>
    </row>
    <row r="1073" spans="6:11" x14ac:dyDescent="0.2">
      <c r="F1073" s="163"/>
      <c r="K1073"/>
    </row>
    <row r="1074" spans="6:11" x14ac:dyDescent="0.2">
      <c r="F1074" s="163"/>
      <c r="K1074"/>
    </row>
    <row r="1075" spans="6:11" x14ac:dyDescent="0.2">
      <c r="F1075" s="163"/>
      <c r="K1075"/>
    </row>
    <row r="1076" spans="6:11" x14ac:dyDescent="0.2">
      <c r="F1076" s="163"/>
      <c r="K1076"/>
    </row>
    <row r="1077" spans="6:11" x14ac:dyDescent="0.2">
      <c r="F1077" s="163"/>
      <c r="K1077"/>
    </row>
    <row r="1078" spans="6:11" x14ac:dyDescent="0.2">
      <c r="F1078" s="163"/>
      <c r="K1078"/>
    </row>
    <row r="1079" spans="6:11" x14ac:dyDescent="0.2">
      <c r="F1079" s="163"/>
      <c r="K1079"/>
    </row>
    <row r="1080" spans="6:11" x14ac:dyDescent="0.2">
      <c r="F1080" s="163"/>
      <c r="K1080"/>
    </row>
    <row r="1081" spans="6:11" x14ac:dyDescent="0.2">
      <c r="F1081" s="163"/>
      <c r="K1081"/>
    </row>
    <row r="1082" spans="6:11" x14ac:dyDescent="0.2">
      <c r="F1082" s="163"/>
      <c r="K1082"/>
    </row>
    <row r="1083" spans="6:11" x14ac:dyDescent="0.2">
      <c r="F1083" s="163"/>
      <c r="K1083"/>
    </row>
    <row r="1084" spans="6:11" x14ac:dyDescent="0.2">
      <c r="F1084" s="163"/>
      <c r="K1084"/>
    </row>
    <row r="1085" spans="6:11" x14ac:dyDescent="0.2">
      <c r="F1085" s="163"/>
      <c r="K1085"/>
    </row>
    <row r="1086" spans="6:11" x14ac:dyDescent="0.2">
      <c r="F1086" s="163"/>
      <c r="K1086"/>
    </row>
    <row r="1087" spans="6:11" x14ac:dyDescent="0.2">
      <c r="F1087" s="163"/>
      <c r="K1087"/>
    </row>
    <row r="1088" spans="6:11" x14ac:dyDescent="0.2">
      <c r="F1088" s="163"/>
      <c r="K1088"/>
    </row>
    <row r="1089" spans="6:11" x14ac:dyDescent="0.2">
      <c r="F1089" s="163"/>
      <c r="K1089"/>
    </row>
    <row r="1090" spans="6:11" x14ac:dyDescent="0.2">
      <c r="F1090" s="163"/>
      <c r="K1090"/>
    </row>
    <row r="1091" spans="6:11" x14ac:dyDescent="0.2">
      <c r="F1091" s="163"/>
      <c r="K1091"/>
    </row>
    <row r="1092" spans="6:11" x14ac:dyDescent="0.2">
      <c r="F1092" s="163"/>
      <c r="K1092"/>
    </row>
    <row r="1093" spans="6:11" x14ac:dyDescent="0.2">
      <c r="F1093" s="163"/>
      <c r="K1093"/>
    </row>
    <row r="1094" spans="6:11" x14ac:dyDescent="0.2">
      <c r="F1094" s="163"/>
      <c r="K1094"/>
    </row>
    <row r="1095" spans="6:11" x14ac:dyDescent="0.2">
      <c r="F1095" s="163"/>
      <c r="K1095"/>
    </row>
    <row r="1096" spans="6:11" x14ac:dyDescent="0.2">
      <c r="F1096" s="163"/>
      <c r="K1096"/>
    </row>
    <row r="1097" spans="6:11" x14ac:dyDescent="0.2">
      <c r="F1097" s="163"/>
      <c r="K1097"/>
    </row>
    <row r="1098" spans="6:11" x14ac:dyDescent="0.2">
      <c r="F1098" s="163"/>
      <c r="K1098"/>
    </row>
    <row r="1099" spans="6:11" x14ac:dyDescent="0.2">
      <c r="F1099" s="163"/>
      <c r="K1099"/>
    </row>
    <row r="1100" spans="6:11" x14ac:dyDescent="0.2">
      <c r="F1100" s="163"/>
      <c r="K1100"/>
    </row>
    <row r="1101" spans="6:11" x14ac:dyDescent="0.2">
      <c r="F1101" s="163"/>
      <c r="K1101"/>
    </row>
    <row r="1102" spans="6:11" x14ac:dyDescent="0.2">
      <c r="F1102" s="163"/>
      <c r="K1102"/>
    </row>
    <row r="1103" spans="6:11" x14ac:dyDescent="0.2">
      <c r="F1103" s="163"/>
      <c r="K1103"/>
    </row>
    <row r="1104" spans="6:11" x14ac:dyDescent="0.2">
      <c r="F1104" s="163"/>
      <c r="K1104"/>
    </row>
    <row r="1105" spans="6:11" x14ac:dyDescent="0.2">
      <c r="F1105" s="163"/>
      <c r="K1105"/>
    </row>
    <row r="1106" spans="6:11" x14ac:dyDescent="0.2">
      <c r="F1106" s="163"/>
      <c r="K1106"/>
    </row>
    <row r="1107" spans="6:11" x14ac:dyDescent="0.2">
      <c r="F1107" s="163"/>
      <c r="K1107"/>
    </row>
    <row r="1108" spans="6:11" x14ac:dyDescent="0.2">
      <c r="F1108" s="163"/>
      <c r="K1108"/>
    </row>
    <row r="1109" spans="6:11" x14ac:dyDescent="0.2">
      <c r="F1109" s="163"/>
      <c r="K1109"/>
    </row>
    <row r="1110" spans="6:11" x14ac:dyDescent="0.2">
      <c r="F1110" s="163"/>
      <c r="K1110"/>
    </row>
    <row r="1111" spans="6:11" x14ac:dyDescent="0.2">
      <c r="F1111" s="163"/>
      <c r="K1111"/>
    </row>
    <row r="1112" spans="6:11" x14ac:dyDescent="0.2">
      <c r="F1112" s="163"/>
      <c r="K1112"/>
    </row>
    <row r="1113" spans="6:11" x14ac:dyDescent="0.2">
      <c r="F1113" s="163"/>
      <c r="K1113"/>
    </row>
    <row r="1114" spans="6:11" x14ac:dyDescent="0.2">
      <c r="F1114" s="163"/>
      <c r="K1114"/>
    </row>
    <row r="1115" spans="6:11" x14ac:dyDescent="0.2">
      <c r="F1115" s="163"/>
      <c r="K1115"/>
    </row>
    <row r="1116" spans="6:11" x14ac:dyDescent="0.2">
      <c r="F1116" s="163"/>
      <c r="K1116"/>
    </row>
    <row r="1117" spans="6:11" x14ac:dyDescent="0.2">
      <c r="F1117" s="163"/>
      <c r="K1117"/>
    </row>
    <row r="1118" spans="6:11" x14ac:dyDescent="0.2">
      <c r="F1118" s="163"/>
      <c r="K1118"/>
    </row>
    <row r="1119" spans="6:11" x14ac:dyDescent="0.2">
      <c r="F1119" s="163"/>
      <c r="K1119"/>
    </row>
    <row r="1120" spans="6:11" x14ac:dyDescent="0.2">
      <c r="F1120" s="163"/>
      <c r="K1120"/>
    </row>
    <row r="1121" spans="6:11" x14ac:dyDescent="0.2">
      <c r="F1121" s="163"/>
      <c r="K1121"/>
    </row>
    <row r="1122" spans="6:11" x14ac:dyDescent="0.2">
      <c r="F1122" s="163"/>
      <c r="K1122"/>
    </row>
    <row r="1123" spans="6:11" x14ac:dyDescent="0.2">
      <c r="F1123" s="163"/>
      <c r="K1123"/>
    </row>
    <row r="1124" spans="6:11" x14ac:dyDescent="0.2">
      <c r="F1124" s="163"/>
      <c r="K1124"/>
    </row>
    <row r="1125" spans="6:11" x14ac:dyDescent="0.2">
      <c r="F1125" s="163"/>
      <c r="K1125"/>
    </row>
    <row r="1126" spans="6:11" x14ac:dyDescent="0.2">
      <c r="F1126" s="163"/>
      <c r="K1126"/>
    </row>
    <row r="1127" spans="6:11" x14ac:dyDescent="0.2">
      <c r="F1127" s="163"/>
      <c r="K1127"/>
    </row>
    <row r="1128" spans="6:11" x14ac:dyDescent="0.2">
      <c r="F1128" s="163"/>
      <c r="K1128"/>
    </row>
    <row r="1129" spans="6:11" x14ac:dyDescent="0.2">
      <c r="F1129" s="163"/>
      <c r="K1129"/>
    </row>
    <row r="1130" spans="6:11" x14ac:dyDescent="0.2">
      <c r="F1130" s="163"/>
      <c r="K1130"/>
    </row>
    <row r="1131" spans="6:11" x14ac:dyDescent="0.2">
      <c r="F1131" s="163"/>
      <c r="K1131"/>
    </row>
    <row r="1132" spans="6:11" x14ac:dyDescent="0.2">
      <c r="F1132" s="163"/>
      <c r="K1132"/>
    </row>
    <row r="1133" spans="6:11" x14ac:dyDescent="0.2">
      <c r="F1133" s="163"/>
      <c r="K1133"/>
    </row>
    <row r="1134" spans="6:11" x14ac:dyDescent="0.2">
      <c r="F1134" s="163"/>
      <c r="K1134"/>
    </row>
    <row r="1135" spans="6:11" x14ac:dyDescent="0.2">
      <c r="F1135" s="163"/>
      <c r="K1135"/>
    </row>
    <row r="1136" spans="6:11" x14ac:dyDescent="0.2">
      <c r="F1136" s="163"/>
      <c r="K1136"/>
    </row>
    <row r="1137" spans="6:11" x14ac:dyDescent="0.2">
      <c r="F1137" s="163"/>
      <c r="K1137"/>
    </row>
    <row r="1138" spans="6:11" x14ac:dyDescent="0.2">
      <c r="F1138" s="163"/>
      <c r="K1138"/>
    </row>
    <row r="1139" spans="6:11" x14ac:dyDescent="0.2">
      <c r="F1139" s="163"/>
      <c r="K1139"/>
    </row>
    <row r="1140" spans="6:11" x14ac:dyDescent="0.2">
      <c r="F1140" s="163"/>
      <c r="K1140"/>
    </row>
    <row r="1141" spans="6:11" x14ac:dyDescent="0.2">
      <c r="F1141" s="163"/>
      <c r="K1141"/>
    </row>
    <row r="1142" spans="6:11" x14ac:dyDescent="0.2">
      <c r="F1142" s="163"/>
      <c r="K1142"/>
    </row>
    <row r="1143" spans="6:11" x14ac:dyDescent="0.2">
      <c r="F1143" s="163"/>
      <c r="K1143"/>
    </row>
    <row r="1144" spans="6:11" x14ac:dyDescent="0.2">
      <c r="F1144" s="163"/>
      <c r="K1144"/>
    </row>
    <row r="1145" spans="6:11" x14ac:dyDescent="0.2">
      <c r="F1145" s="163"/>
      <c r="K1145"/>
    </row>
    <row r="1146" spans="6:11" x14ac:dyDescent="0.2">
      <c r="F1146" s="163"/>
      <c r="K1146"/>
    </row>
    <row r="1147" spans="6:11" x14ac:dyDescent="0.2">
      <c r="F1147" s="163"/>
      <c r="K1147"/>
    </row>
    <row r="1148" spans="6:11" x14ac:dyDescent="0.2">
      <c r="F1148" s="163"/>
      <c r="K1148"/>
    </row>
    <row r="1149" spans="6:11" x14ac:dyDescent="0.2">
      <c r="F1149" s="163"/>
      <c r="K1149"/>
    </row>
    <row r="1150" spans="6:11" x14ac:dyDescent="0.2">
      <c r="F1150" s="163"/>
      <c r="K1150"/>
    </row>
    <row r="1151" spans="6:11" x14ac:dyDescent="0.2">
      <c r="F1151" s="163"/>
      <c r="K1151"/>
    </row>
    <row r="1152" spans="6:11" x14ac:dyDescent="0.2">
      <c r="F1152" s="163"/>
      <c r="K1152"/>
    </row>
    <row r="1153" spans="6:11" x14ac:dyDescent="0.2">
      <c r="F1153" s="163"/>
      <c r="K1153"/>
    </row>
    <row r="1154" spans="6:11" x14ac:dyDescent="0.2">
      <c r="F1154" s="163"/>
      <c r="K1154"/>
    </row>
    <row r="1155" spans="6:11" x14ac:dyDescent="0.2">
      <c r="F1155" s="163"/>
      <c r="K1155"/>
    </row>
    <row r="1156" spans="6:11" x14ac:dyDescent="0.2">
      <c r="F1156" s="163"/>
      <c r="K1156"/>
    </row>
    <row r="1157" spans="6:11" x14ac:dyDescent="0.2">
      <c r="F1157" s="163"/>
      <c r="K1157"/>
    </row>
    <row r="1158" spans="6:11" x14ac:dyDescent="0.2">
      <c r="F1158" s="163"/>
      <c r="K1158"/>
    </row>
    <row r="1159" spans="6:11" x14ac:dyDescent="0.2">
      <c r="F1159" s="163"/>
      <c r="K1159"/>
    </row>
    <row r="1160" spans="6:11" x14ac:dyDescent="0.2">
      <c r="F1160" s="163"/>
      <c r="K1160"/>
    </row>
    <row r="1161" spans="6:11" x14ac:dyDescent="0.2">
      <c r="F1161" s="163"/>
      <c r="K1161"/>
    </row>
    <row r="1162" spans="6:11" x14ac:dyDescent="0.2">
      <c r="F1162" s="163"/>
      <c r="K1162"/>
    </row>
    <row r="1163" spans="6:11" x14ac:dyDescent="0.2">
      <c r="F1163" s="163"/>
      <c r="K1163"/>
    </row>
    <row r="1164" spans="6:11" x14ac:dyDescent="0.2">
      <c r="F1164" s="163"/>
      <c r="K1164"/>
    </row>
    <row r="1165" spans="6:11" x14ac:dyDescent="0.2">
      <c r="F1165" s="163"/>
      <c r="K1165"/>
    </row>
    <row r="1166" spans="6:11" x14ac:dyDescent="0.2">
      <c r="F1166" s="163"/>
      <c r="K1166"/>
    </row>
    <row r="1167" spans="6:11" x14ac:dyDescent="0.2">
      <c r="F1167" s="163"/>
      <c r="K1167"/>
    </row>
    <row r="1168" spans="6:11" x14ac:dyDescent="0.2">
      <c r="F1168" s="163"/>
      <c r="K1168"/>
    </row>
    <row r="1169" spans="6:11" x14ac:dyDescent="0.2">
      <c r="F1169" s="163"/>
      <c r="K1169"/>
    </row>
    <row r="1170" spans="6:11" x14ac:dyDescent="0.2">
      <c r="F1170" s="163"/>
      <c r="K1170"/>
    </row>
    <row r="1171" spans="6:11" x14ac:dyDescent="0.2">
      <c r="F1171" s="163"/>
      <c r="K1171"/>
    </row>
    <row r="1172" spans="6:11" x14ac:dyDescent="0.2">
      <c r="F1172" s="163"/>
      <c r="K1172"/>
    </row>
    <row r="1173" spans="6:11" x14ac:dyDescent="0.2">
      <c r="F1173" s="163"/>
      <c r="K1173"/>
    </row>
    <row r="1174" spans="6:11" x14ac:dyDescent="0.2">
      <c r="F1174" s="163"/>
      <c r="K1174"/>
    </row>
    <row r="1175" spans="6:11" x14ac:dyDescent="0.2">
      <c r="F1175" s="163"/>
      <c r="K1175"/>
    </row>
    <row r="1176" spans="6:11" x14ac:dyDescent="0.2">
      <c r="F1176" s="163"/>
      <c r="K1176"/>
    </row>
    <row r="1177" spans="6:11" x14ac:dyDescent="0.2">
      <c r="F1177" s="163"/>
      <c r="K1177"/>
    </row>
    <row r="1178" spans="6:11" x14ac:dyDescent="0.2">
      <c r="F1178" s="163"/>
      <c r="K1178"/>
    </row>
    <row r="1179" spans="6:11" x14ac:dyDescent="0.2">
      <c r="F1179" s="163"/>
      <c r="K1179"/>
    </row>
    <row r="1180" spans="6:11" x14ac:dyDescent="0.2">
      <c r="F1180" s="163"/>
      <c r="K1180"/>
    </row>
    <row r="1181" spans="6:11" x14ac:dyDescent="0.2">
      <c r="F1181" s="163"/>
      <c r="K1181"/>
    </row>
    <row r="1182" spans="6:11" x14ac:dyDescent="0.2">
      <c r="F1182" s="163"/>
      <c r="K1182"/>
    </row>
    <row r="1183" spans="6:11" x14ac:dyDescent="0.2">
      <c r="F1183" s="163"/>
      <c r="K1183"/>
    </row>
    <row r="1184" spans="6:11" x14ac:dyDescent="0.2">
      <c r="F1184" s="163"/>
      <c r="K1184"/>
    </row>
    <row r="1185" spans="6:11" x14ac:dyDescent="0.2">
      <c r="F1185" s="163"/>
      <c r="K1185"/>
    </row>
    <row r="1186" spans="6:11" x14ac:dyDescent="0.2">
      <c r="F1186" s="163"/>
      <c r="K1186"/>
    </row>
    <row r="1187" spans="6:11" x14ac:dyDescent="0.2">
      <c r="F1187" s="163"/>
      <c r="K1187"/>
    </row>
    <row r="1188" spans="6:11" x14ac:dyDescent="0.2">
      <c r="F1188" s="163"/>
      <c r="K1188"/>
    </row>
    <row r="1189" spans="6:11" x14ac:dyDescent="0.2">
      <c r="F1189" s="163"/>
      <c r="K1189"/>
    </row>
    <row r="1190" spans="6:11" x14ac:dyDescent="0.2">
      <c r="F1190" s="163"/>
      <c r="K1190"/>
    </row>
    <row r="1191" spans="6:11" x14ac:dyDescent="0.2">
      <c r="F1191" s="163"/>
      <c r="K1191"/>
    </row>
    <row r="1192" spans="6:11" x14ac:dyDescent="0.2">
      <c r="F1192" s="163"/>
      <c r="K1192"/>
    </row>
    <row r="1193" spans="6:11" x14ac:dyDescent="0.2">
      <c r="F1193" s="163"/>
      <c r="K1193"/>
    </row>
    <row r="1194" spans="6:11" x14ac:dyDescent="0.2">
      <c r="F1194" s="163"/>
      <c r="K1194"/>
    </row>
    <row r="1195" spans="6:11" x14ac:dyDescent="0.2">
      <c r="F1195" s="163"/>
      <c r="K1195"/>
    </row>
    <row r="1196" spans="6:11" x14ac:dyDescent="0.2">
      <c r="F1196" s="163"/>
      <c r="K1196"/>
    </row>
    <row r="1197" spans="6:11" x14ac:dyDescent="0.2">
      <c r="F1197" s="163"/>
      <c r="K1197"/>
    </row>
    <row r="1198" spans="6:11" x14ac:dyDescent="0.2">
      <c r="F1198" s="163"/>
      <c r="K1198"/>
    </row>
    <row r="1199" spans="6:11" x14ac:dyDescent="0.2">
      <c r="F1199" s="163"/>
      <c r="K1199"/>
    </row>
    <row r="1200" spans="6:11" x14ac:dyDescent="0.2">
      <c r="F1200" s="163"/>
      <c r="K1200"/>
    </row>
    <row r="1201" spans="6:11" x14ac:dyDescent="0.2">
      <c r="F1201" s="163"/>
      <c r="K1201"/>
    </row>
    <row r="1202" spans="6:11" x14ac:dyDescent="0.2">
      <c r="F1202" s="163"/>
      <c r="K1202"/>
    </row>
    <row r="1203" spans="6:11" x14ac:dyDescent="0.2">
      <c r="F1203" s="163"/>
      <c r="K1203"/>
    </row>
    <row r="1204" spans="6:11" x14ac:dyDescent="0.2">
      <c r="F1204" s="163"/>
      <c r="K1204"/>
    </row>
    <row r="1205" spans="6:11" x14ac:dyDescent="0.2">
      <c r="F1205" s="163"/>
      <c r="K1205"/>
    </row>
    <row r="1206" spans="6:11" x14ac:dyDescent="0.2">
      <c r="F1206" s="163"/>
      <c r="K1206"/>
    </row>
    <row r="1207" spans="6:11" x14ac:dyDescent="0.2">
      <c r="F1207" s="163"/>
      <c r="K1207"/>
    </row>
    <row r="1208" spans="6:11" x14ac:dyDescent="0.2">
      <c r="F1208" s="163"/>
      <c r="K1208"/>
    </row>
    <row r="1209" spans="6:11" x14ac:dyDescent="0.2">
      <c r="F1209" s="163"/>
      <c r="K1209"/>
    </row>
    <row r="1210" spans="6:11" x14ac:dyDescent="0.2">
      <c r="F1210" s="163"/>
      <c r="K1210"/>
    </row>
    <row r="1211" spans="6:11" x14ac:dyDescent="0.2">
      <c r="F1211" s="163"/>
      <c r="K1211"/>
    </row>
    <row r="1212" spans="6:11" x14ac:dyDescent="0.2">
      <c r="F1212" s="163"/>
      <c r="K1212"/>
    </row>
    <row r="1213" spans="6:11" x14ac:dyDescent="0.2">
      <c r="F1213" s="163"/>
      <c r="K1213"/>
    </row>
    <row r="1214" spans="6:11" x14ac:dyDescent="0.2">
      <c r="F1214" s="163"/>
      <c r="K1214"/>
    </row>
    <row r="1215" spans="6:11" x14ac:dyDescent="0.2">
      <c r="F1215" s="163"/>
      <c r="K1215"/>
    </row>
    <row r="1216" spans="6:11" x14ac:dyDescent="0.2">
      <c r="F1216" s="163"/>
      <c r="K1216"/>
    </row>
    <row r="1217" spans="6:11" x14ac:dyDescent="0.2">
      <c r="F1217" s="163"/>
      <c r="K1217"/>
    </row>
    <row r="1218" spans="6:11" x14ac:dyDescent="0.2">
      <c r="F1218" s="163"/>
      <c r="K1218"/>
    </row>
    <row r="1219" spans="6:11" x14ac:dyDescent="0.2">
      <c r="F1219" s="163"/>
      <c r="K1219"/>
    </row>
    <row r="1220" spans="6:11" x14ac:dyDescent="0.2">
      <c r="F1220" s="163"/>
      <c r="K1220"/>
    </row>
    <row r="1221" spans="6:11" x14ac:dyDescent="0.2">
      <c r="F1221" s="163"/>
      <c r="K1221"/>
    </row>
    <row r="1222" spans="6:11" x14ac:dyDescent="0.2">
      <c r="F1222" s="163"/>
      <c r="K1222"/>
    </row>
    <row r="1223" spans="6:11" x14ac:dyDescent="0.2">
      <c r="F1223" s="163"/>
      <c r="K1223"/>
    </row>
    <row r="1224" spans="6:11" x14ac:dyDescent="0.2">
      <c r="F1224" s="163"/>
      <c r="K1224"/>
    </row>
    <row r="1225" spans="6:11" x14ac:dyDescent="0.2">
      <c r="F1225" s="163"/>
      <c r="K1225"/>
    </row>
    <row r="1226" spans="6:11" x14ac:dyDescent="0.2">
      <c r="F1226" s="163"/>
      <c r="K1226"/>
    </row>
    <row r="1227" spans="6:11" x14ac:dyDescent="0.2">
      <c r="F1227" s="163"/>
      <c r="K1227"/>
    </row>
    <row r="1228" spans="6:11" x14ac:dyDescent="0.2">
      <c r="F1228" s="163"/>
      <c r="K1228"/>
    </row>
    <row r="1229" spans="6:11" x14ac:dyDescent="0.2">
      <c r="F1229" s="163"/>
      <c r="K1229"/>
    </row>
    <row r="1230" spans="6:11" x14ac:dyDescent="0.2">
      <c r="F1230" s="163"/>
      <c r="K1230"/>
    </row>
    <row r="1231" spans="6:11" x14ac:dyDescent="0.2">
      <c r="F1231" s="163"/>
      <c r="K1231"/>
    </row>
    <row r="1232" spans="6:11" x14ac:dyDescent="0.2">
      <c r="F1232" s="163"/>
      <c r="K1232"/>
    </row>
    <row r="1233" spans="6:11" x14ac:dyDescent="0.2">
      <c r="F1233" s="163"/>
      <c r="K1233"/>
    </row>
    <row r="1234" spans="6:11" x14ac:dyDescent="0.2">
      <c r="F1234" s="163"/>
      <c r="K1234"/>
    </row>
    <row r="1235" spans="6:11" x14ac:dyDescent="0.2">
      <c r="F1235" s="163"/>
      <c r="K1235"/>
    </row>
    <row r="1236" spans="6:11" x14ac:dyDescent="0.2">
      <c r="F1236" s="163"/>
      <c r="K1236"/>
    </row>
    <row r="1237" spans="6:11" x14ac:dyDescent="0.2">
      <c r="F1237" s="163"/>
      <c r="K1237"/>
    </row>
    <row r="1238" spans="6:11" x14ac:dyDescent="0.2">
      <c r="F1238" s="163"/>
      <c r="K1238"/>
    </row>
    <row r="1239" spans="6:11" x14ac:dyDescent="0.2">
      <c r="F1239" s="163"/>
      <c r="K1239"/>
    </row>
    <row r="1240" spans="6:11" x14ac:dyDescent="0.2">
      <c r="F1240" s="163"/>
      <c r="K1240"/>
    </row>
    <row r="1241" spans="6:11" x14ac:dyDescent="0.2">
      <c r="F1241" s="163"/>
      <c r="K1241"/>
    </row>
    <row r="1242" spans="6:11" x14ac:dyDescent="0.2">
      <c r="F1242" s="163"/>
      <c r="K1242"/>
    </row>
    <row r="1243" spans="6:11" x14ac:dyDescent="0.2">
      <c r="F1243" s="163"/>
      <c r="K1243"/>
    </row>
    <row r="1244" spans="6:11" x14ac:dyDescent="0.2">
      <c r="F1244" s="163"/>
      <c r="K1244"/>
    </row>
    <row r="1245" spans="6:11" x14ac:dyDescent="0.2">
      <c r="F1245" s="163"/>
      <c r="K1245"/>
    </row>
    <row r="1246" spans="6:11" x14ac:dyDescent="0.2">
      <c r="F1246" s="163"/>
      <c r="K1246"/>
    </row>
    <row r="1247" spans="6:11" x14ac:dyDescent="0.2">
      <c r="F1247" s="163"/>
      <c r="K1247"/>
    </row>
    <row r="1248" spans="6:11" x14ac:dyDescent="0.2">
      <c r="F1248" s="163"/>
      <c r="K1248"/>
    </row>
    <row r="1249" spans="6:11" x14ac:dyDescent="0.2">
      <c r="F1249" s="163"/>
      <c r="K1249"/>
    </row>
    <row r="1250" spans="6:11" x14ac:dyDescent="0.2">
      <c r="F1250" s="163"/>
      <c r="K1250"/>
    </row>
    <row r="1251" spans="6:11" x14ac:dyDescent="0.2">
      <c r="F1251" s="163"/>
      <c r="K1251"/>
    </row>
    <row r="1252" spans="6:11" x14ac:dyDescent="0.2">
      <c r="F1252" s="163"/>
      <c r="K1252"/>
    </row>
    <row r="1253" spans="6:11" x14ac:dyDescent="0.2">
      <c r="F1253" s="163"/>
      <c r="K1253"/>
    </row>
    <row r="1254" spans="6:11" x14ac:dyDescent="0.2">
      <c r="F1254" s="163"/>
      <c r="K1254"/>
    </row>
    <row r="1255" spans="6:11" x14ac:dyDescent="0.2">
      <c r="F1255" s="163"/>
      <c r="K1255"/>
    </row>
    <row r="1256" spans="6:11" x14ac:dyDescent="0.2">
      <c r="F1256" s="163"/>
      <c r="K1256"/>
    </row>
    <row r="1257" spans="6:11" x14ac:dyDescent="0.2">
      <c r="F1257" s="163"/>
      <c r="K1257"/>
    </row>
    <row r="1258" spans="6:11" x14ac:dyDescent="0.2">
      <c r="F1258" s="163"/>
      <c r="K1258"/>
    </row>
    <row r="1259" spans="6:11" x14ac:dyDescent="0.2">
      <c r="F1259" s="163"/>
      <c r="K1259"/>
    </row>
    <row r="1260" spans="6:11" x14ac:dyDescent="0.2">
      <c r="F1260" s="163"/>
      <c r="K1260"/>
    </row>
    <row r="1261" spans="6:11" x14ac:dyDescent="0.2">
      <c r="F1261" s="163"/>
      <c r="K1261"/>
    </row>
    <row r="1262" spans="6:11" x14ac:dyDescent="0.2">
      <c r="F1262" s="163"/>
      <c r="K1262"/>
    </row>
    <row r="1263" spans="6:11" x14ac:dyDescent="0.2">
      <c r="F1263" s="163"/>
      <c r="K1263"/>
    </row>
    <row r="1264" spans="6:11" x14ac:dyDescent="0.2">
      <c r="F1264" s="163"/>
      <c r="K1264"/>
    </row>
    <row r="1265" spans="6:11" x14ac:dyDescent="0.2">
      <c r="F1265" s="163"/>
      <c r="K1265"/>
    </row>
    <row r="1266" spans="6:11" x14ac:dyDescent="0.2">
      <c r="F1266" s="163"/>
      <c r="K1266"/>
    </row>
    <row r="1267" spans="6:11" x14ac:dyDescent="0.2">
      <c r="F1267" s="163"/>
      <c r="K1267"/>
    </row>
    <row r="1268" spans="6:11" x14ac:dyDescent="0.2">
      <c r="F1268" s="163"/>
      <c r="K1268"/>
    </row>
    <row r="1269" spans="6:11" x14ac:dyDescent="0.2">
      <c r="F1269" s="163"/>
      <c r="K1269"/>
    </row>
    <row r="1270" spans="6:11" x14ac:dyDescent="0.2">
      <c r="F1270" s="163"/>
      <c r="K1270"/>
    </row>
    <row r="1271" spans="6:11" x14ac:dyDescent="0.2">
      <c r="F1271" s="163"/>
      <c r="K1271"/>
    </row>
    <row r="1272" spans="6:11" x14ac:dyDescent="0.2">
      <c r="F1272" s="163"/>
      <c r="K1272"/>
    </row>
    <row r="1273" spans="6:11" x14ac:dyDescent="0.2">
      <c r="F1273" s="163"/>
      <c r="K1273"/>
    </row>
    <row r="1274" spans="6:11" x14ac:dyDescent="0.2">
      <c r="F1274" s="163"/>
      <c r="K1274"/>
    </row>
    <row r="1275" spans="6:11" x14ac:dyDescent="0.2">
      <c r="F1275" s="163"/>
      <c r="K1275"/>
    </row>
    <row r="1276" spans="6:11" x14ac:dyDescent="0.2">
      <c r="F1276" s="163"/>
      <c r="K1276"/>
    </row>
    <row r="1277" spans="6:11" x14ac:dyDescent="0.2">
      <c r="F1277" s="163"/>
      <c r="K1277"/>
    </row>
    <row r="1278" spans="6:11" x14ac:dyDescent="0.2">
      <c r="F1278" s="163"/>
      <c r="K1278"/>
    </row>
    <row r="1279" spans="6:11" x14ac:dyDescent="0.2">
      <c r="F1279" s="163"/>
      <c r="K1279"/>
    </row>
    <row r="1280" spans="6:11" x14ac:dyDescent="0.2">
      <c r="F1280" s="163"/>
      <c r="K1280"/>
    </row>
    <row r="1281" spans="6:11" x14ac:dyDescent="0.2">
      <c r="F1281" s="163"/>
      <c r="K1281"/>
    </row>
    <row r="1282" spans="6:11" x14ac:dyDescent="0.2">
      <c r="F1282" s="163"/>
      <c r="K1282"/>
    </row>
    <row r="1283" spans="6:11" x14ac:dyDescent="0.2">
      <c r="F1283" s="163"/>
      <c r="K1283"/>
    </row>
    <row r="1284" spans="6:11" x14ac:dyDescent="0.2">
      <c r="F1284" s="163"/>
      <c r="K1284"/>
    </row>
    <row r="1285" spans="6:11" x14ac:dyDescent="0.2">
      <c r="F1285" s="163"/>
      <c r="K1285"/>
    </row>
    <row r="1286" spans="6:11" x14ac:dyDescent="0.2">
      <c r="F1286" s="163"/>
      <c r="K1286"/>
    </row>
    <row r="1287" spans="6:11" x14ac:dyDescent="0.2">
      <c r="F1287" s="163"/>
      <c r="K1287"/>
    </row>
    <row r="1288" spans="6:11" x14ac:dyDescent="0.2">
      <c r="F1288" s="163"/>
      <c r="K1288"/>
    </row>
    <row r="1289" spans="6:11" x14ac:dyDescent="0.2">
      <c r="F1289" s="163"/>
      <c r="K1289"/>
    </row>
    <row r="1290" spans="6:11" x14ac:dyDescent="0.2">
      <c r="F1290" s="163"/>
      <c r="K1290"/>
    </row>
    <row r="1291" spans="6:11" x14ac:dyDescent="0.2">
      <c r="F1291" s="163"/>
      <c r="K1291"/>
    </row>
    <row r="1292" spans="6:11" x14ac:dyDescent="0.2">
      <c r="F1292" s="163"/>
      <c r="K1292"/>
    </row>
    <row r="1293" spans="6:11" x14ac:dyDescent="0.2">
      <c r="F1293" s="163"/>
      <c r="K1293"/>
    </row>
    <row r="1294" spans="6:11" x14ac:dyDescent="0.2">
      <c r="F1294" s="163"/>
      <c r="K1294"/>
    </row>
    <row r="1295" spans="6:11" x14ac:dyDescent="0.2">
      <c r="F1295" s="163"/>
      <c r="K1295"/>
    </row>
    <row r="1296" spans="6:11" x14ac:dyDescent="0.2">
      <c r="F1296" s="163"/>
      <c r="K1296"/>
    </row>
    <row r="1297" spans="6:11" x14ac:dyDescent="0.2">
      <c r="F1297" s="163"/>
      <c r="K1297"/>
    </row>
    <row r="1298" spans="6:11" x14ac:dyDescent="0.2">
      <c r="F1298" s="163"/>
      <c r="K1298"/>
    </row>
    <row r="1299" spans="6:11" x14ac:dyDescent="0.2">
      <c r="F1299" s="163"/>
      <c r="K1299"/>
    </row>
    <row r="1300" spans="6:11" x14ac:dyDescent="0.2">
      <c r="F1300" s="163"/>
      <c r="K1300"/>
    </row>
    <row r="1301" spans="6:11" x14ac:dyDescent="0.2">
      <c r="F1301" s="163"/>
      <c r="K1301"/>
    </row>
    <row r="1302" spans="6:11" x14ac:dyDescent="0.2">
      <c r="F1302" s="163"/>
      <c r="K1302"/>
    </row>
    <row r="1303" spans="6:11" x14ac:dyDescent="0.2">
      <c r="F1303" s="163"/>
      <c r="K1303"/>
    </row>
    <row r="1304" spans="6:11" x14ac:dyDescent="0.2">
      <c r="F1304" s="163"/>
      <c r="K1304"/>
    </row>
    <row r="1305" spans="6:11" x14ac:dyDescent="0.2">
      <c r="F1305" s="163"/>
      <c r="K1305"/>
    </row>
    <row r="1306" spans="6:11" x14ac:dyDescent="0.2">
      <c r="F1306" s="163"/>
      <c r="K1306"/>
    </row>
    <row r="1307" spans="6:11" x14ac:dyDescent="0.2">
      <c r="F1307" s="163"/>
      <c r="K1307"/>
    </row>
    <row r="1308" spans="6:11" x14ac:dyDescent="0.2">
      <c r="F1308" s="163"/>
      <c r="K1308"/>
    </row>
    <row r="1309" spans="6:11" x14ac:dyDescent="0.2">
      <c r="F1309" s="163"/>
      <c r="K1309"/>
    </row>
    <row r="1310" spans="6:11" x14ac:dyDescent="0.2">
      <c r="F1310" s="163"/>
      <c r="K1310"/>
    </row>
    <row r="1311" spans="6:11" x14ac:dyDescent="0.2">
      <c r="F1311" s="163"/>
      <c r="K1311"/>
    </row>
    <row r="1312" spans="6:11" x14ac:dyDescent="0.2">
      <c r="F1312" s="163"/>
      <c r="K1312"/>
    </row>
    <row r="1313" spans="6:11" x14ac:dyDescent="0.2">
      <c r="F1313" s="163"/>
      <c r="K1313"/>
    </row>
    <row r="1314" spans="6:11" x14ac:dyDescent="0.2">
      <c r="F1314" s="163"/>
      <c r="K1314"/>
    </row>
    <row r="1315" spans="6:11" x14ac:dyDescent="0.2">
      <c r="F1315" s="163"/>
      <c r="K1315"/>
    </row>
    <row r="1316" spans="6:11" x14ac:dyDescent="0.2">
      <c r="F1316" s="163"/>
      <c r="K1316"/>
    </row>
    <row r="1317" spans="6:11" x14ac:dyDescent="0.2">
      <c r="F1317" s="163"/>
      <c r="K1317"/>
    </row>
    <row r="1318" spans="6:11" x14ac:dyDescent="0.2">
      <c r="F1318" s="163"/>
      <c r="K1318"/>
    </row>
    <row r="1319" spans="6:11" x14ac:dyDescent="0.2">
      <c r="F1319" s="163"/>
      <c r="K1319"/>
    </row>
    <row r="1320" spans="6:11" x14ac:dyDescent="0.2">
      <c r="F1320" s="163"/>
      <c r="K1320"/>
    </row>
    <row r="1321" spans="6:11" x14ac:dyDescent="0.2">
      <c r="F1321" s="163"/>
      <c r="K1321"/>
    </row>
    <row r="1322" spans="6:11" x14ac:dyDescent="0.2">
      <c r="F1322" s="163"/>
      <c r="K1322"/>
    </row>
    <row r="1323" spans="6:11" x14ac:dyDescent="0.2">
      <c r="F1323" s="163"/>
      <c r="K1323"/>
    </row>
    <row r="1324" spans="6:11" x14ac:dyDescent="0.2">
      <c r="F1324" s="163"/>
      <c r="K1324"/>
    </row>
    <row r="1325" spans="6:11" x14ac:dyDescent="0.2">
      <c r="F1325" s="163"/>
      <c r="K1325"/>
    </row>
    <row r="1326" spans="6:11" x14ac:dyDescent="0.2">
      <c r="F1326" s="163"/>
      <c r="K1326"/>
    </row>
    <row r="1327" spans="6:11" x14ac:dyDescent="0.2">
      <c r="F1327" s="163"/>
      <c r="K1327"/>
    </row>
    <row r="1328" spans="6:11" x14ac:dyDescent="0.2">
      <c r="F1328" s="163"/>
      <c r="K1328"/>
    </row>
    <row r="1329" spans="6:11" x14ac:dyDescent="0.2">
      <c r="F1329" s="163"/>
      <c r="K1329"/>
    </row>
    <row r="1330" spans="6:11" x14ac:dyDescent="0.2">
      <c r="F1330" s="163"/>
      <c r="K1330"/>
    </row>
    <row r="1331" spans="6:11" x14ac:dyDescent="0.2">
      <c r="F1331" s="163"/>
      <c r="K1331"/>
    </row>
    <row r="1332" spans="6:11" x14ac:dyDescent="0.2">
      <c r="F1332" s="163"/>
      <c r="K1332"/>
    </row>
    <row r="1333" spans="6:11" x14ac:dyDescent="0.2">
      <c r="F1333" s="163"/>
      <c r="K1333"/>
    </row>
    <row r="1334" spans="6:11" x14ac:dyDescent="0.2">
      <c r="F1334" s="163"/>
      <c r="K1334"/>
    </row>
    <row r="1335" spans="6:11" x14ac:dyDescent="0.2">
      <c r="F1335" s="163"/>
      <c r="K1335"/>
    </row>
    <row r="1336" spans="6:11" x14ac:dyDescent="0.2">
      <c r="F1336" s="163"/>
      <c r="K1336"/>
    </row>
    <row r="1337" spans="6:11" x14ac:dyDescent="0.2">
      <c r="F1337" s="163"/>
      <c r="K1337"/>
    </row>
    <row r="1338" spans="6:11" x14ac:dyDescent="0.2">
      <c r="F1338" s="163"/>
      <c r="K1338"/>
    </row>
    <row r="1339" spans="6:11" x14ac:dyDescent="0.2">
      <c r="F1339" s="163"/>
      <c r="K1339"/>
    </row>
    <row r="1340" spans="6:11" x14ac:dyDescent="0.2">
      <c r="F1340" s="163"/>
      <c r="K1340"/>
    </row>
    <row r="1341" spans="6:11" x14ac:dyDescent="0.2">
      <c r="F1341" s="163"/>
      <c r="K1341"/>
    </row>
    <row r="1342" spans="6:11" x14ac:dyDescent="0.2">
      <c r="F1342" s="163"/>
      <c r="K1342"/>
    </row>
    <row r="1343" spans="6:11" x14ac:dyDescent="0.2">
      <c r="F1343" s="163"/>
      <c r="K1343"/>
    </row>
    <row r="1344" spans="6:11" x14ac:dyDescent="0.2">
      <c r="F1344" s="163"/>
      <c r="K1344"/>
    </row>
    <row r="1345" spans="6:11" x14ac:dyDescent="0.2">
      <c r="F1345" s="163"/>
      <c r="K1345"/>
    </row>
    <row r="1346" spans="6:11" x14ac:dyDescent="0.2">
      <c r="F1346" s="163"/>
      <c r="K1346"/>
    </row>
    <row r="1347" spans="6:11" x14ac:dyDescent="0.2">
      <c r="F1347" s="163"/>
      <c r="K1347"/>
    </row>
    <row r="1348" spans="6:11" x14ac:dyDescent="0.2">
      <c r="F1348" s="163"/>
      <c r="K1348"/>
    </row>
    <row r="1349" spans="6:11" x14ac:dyDescent="0.2">
      <c r="F1349" s="163"/>
      <c r="K1349"/>
    </row>
    <row r="1350" spans="6:11" x14ac:dyDescent="0.2">
      <c r="F1350" s="163"/>
      <c r="K1350"/>
    </row>
    <row r="1351" spans="6:11" x14ac:dyDescent="0.2">
      <c r="F1351" s="163"/>
      <c r="K1351"/>
    </row>
    <row r="1352" spans="6:11" x14ac:dyDescent="0.2">
      <c r="F1352" s="163"/>
      <c r="K1352"/>
    </row>
    <row r="1353" spans="6:11" x14ac:dyDescent="0.2">
      <c r="F1353" s="163"/>
      <c r="K1353"/>
    </row>
    <row r="1354" spans="6:11" x14ac:dyDescent="0.2">
      <c r="F1354" s="163"/>
      <c r="K1354"/>
    </row>
    <row r="1355" spans="6:11" x14ac:dyDescent="0.2">
      <c r="F1355" s="163"/>
      <c r="K1355"/>
    </row>
    <row r="1356" spans="6:11" x14ac:dyDescent="0.2">
      <c r="F1356" s="163"/>
      <c r="K1356"/>
    </row>
    <row r="1357" spans="6:11" x14ac:dyDescent="0.2">
      <c r="F1357" s="163"/>
      <c r="K1357"/>
    </row>
    <row r="1358" spans="6:11" x14ac:dyDescent="0.2">
      <c r="F1358" s="163"/>
      <c r="K1358"/>
    </row>
    <row r="1359" spans="6:11" x14ac:dyDescent="0.2">
      <c r="F1359" s="163"/>
      <c r="K1359"/>
    </row>
    <row r="1360" spans="6:11" x14ac:dyDescent="0.2">
      <c r="F1360" s="163"/>
      <c r="K1360"/>
    </row>
    <row r="1361" spans="6:11" x14ac:dyDescent="0.2">
      <c r="F1361" s="163"/>
      <c r="K1361"/>
    </row>
    <row r="1362" spans="6:11" x14ac:dyDescent="0.2">
      <c r="F1362" s="163"/>
      <c r="K1362"/>
    </row>
    <row r="1363" spans="6:11" x14ac:dyDescent="0.2">
      <c r="F1363" s="163"/>
      <c r="K1363"/>
    </row>
    <row r="1364" spans="6:11" x14ac:dyDescent="0.2">
      <c r="F1364" s="163"/>
      <c r="K1364"/>
    </row>
    <row r="1365" spans="6:11" x14ac:dyDescent="0.2">
      <c r="F1365" s="163"/>
      <c r="K1365"/>
    </row>
    <row r="1366" spans="6:11" x14ac:dyDescent="0.2">
      <c r="F1366" s="163"/>
      <c r="K1366"/>
    </row>
    <row r="1367" spans="6:11" x14ac:dyDescent="0.2">
      <c r="F1367" s="163"/>
      <c r="K1367"/>
    </row>
    <row r="1368" spans="6:11" x14ac:dyDescent="0.2">
      <c r="F1368" s="163"/>
      <c r="K1368"/>
    </row>
    <row r="1369" spans="6:11" x14ac:dyDescent="0.2">
      <c r="F1369" s="163"/>
      <c r="K1369"/>
    </row>
    <row r="1370" spans="6:11" x14ac:dyDescent="0.2">
      <c r="F1370" s="163"/>
      <c r="K1370"/>
    </row>
    <row r="1371" spans="6:11" x14ac:dyDescent="0.2">
      <c r="F1371" s="163"/>
      <c r="K1371"/>
    </row>
    <row r="1372" spans="6:11" x14ac:dyDescent="0.2">
      <c r="F1372" s="163"/>
      <c r="K1372"/>
    </row>
    <row r="1373" spans="6:11" x14ac:dyDescent="0.2">
      <c r="F1373" s="163"/>
      <c r="K1373"/>
    </row>
    <row r="1374" spans="6:11" x14ac:dyDescent="0.2">
      <c r="F1374" s="163"/>
      <c r="K1374"/>
    </row>
    <row r="1375" spans="6:11" x14ac:dyDescent="0.2">
      <c r="F1375" s="163"/>
      <c r="K1375"/>
    </row>
    <row r="1376" spans="6:11" x14ac:dyDescent="0.2">
      <c r="F1376" s="163"/>
      <c r="K1376"/>
    </row>
    <row r="1377" spans="6:11" x14ac:dyDescent="0.2">
      <c r="F1377" s="163"/>
      <c r="K1377"/>
    </row>
    <row r="1378" spans="6:11" x14ac:dyDescent="0.2">
      <c r="F1378" s="163"/>
      <c r="K1378"/>
    </row>
    <row r="1379" spans="6:11" x14ac:dyDescent="0.2">
      <c r="F1379" s="163"/>
      <c r="K1379"/>
    </row>
    <row r="1380" spans="6:11" x14ac:dyDescent="0.2">
      <c r="F1380" s="163"/>
      <c r="K1380"/>
    </row>
    <row r="1381" spans="6:11" x14ac:dyDescent="0.2">
      <c r="F1381" s="163"/>
      <c r="K1381"/>
    </row>
    <row r="1382" spans="6:11" x14ac:dyDescent="0.2">
      <c r="F1382" s="163"/>
      <c r="K1382"/>
    </row>
    <row r="1383" spans="6:11" x14ac:dyDescent="0.2">
      <c r="F1383" s="163"/>
      <c r="K1383"/>
    </row>
    <row r="1384" spans="6:11" x14ac:dyDescent="0.2">
      <c r="F1384" s="163"/>
      <c r="K1384"/>
    </row>
    <row r="1385" spans="6:11" x14ac:dyDescent="0.2">
      <c r="F1385" s="163"/>
      <c r="K1385"/>
    </row>
    <row r="1386" spans="6:11" x14ac:dyDescent="0.2">
      <c r="F1386" s="163"/>
      <c r="K1386"/>
    </row>
    <row r="1387" spans="6:11" x14ac:dyDescent="0.2">
      <c r="F1387" s="163"/>
      <c r="K1387"/>
    </row>
    <row r="1388" spans="6:11" x14ac:dyDescent="0.2">
      <c r="F1388" s="163"/>
      <c r="K1388"/>
    </row>
    <row r="1389" spans="6:11" x14ac:dyDescent="0.2">
      <c r="F1389" s="163"/>
      <c r="K1389"/>
    </row>
    <row r="1390" spans="6:11" x14ac:dyDescent="0.2">
      <c r="F1390" s="163"/>
      <c r="K1390"/>
    </row>
    <row r="1391" spans="6:11" x14ac:dyDescent="0.2">
      <c r="F1391" s="163"/>
      <c r="K1391"/>
    </row>
    <row r="1392" spans="6:11" x14ac:dyDescent="0.2">
      <c r="F1392" s="163"/>
      <c r="K1392"/>
    </row>
    <row r="1393" spans="6:11" x14ac:dyDescent="0.2">
      <c r="F1393" s="163"/>
      <c r="K1393"/>
    </row>
    <row r="1394" spans="6:11" x14ac:dyDescent="0.2">
      <c r="F1394" s="163"/>
      <c r="K1394"/>
    </row>
    <row r="1395" spans="6:11" x14ac:dyDescent="0.2">
      <c r="F1395" s="163"/>
      <c r="K1395"/>
    </row>
    <row r="1396" spans="6:11" x14ac:dyDescent="0.2">
      <c r="F1396" s="163"/>
      <c r="K1396"/>
    </row>
    <row r="1397" spans="6:11" x14ac:dyDescent="0.2">
      <c r="F1397" s="163"/>
      <c r="K1397"/>
    </row>
    <row r="1398" spans="6:11" x14ac:dyDescent="0.2">
      <c r="F1398" s="163"/>
      <c r="K1398"/>
    </row>
    <row r="1399" spans="6:11" x14ac:dyDescent="0.2">
      <c r="F1399" s="163"/>
      <c r="K1399"/>
    </row>
    <row r="1400" spans="6:11" x14ac:dyDescent="0.2">
      <c r="F1400" s="163"/>
      <c r="K1400"/>
    </row>
    <row r="1401" spans="6:11" x14ac:dyDescent="0.2">
      <c r="F1401" s="163"/>
      <c r="K1401"/>
    </row>
    <row r="1402" spans="6:11" x14ac:dyDescent="0.2">
      <c r="F1402" s="163"/>
      <c r="K1402"/>
    </row>
    <row r="1403" spans="6:11" x14ac:dyDescent="0.2">
      <c r="F1403" s="163"/>
      <c r="K1403"/>
    </row>
    <row r="1404" spans="6:11" x14ac:dyDescent="0.2">
      <c r="F1404" s="163"/>
      <c r="K1404"/>
    </row>
    <row r="1405" spans="6:11" x14ac:dyDescent="0.2">
      <c r="F1405" s="163"/>
      <c r="K1405"/>
    </row>
    <row r="1406" spans="6:11" x14ac:dyDescent="0.2">
      <c r="F1406" s="163"/>
      <c r="K1406"/>
    </row>
    <row r="1407" spans="6:11" x14ac:dyDescent="0.2">
      <c r="F1407" s="163"/>
      <c r="K1407"/>
    </row>
    <row r="1408" spans="6:11" x14ac:dyDescent="0.2">
      <c r="F1408" s="163"/>
      <c r="K1408"/>
    </row>
    <row r="1409" spans="6:11" x14ac:dyDescent="0.2">
      <c r="F1409" s="163"/>
      <c r="K1409"/>
    </row>
    <row r="1410" spans="6:11" x14ac:dyDescent="0.2">
      <c r="F1410" s="163"/>
      <c r="K1410"/>
    </row>
    <row r="1411" spans="6:11" x14ac:dyDescent="0.2">
      <c r="F1411" s="163"/>
      <c r="K1411"/>
    </row>
    <row r="1412" spans="6:11" x14ac:dyDescent="0.2">
      <c r="F1412" s="163"/>
      <c r="K1412"/>
    </row>
    <row r="1413" spans="6:11" x14ac:dyDescent="0.2">
      <c r="F1413" s="163"/>
      <c r="K1413"/>
    </row>
    <row r="1414" spans="6:11" x14ac:dyDescent="0.2">
      <c r="F1414" s="163"/>
      <c r="K1414"/>
    </row>
    <row r="1415" spans="6:11" x14ac:dyDescent="0.2">
      <c r="F1415" s="163"/>
      <c r="K1415"/>
    </row>
    <row r="1416" spans="6:11" x14ac:dyDescent="0.2">
      <c r="F1416" s="163"/>
      <c r="K1416"/>
    </row>
    <row r="1417" spans="6:11" x14ac:dyDescent="0.2">
      <c r="F1417" s="163"/>
      <c r="K1417"/>
    </row>
    <row r="1418" spans="6:11" x14ac:dyDescent="0.2">
      <c r="F1418" s="163"/>
      <c r="K1418"/>
    </row>
    <row r="1419" spans="6:11" x14ac:dyDescent="0.2">
      <c r="F1419" s="163"/>
      <c r="K1419"/>
    </row>
    <row r="1420" spans="6:11" x14ac:dyDescent="0.2">
      <c r="F1420" s="163"/>
      <c r="K1420"/>
    </row>
    <row r="1421" spans="6:11" x14ac:dyDescent="0.2">
      <c r="F1421" s="163"/>
      <c r="K1421"/>
    </row>
    <row r="1422" spans="6:11" x14ac:dyDescent="0.2">
      <c r="F1422" s="163"/>
      <c r="K1422"/>
    </row>
    <row r="1423" spans="6:11" x14ac:dyDescent="0.2">
      <c r="F1423" s="163"/>
      <c r="K1423"/>
    </row>
    <row r="1424" spans="6:11" x14ac:dyDescent="0.2">
      <c r="F1424" s="163"/>
      <c r="K1424"/>
    </row>
    <row r="1425" spans="6:11" x14ac:dyDescent="0.2">
      <c r="F1425" s="163"/>
      <c r="K1425"/>
    </row>
    <row r="1426" spans="6:11" x14ac:dyDescent="0.2">
      <c r="F1426" s="163"/>
      <c r="K1426"/>
    </row>
    <row r="1427" spans="6:11" x14ac:dyDescent="0.2">
      <c r="F1427" s="163"/>
      <c r="K1427"/>
    </row>
    <row r="1428" spans="6:11" x14ac:dyDescent="0.2">
      <c r="F1428" s="163"/>
      <c r="K1428"/>
    </row>
    <row r="1429" spans="6:11" x14ac:dyDescent="0.2">
      <c r="F1429" s="163"/>
      <c r="K1429"/>
    </row>
    <row r="1430" spans="6:11" x14ac:dyDescent="0.2">
      <c r="F1430" s="163"/>
      <c r="K1430"/>
    </row>
    <row r="1431" spans="6:11" x14ac:dyDescent="0.2">
      <c r="F1431" s="163"/>
      <c r="K1431"/>
    </row>
    <row r="1432" spans="6:11" x14ac:dyDescent="0.2">
      <c r="F1432" s="163"/>
      <c r="K1432"/>
    </row>
    <row r="1433" spans="6:11" x14ac:dyDescent="0.2">
      <c r="F1433" s="163"/>
      <c r="K1433"/>
    </row>
    <row r="1434" spans="6:11" x14ac:dyDescent="0.2">
      <c r="F1434" s="163"/>
      <c r="K1434"/>
    </row>
    <row r="1435" spans="6:11" x14ac:dyDescent="0.2">
      <c r="F1435" s="163"/>
      <c r="K1435"/>
    </row>
    <row r="1436" spans="6:11" x14ac:dyDescent="0.2">
      <c r="F1436" s="163"/>
      <c r="K1436"/>
    </row>
    <row r="1437" spans="6:11" x14ac:dyDescent="0.2">
      <c r="F1437" s="163"/>
      <c r="K1437"/>
    </row>
    <row r="1438" spans="6:11" x14ac:dyDescent="0.2">
      <c r="F1438" s="163"/>
      <c r="K1438"/>
    </row>
    <row r="1439" spans="6:11" x14ac:dyDescent="0.2">
      <c r="F1439" s="163"/>
      <c r="K1439"/>
    </row>
    <row r="1440" spans="6:11" x14ac:dyDescent="0.2">
      <c r="F1440" s="163"/>
      <c r="K1440"/>
    </row>
    <row r="1441" spans="6:11" x14ac:dyDescent="0.2">
      <c r="F1441" s="163"/>
      <c r="K1441"/>
    </row>
    <row r="1442" spans="6:11" x14ac:dyDescent="0.2">
      <c r="F1442" s="163"/>
      <c r="K1442"/>
    </row>
    <row r="1443" spans="6:11" x14ac:dyDescent="0.2">
      <c r="F1443" s="163"/>
      <c r="K1443"/>
    </row>
    <row r="1444" spans="6:11" x14ac:dyDescent="0.2">
      <c r="F1444" s="163"/>
      <c r="K1444"/>
    </row>
    <row r="1445" spans="6:11" x14ac:dyDescent="0.2">
      <c r="F1445" s="163"/>
      <c r="K1445"/>
    </row>
    <row r="1446" spans="6:11" x14ac:dyDescent="0.2">
      <c r="F1446" s="163"/>
      <c r="K1446"/>
    </row>
    <row r="1447" spans="6:11" x14ac:dyDescent="0.2">
      <c r="F1447" s="163"/>
      <c r="K1447"/>
    </row>
    <row r="1448" spans="6:11" x14ac:dyDescent="0.2">
      <c r="F1448" s="163"/>
      <c r="K1448"/>
    </row>
    <row r="1449" spans="6:11" x14ac:dyDescent="0.2">
      <c r="F1449" s="163"/>
      <c r="K1449"/>
    </row>
    <row r="1450" spans="6:11" x14ac:dyDescent="0.2">
      <c r="F1450" s="163"/>
      <c r="K1450"/>
    </row>
    <row r="1451" spans="6:11" x14ac:dyDescent="0.2">
      <c r="F1451" s="163"/>
      <c r="K1451"/>
    </row>
    <row r="1452" spans="6:11" x14ac:dyDescent="0.2">
      <c r="F1452" s="163"/>
      <c r="K1452"/>
    </row>
    <row r="1453" spans="6:11" x14ac:dyDescent="0.2">
      <c r="F1453" s="163"/>
      <c r="K1453"/>
    </row>
    <row r="1454" spans="6:11" x14ac:dyDescent="0.2">
      <c r="F1454" s="163"/>
      <c r="K1454"/>
    </row>
    <row r="1455" spans="6:11" x14ac:dyDescent="0.2">
      <c r="F1455" s="163"/>
      <c r="K1455"/>
    </row>
    <row r="1456" spans="6:11" x14ac:dyDescent="0.2">
      <c r="F1456" s="163"/>
      <c r="K1456"/>
    </row>
    <row r="1457" spans="6:11" x14ac:dyDescent="0.2">
      <c r="F1457" s="163"/>
      <c r="K1457"/>
    </row>
    <row r="1458" spans="6:11" x14ac:dyDescent="0.2">
      <c r="F1458" s="163"/>
      <c r="K1458"/>
    </row>
    <row r="1459" spans="6:11" x14ac:dyDescent="0.2">
      <c r="F1459" s="163"/>
      <c r="K1459"/>
    </row>
    <row r="1460" spans="6:11" x14ac:dyDescent="0.2">
      <c r="F1460" s="163"/>
      <c r="K1460"/>
    </row>
    <row r="1461" spans="6:11" x14ac:dyDescent="0.2">
      <c r="F1461" s="163"/>
      <c r="K1461"/>
    </row>
    <row r="1462" spans="6:11" x14ac:dyDescent="0.2">
      <c r="F1462" s="163"/>
      <c r="K1462"/>
    </row>
    <row r="1463" spans="6:11" x14ac:dyDescent="0.2">
      <c r="F1463" s="163"/>
      <c r="K1463"/>
    </row>
    <row r="1464" spans="6:11" x14ac:dyDescent="0.2">
      <c r="F1464" s="163"/>
      <c r="K1464"/>
    </row>
    <row r="1465" spans="6:11" x14ac:dyDescent="0.2">
      <c r="F1465" s="163"/>
      <c r="K1465"/>
    </row>
    <row r="1466" spans="6:11" x14ac:dyDescent="0.2">
      <c r="F1466" s="163"/>
      <c r="K1466"/>
    </row>
    <row r="1467" spans="6:11" x14ac:dyDescent="0.2">
      <c r="F1467" s="163"/>
      <c r="K1467"/>
    </row>
    <row r="1468" spans="6:11" x14ac:dyDescent="0.2">
      <c r="F1468" s="163"/>
      <c r="K1468"/>
    </row>
    <row r="1469" spans="6:11" x14ac:dyDescent="0.2">
      <c r="F1469" s="163"/>
      <c r="K1469"/>
    </row>
    <row r="1470" spans="6:11" x14ac:dyDescent="0.2">
      <c r="F1470" s="163"/>
      <c r="K1470"/>
    </row>
    <row r="1471" spans="6:11" x14ac:dyDescent="0.2">
      <c r="F1471" s="163"/>
      <c r="K1471"/>
    </row>
    <row r="1472" spans="6:11" x14ac:dyDescent="0.2">
      <c r="F1472" s="163"/>
      <c r="K1472"/>
    </row>
    <row r="1473" spans="6:11" x14ac:dyDescent="0.2">
      <c r="F1473" s="163"/>
      <c r="K1473"/>
    </row>
    <row r="1474" spans="6:11" x14ac:dyDescent="0.2">
      <c r="F1474" s="163"/>
      <c r="K1474"/>
    </row>
    <row r="1475" spans="6:11" x14ac:dyDescent="0.2">
      <c r="F1475" s="163"/>
      <c r="K1475"/>
    </row>
    <row r="1476" spans="6:11" x14ac:dyDescent="0.2">
      <c r="F1476" s="163"/>
      <c r="K1476"/>
    </row>
    <row r="1477" spans="6:11" x14ac:dyDescent="0.2">
      <c r="F1477" s="163"/>
      <c r="K1477"/>
    </row>
    <row r="1478" spans="6:11" x14ac:dyDescent="0.2">
      <c r="F1478" s="163"/>
      <c r="K1478"/>
    </row>
    <row r="1479" spans="6:11" x14ac:dyDescent="0.2">
      <c r="F1479" s="163"/>
      <c r="K1479"/>
    </row>
    <row r="1480" spans="6:11" x14ac:dyDescent="0.2">
      <c r="F1480" s="163"/>
      <c r="K1480"/>
    </row>
    <row r="1481" spans="6:11" x14ac:dyDescent="0.2">
      <c r="F1481" s="163"/>
      <c r="K1481"/>
    </row>
    <row r="1482" spans="6:11" x14ac:dyDescent="0.2">
      <c r="F1482" s="163"/>
      <c r="K1482"/>
    </row>
    <row r="1483" spans="6:11" x14ac:dyDescent="0.2">
      <c r="F1483" s="163"/>
      <c r="K1483"/>
    </row>
    <row r="1484" spans="6:11" x14ac:dyDescent="0.2">
      <c r="F1484" s="163"/>
      <c r="K1484"/>
    </row>
    <row r="1485" spans="6:11" x14ac:dyDescent="0.2">
      <c r="F1485" s="163"/>
      <c r="K1485"/>
    </row>
    <row r="1486" spans="6:11" x14ac:dyDescent="0.2">
      <c r="F1486" s="163"/>
      <c r="K1486"/>
    </row>
    <row r="1487" spans="6:11" x14ac:dyDescent="0.2">
      <c r="F1487" s="163"/>
      <c r="K1487"/>
    </row>
    <row r="1488" spans="6:11" x14ac:dyDescent="0.2">
      <c r="F1488" s="163"/>
      <c r="K1488"/>
    </row>
    <row r="1489" spans="6:11" x14ac:dyDescent="0.2">
      <c r="F1489" s="163"/>
      <c r="K1489"/>
    </row>
    <row r="1490" spans="6:11" x14ac:dyDescent="0.2">
      <c r="F1490" s="163"/>
      <c r="K1490"/>
    </row>
    <row r="1491" spans="6:11" x14ac:dyDescent="0.2">
      <c r="F1491" s="163"/>
      <c r="K1491"/>
    </row>
    <row r="1492" spans="6:11" x14ac:dyDescent="0.2">
      <c r="F1492" s="163"/>
      <c r="K1492"/>
    </row>
    <row r="1493" spans="6:11" x14ac:dyDescent="0.2">
      <c r="F1493" s="163"/>
      <c r="K1493"/>
    </row>
    <row r="1494" spans="6:11" x14ac:dyDescent="0.2">
      <c r="F1494" s="163"/>
      <c r="K1494"/>
    </row>
    <row r="1495" spans="6:11" x14ac:dyDescent="0.2">
      <c r="F1495" s="163"/>
      <c r="K1495"/>
    </row>
    <row r="1496" spans="6:11" x14ac:dyDescent="0.2">
      <c r="F1496" s="163"/>
      <c r="K1496"/>
    </row>
    <row r="1497" spans="6:11" x14ac:dyDescent="0.2">
      <c r="F1497" s="163"/>
      <c r="K1497"/>
    </row>
    <row r="1498" spans="6:11" x14ac:dyDescent="0.2">
      <c r="F1498" s="163"/>
      <c r="K1498"/>
    </row>
    <row r="1499" spans="6:11" x14ac:dyDescent="0.2">
      <c r="F1499" s="163"/>
      <c r="K1499"/>
    </row>
    <row r="1500" spans="6:11" x14ac:dyDescent="0.2">
      <c r="F1500" s="163"/>
      <c r="K1500"/>
    </row>
    <row r="1501" spans="6:11" x14ac:dyDescent="0.2">
      <c r="F1501" s="163"/>
      <c r="K1501"/>
    </row>
    <row r="1502" spans="6:11" x14ac:dyDescent="0.2">
      <c r="F1502" s="163"/>
      <c r="K1502"/>
    </row>
    <row r="1503" spans="6:11" x14ac:dyDescent="0.2">
      <c r="F1503" s="163"/>
      <c r="K1503"/>
    </row>
    <row r="1504" spans="6:11" x14ac:dyDescent="0.2">
      <c r="F1504" s="163"/>
      <c r="K1504"/>
    </row>
    <row r="1505" spans="6:11" x14ac:dyDescent="0.2">
      <c r="F1505" s="163"/>
      <c r="K1505"/>
    </row>
    <row r="1506" spans="6:11" x14ac:dyDescent="0.2">
      <c r="F1506" s="163"/>
      <c r="K1506"/>
    </row>
    <row r="1507" spans="6:11" x14ac:dyDescent="0.2">
      <c r="F1507" s="163"/>
      <c r="K1507"/>
    </row>
    <row r="1508" spans="6:11" x14ac:dyDescent="0.2">
      <c r="F1508" s="163"/>
      <c r="K1508"/>
    </row>
    <row r="1509" spans="6:11" x14ac:dyDescent="0.2">
      <c r="F1509" s="163"/>
      <c r="K1509"/>
    </row>
    <row r="1510" spans="6:11" x14ac:dyDescent="0.2">
      <c r="F1510" s="163"/>
      <c r="K1510"/>
    </row>
    <row r="1511" spans="6:11" x14ac:dyDescent="0.2">
      <c r="F1511" s="163"/>
      <c r="K1511"/>
    </row>
    <row r="1512" spans="6:11" x14ac:dyDescent="0.2">
      <c r="F1512" s="163"/>
      <c r="K1512"/>
    </row>
    <row r="1513" spans="6:11" x14ac:dyDescent="0.2">
      <c r="F1513" s="163"/>
      <c r="K1513"/>
    </row>
    <row r="1514" spans="6:11" x14ac:dyDescent="0.2">
      <c r="F1514" s="163"/>
      <c r="K1514"/>
    </row>
    <row r="1515" spans="6:11" x14ac:dyDescent="0.2">
      <c r="F1515" s="163"/>
      <c r="K1515"/>
    </row>
    <row r="1516" spans="6:11" x14ac:dyDescent="0.2">
      <c r="F1516" s="163"/>
      <c r="K1516"/>
    </row>
    <row r="1517" spans="6:11" x14ac:dyDescent="0.2">
      <c r="F1517" s="163"/>
      <c r="K1517"/>
    </row>
    <row r="1518" spans="6:11" x14ac:dyDescent="0.2">
      <c r="F1518" s="163"/>
      <c r="K1518"/>
    </row>
    <row r="1519" spans="6:11" x14ac:dyDescent="0.2">
      <c r="F1519" s="163"/>
      <c r="K1519"/>
    </row>
    <row r="1520" spans="6:11" x14ac:dyDescent="0.2">
      <c r="F1520" s="163"/>
      <c r="K1520"/>
    </row>
    <row r="1521" spans="6:11" x14ac:dyDescent="0.2">
      <c r="F1521" s="163"/>
      <c r="K1521"/>
    </row>
    <row r="1522" spans="6:11" x14ac:dyDescent="0.2">
      <c r="F1522" s="163"/>
      <c r="K1522"/>
    </row>
    <row r="1523" spans="6:11" x14ac:dyDescent="0.2">
      <c r="F1523" s="163"/>
      <c r="K1523"/>
    </row>
    <row r="1524" spans="6:11" x14ac:dyDescent="0.2">
      <c r="F1524" s="163"/>
      <c r="K1524"/>
    </row>
    <row r="1525" spans="6:11" x14ac:dyDescent="0.2">
      <c r="F1525" s="163"/>
      <c r="K1525"/>
    </row>
    <row r="1526" spans="6:11" x14ac:dyDescent="0.2">
      <c r="F1526" s="163"/>
      <c r="K1526"/>
    </row>
    <row r="1527" spans="6:11" x14ac:dyDescent="0.2">
      <c r="F1527" s="163"/>
      <c r="K1527"/>
    </row>
    <row r="1528" spans="6:11" x14ac:dyDescent="0.2">
      <c r="F1528" s="163"/>
      <c r="K1528"/>
    </row>
    <row r="1529" spans="6:11" x14ac:dyDescent="0.2">
      <c r="F1529" s="163"/>
      <c r="K1529"/>
    </row>
    <row r="1530" spans="6:11" x14ac:dyDescent="0.2">
      <c r="F1530" s="163"/>
      <c r="K1530"/>
    </row>
    <row r="1531" spans="6:11" x14ac:dyDescent="0.2">
      <c r="F1531" s="163"/>
      <c r="K1531"/>
    </row>
    <row r="1532" spans="6:11" x14ac:dyDescent="0.2">
      <c r="F1532" s="163"/>
      <c r="K1532"/>
    </row>
    <row r="1533" spans="6:11" x14ac:dyDescent="0.2">
      <c r="F1533" s="163"/>
      <c r="K1533"/>
    </row>
    <row r="1534" spans="6:11" x14ac:dyDescent="0.2">
      <c r="F1534" s="163"/>
      <c r="K1534"/>
    </row>
    <row r="1535" spans="6:11" x14ac:dyDescent="0.2">
      <c r="F1535" s="163"/>
      <c r="K1535"/>
    </row>
    <row r="1536" spans="6:11" x14ac:dyDescent="0.2">
      <c r="F1536" s="163"/>
      <c r="K1536"/>
    </row>
    <row r="1537" spans="6:11" x14ac:dyDescent="0.2">
      <c r="F1537" s="163"/>
      <c r="K1537"/>
    </row>
    <row r="1538" spans="6:11" x14ac:dyDescent="0.2">
      <c r="F1538" s="163"/>
      <c r="K1538"/>
    </row>
    <row r="1539" spans="6:11" x14ac:dyDescent="0.2">
      <c r="F1539" s="163"/>
      <c r="K1539"/>
    </row>
    <row r="1540" spans="6:11" x14ac:dyDescent="0.2">
      <c r="F1540" s="163"/>
      <c r="K1540"/>
    </row>
    <row r="1541" spans="6:11" x14ac:dyDescent="0.2">
      <c r="F1541" s="163"/>
      <c r="K1541"/>
    </row>
    <row r="1542" spans="6:11" x14ac:dyDescent="0.2">
      <c r="F1542" s="163"/>
      <c r="K1542"/>
    </row>
    <row r="1543" spans="6:11" x14ac:dyDescent="0.2">
      <c r="F1543" s="163"/>
      <c r="K1543"/>
    </row>
    <row r="1544" spans="6:11" x14ac:dyDescent="0.2">
      <c r="F1544" s="163"/>
      <c r="K1544"/>
    </row>
    <row r="1545" spans="6:11" x14ac:dyDescent="0.2">
      <c r="F1545" s="163"/>
      <c r="K1545"/>
    </row>
    <row r="1546" spans="6:11" x14ac:dyDescent="0.2">
      <c r="F1546" s="163"/>
      <c r="K1546"/>
    </row>
    <row r="1547" spans="6:11" x14ac:dyDescent="0.2">
      <c r="F1547" s="163"/>
      <c r="K1547"/>
    </row>
    <row r="1548" spans="6:11" x14ac:dyDescent="0.2">
      <c r="F1548" s="163"/>
      <c r="K1548"/>
    </row>
    <row r="1549" spans="6:11" x14ac:dyDescent="0.2">
      <c r="F1549" s="163"/>
      <c r="K1549"/>
    </row>
    <row r="1550" spans="6:11" x14ac:dyDescent="0.2">
      <c r="F1550" s="163"/>
      <c r="K1550"/>
    </row>
    <row r="1551" spans="6:11" x14ac:dyDescent="0.2">
      <c r="F1551" s="163"/>
      <c r="K1551"/>
    </row>
    <row r="1552" spans="6:11" x14ac:dyDescent="0.2">
      <c r="F1552" s="163"/>
      <c r="K1552"/>
    </row>
    <row r="1553" spans="6:11" x14ac:dyDescent="0.2">
      <c r="F1553" s="163"/>
      <c r="K1553"/>
    </row>
    <row r="1554" spans="6:11" x14ac:dyDescent="0.2">
      <c r="F1554" s="163"/>
      <c r="K1554"/>
    </row>
    <row r="1555" spans="6:11" x14ac:dyDescent="0.2">
      <c r="F1555" s="163"/>
      <c r="K1555"/>
    </row>
    <row r="1556" spans="6:11" x14ac:dyDescent="0.2">
      <c r="F1556" s="163"/>
      <c r="K1556"/>
    </row>
    <row r="1557" spans="6:11" x14ac:dyDescent="0.2">
      <c r="F1557" s="163"/>
      <c r="K1557"/>
    </row>
    <row r="1558" spans="6:11" x14ac:dyDescent="0.2">
      <c r="F1558" s="163"/>
      <c r="K1558"/>
    </row>
    <row r="1559" spans="6:11" x14ac:dyDescent="0.2">
      <c r="F1559" s="163"/>
      <c r="K1559"/>
    </row>
    <row r="1560" spans="6:11" x14ac:dyDescent="0.2">
      <c r="F1560" s="163"/>
      <c r="K1560"/>
    </row>
    <row r="1561" spans="6:11" x14ac:dyDescent="0.2">
      <c r="F1561" s="163"/>
      <c r="K1561"/>
    </row>
    <row r="1562" spans="6:11" x14ac:dyDescent="0.2">
      <c r="F1562" s="163"/>
      <c r="K1562"/>
    </row>
    <row r="1563" spans="6:11" x14ac:dyDescent="0.2">
      <c r="F1563" s="163"/>
      <c r="K1563"/>
    </row>
    <row r="1564" spans="6:11" x14ac:dyDescent="0.2">
      <c r="F1564" s="163"/>
      <c r="K1564"/>
    </row>
    <row r="1565" spans="6:11" x14ac:dyDescent="0.2">
      <c r="F1565" s="163"/>
      <c r="K1565"/>
    </row>
    <row r="1566" spans="6:11" x14ac:dyDescent="0.2">
      <c r="F1566" s="163"/>
      <c r="K1566"/>
    </row>
    <row r="1567" spans="6:11" x14ac:dyDescent="0.2">
      <c r="F1567" s="163"/>
      <c r="K1567"/>
    </row>
    <row r="1568" spans="6:11" x14ac:dyDescent="0.2">
      <c r="F1568" s="163"/>
      <c r="K1568"/>
    </row>
    <row r="1569" spans="6:11" x14ac:dyDescent="0.2">
      <c r="F1569" s="163"/>
      <c r="K1569"/>
    </row>
    <row r="1570" spans="6:11" x14ac:dyDescent="0.2">
      <c r="F1570" s="163"/>
      <c r="K1570"/>
    </row>
    <row r="1571" spans="6:11" x14ac:dyDescent="0.2">
      <c r="F1571" s="163"/>
      <c r="K1571"/>
    </row>
    <row r="1572" spans="6:11" x14ac:dyDescent="0.2">
      <c r="F1572" s="163"/>
      <c r="K1572"/>
    </row>
    <row r="1573" spans="6:11" x14ac:dyDescent="0.2">
      <c r="F1573" s="163"/>
      <c r="K1573"/>
    </row>
    <row r="1574" spans="6:11" x14ac:dyDescent="0.2">
      <c r="F1574" s="163"/>
      <c r="K1574"/>
    </row>
    <row r="1575" spans="6:11" x14ac:dyDescent="0.2">
      <c r="F1575" s="163"/>
      <c r="K1575"/>
    </row>
    <row r="1576" spans="6:11" x14ac:dyDescent="0.2">
      <c r="F1576" s="163"/>
      <c r="K1576"/>
    </row>
    <row r="1577" spans="6:11" x14ac:dyDescent="0.2">
      <c r="F1577" s="163"/>
      <c r="K1577"/>
    </row>
    <row r="1578" spans="6:11" x14ac:dyDescent="0.2">
      <c r="F1578" s="163"/>
      <c r="K1578"/>
    </row>
    <row r="1579" spans="6:11" x14ac:dyDescent="0.2">
      <c r="F1579" s="163"/>
      <c r="K1579"/>
    </row>
    <row r="1580" spans="6:11" x14ac:dyDescent="0.2">
      <c r="F1580" s="163"/>
      <c r="K1580"/>
    </row>
    <row r="1581" spans="6:11" x14ac:dyDescent="0.2">
      <c r="F1581" s="163"/>
      <c r="K1581"/>
    </row>
    <row r="1582" spans="6:11" x14ac:dyDescent="0.2">
      <c r="F1582" s="163"/>
      <c r="K1582"/>
    </row>
    <row r="1583" spans="6:11" x14ac:dyDescent="0.2">
      <c r="F1583" s="163"/>
      <c r="K1583"/>
    </row>
    <row r="1584" spans="6:11" x14ac:dyDescent="0.2">
      <c r="F1584" s="163"/>
      <c r="K1584"/>
    </row>
    <row r="1585" spans="6:11" x14ac:dyDescent="0.2">
      <c r="F1585" s="163"/>
      <c r="K1585"/>
    </row>
    <row r="1586" spans="6:11" x14ac:dyDescent="0.2">
      <c r="F1586" s="163"/>
      <c r="K1586"/>
    </row>
    <row r="1587" spans="6:11" x14ac:dyDescent="0.2">
      <c r="F1587" s="163"/>
      <c r="K1587"/>
    </row>
    <row r="1588" spans="6:11" x14ac:dyDescent="0.2">
      <c r="F1588" s="163"/>
      <c r="K1588"/>
    </row>
    <row r="1589" spans="6:11" x14ac:dyDescent="0.2">
      <c r="F1589" s="163"/>
      <c r="K1589"/>
    </row>
    <row r="1590" spans="6:11" x14ac:dyDescent="0.2">
      <c r="F1590" s="163"/>
      <c r="K1590"/>
    </row>
    <row r="1591" spans="6:11" x14ac:dyDescent="0.2">
      <c r="F1591" s="163"/>
      <c r="K1591"/>
    </row>
    <row r="1592" spans="6:11" x14ac:dyDescent="0.2">
      <c r="F1592" s="163"/>
      <c r="K1592"/>
    </row>
    <row r="1593" spans="6:11" x14ac:dyDescent="0.2">
      <c r="F1593" s="163"/>
      <c r="K1593"/>
    </row>
    <row r="1594" spans="6:11" x14ac:dyDescent="0.2">
      <c r="F1594" s="163"/>
      <c r="K1594"/>
    </row>
    <row r="1595" spans="6:11" x14ac:dyDescent="0.2">
      <c r="F1595" s="163"/>
      <c r="K1595"/>
    </row>
    <row r="1596" spans="6:11" x14ac:dyDescent="0.2">
      <c r="F1596" s="163"/>
      <c r="K1596"/>
    </row>
    <row r="1597" spans="6:11" x14ac:dyDescent="0.2">
      <c r="F1597" s="163"/>
      <c r="K1597"/>
    </row>
    <row r="1598" spans="6:11" x14ac:dyDescent="0.2">
      <c r="F1598" s="163"/>
      <c r="K1598"/>
    </row>
    <row r="1599" spans="6:11" x14ac:dyDescent="0.2">
      <c r="F1599" s="163"/>
      <c r="K1599"/>
    </row>
    <row r="1600" spans="6:11" x14ac:dyDescent="0.2">
      <c r="F1600" s="163"/>
      <c r="K1600"/>
    </row>
    <row r="1601" spans="6:11" x14ac:dyDescent="0.2">
      <c r="F1601" s="163"/>
      <c r="K1601"/>
    </row>
    <row r="1602" spans="6:11" x14ac:dyDescent="0.2">
      <c r="F1602" s="163"/>
      <c r="K1602"/>
    </row>
    <row r="1603" spans="6:11" x14ac:dyDescent="0.2">
      <c r="F1603" s="163"/>
      <c r="K1603"/>
    </row>
    <row r="1604" spans="6:11" x14ac:dyDescent="0.2">
      <c r="F1604" s="163"/>
      <c r="K1604"/>
    </row>
    <row r="1605" spans="6:11" x14ac:dyDescent="0.2">
      <c r="F1605" s="163"/>
      <c r="K1605"/>
    </row>
    <row r="1606" spans="6:11" x14ac:dyDescent="0.2">
      <c r="F1606" s="163"/>
      <c r="K1606"/>
    </row>
    <row r="1607" spans="6:11" x14ac:dyDescent="0.2">
      <c r="F1607" s="163"/>
      <c r="K1607"/>
    </row>
    <row r="1608" spans="6:11" x14ac:dyDescent="0.2">
      <c r="F1608" s="163"/>
      <c r="K1608"/>
    </row>
    <row r="1609" spans="6:11" x14ac:dyDescent="0.2">
      <c r="F1609" s="163"/>
      <c r="K1609"/>
    </row>
    <row r="1610" spans="6:11" x14ac:dyDescent="0.2">
      <c r="F1610" s="163"/>
      <c r="K1610"/>
    </row>
    <row r="1611" spans="6:11" x14ac:dyDescent="0.2">
      <c r="F1611" s="163"/>
      <c r="K1611"/>
    </row>
    <row r="1612" spans="6:11" x14ac:dyDescent="0.2">
      <c r="F1612" s="163"/>
      <c r="K1612"/>
    </row>
    <row r="1613" spans="6:11" x14ac:dyDescent="0.2">
      <c r="F1613" s="163"/>
      <c r="K1613"/>
    </row>
    <row r="1614" spans="6:11" x14ac:dyDescent="0.2">
      <c r="F1614" s="163"/>
      <c r="K1614"/>
    </row>
    <row r="1615" spans="6:11" x14ac:dyDescent="0.2">
      <c r="F1615" s="163"/>
      <c r="K1615"/>
    </row>
    <row r="1616" spans="6:11" x14ac:dyDescent="0.2">
      <c r="F1616" s="163"/>
      <c r="K1616"/>
    </row>
    <row r="1617" spans="6:11" x14ac:dyDescent="0.2">
      <c r="F1617" s="163"/>
      <c r="K1617"/>
    </row>
    <row r="1618" spans="6:11" x14ac:dyDescent="0.2">
      <c r="F1618" s="163"/>
      <c r="K1618"/>
    </row>
    <row r="1619" spans="6:11" x14ac:dyDescent="0.2">
      <c r="F1619" s="163"/>
      <c r="K1619"/>
    </row>
    <row r="1620" spans="6:11" x14ac:dyDescent="0.2">
      <c r="F1620" s="163"/>
      <c r="K1620"/>
    </row>
    <row r="1621" spans="6:11" x14ac:dyDescent="0.2">
      <c r="F1621" s="163"/>
      <c r="K1621"/>
    </row>
    <row r="1622" spans="6:11" x14ac:dyDescent="0.2">
      <c r="F1622" s="163"/>
      <c r="K1622"/>
    </row>
    <row r="1623" spans="6:11" x14ac:dyDescent="0.2">
      <c r="F1623" s="163"/>
      <c r="K1623"/>
    </row>
    <row r="1624" spans="6:11" x14ac:dyDescent="0.2">
      <c r="F1624" s="163"/>
      <c r="K1624"/>
    </row>
    <row r="1625" spans="6:11" x14ac:dyDescent="0.2">
      <c r="F1625" s="163"/>
      <c r="K1625"/>
    </row>
    <row r="1626" spans="6:11" x14ac:dyDescent="0.2">
      <c r="F1626" s="163"/>
      <c r="K1626"/>
    </row>
    <row r="1627" spans="6:11" x14ac:dyDescent="0.2">
      <c r="F1627" s="163"/>
      <c r="K1627"/>
    </row>
    <row r="1628" spans="6:11" x14ac:dyDescent="0.2">
      <c r="F1628" s="163"/>
      <c r="K1628"/>
    </row>
    <row r="1629" spans="6:11" x14ac:dyDescent="0.2">
      <c r="F1629" s="163"/>
      <c r="K1629"/>
    </row>
    <row r="1630" spans="6:11" x14ac:dyDescent="0.2">
      <c r="F1630" s="163"/>
      <c r="K1630"/>
    </row>
    <row r="1631" spans="6:11" x14ac:dyDescent="0.2">
      <c r="F1631" s="163"/>
      <c r="K1631"/>
    </row>
    <row r="1632" spans="6:11" x14ac:dyDescent="0.2">
      <c r="F1632" s="163"/>
      <c r="K1632"/>
    </row>
    <row r="1633" spans="6:11" x14ac:dyDescent="0.2">
      <c r="F1633" s="163"/>
      <c r="K1633"/>
    </row>
    <row r="1634" spans="6:11" x14ac:dyDescent="0.2">
      <c r="F1634" s="163"/>
      <c r="K1634"/>
    </row>
    <row r="1635" spans="6:11" x14ac:dyDescent="0.2">
      <c r="F1635" s="163"/>
      <c r="K1635"/>
    </row>
    <row r="1636" spans="6:11" x14ac:dyDescent="0.2">
      <c r="F1636" s="163"/>
      <c r="K1636"/>
    </row>
    <row r="1637" spans="6:11" x14ac:dyDescent="0.2">
      <c r="F1637" s="163"/>
      <c r="K1637"/>
    </row>
    <row r="1638" spans="6:11" x14ac:dyDescent="0.2">
      <c r="F1638" s="163"/>
      <c r="K1638"/>
    </row>
    <row r="1639" spans="6:11" x14ac:dyDescent="0.2">
      <c r="F1639" s="163"/>
      <c r="K1639"/>
    </row>
    <row r="1640" spans="6:11" x14ac:dyDescent="0.2">
      <c r="F1640" s="163"/>
      <c r="K1640"/>
    </row>
    <row r="1641" spans="6:11" x14ac:dyDescent="0.2">
      <c r="F1641" s="163"/>
      <c r="K1641"/>
    </row>
    <row r="1642" spans="6:11" x14ac:dyDescent="0.2">
      <c r="F1642" s="163"/>
      <c r="K1642"/>
    </row>
    <row r="1643" spans="6:11" x14ac:dyDescent="0.2">
      <c r="F1643" s="163"/>
      <c r="K1643"/>
    </row>
    <row r="1644" spans="6:11" x14ac:dyDescent="0.2">
      <c r="F1644" s="163"/>
      <c r="K1644"/>
    </row>
    <row r="1645" spans="6:11" x14ac:dyDescent="0.2">
      <c r="F1645" s="163"/>
      <c r="K1645"/>
    </row>
    <row r="1646" spans="6:11" x14ac:dyDescent="0.2">
      <c r="F1646" s="163"/>
      <c r="K1646"/>
    </row>
    <row r="1647" spans="6:11" x14ac:dyDescent="0.2">
      <c r="F1647" s="163"/>
      <c r="K1647"/>
    </row>
    <row r="1648" spans="6:11" x14ac:dyDescent="0.2">
      <c r="F1648" s="163"/>
      <c r="K1648"/>
    </row>
    <row r="1649" spans="6:11" x14ac:dyDescent="0.2">
      <c r="F1649" s="163"/>
      <c r="K1649"/>
    </row>
    <row r="1650" spans="6:11" x14ac:dyDescent="0.2">
      <c r="F1650" s="163"/>
      <c r="K1650"/>
    </row>
    <row r="1651" spans="6:11" x14ac:dyDescent="0.2">
      <c r="F1651" s="163"/>
      <c r="K1651"/>
    </row>
    <row r="1652" spans="6:11" x14ac:dyDescent="0.2">
      <c r="F1652" s="163"/>
      <c r="K1652"/>
    </row>
    <row r="1653" spans="6:11" x14ac:dyDescent="0.2">
      <c r="F1653" s="163"/>
      <c r="K1653"/>
    </row>
    <row r="1654" spans="6:11" x14ac:dyDescent="0.2">
      <c r="F1654" s="163"/>
      <c r="K1654"/>
    </row>
    <row r="1655" spans="6:11" x14ac:dyDescent="0.2">
      <c r="F1655" s="163"/>
      <c r="K1655"/>
    </row>
    <row r="1656" spans="6:11" x14ac:dyDescent="0.2">
      <c r="F1656" s="163"/>
      <c r="K1656"/>
    </row>
    <row r="1657" spans="6:11" x14ac:dyDescent="0.2">
      <c r="F1657" s="163"/>
      <c r="K1657"/>
    </row>
    <row r="1658" spans="6:11" x14ac:dyDescent="0.2">
      <c r="F1658" s="163"/>
      <c r="K1658"/>
    </row>
    <row r="1659" spans="6:11" x14ac:dyDescent="0.2">
      <c r="F1659" s="163"/>
      <c r="K1659"/>
    </row>
    <row r="1660" spans="6:11" x14ac:dyDescent="0.2">
      <c r="F1660" s="163"/>
      <c r="K1660"/>
    </row>
    <row r="1661" spans="6:11" x14ac:dyDescent="0.2">
      <c r="F1661" s="163"/>
      <c r="K1661"/>
    </row>
    <row r="1662" spans="6:11" x14ac:dyDescent="0.2">
      <c r="F1662" s="163"/>
      <c r="K1662"/>
    </row>
    <row r="1663" spans="6:11" x14ac:dyDescent="0.2">
      <c r="F1663" s="163"/>
      <c r="K1663"/>
    </row>
    <row r="1664" spans="6:11" x14ac:dyDescent="0.2">
      <c r="F1664" s="163"/>
      <c r="K1664"/>
    </row>
    <row r="1665" spans="6:11" x14ac:dyDescent="0.2">
      <c r="F1665" s="163"/>
      <c r="K1665"/>
    </row>
    <row r="1666" spans="6:11" x14ac:dyDescent="0.2">
      <c r="F1666" s="163"/>
      <c r="K1666"/>
    </row>
    <row r="1667" spans="6:11" x14ac:dyDescent="0.2">
      <c r="F1667" s="163"/>
      <c r="K1667"/>
    </row>
    <row r="1668" spans="6:11" x14ac:dyDescent="0.2">
      <c r="F1668" s="163"/>
      <c r="K1668"/>
    </row>
    <row r="1669" spans="6:11" x14ac:dyDescent="0.2">
      <c r="F1669" s="163"/>
      <c r="K1669"/>
    </row>
    <row r="1670" spans="6:11" x14ac:dyDescent="0.2">
      <c r="F1670" s="163"/>
      <c r="K1670"/>
    </row>
    <row r="1671" spans="6:11" x14ac:dyDescent="0.2">
      <c r="F1671" s="163"/>
      <c r="K1671"/>
    </row>
    <row r="1672" spans="6:11" x14ac:dyDescent="0.2">
      <c r="F1672" s="163"/>
      <c r="K1672"/>
    </row>
    <row r="1673" spans="6:11" x14ac:dyDescent="0.2">
      <c r="F1673" s="163"/>
      <c r="K1673"/>
    </row>
    <row r="1674" spans="6:11" x14ac:dyDescent="0.2">
      <c r="F1674" s="163"/>
      <c r="K1674"/>
    </row>
    <row r="1675" spans="6:11" x14ac:dyDescent="0.2">
      <c r="F1675" s="163"/>
      <c r="K1675"/>
    </row>
    <row r="1676" spans="6:11" x14ac:dyDescent="0.2">
      <c r="F1676" s="163"/>
      <c r="K1676"/>
    </row>
    <row r="1677" spans="6:11" x14ac:dyDescent="0.2">
      <c r="F1677" s="163"/>
      <c r="K1677"/>
    </row>
    <row r="1678" spans="6:11" x14ac:dyDescent="0.2">
      <c r="F1678" s="163"/>
      <c r="K1678"/>
    </row>
    <row r="1679" spans="6:11" x14ac:dyDescent="0.2">
      <c r="F1679" s="163"/>
      <c r="K1679"/>
    </row>
    <row r="1680" spans="6:11" x14ac:dyDescent="0.2">
      <c r="F1680" s="163"/>
      <c r="K1680"/>
    </row>
    <row r="1681" spans="6:11" x14ac:dyDescent="0.2">
      <c r="F1681" s="163"/>
      <c r="K1681"/>
    </row>
    <row r="1682" spans="6:11" x14ac:dyDescent="0.2">
      <c r="F1682" s="163"/>
      <c r="K1682"/>
    </row>
    <row r="1683" spans="6:11" x14ac:dyDescent="0.2">
      <c r="F1683" s="163"/>
      <c r="K1683"/>
    </row>
    <row r="1684" spans="6:11" x14ac:dyDescent="0.2">
      <c r="F1684" s="163"/>
      <c r="K1684"/>
    </row>
    <row r="1685" spans="6:11" x14ac:dyDescent="0.2">
      <c r="F1685" s="163"/>
      <c r="K1685"/>
    </row>
    <row r="1686" spans="6:11" x14ac:dyDescent="0.2">
      <c r="F1686" s="163"/>
      <c r="K1686"/>
    </row>
    <row r="1687" spans="6:11" x14ac:dyDescent="0.2">
      <c r="F1687" s="163"/>
      <c r="K1687"/>
    </row>
    <row r="1688" spans="6:11" x14ac:dyDescent="0.2">
      <c r="F1688" s="163"/>
      <c r="K1688"/>
    </row>
    <row r="1689" spans="6:11" x14ac:dyDescent="0.2">
      <c r="F1689" s="163"/>
      <c r="K1689"/>
    </row>
    <row r="1690" spans="6:11" x14ac:dyDescent="0.2">
      <c r="F1690" s="163"/>
      <c r="K1690"/>
    </row>
    <row r="1691" spans="6:11" x14ac:dyDescent="0.2">
      <c r="F1691" s="163"/>
      <c r="K1691"/>
    </row>
    <row r="1692" spans="6:11" x14ac:dyDescent="0.2">
      <c r="F1692" s="163"/>
      <c r="K1692"/>
    </row>
    <row r="1693" spans="6:11" x14ac:dyDescent="0.2">
      <c r="F1693" s="163"/>
      <c r="K1693"/>
    </row>
    <row r="1694" spans="6:11" x14ac:dyDescent="0.2">
      <c r="F1694" s="163"/>
      <c r="K1694"/>
    </row>
    <row r="1695" spans="6:11" x14ac:dyDescent="0.2">
      <c r="F1695" s="163"/>
      <c r="K1695"/>
    </row>
    <row r="1696" spans="6:11" x14ac:dyDescent="0.2">
      <c r="F1696" s="163"/>
      <c r="K1696"/>
    </row>
    <row r="1697" spans="6:11" x14ac:dyDescent="0.2">
      <c r="F1697" s="163"/>
      <c r="K1697"/>
    </row>
    <row r="1698" spans="6:11" x14ac:dyDescent="0.2">
      <c r="F1698" s="163"/>
      <c r="K1698"/>
    </row>
    <row r="1699" spans="6:11" x14ac:dyDescent="0.2">
      <c r="F1699" s="163"/>
      <c r="K1699"/>
    </row>
    <row r="1700" spans="6:11" x14ac:dyDescent="0.2">
      <c r="F1700" s="163"/>
      <c r="K1700"/>
    </row>
    <row r="1701" spans="6:11" x14ac:dyDescent="0.2">
      <c r="F1701" s="163"/>
      <c r="K1701"/>
    </row>
    <row r="1702" spans="6:11" x14ac:dyDescent="0.2">
      <c r="F1702" s="163"/>
      <c r="K1702"/>
    </row>
    <row r="1703" spans="6:11" x14ac:dyDescent="0.2">
      <c r="F1703" s="163"/>
      <c r="K1703"/>
    </row>
    <row r="1704" spans="6:11" x14ac:dyDescent="0.2">
      <c r="F1704" s="163"/>
      <c r="K1704"/>
    </row>
    <row r="1705" spans="6:11" x14ac:dyDescent="0.2">
      <c r="F1705" s="163"/>
      <c r="K1705"/>
    </row>
    <row r="1706" spans="6:11" x14ac:dyDescent="0.2">
      <c r="F1706" s="163"/>
      <c r="K1706"/>
    </row>
    <row r="1707" spans="6:11" x14ac:dyDescent="0.2">
      <c r="F1707" s="163"/>
      <c r="K1707"/>
    </row>
    <row r="1708" spans="6:11" x14ac:dyDescent="0.2">
      <c r="F1708" s="163"/>
      <c r="K1708"/>
    </row>
    <row r="1709" spans="6:11" x14ac:dyDescent="0.2">
      <c r="F1709" s="163"/>
      <c r="K1709"/>
    </row>
    <row r="1710" spans="6:11" x14ac:dyDescent="0.2">
      <c r="F1710" s="163"/>
      <c r="K1710"/>
    </row>
    <row r="1711" spans="6:11" x14ac:dyDescent="0.2">
      <c r="F1711" s="163"/>
      <c r="K1711"/>
    </row>
    <row r="1712" spans="6:11" x14ac:dyDescent="0.2">
      <c r="F1712" s="163"/>
      <c r="K1712"/>
    </row>
    <row r="1713" spans="6:11" x14ac:dyDescent="0.2">
      <c r="F1713" s="163"/>
      <c r="K1713"/>
    </row>
    <row r="1714" spans="6:11" x14ac:dyDescent="0.2">
      <c r="F1714" s="163"/>
      <c r="K1714"/>
    </row>
    <row r="1715" spans="6:11" x14ac:dyDescent="0.2">
      <c r="F1715" s="163"/>
      <c r="K1715"/>
    </row>
    <row r="1716" spans="6:11" x14ac:dyDescent="0.2">
      <c r="F1716" s="163"/>
      <c r="K1716"/>
    </row>
    <row r="1717" spans="6:11" x14ac:dyDescent="0.2">
      <c r="F1717" s="163"/>
      <c r="K1717"/>
    </row>
    <row r="1718" spans="6:11" x14ac:dyDescent="0.2">
      <c r="F1718" s="163"/>
      <c r="K1718"/>
    </row>
    <row r="1719" spans="6:11" x14ac:dyDescent="0.2">
      <c r="F1719" s="163"/>
      <c r="K1719"/>
    </row>
    <row r="1720" spans="6:11" x14ac:dyDescent="0.2">
      <c r="F1720" s="163"/>
      <c r="K1720"/>
    </row>
    <row r="1721" spans="6:11" x14ac:dyDescent="0.2">
      <c r="F1721" s="163"/>
      <c r="K1721"/>
    </row>
    <row r="1722" spans="6:11" x14ac:dyDescent="0.2">
      <c r="F1722" s="163"/>
      <c r="K1722"/>
    </row>
    <row r="1723" spans="6:11" x14ac:dyDescent="0.2">
      <c r="F1723" s="163"/>
      <c r="K1723"/>
    </row>
    <row r="1724" spans="6:11" x14ac:dyDescent="0.2">
      <c r="F1724" s="163"/>
      <c r="K1724"/>
    </row>
    <row r="1725" spans="6:11" x14ac:dyDescent="0.2">
      <c r="F1725" s="163"/>
      <c r="K1725"/>
    </row>
    <row r="1726" spans="6:11" x14ac:dyDescent="0.2">
      <c r="F1726" s="163"/>
      <c r="K1726"/>
    </row>
    <row r="1727" spans="6:11" x14ac:dyDescent="0.2">
      <c r="F1727" s="163"/>
      <c r="K1727"/>
    </row>
    <row r="1728" spans="6:11" x14ac:dyDescent="0.2">
      <c r="F1728" s="163"/>
      <c r="K1728"/>
    </row>
    <row r="1729" spans="6:11" x14ac:dyDescent="0.2">
      <c r="F1729" s="163"/>
      <c r="K1729"/>
    </row>
    <row r="1730" spans="6:11" x14ac:dyDescent="0.2">
      <c r="F1730" s="163"/>
      <c r="K1730"/>
    </row>
    <row r="1731" spans="6:11" x14ac:dyDescent="0.2">
      <c r="F1731" s="163"/>
      <c r="K1731"/>
    </row>
    <row r="1732" spans="6:11" x14ac:dyDescent="0.2">
      <c r="F1732" s="163"/>
      <c r="K1732"/>
    </row>
    <row r="1733" spans="6:11" x14ac:dyDescent="0.2">
      <c r="F1733" s="163"/>
      <c r="K1733"/>
    </row>
    <row r="1734" spans="6:11" x14ac:dyDescent="0.2">
      <c r="F1734" s="163"/>
      <c r="K1734"/>
    </row>
    <row r="1735" spans="6:11" x14ac:dyDescent="0.2">
      <c r="F1735" s="163"/>
      <c r="K1735"/>
    </row>
    <row r="1736" spans="6:11" x14ac:dyDescent="0.2">
      <c r="F1736" s="163"/>
      <c r="K1736"/>
    </row>
    <row r="1737" spans="6:11" x14ac:dyDescent="0.2">
      <c r="F1737" s="163"/>
      <c r="K1737"/>
    </row>
    <row r="1738" spans="6:11" x14ac:dyDescent="0.2">
      <c r="F1738" s="163"/>
      <c r="K1738"/>
    </row>
    <row r="1739" spans="6:11" x14ac:dyDescent="0.2">
      <c r="F1739" s="163"/>
      <c r="K1739"/>
    </row>
    <row r="1740" spans="6:11" x14ac:dyDescent="0.2">
      <c r="F1740" s="163"/>
      <c r="K1740"/>
    </row>
    <row r="1741" spans="6:11" x14ac:dyDescent="0.2">
      <c r="F1741" s="163"/>
      <c r="K1741"/>
    </row>
    <row r="1742" spans="6:11" x14ac:dyDescent="0.2">
      <c r="F1742" s="163"/>
      <c r="K1742"/>
    </row>
    <row r="1743" spans="6:11" x14ac:dyDescent="0.2">
      <c r="F1743" s="163"/>
      <c r="K1743"/>
    </row>
    <row r="1744" spans="6:11" x14ac:dyDescent="0.2">
      <c r="F1744" s="163"/>
      <c r="K1744"/>
    </row>
    <row r="1745" spans="6:11" x14ac:dyDescent="0.2">
      <c r="F1745" s="163"/>
      <c r="K1745"/>
    </row>
    <row r="1746" spans="6:11" x14ac:dyDescent="0.2">
      <c r="F1746" s="163"/>
      <c r="K1746"/>
    </row>
    <row r="1747" spans="6:11" x14ac:dyDescent="0.2">
      <c r="F1747" s="163"/>
      <c r="K1747"/>
    </row>
    <row r="1748" spans="6:11" x14ac:dyDescent="0.2">
      <c r="F1748" s="163"/>
      <c r="K1748"/>
    </row>
    <row r="1749" spans="6:11" x14ac:dyDescent="0.2">
      <c r="F1749" s="163"/>
      <c r="K1749"/>
    </row>
    <row r="1750" spans="6:11" x14ac:dyDescent="0.2">
      <c r="F1750" s="163"/>
      <c r="K1750"/>
    </row>
    <row r="1751" spans="6:11" x14ac:dyDescent="0.2">
      <c r="F1751" s="163"/>
      <c r="K1751"/>
    </row>
    <row r="1752" spans="6:11" x14ac:dyDescent="0.2">
      <c r="F1752" s="163"/>
      <c r="K1752"/>
    </row>
    <row r="1753" spans="6:11" x14ac:dyDescent="0.2">
      <c r="F1753" s="163"/>
      <c r="K1753"/>
    </row>
    <row r="1754" spans="6:11" x14ac:dyDescent="0.2">
      <c r="F1754" s="163"/>
      <c r="K1754"/>
    </row>
    <row r="1755" spans="6:11" x14ac:dyDescent="0.2">
      <c r="F1755" s="163"/>
      <c r="K1755"/>
    </row>
    <row r="1756" spans="6:11" x14ac:dyDescent="0.2">
      <c r="F1756" s="163"/>
      <c r="K1756"/>
    </row>
    <row r="1757" spans="6:11" x14ac:dyDescent="0.2">
      <c r="F1757" s="163"/>
      <c r="K1757"/>
    </row>
    <row r="1758" spans="6:11" x14ac:dyDescent="0.2">
      <c r="F1758" s="163"/>
      <c r="K1758"/>
    </row>
    <row r="1759" spans="6:11" x14ac:dyDescent="0.2">
      <c r="F1759" s="163"/>
      <c r="K1759"/>
    </row>
    <row r="1760" spans="6:11" x14ac:dyDescent="0.2">
      <c r="F1760" s="163"/>
      <c r="K1760"/>
    </row>
    <row r="1761" spans="6:11" x14ac:dyDescent="0.2">
      <c r="F1761" s="163"/>
      <c r="K1761"/>
    </row>
    <row r="1762" spans="6:11" x14ac:dyDescent="0.2">
      <c r="F1762" s="163"/>
      <c r="K1762"/>
    </row>
    <row r="1763" spans="6:11" x14ac:dyDescent="0.2">
      <c r="F1763" s="163"/>
      <c r="K1763"/>
    </row>
    <row r="1764" spans="6:11" x14ac:dyDescent="0.2">
      <c r="F1764" s="163"/>
      <c r="K1764"/>
    </row>
    <row r="1765" spans="6:11" x14ac:dyDescent="0.2">
      <c r="F1765" s="163"/>
      <c r="K1765"/>
    </row>
    <row r="1766" spans="6:11" x14ac:dyDescent="0.2">
      <c r="F1766" s="163"/>
      <c r="K1766"/>
    </row>
    <row r="1767" spans="6:11" x14ac:dyDescent="0.2">
      <c r="F1767" s="163"/>
      <c r="K1767"/>
    </row>
    <row r="1768" spans="6:11" x14ac:dyDescent="0.2">
      <c r="F1768" s="163"/>
      <c r="K1768"/>
    </row>
    <row r="1769" spans="6:11" x14ac:dyDescent="0.2">
      <c r="F1769" s="163"/>
      <c r="K1769"/>
    </row>
    <row r="1770" spans="6:11" x14ac:dyDescent="0.2">
      <c r="F1770" s="163"/>
      <c r="K1770"/>
    </row>
    <row r="1771" spans="6:11" x14ac:dyDescent="0.2">
      <c r="F1771" s="163"/>
      <c r="K1771"/>
    </row>
    <row r="1772" spans="6:11" x14ac:dyDescent="0.2">
      <c r="F1772" s="163"/>
      <c r="K1772"/>
    </row>
    <row r="1773" spans="6:11" x14ac:dyDescent="0.2">
      <c r="F1773" s="163"/>
      <c r="K1773"/>
    </row>
    <row r="1774" spans="6:11" x14ac:dyDescent="0.2">
      <c r="F1774" s="163"/>
      <c r="K1774"/>
    </row>
    <row r="1775" spans="6:11" x14ac:dyDescent="0.2">
      <c r="F1775" s="163"/>
      <c r="K1775"/>
    </row>
    <row r="1776" spans="6:11" x14ac:dyDescent="0.2">
      <c r="F1776" s="163"/>
      <c r="K1776"/>
    </row>
    <row r="1777" spans="6:11" x14ac:dyDescent="0.2">
      <c r="F1777" s="163"/>
      <c r="K1777"/>
    </row>
    <row r="1778" spans="6:11" x14ac:dyDescent="0.2">
      <c r="F1778" s="163"/>
      <c r="K1778"/>
    </row>
    <row r="1779" spans="6:11" x14ac:dyDescent="0.2">
      <c r="F1779" s="163"/>
      <c r="K1779"/>
    </row>
    <row r="1780" spans="6:11" x14ac:dyDescent="0.2">
      <c r="F1780" s="163"/>
      <c r="K1780"/>
    </row>
    <row r="1781" spans="6:11" x14ac:dyDescent="0.2">
      <c r="F1781" s="163"/>
      <c r="K1781"/>
    </row>
    <row r="1782" spans="6:11" x14ac:dyDescent="0.2">
      <c r="F1782" s="163"/>
      <c r="K1782"/>
    </row>
    <row r="1783" spans="6:11" x14ac:dyDescent="0.2">
      <c r="F1783" s="163"/>
      <c r="K1783"/>
    </row>
    <row r="1784" spans="6:11" x14ac:dyDescent="0.2">
      <c r="F1784" s="163"/>
      <c r="K1784"/>
    </row>
    <row r="1785" spans="6:11" x14ac:dyDescent="0.2">
      <c r="F1785" s="163"/>
      <c r="K1785"/>
    </row>
    <row r="1786" spans="6:11" x14ac:dyDescent="0.2">
      <c r="F1786" s="163"/>
      <c r="K1786"/>
    </row>
    <row r="1787" spans="6:11" x14ac:dyDescent="0.2">
      <c r="F1787" s="163"/>
      <c r="K1787"/>
    </row>
    <row r="1788" spans="6:11" x14ac:dyDescent="0.2">
      <c r="F1788" s="163"/>
      <c r="K1788"/>
    </row>
    <row r="1789" spans="6:11" x14ac:dyDescent="0.2">
      <c r="F1789" s="163"/>
      <c r="K1789"/>
    </row>
    <row r="1790" spans="6:11" x14ac:dyDescent="0.2">
      <c r="F1790" s="163"/>
      <c r="K1790"/>
    </row>
    <row r="1791" spans="6:11" x14ac:dyDescent="0.2">
      <c r="F1791" s="163"/>
      <c r="K1791"/>
    </row>
    <row r="1792" spans="6:11" x14ac:dyDescent="0.2">
      <c r="F1792" s="163"/>
      <c r="K1792"/>
    </row>
    <row r="1793" spans="6:11" x14ac:dyDescent="0.2">
      <c r="F1793" s="163"/>
      <c r="K1793"/>
    </row>
    <row r="1794" spans="6:11" x14ac:dyDescent="0.2">
      <c r="F1794" s="163"/>
      <c r="K1794"/>
    </row>
    <row r="1795" spans="6:11" x14ac:dyDescent="0.2">
      <c r="F1795" s="163"/>
      <c r="K1795"/>
    </row>
    <row r="1796" spans="6:11" x14ac:dyDescent="0.2">
      <c r="F1796" s="163"/>
      <c r="K1796"/>
    </row>
    <row r="1797" spans="6:11" x14ac:dyDescent="0.2">
      <c r="F1797" s="163"/>
      <c r="K1797"/>
    </row>
    <row r="1798" spans="6:11" x14ac:dyDescent="0.2">
      <c r="F1798" s="163"/>
      <c r="K1798"/>
    </row>
    <row r="1799" spans="6:11" x14ac:dyDescent="0.2">
      <c r="F1799" s="163"/>
      <c r="K1799"/>
    </row>
    <row r="1800" spans="6:11" x14ac:dyDescent="0.2">
      <c r="F1800" s="163"/>
      <c r="K1800"/>
    </row>
    <row r="1801" spans="6:11" x14ac:dyDescent="0.2">
      <c r="F1801" s="163"/>
      <c r="K1801"/>
    </row>
    <row r="1802" spans="6:11" x14ac:dyDescent="0.2">
      <c r="F1802" s="163"/>
      <c r="K1802"/>
    </row>
    <row r="1803" spans="6:11" x14ac:dyDescent="0.2">
      <c r="F1803" s="163"/>
      <c r="K1803"/>
    </row>
    <row r="1804" spans="6:11" x14ac:dyDescent="0.2">
      <c r="F1804" s="163"/>
      <c r="K1804"/>
    </row>
    <row r="1805" spans="6:11" x14ac:dyDescent="0.2">
      <c r="F1805" s="163"/>
      <c r="K1805"/>
    </row>
    <row r="1806" spans="6:11" x14ac:dyDescent="0.2">
      <c r="F1806" s="163"/>
      <c r="K1806"/>
    </row>
    <row r="1807" spans="6:11" x14ac:dyDescent="0.2">
      <c r="F1807" s="163"/>
      <c r="K1807"/>
    </row>
    <row r="1808" spans="6:11" x14ac:dyDescent="0.2">
      <c r="F1808" s="163"/>
      <c r="K1808"/>
    </row>
    <row r="1809" spans="6:11" x14ac:dyDescent="0.2">
      <c r="F1809" s="163"/>
      <c r="K1809"/>
    </row>
    <row r="1810" spans="6:11" x14ac:dyDescent="0.2">
      <c r="F1810" s="163"/>
      <c r="K1810"/>
    </row>
    <row r="1811" spans="6:11" x14ac:dyDescent="0.2">
      <c r="F1811" s="163"/>
      <c r="K1811"/>
    </row>
    <row r="1812" spans="6:11" x14ac:dyDescent="0.2">
      <c r="F1812" s="163"/>
      <c r="K1812"/>
    </row>
    <row r="1813" spans="6:11" x14ac:dyDescent="0.2">
      <c r="F1813" s="163"/>
      <c r="K1813"/>
    </row>
    <row r="1814" spans="6:11" x14ac:dyDescent="0.2">
      <c r="F1814" s="163"/>
      <c r="K1814"/>
    </row>
    <row r="1815" spans="6:11" x14ac:dyDescent="0.2">
      <c r="F1815" s="163"/>
      <c r="K1815"/>
    </row>
    <row r="1816" spans="6:11" x14ac:dyDescent="0.2">
      <c r="F1816" s="163"/>
      <c r="K1816"/>
    </row>
    <row r="1817" spans="6:11" x14ac:dyDescent="0.2">
      <c r="F1817" s="163"/>
      <c r="K1817"/>
    </row>
    <row r="1818" spans="6:11" x14ac:dyDescent="0.2">
      <c r="F1818" s="163"/>
      <c r="K1818"/>
    </row>
    <row r="1819" spans="6:11" x14ac:dyDescent="0.2">
      <c r="F1819" s="163"/>
      <c r="K1819"/>
    </row>
    <row r="1820" spans="6:11" x14ac:dyDescent="0.2">
      <c r="F1820" s="163"/>
      <c r="K1820"/>
    </row>
    <row r="1821" spans="6:11" x14ac:dyDescent="0.2">
      <c r="F1821" s="163"/>
      <c r="K1821"/>
    </row>
    <row r="1822" spans="6:11" x14ac:dyDescent="0.2">
      <c r="F1822" s="163"/>
      <c r="K1822"/>
    </row>
    <row r="1823" spans="6:11" x14ac:dyDescent="0.2">
      <c r="F1823" s="163"/>
      <c r="K1823"/>
    </row>
    <row r="1824" spans="6:11" x14ac:dyDescent="0.2">
      <c r="F1824" s="163"/>
      <c r="K1824"/>
    </row>
    <row r="1825" spans="6:11" x14ac:dyDescent="0.2">
      <c r="F1825" s="163"/>
      <c r="K1825"/>
    </row>
    <row r="1826" spans="6:11" x14ac:dyDescent="0.2">
      <c r="F1826" s="163"/>
      <c r="K1826"/>
    </row>
    <row r="1827" spans="6:11" x14ac:dyDescent="0.2">
      <c r="F1827" s="163"/>
      <c r="K1827"/>
    </row>
    <row r="1828" spans="6:11" x14ac:dyDescent="0.2">
      <c r="F1828" s="163"/>
      <c r="K1828"/>
    </row>
    <row r="1829" spans="6:11" x14ac:dyDescent="0.2">
      <c r="F1829" s="163"/>
      <c r="K1829"/>
    </row>
    <row r="1830" spans="6:11" x14ac:dyDescent="0.2">
      <c r="F1830" s="163"/>
      <c r="K1830"/>
    </row>
    <row r="1831" spans="6:11" x14ac:dyDescent="0.2">
      <c r="F1831" s="163"/>
      <c r="K1831"/>
    </row>
    <row r="1832" spans="6:11" x14ac:dyDescent="0.2">
      <c r="F1832" s="163"/>
      <c r="K1832"/>
    </row>
    <row r="1833" spans="6:11" x14ac:dyDescent="0.2">
      <c r="F1833" s="163"/>
      <c r="K1833"/>
    </row>
    <row r="1834" spans="6:11" x14ac:dyDescent="0.2">
      <c r="F1834" s="163"/>
      <c r="K1834"/>
    </row>
    <row r="1835" spans="6:11" x14ac:dyDescent="0.2">
      <c r="F1835" s="163"/>
      <c r="K1835"/>
    </row>
    <row r="1836" spans="6:11" x14ac:dyDescent="0.2">
      <c r="F1836" s="163"/>
      <c r="K1836"/>
    </row>
    <row r="1837" spans="6:11" x14ac:dyDescent="0.2">
      <c r="F1837" s="163"/>
      <c r="K1837"/>
    </row>
    <row r="1838" spans="6:11" x14ac:dyDescent="0.2">
      <c r="F1838" s="163"/>
      <c r="K1838"/>
    </row>
    <row r="1839" spans="6:11" x14ac:dyDescent="0.2">
      <c r="F1839" s="163"/>
      <c r="K1839"/>
    </row>
    <row r="1840" spans="6:11" x14ac:dyDescent="0.2">
      <c r="F1840" s="163"/>
      <c r="K1840"/>
    </row>
    <row r="1841" spans="6:11" x14ac:dyDescent="0.2">
      <c r="F1841" s="163"/>
      <c r="K1841"/>
    </row>
    <row r="1842" spans="6:11" x14ac:dyDescent="0.2">
      <c r="F1842" s="163"/>
      <c r="K1842"/>
    </row>
    <row r="1843" spans="6:11" x14ac:dyDescent="0.2">
      <c r="F1843" s="163"/>
      <c r="K1843"/>
    </row>
    <row r="1844" spans="6:11" x14ac:dyDescent="0.2">
      <c r="F1844" s="163"/>
      <c r="K1844"/>
    </row>
    <row r="1845" spans="6:11" x14ac:dyDescent="0.2">
      <c r="F1845" s="163"/>
      <c r="K1845"/>
    </row>
    <row r="1846" spans="6:11" x14ac:dyDescent="0.2">
      <c r="F1846" s="163"/>
      <c r="K1846"/>
    </row>
    <row r="1847" spans="6:11" x14ac:dyDescent="0.2">
      <c r="F1847" s="163"/>
      <c r="K1847"/>
    </row>
    <row r="1848" spans="6:11" x14ac:dyDescent="0.2">
      <c r="F1848" s="163"/>
      <c r="K1848"/>
    </row>
    <row r="1849" spans="6:11" x14ac:dyDescent="0.2">
      <c r="F1849" s="163"/>
      <c r="K1849"/>
    </row>
    <row r="1850" spans="6:11" x14ac:dyDescent="0.2">
      <c r="F1850" s="163"/>
      <c r="K1850"/>
    </row>
    <row r="1851" spans="6:11" x14ac:dyDescent="0.2">
      <c r="F1851" s="163"/>
      <c r="K1851"/>
    </row>
    <row r="1852" spans="6:11" x14ac:dyDescent="0.2">
      <c r="F1852" s="163"/>
      <c r="K1852"/>
    </row>
    <row r="1853" spans="6:11" x14ac:dyDescent="0.2">
      <c r="F1853" s="163"/>
      <c r="K1853"/>
    </row>
    <row r="1854" spans="6:11" x14ac:dyDescent="0.2">
      <c r="F1854" s="163"/>
      <c r="K1854"/>
    </row>
    <row r="1855" spans="6:11" x14ac:dyDescent="0.2">
      <c r="F1855" s="163"/>
      <c r="K1855"/>
    </row>
    <row r="1856" spans="6:11" x14ac:dyDescent="0.2">
      <c r="F1856" s="163"/>
      <c r="K1856"/>
    </row>
    <row r="1857" spans="6:11" x14ac:dyDescent="0.2">
      <c r="F1857" s="163"/>
      <c r="K1857"/>
    </row>
    <row r="1858" spans="6:11" x14ac:dyDescent="0.2">
      <c r="F1858" s="163"/>
      <c r="K1858"/>
    </row>
    <row r="1859" spans="6:11" x14ac:dyDescent="0.2">
      <c r="F1859" s="163"/>
      <c r="K1859"/>
    </row>
    <row r="1860" spans="6:11" x14ac:dyDescent="0.2">
      <c r="F1860" s="163"/>
      <c r="K1860"/>
    </row>
    <row r="1861" spans="6:11" x14ac:dyDescent="0.2">
      <c r="F1861" s="163"/>
      <c r="K1861"/>
    </row>
    <row r="1862" spans="6:11" x14ac:dyDescent="0.2">
      <c r="F1862" s="163"/>
      <c r="K1862"/>
    </row>
    <row r="1863" spans="6:11" x14ac:dyDescent="0.2">
      <c r="F1863" s="163"/>
      <c r="K1863"/>
    </row>
    <row r="1864" spans="6:11" x14ac:dyDescent="0.2">
      <c r="F1864" s="163"/>
      <c r="K1864"/>
    </row>
    <row r="1865" spans="6:11" x14ac:dyDescent="0.2">
      <c r="F1865" s="163"/>
      <c r="K1865"/>
    </row>
    <row r="1866" spans="6:11" x14ac:dyDescent="0.2">
      <c r="F1866" s="163"/>
      <c r="K1866"/>
    </row>
    <row r="1867" spans="6:11" x14ac:dyDescent="0.2">
      <c r="F1867" s="163"/>
      <c r="K1867"/>
    </row>
    <row r="1868" spans="6:11" x14ac:dyDescent="0.2">
      <c r="F1868" s="163"/>
      <c r="K1868"/>
    </row>
    <row r="1869" spans="6:11" x14ac:dyDescent="0.2">
      <c r="F1869" s="163"/>
      <c r="K1869"/>
    </row>
    <row r="1870" spans="6:11" x14ac:dyDescent="0.2">
      <c r="F1870" s="163"/>
      <c r="K1870"/>
    </row>
    <row r="1871" spans="6:11" x14ac:dyDescent="0.2">
      <c r="F1871" s="163"/>
      <c r="K1871"/>
    </row>
    <row r="1872" spans="6:11" x14ac:dyDescent="0.2">
      <c r="F1872" s="163"/>
      <c r="K1872"/>
    </row>
    <row r="1873" spans="6:11" x14ac:dyDescent="0.2">
      <c r="F1873" s="163"/>
      <c r="K1873"/>
    </row>
    <row r="1874" spans="6:11" x14ac:dyDescent="0.2">
      <c r="F1874" s="163"/>
      <c r="K1874"/>
    </row>
    <row r="1875" spans="6:11" x14ac:dyDescent="0.2">
      <c r="F1875" s="163"/>
      <c r="K1875"/>
    </row>
    <row r="1876" spans="6:11" x14ac:dyDescent="0.2">
      <c r="F1876" s="163"/>
      <c r="K1876"/>
    </row>
    <row r="1877" spans="6:11" x14ac:dyDescent="0.2">
      <c r="F1877" s="163"/>
      <c r="K1877"/>
    </row>
    <row r="1878" spans="6:11" x14ac:dyDescent="0.2">
      <c r="F1878" s="163"/>
      <c r="K1878"/>
    </row>
    <row r="1879" spans="6:11" x14ac:dyDescent="0.2">
      <c r="F1879" s="163"/>
      <c r="K1879"/>
    </row>
    <row r="1880" spans="6:11" x14ac:dyDescent="0.2">
      <c r="F1880" s="163"/>
      <c r="K1880"/>
    </row>
    <row r="1881" spans="6:11" x14ac:dyDescent="0.2">
      <c r="F1881" s="163"/>
      <c r="K1881"/>
    </row>
    <row r="1882" spans="6:11" x14ac:dyDescent="0.2">
      <c r="F1882" s="163"/>
      <c r="K1882"/>
    </row>
    <row r="1883" spans="6:11" x14ac:dyDescent="0.2">
      <c r="F1883" s="163"/>
      <c r="K1883"/>
    </row>
    <row r="1884" spans="6:11" x14ac:dyDescent="0.2">
      <c r="F1884" s="163"/>
      <c r="K1884"/>
    </row>
    <row r="1885" spans="6:11" x14ac:dyDescent="0.2">
      <c r="F1885" s="163"/>
      <c r="K1885"/>
    </row>
    <row r="1886" spans="6:11" x14ac:dyDescent="0.2">
      <c r="F1886" s="163"/>
      <c r="K1886"/>
    </row>
    <row r="1887" spans="6:11" x14ac:dyDescent="0.2">
      <c r="F1887" s="163"/>
      <c r="K1887"/>
    </row>
    <row r="1888" spans="6:11" x14ac:dyDescent="0.2">
      <c r="F1888" s="163"/>
      <c r="K1888"/>
    </row>
    <row r="1889" spans="6:11" x14ac:dyDescent="0.2">
      <c r="F1889" s="163"/>
      <c r="K1889"/>
    </row>
    <row r="1890" spans="6:11" x14ac:dyDescent="0.2">
      <c r="F1890" s="163"/>
      <c r="K1890"/>
    </row>
    <row r="1891" spans="6:11" x14ac:dyDescent="0.2">
      <c r="F1891" s="163"/>
      <c r="K1891"/>
    </row>
    <row r="1892" spans="6:11" x14ac:dyDescent="0.2">
      <c r="F1892" s="163"/>
      <c r="K1892"/>
    </row>
    <row r="1893" spans="6:11" x14ac:dyDescent="0.2">
      <c r="F1893" s="163"/>
      <c r="K1893"/>
    </row>
    <row r="1894" spans="6:11" x14ac:dyDescent="0.2">
      <c r="F1894" s="163"/>
      <c r="K1894"/>
    </row>
    <row r="1895" spans="6:11" x14ac:dyDescent="0.2">
      <c r="F1895" s="163"/>
      <c r="K1895"/>
    </row>
    <row r="1896" spans="6:11" x14ac:dyDescent="0.2">
      <c r="F1896" s="163"/>
      <c r="K1896"/>
    </row>
    <row r="1897" spans="6:11" x14ac:dyDescent="0.2">
      <c r="F1897" s="163"/>
      <c r="K1897"/>
    </row>
    <row r="1898" spans="6:11" x14ac:dyDescent="0.2">
      <c r="F1898" s="163"/>
      <c r="K1898"/>
    </row>
    <row r="1899" spans="6:11" x14ac:dyDescent="0.2">
      <c r="F1899" s="163"/>
      <c r="K1899"/>
    </row>
    <row r="1900" spans="6:11" x14ac:dyDescent="0.2">
      <c r="F1900" s="163"/>
      <c r="K1900"/>
    </row>
    <row r="1901" spans="6:11" x14ac:dyDescent="0.2">
      <c r="F1901" s="163"/>
      <c r="K1901"/>
    </row>
    <row r="1902" spans="6:11" x14ac:dyDescent="0.2">
      <c r="F1902" s="163"/>
      <c r="K1902"/>
    </row>
    <row r="1903" spans="6:11" x14ac:dyDescent="0.2">
      <c r="F1903" s="163"/>
      <c r="K1903"/>
    </row>
    <row r="1904" spans="6:11" x14ac:dyDescent="0.2">
      <c r="F1904" s="163"/>
      <c r="K1904"/>
    </row>
    <row r="1905" spans="6:11" x14ac:dyDescent="0.2">
      <c r="F1905" s="163"/>
      <c r="K1905"/>
    </row>
    <row r="1906" spans="6:11" x14ac:dyDescent="0.2">
      <c r="F1906" s="163"/>
      <c r="K1906"/>
    </row>
    <row r="1907" spans="6:11" x14ac:dyDescent="0.2">
      <c r="F1907" s="163"/>
      <c r="K1907"/>
    </row>
    <row r="1908" spans="6:11" x14ac:dyDescent="0.2">
      <c r="F1908" s="163"/>
      <c r="K1908"/>
    </row>
    <row r="1909" spans="6:11" x14ac:dyDescent="0.2">
      <c r="F1909" s="163"/>
      <c r="K1909"/>
    </row>
    <row r="1910" spans="6:11" x14ac:dyDescent="0.2">
      <c r="F1910" s="163"/>
      <c r="K1910"/>
    </row>
    <row r="1911" spans="6:11" x14ac:dyDescent="0.2">
      <c r="F1911" s="163"/>
      <c r="K1911"/>
    </row>
    <row r="1912" spans="6:11" x14ac:dyDescent="0.2">
      <c r="F1912" s="163"/>
      <c r="K1912"/>
    </row>
    <row r="1913" spans="6:11" x14ac:dyDescent="0.2">
      <c r="F1913" s="163"/>
      <c r="K1913"/>
    </row>
    <row r="1914" spans="6:11" x14ac:dyDescent="0.2">
      <c r="F1914" s="163"/>
      <c r="K1914"/>
    </row>
    <row r="1915" spans="6:11" x14ac:dyDescent="0.2">
      <c r="F1915" s="163"/>
      <c r="K1915"/>
    </row>
    <row r="1916" spans="6:11" x14ac:dyDescent="0.2">
      <c r="F1916" s="163"/>
      <c r="K1916"/>
    </row>
    <row r="1917" spans="6:11" x14ac:dyDescent="0.2">
      <c r="F1917" s="163"/>
      <c r="K1917"/>
    </row>
    <row r="1918" spans="6:11" x14ac:dyDescent="0.2">
      <c r="F1918" s="163"/>
      <c r="K1918"/>
    </row>
    <row r="1919" spans="6:11" x14ac:dyDescent="0.2">
      <c r="F1919" s="163"/>
      <c r="K1919"/>
    </row>
    <row r="1920" spans="6:11" x14ac:dyDescent="0.2">
      <c r="F1920" s="163"/>
      <c r="K1920"/>
    </row>
    <row r="1921" spans="6:11" x14ac:dyDescent="0.2">
      <c r="F1921" s="163"/>
      <c r="K1921"/>
    </row>
    <row r="1922" spans="6:11" x14ac:dyDescent="0.2">
      <c r="F1922" s="163"/>
      <c r="K1922"/>
    </row>
    <row r="1923" spans="6:11" x14ac:dyDescent="0.2">
      <c r="F1923" s="163"/>
      <c r="K1923"/>
    </row>
    <row r="1924" spans="6:11" x14ac:dyDescent="0.2">
      <c r="F1924" s="163"/>
      <c r="K1924"/>
    </row>
    <row r="1925" spans="6:11" x14ac:dyDescent="0.2">
      <c r="F1925" s="163"/>
      <c r="K1925"/>
    </row>
    <row r="1926" spans="6:11" x14ac:dyDescent="0.2">
      <c r="F1926" s="163"/>
      <c r="K1926"/>
    </row>
    <row r="1927" spans="6:11" x14ac:dyDescent="0.2">
      <c r="F1927" s="163"/>
      <c r="K1927"/>
    </row>
    <row r="1928" spans="6:11" x14ac:dyDescent="0.2">
      <c r="F1928" s="163"/>
      <c r="K1928"/>
    </row>
    <row r="1929" spans="6:11" x14ac:dyDescent="0.2">
      <c r="F1929" s="163"/>
      <c r="K1929"/>
    </row>
    <row r="1930" spans="6:11" x14ac:dyDescent="0.2">
      <c r="F1930" s="163"/>
      <c r="K1930"/>
    </row>
    <row r="1931" spans="6:11" x14ac:dyDescent="0.2">
      <c r="F1931" s="163"/>
      <c r="K1931"/>
    </row>
    <row r="1932" spans="6:11" x14ac:dyDescent="0.2">
      <c r="F1932" s="163"/>
      <c r="K1932"/>
    </row>
    <row r="1933" spans="6:11" x14ac:dyDescent="0.2">
      <c r="F1933" s="163"/>
      <c r="K1933"/>
    </row>
    <row r="1934" spans="6:11" x14ac:dyDescent="0.2">
      <c r="F1934" s="163"/>
      <c r="K1934"/>
    </row>
    <row r="1935" spans="6:11" x14ac:dyDescent="0.2">
      <c r="F1935" s="163"/>
      <c r="K1935"/>
    </row>
    <row r="1936" spans="6:11" x14ac:dyDescent="0.2">
      <c r="F1936" s="163"/>
      <c r="K1936"/>
    </row>
    <row r="1937" spans="6:11" x14ac:dyDescent="0.2">
      <c r="F1937" s="163"/>
      <c r="K1937"/>
    </row>
    <row r="1938" spans="6:11" x14ac:dyDescent="0.2">
      <c r="F1938" s="163"/>
      <c r="K1938"/>
    </row>
    <row r="1939" spans="6:11" x14ac:dyDescent="0.2">
      <c r="F1939" s="163"/>
      <c r="K1939"/>
    </row>
    <row r="1940" spans="6:11" x14ac:dyDescent="0.2">
      <c r="F1940" s="163"/>
      <c r="K1940"/>
    </row>
    <row r="1941" spans="6:11" x14ac:dyDescent="0.2">
      <c r="F1941" s="163"/>
      <c r="K1941"/>
    </row>
    <row r="1942" spans="6:11" x14ac:dyDescent="0.2">
      <c r="F1942" s="163"/>
      <c r="K1942"/>
    </row>
    <row r="1943" spans="6:11" x14ac:dyDescent="0.2">
      <c r="F1943" s="163"/>
      <c r="K1943"/>
    </row>
    <row r="1944" spans="6:11" x14ac:dyDescent="0.2">
      <c r="F1944" s="163"/>
      <c r="K1944"/>
    </row>
    <row r="1945" spans="6:11" x14ac:dyDescent="0.2">
      <c r="F1945" s="163"/>
      <c r="K1945"/>
    </row>
    <row r="1946" spans="6:11" x14ac:dyDescent="0.2">
      <c r="F1946" s="163"/>
      <c r="K1946"/>
    </row>
    <row r="1947" spans="6:11" x14ac:dyDescent="0.2">
      <c r="F1947" s="163"/>
      <c r="K1947"/>
    </row>
    <row r="1948" spans="6:11" x14ac:dyDescent="0.2">
      <c r="F1948" s="163"/>
      <c r="K1948"/>
    </row>
    <row r="1949" spans="6:11" x14ac:dyDescent="0.2">
      <c r="F1949" s="163"/>
      <c r="K1949"/>
    </row>
    <row r="1950" spans="6:11" x14ac:dyDescent="0.2">
      <c r="F1950" s="163"/>
      <c r="K1950"/>
    </row>
    <row r="1951" spans="6:11" x14ac:dyDescent="0.2">
      <c r="F1951" s="163"/>
      <c r="K1951"/>
    </row>
    <row r="1952" spans="6:11" x14ac:dyDescent="0.2">
      <c r="F1952" s="163"/>
      <c r="K1952"/>
    </row>
    <row r="1953" spans="6:11" x14ac:dyDescent="0.2">
      <c r="F1953" s="163"/>
      <c r="K1953"/>
    </row>
    <row r="1954" spans="6:11" x14ac:dyDescent="0.2">
      <c r="F1954" s="163"/>
      <c r="K1954"/>
    </row>
    <row r="1955" spans="6:11" x14ac:dyDescent="0.2">
      <c r="F1955" s="163"/>
      <c r="K1955"/>
    </row>
    <row r="1956" spans="6:11" x14ac:dyDescent="0.2">
      <c r="F1956" s="163"/>
      <c r="K1956"/>
    </row>
    <row r="1957" spans="6:11" x14ac:dyDescent="0.2">
      <c r="F1957" s="163"/>
      <c r="K1957"/>
    </row>
    <row r="1958" spans="6:11" x14ac:dyDescent="0.2">
      <c r="F1958" s="163"/>
      <c r="K1958"/>
    </row>
    <row r="1959" spans="6:11" x14ac:dyDescent="0.2">
      <c r="F1959" s="163"/>
      <c r="K1959"/>
    </row>
    <row r="1960" spans="6:11" x14ac:dyDescent="0.2">
      <c r="F1960" s="163"/>
      <c r="K1960"/>
    </row>
    <row r="1961" spans="6:11" x14ac:dyDescent="0.2">
      <c r="F1961" s="163"/>
      <c r="K1961"/>
    </row>
    <row r="1962" spans="6:11" x14ac:dyDescent="0.2">
      <c r="F1962" s="163"/>
      <c r="K1962"/>
    </row>
    <row r="1963" spans="6:11" x14ac:dyDescent="0.2">
      <c r="F1963" s="163"/>
      <c r="K1963"/>
    </row>
    <row r="1964" spans="6:11" x14ac:dyDescent="0.2">
      <c r="F1964" s="163"/>
      <c r="K1964"/>
    </row>
    <row r="1965" spans="6:11" x14ac:dyDescent="0.2">
      <c r="F1965" s="163"/>
      <c r="K1965"/>
    </row>
    <row r="1966" spans="6:11" x14ac:dyDescent="0.2">
      <c r="F1966" s="163"/>
      <c r="K1966"/>
    </row>
    <row r="1967" spans="6:11" x14ac:dyDescent="0.2">
      <c r="F1967" s="163"/>
      <c r="K1967"/>
    </row>
    <row r="1968" spans="6:11" x14ac:dyDescent="0.2">
      <c r="F1968" s="163"/>
      <c r="K1968"/>
    </row>
    <row r="1969" spans="6:11" x14ac:dyDescent="0.2">
      <c r="F1969" s="163"/>
      <c r="K1969"/>
    </row>
    <row r="1970" spans="6:11" x14ac:dyDescent="0.2">
      <c r="F1970" s="163"/>
      <c r="K1970"/>
    </row>
    <row r="1971" spans="6:11" x14ac:dyDescent="0.2">
      <c r="F1971" s="163"/>
      <c r="K1971"/>
    </row>
    <row r="1972" spans="6:11" x14ac:dyDescent="0.2">
      <c r="F1972" s="163"/>
      <c r="K1972"/>
    </row>
    <row r="1973" spans="6:11" x14ac:dyDescent="0.2">
      <c r="F1973" s="163"/>
      <c r="K1973"/>
    </row>
    <row r="1974" spans="6:11" x14ac:dyDescent="0.2">
      <c r="F1974" s="163"/>
      <c r="K1974"/>
    </row>
    <row r="1975" spans="6:11" x14ac:dyDescent="0.2">
      <c r="F1975" s="163"/>
      <c r="K1975"/>
    </row>
    <row r="1976" spans="6:11" x14ac:dyDescent="0.2">
      <c r="F1976" s="163"/>
      <c r="K1976"/>
    </row>
    <row r="1977" spans="6:11" x14ac:dyDescent="0.2">
      <c r="F1977" s="163"/>
      <c r="K1977"/>
    </row>
    <row r="1978" spans="6:11" x14ac:dyDescent="0.2">
      <c r="F1978" s="163"/>
      <c r="K1978"/>
    </row>
    <row r="1979" spans="6:11" x14ac:dyDescent="0.2">
      <c r="F1979" s="163"/>
      <c r="K1979"/>
    </row>
    <row r="1980" spans="6:11" x14ac:dyDescent="0.2">
      <c r="F1980" s="163"/>
      <c r="K1980"/>
    </row>
    <row r="1981" spans="6:11" x14ac:dyDescent="0.2">
      <c r="F1981" s="163"/>
      <c r="K1981"/>
    </row>
    <row r="1982" spans="6:11" x14ac:dyDescent="0.2">
      <c r="F1982" s="163"/>
      <c r="K1982"/>
    </row>
    <row r="1983" spans="6:11" x14ac:dyDescent="0.2">
      <c r="F1983" s="163"/>
      <c r="K1983"/>
    </row>
    <row r="1984" spans="6:11" x14ac:dyDescent="0.2">
      <c r="F1984" s="163"/>
      <c r="K1984"/>
    </row>
    <row r="1985" spans="6:11" x14ac:dyDescent="0.2">
      <c r="F1985" s="163"/>
      <c r="K1985"/>
    </row>
    <row r="1986" spans="6:11" x14ac:dyDescent="0.2">
      <c r="F1986" s="163"/>
      <c r="K1986"/>
    </row>
    <row r="1987" spans="6:11" x14ac:dyDescent="0.2">
      <c r="F1987" s="163"/>
      <c r="K1987"/>
    </row>
    <row r="1988" spans="6:11" x14ac:dyDescent="0.2">
      <c r="F1988" s="163"/>
      <c r="K1988"/>
    </row>
    <row r="1989" spans="6:11" x14ac:dyDescent="0.2">
      <c r="F1989" s="163"/>
      <c r="K1989"/>
    </row>
    <row r="1990" spans="6:11" x14ac:dyDescent="0.2">
      <c r="F1990" s="163"/>
      <c r="K1990"/>
    </row>
    <row r="1991" spans="6:11" x14ac:dyDescent="0.2">
      <c r="F1991" s="163"/>
      <c r="K1991"/>
    </row>
    <row r="1992" spans="6:11" x14ac:dyDescent="0.2">
      <c r="F1992" s="163"/>
      <c r="K1992"/>
    </row>
    <row r="1993" spans="6:11" x14ac:dyDescent="0.2">
      <c r="F1993" s="163"/>
      <c r="K1993"/>
    </row>
    <row r="1994" spans="6:11" x14ac:dyDescent="0.2">
      <c r="F1994" s="163"/>
      <c r="K1994"/>
    </row>
    <row r="1995" spans="6:11" x14ac:dyDescent="0.2">
      <c r="F1995" s="163"/>
      <c r="K1995"/>
    </row>
    <row r="1996" spans="6:11" x14ac:dyDescent="0.2">
      <c r="F1996" s="163"/>
      <c r="K1996"/>
    </row>
    <row r="1997" spans="6:11" x14ac:dyDescent="0.2">
      <c r="F1997" s="163"/>
      <c r="K1997"/>
    </row>
    <row r="1998" spans="6:11" x14ac:dyDescent="0.2">
      <c r="F1998" s="163"/>
      <c r="K1998"/>
    </row>
    <row r="1999" spans="6:11" x14ac:dyDescent="0.2">
      <c r="F1999" s="163"/>
      <c r="K1999"/>
    </row>
    <row r="2000" spans="6:11" x14ac:dyDescent="0.2">
      <c r="F2000" s="163"/>
      <c r="K2000"/>
    </row>
    <row r="2001" spans="6:11" x14ac:dyDescent="0.2">
      <c r="F2001" s="163"/>
      <c r="K2001"/>
    </row>
    <row r="2002" spans="6:11" x14ac:dyDescent="0.2">
      <c r="F2002" s="163"/>
      <c r="K2002"/>
    </row>
    <row r="2003" spans="6:11" x14ac:dyDescent="0.2">
      <c r="F2003" s="163"/>
      <c r="K2003"/>
    </row>
    <row r="2004" spans="6:11" x14ac:dyDescent="0.2">
      <c r="F2004" s="163"/>
      <c r="K2004"/>
    </row>
    <row r="2005" spans="6:11" x14ac:dyDescent="0.2">
      <c r="F2005" s="163"/>
      <c r="K2005"/>
    </row>
    <row r="2006" spans="6:11" x14ac:dyDescent="0.2">
      <c r="F2006" s="163"/>
      <c r="K2006"/>
    </row>
    <row r="2007" spans="6:11" x14ac:dyDescent="0.2">
      <c r="F2007" s="163"/>
      <c r="K2007"/>
    </row>
    <row r="2008" spans="6:11" x14ac:dyDescent="0.2">
      <c r="F2008" s="163"/>
      <c r="K2008"/>
    </row>
    <row r="2009" spans="6:11" x14ac:dyDescent="0.2">
      <c r="F2009" s="163"/>
      <c r="K2009"/>
    </row>
    <row r="2010" spans="6:11" x14ac:dyDescent="0.2">
      <c r="F2010" s="163"/>
      <c r="K2010"/>
    </row>
    <row r="2011" spans="6:11" x14ac:dyDescent="0.2">
      <c r="F2011" s="163"/>
      <c r="K2011"/>
    </row>
    <row r="2012" spans="6:11" x14ac:dyDescent="0.2">
      <c r="F2012" s="163"/>
      <c r="K2012"/>
    </row>
    <row r="2013" spans="6:11" x14ac:dyDescent="0.2">
      <c r="F2013" s="163"/>
      <c r="K2013"/>
    </row>
    <row r="2014" spans="6:11" x14ac:dyDescent="0.2">
      <c r="F2014" s="163"/>
      <c r="K2014"/>
    </row>
    <row r="2015" spans="6:11" x14ac:dyDescent="0.2">
      <c r="F2015" s="163"/>
      <c r="K2015"/>
    </row>
    <row r="2016" spans="6:11" x14ac:dyDescent="0.2">
      <c r="F2016" s="163"/>
      <c r="K2016"/>
    </row>
    <row r="2017" spans="6:11" x14ac:dyDescent="0.2">
      <c r="F2017" s="163"/>
      <c r="K2017"/>
    </row>
    <row r="2018" spans="6:11" x14ac:dyDescent="0.2">
      <c r="F2018" s="163"/>
      <c r="K2018"/>
    </row>
    <row r="2019" spans="6:11" x14ac:dyDescent="0.2">
      <c r="F2019" s="163"/>
      <c r="K2019"/>
    </row>
    <row r="2020" spans="6:11" x14ac:dyDescent="0.2">
      <c r="F2020" s="163"/>
      <c r="K2020"/>
    </row>
    <row r="2021" spans="6:11" x14ac:dyDescent="0.2">
      <c r="F2021" s="163"/>
      <c r="K2021"/>
    </row>
    <row r="2022" spans="6:11" x14ac:dyDescent="0.2">
      <c r="F2022" s="163"/>
      <c r="K2022"/>
    </row>
    <row r="2023" spans="6:11" x14ac:dyDescent="0.2">
      <c r="F2023" s="163"/>
      <c r="K2023"/>
    </row>
    <row r="2024" spans="6:11" x14ac:dyDescent="0.2">
      <c r="F2024" s="163"/>
      <c r="K2024"/>
    </row>
    <row r="2025" spans="6:11" x14ac:dyDescent="0.2">
      <c r="F2025" s="163"/>
      <c r="K2025"/>
    </row>
    <row r="2026" spans="6:11" x14ac:dyDescent="0.2">
      <c r="F2026" s="163"/>
      <c r="K2026"/>
    </row>
    <row r="2027" spans="6:11" x14ac:dyDescent="0.2">
      <c r="F2027" s="163"/>
      <c r="K2027"/>
    </row>
    <row r="2028" spans="6:11" x14ac:dyDescent="0.2">
      <c r="F2028" s="163"/>
      <c r="K2028"/>
    </row>
    <row r="2029" spans="6:11" x14ac:dyDescent="0.2">
      <c r="F2029" s="163"/>
      <c r="K2029"/>
    </row>
    <row r="2030" spans="6:11" x14ac:dyDescent="0.2">
      <c r="F2030" s="163"/>
      <c r="K2030"/>
    </row>
    <row r="2031" spans="6:11" x14ac:dyDescent="0.2">
      <c r="F2031" s="163"/>
      <c r="K2031"/>
    </row>
    <row r="2032" spans="6:11" x14ac:dyDescent="0.2">
      <c r="F2032" s="163"/>
      <c r="K2032"/>
    </row>
    <row r="2033" spans="6:11" x14ac:dyDescent="0.2">
      <c r="F2033" s="163"/>
      <c r="K2033"/>
    </row>
    <row r="2034" spans="6:11" x14ac:dyDescent="0.2">
      <c r="F2034" s="163"/>
      <c r="K2034"/>
    </row>
    <row r="2035" spans="6:11" x14ac:dyDescent="0.2">
      <c r="F2035" s="163"/>
      <c r="K2035"/>
    </row>
    <row r="2036" spans="6:11" x14ac:dyDescent="0.2">
      <c r="F2036" s="163"/>
      <c r="K2036"/>
    </row>
    <row r="2037" spans="6:11" x14ac:dyDescent="0.2">
      <c r="F2037" s="163"/>
      <c r="K2037"/>
    </row>
    <row r="2038" spans="6:11" x14ac:dyDescent="0.2">
      <c r="F2038" s="163"/>
      <c r="K2038"/>
    </row>
    <row r="2039" spans="6:11" x14ac:dyDescent="0.2">
      <c r="F2039" s="163"/>
      <c r="K2039"/>
    </row>
    <row r="2040" spans="6:11" x14ac:dyDescent="0.2">
      <c r="F2040" s="163"/>
      <c r="K2040"/>
    </row>
    <row r="2041" spans="6:11" x14ac:dyDescent="0.2">
      <c r="F2041" s="163"/>
      <c r="K2041"/>
    </row>
    <row r="2042" spans="6:11" x14ac:dyDescent="0.2">
      <c r="F2042" s="163"/>
      <c r="K2042"/>
    </row>
    <row r="2043" spans="6:11" x14ac:dyDescent="0.2">
      <c r="F2043" s="163"/>
      <c r="K2043"/>
    </row>
    <row r="2044" spans="6:11" x14ac:dyDescent="0.2">
      <c r="F2044" s="163"/>
      <c r="K2044"/>
    </row>
    <row r="2045" spans="6:11" x14ac:dyDescent="0.2">
      <c r="F2045" s="163"/>
      <c r="K2045"/>
    </row>
    <row r="2046" spans="6:11" x14ac:dyDescent="0.2">
      <c r="F2046" s="163"/>
      <c r="K2046"/>
    </row>
    <row r="2047" spans="6:11" x14ac:dyDescent="0.2">
      <c r="F2047" s="163"/>
      <c r="K2047"/>
    </row>
    <row r="2048" spans="6:11" x14ac:dyDescent="0.2">
      <c r="F2048" s="163"/>
      <c r="K2048"/>
    </row>
    <row r="2049" spans="6:11" x14ac:dyDescent="0.2">
      <c r="F2049" s="163"/>
      <c r="K2049"/>
    </row>
    <row r="2050" spans="6:11" x14ac:dyDescent="0.2">
      <c r="F2050" s="163"/>
      <c r="K2050"/>
    </row>
    <row r="2051" spans="6:11" x14ac:dyDescent="0.2">
      <c r="F2051" s="163"/>
      <c r="K2051"/>
    </row>
    <row r="2052" spans="6:11" x14ac:dyDescent="0.2">
      <c r="F2052" s="163"/>
      <c r="K2052"/>
    </row>
    <row r="2053" spans="6:11" x14ac:dyDescent="0.2">
      <c r="F2053" s="163"/>
      <c r="K2053"/>
    </row>
    <row r="2054" spans="6:11" x14ac:dyDescent="0.2">
      <c r="F2054" s="163"/>
      <c r="K2054"/>
    </row>
    <row r="2055" spans="6:11" x14ac:dyDescent="0.2">
      <c r="F2055" s="163"/>
      <c r="K2055"/>
    </row>
    <row r="2056" spans="6:11" x14ac:dyDescent="0.2">
      <c r="F2056" s="163"/>
      <c r="K2056"/>
    </row>
    <row r="2057" spans="6:11" x14ac:dyDescent="0.2">
      <c r="F2057" s="163"/>
      <c r="K2057"/>
    </row>
    <row r="2058" spans="6:11" x14ac:dyDescent="0.2">
      <c r="F2058" s="163"/>
      <c r="K2058"/>
    </row>
    <row r="2059" spans="6:11" x14ac:dyDescent="0.2">
      <c r="F2059" s="163"/>
      <c r="K2059"/>
    </row>
    <row r="2060" spans="6:11" x14ac:dyDescent="0.2">
      <c r="F2060" s="163"/>
      <c r="K2060"/>
    </row>
    <row r="2061" spans="6:11" x14ac:dyDescent="0.2">
      <c r="F2061" s="163"/>
      <c r="K2061"/>
    </row>
    <row r="2062" spans="6:11" x14ac:dyDescent="0.2">
      <c r="F2062" s="163"/>
      <c r="K2062"/>
    </row>
    <row r="2063" spans="6:11" x14ac:dyDescent="0.2">
      <c r="F2063" s="163"/>
      <c r="K2063"/>
    </row>
    <row r="2064" spans="6:11" x14ac:dyDescent="0.2">
      <c r="F2064" s="163"/>
      <c r="K2064"/>
    </row>
    <row r="2065" spans="6:11" x14ac:dyDescent="0.2">
      <c r="F2065" s="163"/>
      <c r="K2065"/>
    </row>
    <row r="2066" spans="6:11" x14ac:dyDescent="0.2">
      <c r="F2066" s="163"/>
      <c r="K2066"/>
    </row>
    <row r="2067" spans="6:11" x14ac:dyDescent="0.2">
      <c r="F2067" s="163"/>
      <c r="K2067"/>
    </row>
    <row r="2068" spans="6:11" x14ac:dyDescent="0.2">
      <c r="F2068" s="163"/>
      <c r="K2068"/>
    </row>
    <row r="2069" spans="6:11" x14ac:dyDescent="0.2">
      <c r="F2069" s="163"/>
      <c r="K2069"/>
    </row>
    <row r="2070" spans="6:11" x14ac:dyDescent="0.2">
      <c r="F2070" s="163"/>
      <c r="K2070"/>
    </row>
    <row r="2071" spans="6:11" x14ac:dyDescent="0.2">
      <c r="F2071" s="163"/>
      <c r="K2071"/>
    </row>
    <row r="2072" spans="6:11" x14ac:dyDescent="0.2">
      <c r="F2072" s="163"/>
      <c r="K2072"/>
    </row>
    <row r="2073" spans="6:11" x14ac:dyDescent="0.2">
      <c r="F2073" s="163"/>
      <c r="K2073"/>
    </row>
    <row r="2074" spans="6:11" x14ac:dyDescent="0.2">
      <c r="F2074" s="163"/>
      <c r="K2074"/>
    </row>
    <row r="2075" spans="6:11" x14ac:dyDescent="0.2">
      <c r="F2075" s="163"/>
      <c r="K2075"/>
    </row>
    <row r="2076" spans="6:11" x14ac:dyDescent="0.2">
      <c r="F2076" s="163"/>
      <c r="K2076"/>
    </row>
    <row r="2077" spans="6:11" x14ac:dyDescent="0.2">
      <c r="F2077" s="163"/>
      <c r="K2077"/>
    </row>
    <row r="2078" spans="6:11" x14ac:dyDescent="0.2">
      <c r="F2078" s="163"/>
      <c r="K2078"/>
    </row>
    <row r="2079" spans="6:11" x14ac:dyDescent="0.2">
      <c r="F2079" s="163"/>
      <c r="K2079"/>
    </row>
    <row r="2080" spans="6:11" x14ac:dyDescent="0.2">
      <c r="F2080" s="163"/>
      <c r="K2080"/>
    </row>
    <row r="2081" spans="6:11" x14ac:dyDescent="0.2">
      <c r="F2081" s="163"/>
      <c r="K2081"/>
    </row>
    <row r="2082" spans="6:11" x14ac:dyDescent="0.2">
      <c r="F2082" s="163"/>
      <c r="K2082"/>
    </row>
    <row r="2083" spans="6:11" x14ac:dyDescent="0.2">
      <c r="F2083" s="163"/>
      <c r="K2083"/>
    </row>
    <row r="2084" spans="6:11" x14ac:dyDescent="0.2">
      <c r="F2084" s="163"/>
      <c r="K2084"/>
    </row>
    <row r="2085" spans="6:11" x14ac:dyDescent="0.2">
      <c r="F2085" s="163"/>
      <c r="K2085"/>
    </row>
    <row r="2086" spans="6:11" x14ac:dyDescent="0.2">
      <c r="F2086" s="163"/>
      <c r="K2086"/>
    </row>
    <row r="2087" spans="6:11" x14ac:dyDescent="0.2">
      <c r="F2087" s="163"/>
      <c r="K2087"/>
    </row>
    <row r="2088" spans="6:11" x14ac:dyDescent="0.2">
      <c r="F2088" s="163"/>
      <c r="K2088"/>
    </row>
    <row r="2089" spans="6:11" x14ac:dyDescent="0.2">
      <c r="F2089" s="163"/>
      <c r="K2089"/>
    </row>
    <row r="2090" spans="6:11" x14ac:dyDescent="0.2">
      <c r="F2090" s="163"/>
      <c r="K2090"/>
    </row>
    <row r="2091" spans="6:11" x14ac:dyDescent="0.2">
      <c r="F2091" s="163"/>
      <c r="K2091"/>
    </row>
    <row r="2092" spans="6:11" x14ac:dyDescent="0.2">
      <c r="F2092" s="163"/>
      <c r="K2092"/>
    </row>
    <row r="2093" spans="6:11" x14ac:dyDescent="0.2">
      <c r="F2093" s="163"/>
      <c r="K2093"/>
    </row>
    <row r="2094" spans="6:11" x14ac:dyDescent="0.2">
      <c r="F2094" s="163"/>
      <c r="K2094"/>
    </row>
    <row r="2095" spans="6:11" x14ac:dyDescent="0.2">
      <c r="F2095" s="163"/>
      <c r="K2095"/>
    </row>
    <row r="2096" spans="6:11" x14ac:dyDescent="0.2">
      <c r="F2096" s="163"/>
      <c r="K2096"/>
    </row>
    <row r="2097" spans="6:11" x14ac:dyDescent="0.2">
      <c r="F2097" s="163"/>
      <c r="K2097"/>
    </row>
    <row r="2098" spans="6:11" x14ac:dyDescent="0.2">
      <c r="F2098" s="163"/>
      <c r="K2098"/>
    </row>
    <row r="2099" spans="6:11" x14ac:dyDescent="0.2">
      <c r="F2099" s="163"/>
      <c r="K2099"/>
    </row>
    <row r="2100" spans="6:11" x14ac:dyDescent="0.2">
      <c r="F2100" s="163"/>
      <c r="K2100"/>
    </row>
    <row r="2101" spans="6:11" x14ac:dyDescent="0.2">
      <c r="F2101" s="163"/>
      <c r="K2101"/>
    </row>
    <row r="2102" spans="6:11" x14ac:dyDescent="0.2">
      <c r="F2102" s="163"/>
      <c r="K2102"/>
    </row>
    <row r="2103" spans="6:11" x14ac:dyDescent="0.2">
      <c r="F2103" s="163"/>
      <c r="K2103"/>
    </row>
    <row r="2104" spans="6:11" x14ac:dyDescent="0.2">
      <c r="F2104" s="163"/>
      <c r="K2104"/>
    </row>
    <row r="2105" spans="6:11" x14ac:dyDescent="0.2">
      <c r="F2105" s="163"/>
      <c r="K2105"/>
    </row>
    <row r="2106" spans="6:11" x14ac:dyDescent="0.2">
      <c r="F2106" s="163"/>
      <c r="K2106"/>
    </row>
    <row r="2107" spans="6:11" x14ac:dyDescent="0.2">
      <c r="F2107" s="163"/>
      <c r="K2107"/>
    </row>
    <row r="2108" spans="6:11" x14ac:dyDescent="0.2">
      <c r="F2108" s="163"/>
      <c r="K2108"/>
    </row>
    <row r="2109" spans="6:11" x14ac:dyDescent="0.2">
      <c r="F2109" s="163"/>
      <c r="K2109"/>
    </row>
    <row r="2110" spans="6:11" x14ac:dyDescent="0.2">
      <c r="F2110" s="163"/>
      <c r="K2110"/>
    </row>
    <row r="2111" spans="6:11" x14ac:dyDescent="0.2">
      <c r="F2111" s="163"/>
      <c r="K2111"/>
    </row>
    <row r="2112" spans="6:11" x14ac:dyDescent="0.2">
      <c r="F2112" s="163"/>
      <c r="K2112"/>
    </row>
    <row r="2113" spans="6:11" x14ac:dyDescent="0.2">
      <c r="F2113" s="163"/>
      <c r="K2113"/>
    </row>
    <row r="2114" spans="6:11" x14ac:dyDescent="0.2">
      <c r="F2114" s="163"/>
      <c r="K2114"/>
    </row>
    <row r="2115" spans="6:11" x14ac:dyDescent="0.2">
      <c r="F2115" s="163"/>
      <c r="K2115"/>
    </row>
    <row r="2116" spans="6:11" x14ac:dyDescent="0.2">
      <c r="F2116" s="163"/>
      <c r="K2116"/>
    </row>
    <row r="2117" spans="6:11" x14ac:dyDescent="0.2">
      <c r="F2117" s="163"/>
      <c r="K2117"/>
    </row>
    <row r="2118" spans="6:11" x14ac:dyDescent="0.2">
      <c r="F2118" s="163"/>
      <c r="K2118"/>
    </row>
    <row r="2119" spans="6:11" x14ac:dyDescent="0.2">
      <c r="F2119" s="163"/>
      <c r="K2119"/>
    </row>
    <row r="2120" spans="6:11" x14ac:dyDescent="0.2">
      <c r="F2120" s="163"/>
      <c r="K2120"/>
    </row>
    <row r="2121" spans="6:11" x14ac:dyDescent="0.2">
      <c r="F2121" s="163"/>
      <c r="K2121"/>
    </row>
    <row r="2122" spans="6:11" x14ac:dyDescent="0.2">
      <c r="F2122" s="163"/>
      <c r="K2122"/>
    </row>
    <row r="2123" spans="6:11" x14ac:dyDescent="0.2">
      <c r="F2123" s="163"/>
      <c r="K2123"/>
    </row>
    <row r="2124" spans="6:11" x14ac:dyDescent="0.2">
      <c r="F2124" s="163"/>
      <c r="K2124"/>
    </row>
    <row r="2125" spans="6:11" x14ac:dyDescent="0.2">
      <c r="F2125" s="163"/>
      <c r="K2125"/>
    </row>
    <row r="2126" spans="6:11" x14ac:dyDescent="0.2">
      <c r="F2126" s="163"/>
      <c r="K2126"/>
    </row>
    <row r="2127" spans="6:11" x14ac:dyDescent="0.2">
      <c r="F2127" s="163"/>
      <c r="K2127"/>
    </row>
    <row r="2128" spans="6:11" x14ac:dyDescent="0.2">
      <c r="F2128" s="163"/>
      <c r="K2128"/>
    </row>
    <row r="2129" spans="6:11" x14ac:dyDescent="0.2">
      <c r="F2129" s="163"/>
      <c r="K2129"/>
    </row>
    <row r="2130" spans="6:11" x14ac:dyDescent="0.2">
      <c r="F2130" s="163"/>
      <c r="K2130"/>
    </row>
    <row r="2131" spans="6:11" x14ac:dyDescent="0.2">
      <c r="F2131" s="163"/>
      <c r="K2131"/>
    </row>
    <row r="2132" spans="6:11" x14ac:dyDescent="0.2">
      <c r="F2132" s="163"/>
      <c r="K2132"/>
    </row>
    <row r="2133" spans="6:11" x14ac:dyDescent="0.2">
      <c r="F2133" s="163"/>
      <c r="K2133"/>
    </row>
    <row r="2134" spans="6:11" x14ac:dyDescent="0.2">
      <c r="F2134" s="163"/>
      <c r="K2134"/>
    </row>
    <row r="2135" spans="6:11" x14ac:dyDescent="0.2">
      <c r="F2135" s="163"/>
      <c r="K2135"/>
    </row>
    <row r="2136" spans="6:11" x14ac:dyDescent="0.2">
      <c r="F2136" s="163"/>
      <c r="K2136"/>
    </row>
    <row r="2137" spans="6:11" x14ac:dyDescent="0.2">
      <c r="F2137" s="163"/>
      <c r="K2137"/>
    </row>
    <row r="2138" spans="6:11" x14ac:dyDescent="0.2">
      <c r="F2138" s="163"/>
      <c r="K2138"/>
    </row>
    <row r="2139" spans="6:11" x14ac:dyDescent="0.2">
      <c r="F2139" s="163"/>
      <c r="K2139"/>
    </row>
    <row r="2140" spans="6:11" x14ac:dyDescent="0.2">
      <c r="F2140" s="163"/>
      <c r="K2140"/>
    </row>
    <row r="2141" spans="6:11" x14ac:dyDescent="0.2">
      <c r="F2141" s="163"/>
      <c r="K2141"/>
    </row>
    <row r="2142" spans="6:11" x14ac:dyDescent="0.2">
      <c r="F2142" s="163"/>
      <c r="K2142"/>
    </row>
    <row r="2143" spans="6:11" x14ac:dyDescent="0.2">
      <c r="F2143" s="163"/>
      <c r="K2143"/>
    </row>
    <row r="2144" spans="6:11" x14ac:dyDescent="0.2">
      <c r="F2144" s="163"/>
      <c r="K2144"/>
    </row>
    <row r="2145" spans="6:11" x14ac:dyDescent="0.2">
      <c r="F2145" s="163"/>
      <c r="K2145"/>
    </row>
    <row r="2146" spans="6:11" x14ac:dyDescent="0.2">
      <c r="F2146" s="163"/>
      <c r="K2146"/>
    </row>
    <row r="2147" spans="6:11" x14ac:dyDescent="0.2">
      <c r="F2147" s="163"/>
      <c r="K2147"/>
    </row>
    <row r="2148" spans="6:11" x14ac:dyDescent="0.2">
      <c r="F2148" s="163"/>
      <c r="K2148"/>
    </row>
    <row r="2149" spans="6:11" x14ac:dyDescent="0.2">
      <c r="F2149" s="163"/>
      <c r="K2149"/>
    </row>
    <row r="2150" spans="6:11" x14ac:dyDescent="0.2">
      <c r="F2150" s="163"/>
      <c r="K2150"/>
    </row>
    <row r="2151" spans="6:11" x14ac:dyDescent="0.2">
      <c r="F2151" s="163"/>
      <c r="K2151"/>
    </row>
    <row r="2152" spans="6:11" x14ac:dyDescent="0.2">
      <c r="F2152" s="163"/>
      <c r="K2152"/>
    </row>
    <row r="2153" spans="6:11" x14ac:dyDescent="0.2">
      <c r="F2153" s="163"/>
      <c r="K2153"/>
    </row>
    <row r="2154" spans="6:11" x14ac:dyDescent="0.2">
      <c r="F2154" s="163"/>
      <c r="K2154"/>
    </row>
    <row r="2155" spans="6:11" x14ac:dyDescent="0.2">
      <c r="F2155" s="163"/>
      <c r="K2155"/>
    </row>
    <row r="2156" spans="6:11" x14ac:dyDescent="0.2">
      <c r="F2156" s="163"/>
      <c r="K2156"/>
    </row>
    <row r="2157" spans="6:11" x14ac:dyDescent="0.2">
      <c r="F2157" s="163"/>
      <c r="K2157"/>
    </row>
    <row r="2158" spans="6:11" x14ac:dyDescent="0.2">
      <c r="F2158" s="163"/>
      <c r="K2158"/>
    </row>
    <row r="2159" spans="6:11" x14ac:dyDescent="0.2">
      <c r="F2159" s="163"/>
      <c r="K2159"/>
    </row>
    <row r="2160" spans="6:11" x14ac:dyDescent="0.2">
      <c r="F2160" s="163"/>
      <c r="K2160"/>
    </row>
    <row r="2161" spans="6:11" x14ac:dyDescent="0.2">
      <c r="F2161" s="163"/>
      <c r="K2161"/>
    </row>
    <row r="2162" spans="6:11" x14ac:dyDescent="0.2">
      <c r="F2162" s="163"/>
      <c r="K2162"/>
    </row>
    <row r="2163" spans="6:11" x14ac:dyDescent="0.2">
      <c r="F2163" s="163"/>
      <c r="K2163"/>
    </row>
    <row r="2164" spans="6:11" x14ac:dyDescent="0.2">
      <c r="F2164" s="163"/>
      <c r="K2164"/>
    </row>
    <row r="2165" spans="6:11" x14ac:dyDescent="0.2">
      <c r="F2165" s="163"/>
      <c r="K2165"/>
    </row>
    <row r="2166" spans="6:11" x14ac:dyDescent="0.2">
      <c r="F2166" s="163"/>
      <c r="K2166"/>
    </row>
    <row r="2167" spans="6:11" x14ac:dyDescent="0.2">
      <c r="F2167" s="163"/>
      <c r="K2167"/>
    </row>
    <row r="2168" spans="6:11" x14ac:dyDescent="0.2">
      <c r="F2168" s="163"/>
      <c r="K2168"/>
    </row>
    <row r="2169" spans="6:11" x14ac:dyDescent="0.2">
      <c r="F2169" s="163"/>
      <c r="K2169"/>
    </row>
    <row r="2170" spans="6:11" x14ac:dyDescent="0.2">
      <c r="F2170" s="163"/>
      <c r="K2170"/>
    </row>
    <row r="2171" spans="6:11" x14ac:dyDescent="0.2">
      <c r="F2171" s="163"/>
      <c r="K2171"/>
    </row>
    <row r="2172" spans="6:11" x14ac:dyDescent="0.2">
      <c r="F2172" s="163"/>
      <c r="K2172"/>
    </row>
    <row r="2173" spans="6:11" x14ac:dyDescent="0.2">
      <c r="F2173" s="163"/>
      <c r="K2173"/>
    </row>
    <row r="2174" spans="6:11" x14ac:dyDescent="0.2">
      <c r="F2174" s="163"/>
      <c r="K2174"/>
    </row>
    <row r="2175" spans="6:11" x14ac:dyDescent="0.2">
      <c r="F2175" s="163"/>
      <c r="K2175"/>
    </row>
    <row r="2176" spans="6:11" x14ac:dyDescent="0.2">
      <c r="F2176" s="163"/>
      <c r="K2176"/>
    </row>
    <row r="2177" spans="6:11" x14ac:dyDescent="0.2">
      <c r="F2177" s="163"/>
      <c r="K2177"/>
    </row>
    <row r="2178" spans="6:11" x14ac:dyDescent="0.2">
      <c r="F2178" s="163"/>
      <c r="K2178"/>
    </row>
    <row r="2179" spans="6:11" x14ac:dyDescent="0.2">
      <c r="F2179" s="163"/>
      <c r="K2179"/>
    </row>
    <row r="2180" spans="6:11" x14ac:dyDescent="0.2">
      <c r="F2180" s="163"/>
      <c r="K2180"/>
    </row>
    <row r="2181" spans="6:11" x14ac:dyDescent="0.2">
      <c r="F2181" s="163"/>
      <c r="K2181"/>
    </row>
    <row r="2182" spans="6:11" x14ac:dyDescent="0.2">
      <c r="F2182" s="163"/>
      <c r="K2182"/>
    </row>
    <row r="2183" spans="6:11" x14ac:dyDescent="0.2">
      <c r="F2183" s="163"/>
      <c r="K2183"/>
    </row>
    <row r="2184" spans="6:11" x14ac:dyDescent="0.2">
      <c r="F2184" s="163"/>
      <c r="K2184"/>
    </row>
    <row r="2185" spans="6:11" x14ac:dyDescent="0.2">
      <c r="F2185" s="163"/>
      <c r="K2185"/>
    </row>
    <row r="2186" spans="6:11" x14ac:dyDescent="0.2">
      <c r="F2186" s="163"/>
      <c r="K2186"/>
    </row>
    <row r="2187" spans="6:11" x14ac:dyDescent="0.2">
      <c r="F2187" s="163"/>
      <c r="K2187"/>
    </row>
    <row r="2188" spans="6:11" x14ac:dyDescent="0.2">
      <c r="F2188" s="163"/>
      <c r="K2188"/>
    </row>
    <row r="2189" spans="6:11" x14ac:dyDescent="0.2">
      <c r="F2189" s="163"/>
      <c r="K2189"/>
    </row>
    <row r="2190" spans="6:11" x14ac:dyDescent="0.2">
      <c r="F2190" s="163"/>
      <c r="K2190"/>
    </row>
    <row r="2191" spans="6:11" x14ac:dyDescent="0.2">
      <c r="F2191" s="163"/>
      <c r="K2191"/>
    </row>
    <row r="2192" spans="6:11" x14ac:dyDescent="0.2">
      <c r="F2192" s="163"/>
      <c r="K2192"/>
    </row>
    <row r="2193" spans="6:11" x14ac:dyDescent="0.2">
      <c r="F2193" s="163"/>
      <c r="K2193"/>
    </row>
    <row r="2194" spans="6:11" x14ac:dyDescent="0.2">
      <c r="F2194" s="163"/>
      <c r="K2194"/>
    </row>
    <row r="2195" spans="6:11" x14ac:dyDescent="0.2">
      <c r="F2195" s="163"/>
      <c r="K2195"/>
    </row>
    <row r="2196" spans="6:11" x14ac:dyDescent="0.2">
      <c r="F2196" s="163"/>
      <c r="K2196"/>
    </row>
    <row r="2197" spans="6:11" x14ac:dyDescent="0.2">
      <c r="F2197" s="163"/>
      <c r="K2197"/>
    </row>
    <row r="2198" spans="6:11" x14ac:dyDescent="0.2">
      <c r="F2198" s="163"/>
      <c r="K2198"/>
    </row>
    <row r="2199" spans="6:11" x14ac:dyDescent="0.2">
      <c r="F2199" s="163"/>
      <c r="K2199"/>
    </row>
    <row r="2200" spans="6:11" x14ac:dyDescent="0.2">
      <c r="F2200" s="163"/>
      <c r="K2200"/>
    </row>
    <row r="2201" spans="6:11" x14ac:dyDescent="0.2">
      <c r="F2201" s="163"/>
      <c r="K2201"/>
    </row>
    <row r="2202" spans="6:11" x14ac:dyDescent="0.2">
      <c r="F2202" s="163"/>
      <c r="K2202"/>
    </row>
    <row r="2203" spans="6:11" x14ac:dyDescent="0.2">
      <c r="F2203" s="163"/>
      <c r="K2203"/>
    </row>
    <row r="2204" spans="6:11" x14ac:dyDescent="0.2">
      <c r="F2204" s="163"/>
      <c r="K2204"/>
    </row>
    <row r="2205" spans="6:11" x14ac:dyDescent="0.2">
      <c r="F2205" s="163"/>
      <c r="K2205"/>
    </row>
    <row r="2206" spans="6:11" x14ac:dyDescent="0.2">
      <c r="F2206" s="163"/>
      <c r="K2206"/>
    </row>
    <row r="2207" spans="6:11" x14ac:dyDescent="0.2">
      <c r="F2207" s="163"/>
      <c r="K2207"/>
    </row>
    <row r="2208" spans="6:11" x14ac:dyDescent="0.2">
      <c r="F2208" s="163"/>
      <c r="K2208"/>
    </row>
    <row r="2209" spans="6:11" x14ac:dyDescent="0.2">
      <c r="F2209" s="163"/>
      <c r="K2209"/>
    </row>
    <row r="2210" spans="6:11" x14ac:dyDescent="0.2">
      <c r="F2210" s="163"/>
      <c r="K2210"/>
    </row>
    <row r="2211" spans="6:11" x14ac:dyDescent="0.2">
      <c r="F2211" s="163"/>
      <c r="K2211"/>
    </row>
    <row r="2212" spans="6:11" x14ac:dyDescent="0.2">
      <c r="F2212" s="163"/>
      <c r="K2212"/>
    </row>
    <row r="2213" spans="6:11" x14ac:dyDescent="0.2">
      <c r="F2213" s="163"/>
      <c r="K2213"/>
    </row>
    <row r="2214" spans="6:11" x14ac:dyDescent="0.2">
      <c r="F2214" s="163"/>
      <c r="K2214"/>
    </row>
    <row r="2215" spans="6:11" x14ac:dyDescent="0.2">
      <c r="F2215" s="163"/>
      <c r="K2215"/>
    </row>
    <row r="2216" spans="6:11" x14ac:dyDescent="0.2">
      <c r="F2216" s="163"/>
      <c r="K2216"/>
    </row>
    <row r="2217" spans="6:11" x14ac:dyDescent="0.2">
      <c r="F2217" s="163"/>
      <c r="K2217"/>
    </row>
    <row r="2218" spans="6:11" x14ac:dyDescent="0.2">
      <c r="F2218" s="163"/>
      <c r="K2218"/>
    </row>
    <row r="2219" spans="6:11" x14ac:dyDescent="0.2">
      <c r="F2219" s="163"/>
      <c r="K2219"/>
    </row>
    <row r="2220" spans="6:11" x14ac:dyDescent="0.2">
      <c r="F2220" s="163"/>
      <c r="K2220"/>
    </row>
    <row r="2221" spans="6:11" x14ac:dyDescent="0.2">
      <c r="F2221" s="163"/>
      <c r="K2221"/>
    </row>
    <row r="2222" spans="6:11" x14ac:dyDescent="0.2">
      <c r="F2222" s="163"/>
      <c r="K2222"/>
    </row>
    <row r="2223" spans="6:11" x14ac:dyDescent="0.2">
      <c r="F2223" s="163"/>
      <c r="K2223"/>
    </row>
    <row r="2224" spans="6:11" x14ac:dyDescent="0.2">
      <c r="F2224" s="163"/>
      <c r="K2224"/>
    </row>
    <row r="2225" spans="6:11" x14ac:dyDescent="0.2">
      <c r="F2225" s="163"/>
      <c r="K2225"/>
    </row>
    <row r="2226" spans="6:11" x14ac:dyDescent="0.2">
      <c r="F2226" s="163"/>
      <c r="K2226"/>
    </row>
    <row r="2227" spans="6:11" x14ac:dyDescent="0.2">
      <c r="F2227" s="163"/>
      <c r="K2227"/>
    </row>
    <row r="2228" spans="6:11" x14ac:dyDescent="0.2">
      <c r="F2228" s="163"/>
      <c r="K2228"/>
    </row>
    <row r="2229" spans="6:11" x14ac:dyDescent="0.2">
      <c r="F2229" s="163"/>
      <c r="K2229"/>
    </row>
    <row r="2230" spans="6:11" x14ac:dyDescent="0.2">
      <c r="F2230" s="163"/>
      <c r="K2230"/>
    </row>
    <row r="2231" spans="6:11" x14ac:dyDescent="0.2">
      <c r="F2231" s="163"/>
      <c r="K2231"/>
    </row>
    <row r="2232" spans="6:11" x14ac:dyDescent="0.2">
      <c r="F2232" s="163"/>
      <c r="K2232"/>
    </row>
    <row r="2233" spans="6:11" x14ac:dyDescent="0.2">
      <c r="F2233" s="163"/>
      <c r="K2233"/>
    </row>
    <row r="2234" spans="6:11" x14ac:dyDescent="0.2">
      <c r="F2234" s="163"/>
      <c r="K2234"/>
    </row>
    <row r="2235" spans="6:11" x14ac:dyDescent="0.2">
      <c r="F2235" s="163"/>
      <c r="K2235"/>
    </row>
    <row r="2236" spans="6:11" x14ac:dyDescent="0.2">
      <c r="F2236" s="163"/>
      <c r="K2236"/>
    </row>
    <row r="2237" spans="6:11" x14ac:dyDescent="0.2">
      <c r="F2237" s="163"/>
      <c r="K2237"/>
    </row>
    <row r="2238" spans="6:11" x14ac:dyDescent="0.2">
      <c r="F2238" s="163"/>
      <c r="K2238"/>
    </row>
    <row r="2239" spans="6:11" x14ac:dyDescent="0.2">
      <c r="F2239" s="163"/>
      <c r="K2239"/>
    </row>
    <row r="2240" spans="6:11" x14ac:dyDescent="0.2">
      <c r="F2240" s="163"/>
      <c r="K2240"/>
    </row>
    <row r="2241" spans="6:11" x14ac:dyDescent="0.2">
      <c r="F2241" s="163"/>
      <c r="K2241"/>
    </row>
    <row r="2242" spans="6:11" x14ac:dyDescent="0.2">
      <c r="F2242" s="163"/>
      <c r="K2242"/>
    </row>
    <row r="2243" spans="6:11" x14ac:dyDescent="0.2">
      <c r="F2243" s="163"/>
      <c r="K2243"/>
    </row>
    <row r="2244" spans="6:11" x14ac:dyDescent="0.2">
      <c r="F2244" s="163"/>
      <c r="K2244"/>
    </row>
    <row r="2245" spans="6:11" x14ac:dyDescent="0.2">
      <c r="F2245" s="163"/>
      <c r="K2245"/>
    </row>
    <row r="2246" spans="6:11" x14ac:dyDescent="0.2">
      <c r="F2246" s="163"/>
      <c r="K2246"/>
    </row>
    <row r="2247" spans="6:11" x14ac:dyDescent="0.2">
      <c r="F2247" s="163"/>
      <c r="K2247"/>
    </row>
    <row r="2248" spans="6:11" x14ac:dyDescent="0.2">
      <c r="F2248" s="163"/>
      <c r="K2248"/>
    </row>
    <row r="2249" spans="6:11" x14ac:dyDescent="0.2">
      <c r="F2249" s="163"/>
      <c r="K2249"/>
    </row>
    <row r="2250" spans="6:11" x14ac:dyDescent="0.2">
      <c r="F2250" s="163"/>
      <c r="K2250"/>
    </row>
    <row r="2251" spans="6:11" x14ac:dyDescent="0.2">
      <c r="F2251" s="163"/>
      <c r="K2251"/>
    </row>
    <row r="2252" spans="6:11" x14ac:dyDescent="0.2">
      <c r="F2252" s="163"/>
      <c r="K2252"/>
    </row>
    <row r="2253" spans="6:11" x14ac:dyDescent="0.2">
      <c r="F2253" s="163"/>
      <c r="K2253"/>
    </row>
    <row r="2254" spans="6:11" x14ac:dyDescent="0.2">
      <c r="F2254" s="163"/>
      <c r="K2254"/>
    </row>
    <row r="2255" spans="6:11" x14ac:dyDescent="0.2">
      <c r="F2255" s="163"/>
      <c r="K2255"/>
    </row>
    <row r="2256" spans="6:11" x14ac:dyDescent="0.2">
      <c r="F2256" s="163"/>
      <c r="K2256"/>
    </row>
    <row r="2257" spans="6:11" x14ac:dyDescent="0.2">
      <c r="F2257" s="163"/>
      <c r="K2257"/>
    </row>
    <row r="2258" spans="6:11" x14ac:dyDescent="0.2">
      <c r="F2258" s="163"/>
      <c r="K2258"/>
    </row>
    <row r="2259" spans="6:11" x14ac:dyDescent="0.2">
      <c r="F2259" s="163"/>
      <c r="K2259"/>
    </row>
    <row r="2260" spans="6:11" x14ac:dyDescent="0.2">
      <c r="F2260" s="163"/>
      <c r="K2260"/>
    </row>
    <row r="2261" spans="6:11" x14ac:dyDescent="0.2">
      <c r="F2261" s="163"/>
      <c r="K2261"/>
    </row>
    <row r="2262" spans="6:11" x14ac:dyDescent="0.2">
      <c r="F2262" s="163"/>
      <c r="K2262"/>
    </row>
    <row r="2263" spans="6:11" x14ac:dyDescent="0.2">
      <c r="F2263" s="163"/>
      <c r="K2263"/>
    </row>
    <row r="2264" spans="6:11" x14ac:dyDescent="0.2">
      <c r="F2264" s="163"/>
      <c r="K2264"/>
    </row>
    <row r="2265" spans="6:11" x14ac:dyDescent="0.2">
      <c r="F2265" s="163"/>
      <c r="K2265"/>
    </row>
    <row r="2266" spans="6:11" x14ac:dyDescent="0.2">
      <c r="F2266" s="163"/>
      <c r="K2266"/>
    </row>
    <row r="2267" spans="6:11" x14ac:dyDescent="0.2">
      <c r="F2267" s="163"/>
      <c r="K2267"/>
    </row>
    <row r="2268" spans="6:11" x14ac:dyDescent="0.2">
      <c r="F2268" s="163"/>
      <c r="K2268"/>
    </row>
    <row r="2269" spans="6:11" x14ac:dyDescent="0.2">
      <c r="F2269" s="163"/>
      <c r="K2269"/>
    </row>
    <row r="2270" spans="6:11" x14ac:dyDescent="0.2">
      <c r="F2270" s="163"/>
      <c r="K2270"/>
    </row>
    <row r="2271" spans="6:11" x14ac:dyDescent="0.2">
      <c r="F2271" s="163"/>
      <c r="K2271"/>
    </row>
    <row r="2272" spans="6:11" x14ac:dyDescent="0.2">
      <c r="F2272" s="163"/>
      <c r="K2272"/>
    </row>
    <row r="2273" spans="6:11" x14ac:dyDescent="0.2">
      <c r="F2273" s="163"/>
      <c r="K2273"/>
    </row>
    <row r="2274" spans="6:11" x14ac:dyDescent="0.2">
      <c r="F2274" s="163"/>
      <c r="K2274"/>
    </row>
    <row r="2275" spans="6:11" x14ac:dyDescent="0.2">
      <c r="F2275" s="163"/>
      <c r="K2275"/>
    </row>
    <row r="2276" spans="6:11" x14ac:dyDescent="0.2">
      <c r="F2276" s="163"/>
      <c r="K2276"/>
    </row>
    <row r="2277" spans="6:11" x14ac:dyDescent="0.2">
      <c r="F2277" s="163"/>
      <c r="K2277"/>
    </row>
    <row r="2278" spans="6:11" x14ac:dyDescent="0.2">
      <c r="F2278" s="163"/>
      <c r="K2278"/>
    </row>
    <row r="2279" spans="6:11" x14ac:dyDescent="0.2">
      <c r="F2279" s="163"/>
      <c r="K2279"/>
    </row>
    <row r="2280" spans="6:11" x14ac:dyDescent="0.2">
      <c r="F2280" s="163"/>
      <c r="K2280"/>
    </row>
    <row r="2281" spans="6:11" x14ac:dyDescent="0.2">
      <c r="F2281" s="163"/>
      <c r="K2281"/>
    </row>
    <row r="2282" spans="6:11" x14ac:dyDescent="0.2">
      <c r="F2282" s="163"/>
      <c r="K2282"/>
    </row>
    <row r="2283" spans="6:11" x14ac:dyDescent="0.2">
      <c r="F2283" s="163"/>
      <c r="K2283"/>
    </row>
    <row r="2284" spans="6:11" x14ac:dyDescent="0.2">
      <c r="F2284" s="163"/>
      <c r="K2284"/>
    </row>
    <row r="2285" spans="6:11" x14ac:dyDescent="0.2">
      <c r="F2285" s="163"/>
      <c r="K2285"/>
    </row>
    <row r="2286" spans="6:11" x14ac:dyDescent="0.2">
      <c r="F2286" s="163"/>
      <c r="K2286"/>
    </row>
    <row r="2287" spans="6:11" x14ac:dyDescent="0.2">
      <c r="F2287" s="163"/>
      <c r="K2287"/>
    </row>
    <row r="2288" spans="6:11" x14ac:dyDescent="0.2">
      <c r="F2288" s="163"/>
      <c r="K2288"/>
    </row>
    <row r="2289" spans="6:11" x14ac:dyDescent="0.2">
      <c r="F2289" s="163"/>
      <c r="K2289"/>
    </row>
    <row r="2290" spans="6:11" x14ac:dyDescent="0.2">
      <c r="F2290" s="163"/>
      <c r="K2290"/>
    </row>
    <row r="2291" spans="6:11" x14ac:dyDescent="0.2">
      <c r="F2291" s="163"/>
      <c r="K2291"/>
    </row>
    <row r="2292" spans="6:11" x14ac:dyDescent="0.2">
      <c r="F2292" s="163"/>
      <c r="K2292"/>
    </row>
    <row r="2293" spans="6:11" x14ac:dyDescent="0.2">
      <c r="F2293" s="163"/>
      <c r="K2293"/>
    </row>
    <row r="2294" spans="6:11" x14ac:dyDescent="0.2">
      <c r="F2294" s="163"/>
      <c r="K2294"/>
    </row>
    <row r="2295" spans="6:11" x14ac:dyDescent="0.2">
      <c r="F2295" s="163"/>
      <c r="K2295"/>
    </row>
    <row r="2296" spans="6:11" x14ac:dyDescent="0.2">
      <c r="F2296" s="163"/>
      <c r="K2296"/>
    </row>
    <row r="2297" spans="6:11" x14ac:dyDescent="0.2">
      <c r="F2297" s="163"/>
      <c r="K2297"/>
    </row>
    <row r="2298" spans="6:11" x14ac:dyDescent="0.2">
      <c r="F2298" s="163"/>
      <c r="K2298"/>
    </row>
    <row r="2299" spans="6:11" x14ac:dyDescent="0.2">
      <c r="F2299" s="163"/>
      <c r="K2299"/>
    </row>
    <row r="2300" spans="6:11" x14ac:dyDescent="0.2">
      <c r="F2300" s="163"/>
      <c r="K2300"/>
    </row>
    <row r="2301" spans="6:11" x14ac:dyDescent="0.2">
      <c r="F2301" s="163"/>
      <c r="K2301"/>
    </row>
    <row r="2302" spans="6:11" x14ac:dyDescent="0.2">
      <c r="F2302" s="163"/>
      <c r="K2302"/>
    </row>
    <row r="2303" spans="6:11" x14ac:dyDescent="0.2">
      <c r="F2303" s="163"/>
      <c r="K2303"/>
    </row>
    <row r="2304" spans="6:11" x14ac:dyDescent="0.2">
      <c r="F2304" s="163"/>
      <c r="K2304"/>
    </row>
    <row r="2305" spans="6:11" x14ac:dyDescent="0.2">
      <c r="F2305" s="163"/>
      <c r="K2305"/>
    </row>
    <row r="2306" spans="6:11" x14ac:dyDescent="0.2">
      <c r="F2306" s="163"/>
      <c r="K2306"/>
    </row>
    <row r="2307" spans="6:11" x14ac:dyDescent="0.2">
      <c r="F2307" s="163"/>
      <c r="K2307"/>
    </row>
    <row r="2308" spans="6:11" x14ac:dyDescent="0.2">
      <c r="F2308" s="163"/>
      <c r="K2308"/>
    </row>
    <row r="2309" spans="6:11" x14ac:dyDescent="0.2">
      <c r="F2309" s="163"/>
      <c r="K2309"/>
    </row>
    <row r="2310" spans="6:11" x14ac:dyDescent="0.2">
      <c r="F2310" s="163"/>
      <c r="K2310"/>
    </row>
    <row r="2311" spans="6:11" x14ac:dyDescent="0.2">
      <c r="F2311" s="163"/>
      <c r="K2311"/>
    </row>
    <row r="2312" spans="6:11" x14ac:dyDescent="0.2">
      <c r="F2312" s="163"/>
      <c r="K2312"/>
    </row>
    <row r="2313" spans="6:11" x14ac:dyDescent="0.2">
      <c r="F2313" s="163"/>
      <c r="K2313"/>
    </row>
    <row r="2314" spans="6:11" x14ac:dyDescent="0.2">
      <c r="F2314" s="163"/>
      <c r="K2314"/>
    </row>
    <row r="2315" spans="6:11" x14ac:dyDescent="0.2">
      <c r="F2315" s="163"/>
      <c r="K2315"/>
    </row>
    <row r="2316" spans="6:11" x14ac:dyDescent="0.2">
      <c r="F2316" s="163"/>
      <c r="K2316"/>
    </row>
    <row r="2317" spans="6:11" x14ac:dyDescent="0.2">
      <c r="F2317" s="163"/>
      <c r="K2317"/>
    </row>
    <row r="2318" spans="6:11" x14ac:dyDescent="0.2">
      <c r="F2318" s="163"/>
      <c r="K2318"/>
    </row>
    <row r="2319" spans="6:11" x14ac:dyDescent="0.2">
      <c r="F2319" s="163"/>
      <c r="K2319"/>
    </row>
    <row r="2320" spans="6:11" x14ac:dyDescent="0.2">
      <c r="F2320" s="163"/>
      <c r="K2320"/>
    </row>
    <row r="2321" spans="6:11" x14ac:dyDescent="0.2">
      <c r="F2321" s="163"/>
      <c r="K2321"/>
    </row>
    <row r="2322" spans="6:11" x14ac:dyDescent="0.2">
      <c r="F2322" s="163"/>
      <c r="K2322"/>
    </row>
    <row r="2323" spans="6:11" x14ac:dyDescent="0.2">
      <c r="F2323" s="163"/>
      <c r="K2323"/>
    </row>
    <row r="2324" spans="6:11" x14ac:dyDescent="0.2">
      <c r="F2324" s="163"/>
      <c r="K2324"/>
    </row>
    <row r="2325" spans="6:11" x14ac:dyDescent="0.2">
      <c r="F2325" s="163"/>
      <c r="K2325"/>
    </row>
    <row r="2326" spans="6:11" x14ac:dyDescent="0.2">
      <c r="F2326" s="163"/>
      <c r="K2326"/>
    </row>
    <row r="2327" spans="6:11" x14ac:dyDescent="0.2">
      <c r="F2327" s="163"/>
      <c r="K2327"/>
    </row>
    <row r="2328" spans="6:11" x14ac:dyDescent="0.2">
      <c r="F2328" s="163"/>
      <c r="K2328"/>
    </row>
    <row r="2329" spans="6:11" x14ac:dyDescent="0.2">
      <c r="F2329" s="163"/>
      <c r="K2329"/>
    </row>
    <row r="2330" spans="6:11" x14ac:dyDescent="0.2">
      <c r="F2330" s="163"/>
      <c r="K2330"/>
    </row>
    <row r="2331" spans="6:11" x14ac:dyDescent="0.2">
      <c r="F2331" s="163"/>
      <c r="K2331"/>
    </row>
    <row r="2332" spans="6:11" x14ac:dyDescent="0.2">
      <c r="F2332" s="163"/>
      <c r="K2332"/>
    </row>
    <row r="2333" spans="6:11" x14ac:dyDescent="0.2">
      <c r="F2333" s="163"/>
      <c r="K2333"/>
    </row>
    <row r="2334" spans="6:11" x14ac:dyDescent="0.2">
      <c r="F2334" s="163"/>
      <c r="K2334"/>
    </row>
    <row r="2335" spans="6:11" x14ac:dyDescent="0.2">
      <c r="F2335" s="163"/>
      <c r="K2335"/>
    </row>
    <row r="2336" spans="6:11" x14ac:dyDescent="0.2">
      <c r="F2336" s="163"/>
      <c r="K2336"/>
    </row>
    <row r="2337" spans="6:11" x14ac:dyDescent="0.2">
      <c r="F2337" s="163"/>
      <c r="K2337"/>
    </row>
    <row r="2338" spans="6:11" x14ac:dyDescent="0.2">
      <c r="F2338" s="163"/>
      <c r="K2338"/>
    </row>
    <row r="2339" spans="6:11" x14ac:dyDescent="0.2">
      <c r="F2339" s="163"/>
      <c r="K2339"/>
    </row>
    <row r="2340" spans="6:11" x14ac:dyDescent="0.2">
      <c r="F2340" s="163"/>
      <c r="K2340"/>
    </row>
    <row r="2341" spans="6:11" x14ac:dyDescent="0.2">
      <c r="F2341" s="163"/>
      <c r="K2341"/>
    </row>
    <row r="2342" spans="6:11" x14ac:dyDescent="0.2">
      <c r="F2342" s="163"/>
      <c r="K2342"/>
    </row>
    <row r="2343" spans="6:11" x14ac:dyDescent="0.2">
      <c r="F2343" s="163"/>
      <c r="K2343"/>
    </row>
    <row r="2344" spans="6:11" x14ac:dyDescent="0.2">
      <c r="F2344" s="163"/>
      <c r="K2344"/>
    </row>
    <row r="2345" spans="6:11" x14ac:dyDescent="0.2">
      <c r="F2345" s="163"/>
      <c r="K2345"/>
    </row>
    <row r="2346" spans="6:11" x14ac:dyDescent="0.2">
      <c r="F2346" s="163"/>
      <c r="K2346"/>
    </row>
    <row r="2347" spans="6:11" x14ac:dyDescent="0.2">
      <c r="F2347" s="163"/>
      <c r="K2347"/>
    </row>
    <row r="2348" spans="6:11" x14ac:dyDescent="0.2">
      <c r="F2348" s="163"/>
      <c r="K2348"/>
    </row>
    <row r="2349" spans="6:11" x14ac:dyDescent="0.2">
      <c r="F2349" s="163"/>
      <c r="K2349"/>
    </row>
    <row r="2350" spans="6:11" x14ac:dyDescent="0.2">
      <c r="F2350" s="163"/>
      <c r="K2350"/>
    </row>
    <row r="2351" spans="6:11" x14ac:dyDescent="0.2">
      <c r="F2351" s="163"/>
      <c r="K2351"/>
    </row>
    <row r="2352" spans="6:11" x14ac:dyDescent="0.2">
      <c r="F2352" s="163"/>
      <c r="K2352"/>
    </row>
    <row r="2353" spans="6:11" x14ac:dyDescent="0.2">
      <c r="F2353" s="163"/>
      <c r="K2353"/>
    </row>
    <row r="2354" spans="6:11" x14ac:dyDescent="0.2">
      <c r="F2354" s="163"/>
      <c r="K2354"/>
    </row>
    <row r="2355" spans="6:11" x14ac:dyDescent="0.2">
      <c r="F2355" s="163"/>
      <c r="K2355"/>
    </row>
    <row r="2356" spans="6:11" x14ac:dyDescent="0.2">
      <c r="F2356" s="163"/>
      <c r="K2356"/>
    </row>
    <row r="2357" spans="6:11" x14ac:dyDescent="0.2">
      <c r="F2357" s="163"/>
      <c r="K2357"/>
    </row>
    <row r="2358" spans="6:11" x14ac:dyDescent="0.2">
      <c r="F2358" s="163"/>
      <c r="K2358"/>
    </row>
    <row r="2359" spans="6:11" x14ac:dyDescent="0.2">
      <c r="F2359" s="163"/>
      <c r="K2359"/>
    </row>
    <row r="2360" spans="6:11" x14ac:dyDescent="0.2">
      <c r="F2360" s="163"/>
      <c r="K2360"/>
    </row>
    <row r="2361" spans="6:11" x14ac:dyDescent="0.2">
      <c r="F2361" s="163"/>
      <c r="K2361"/>
    </row>
    <row r="2362" spans="6:11" x14ac:dyDescent="0.2">
      <c r="F2362" s="163"/>
      <c r="K2362"/>
    </row>
    <row r="2363" spans="6:11" x14ac:dyDescent="0.2">
      <c r="F2363" s="163"/>
      <c r="K2363"/>
    </row>
    <row r="2364" spans="6:11" x14ac:dyDescent="0.2">
      <c r="F2364" s="163"/>
      <c r="K2364"/>
    </row>
    <row r="2365" spans="6:11" x14ac:dyDescent="0.2">
      <c r="F2365" s="163"/>
      <c r="K2365"/>
    </row>
    <row r="2366" spans="6:11" x14ac:dyDescent="0.2">
      <c r="F2366" s="163"/>
      <c r="K2366"/>
    </row>
    <row r="2367" spans="6:11" x14ac:dyDescent="0.2">
      <c r="F2367" s="163"/>
      <c r="K2367"/>
    </row>
    <row r="2368" spans="6:11" x14ac:dyDescent="0.2">
      <c r="F2368" s="163"/>
      <c r="K2368"/>
    </row>
    <row r="2369" spans="6:11" x14ac:dyDescent="0.2">
      <c r="F2369" s="163"/>
      <c r="K2369"/>
    </row>
    <row r="2370" spans="6:11" x14ac:dyDescent="0.2">
      <c r="F2370" s="163"/>
      <c r="K2370"/>
    </row>
    <row r="2371" spans="6:11" x14ac:dyDescent="0.2">
      <c r="F2371" s="163"/>
      <c r="K2371"/>
    </row>
    <row r="2372" spans="6:11" x14ac:dyDescent="0.2">
      <c r="F2372" s="163"/>
      <c r="K2372"/>
    </row>
    <row r="2373" spans="6:11" x14ac:dyDescent="0.2">
      <c r="F2373" s="163"/>
      <c r="K2373"/>
    </row>
    <row r="2374" spans="6:11" x14ac:dyDescent="0.2">
      <c r="F2374" s="163"/>
      <c r="K2374"/>
    </row>
    <row r="2375" spans="6:11" x14ac:dyDescent="0.2">
      <c r="F2375" s="163"/>
      <c r="K2375"/>
    </row>
    <row r="2376" spans="6:11" x14ac:dyDescent="0.2">
      <c r="F2376" s="163"/>
      <c r="K2376"/>
    </row>
    <row r="2377" spans="6:11" x14ac:dyDescent="0.2">
      <c r="F2377" s="163"/>
      <c r="K2377"/>
    </row>
    <row r="2378" spans="6:11" x14ac:dyDescent="0.2">
      <c r="F2378" s="163"/>
      <c r="K2378"/>
    </row>
    <row r="2379" spans="6:11" x14ac:dyDescent="0.2">
      <c r="F2379" s="163"/>
      <c r="K2379"/>
    </row>
    <row r="2380" spans="6:11" x14ac:dyDescent="0.2">
      <c r="F2380" s="163"/>
      <c r="K2380"/>
    </row>
    <row r="2381" spans="6:11" x14ac:dyDescent="0.2">
      <c r="F2381" s="163"/>
      <c r="K2381"/>
    </row>
    <row r="2382" spans="6:11" x14ac:dyDescent="0.2">
      <c r="F2382" s="163"/>
      <c r="K2382"/>
    </row>
    <row r="2383" spans="6:11" x14ac:dyDescent="0.2">
      <c r="F2383" s="163"/>
      <c r="K2383"/>
    </row>
    <row r="2384" spans="6:11" x14ac:dyDescent="0.2">
      <c r="F2384" s="163"/>
      <c r="K2384"/>
    </row>
    <row r="2385" spans="6:11" x14ac:dyDescent="0.2">
      <c r="F2385" s="163"/>
      <c r="K2385"/>
    </row>
    <row r="2386" spans="6:11" x14ac:dyDescent="0.2">
      <c r="F2386" s="163"/>
      <c r="K2386"/>
    </row>
    <row r="2387" spans="6:11" x14ac:dyDescent="0.2">
      <c r="F2387" s="163"/>
      <c r="K2387"/>
    </row>
    <row r="2388" spans="6:11" x14ac:dyDescent="0.2">
      <c r="F2388" s="163"/>
      <c r="K2388"/>
    </row>
    <row r="2389" spans="6:11" x14ac:dyDescent="0.2">
      <c r="F2389" s="163"/>
      <c r="K2389"/>
    </row>
    <row r="2390" spans="6:11" x14ac:dyDescent="0.2">
      <c r="F2390" s="163"/>
      <c r="K2390"/>
    </row>
    <row r="2391" spans="6:11" x14ac:dyDescent="0.2">
      <c r="F2391" s="163"/>
      <c r="K2391"/>
    </row>
    <row r="2392" spans="6:11" x14ac:dyDescent="0.2">
      <c r="F2392" s="163"/>
      <c r="K2392"/>
    </row>
    <row r="2393" spans="6:11" x14ac:dyDescent="0.2">
      <c r="F2393" s="163"/>
      <c r="K2393"/>
    </row>
    <row r="2394" spans="6:11" x14ac:dyDescent="0.2">
      <c r="F2394" s="163"/>
      <c r="K2394"/>
    </row>
    <row r="2395" spans="6:11" x14ac:dyDescent="0.2">
      <c r="F2395" s="163"/>
      <c r="K2395"/>
    </row>
    <row r="2396" spans="6:11" x14ac:dyDescent="0.2">
      <c r="F2396" s="163"/>
      <c r="K2396"/>
    </row>
    <row r="2397" spans="6:11" x14ac:dyDescent="0.2">
      <c r="F2397" s="163"/>
      <c r="K2397"/>
    </row>
    <row r="2398" spans="6:11" x14ac:dyDescent="0.2">
      <c r="F2398" s="163"/>
      <c r="K2398"/>
    </row>
    <row r="2399" spans="6:11" x14ac:dyDescent="0.2">
      <c r="F2399" s="163"/>
      <c r="K2399"/>
    </row>
    <row r="2400" spans="6:11" x14ac:dyDescent="0.2">
      <c r="F2400" s="163"/>
      <c r="K2400"/>
    </row>
    <row r="2401" spans="6:11" x14ac:dyDescent="0.2">
      <c r="F2401" s="163"/>
      <c r="K2401"/>
    </row>
    <row r="2402" spans="6:11" x14ac:dyDescent="0.2">
      <c r="F2402" s="163"/>
      <c r="K2402"/>
    </row>
    <row r="2403" spans="6:11" x14ac:dyDescent="0.2">
      <c r="F2403" s="163"/>
      <c r="K2403"/>
    </row>
    <row r="2404" spans="6:11" x14ac:dyDescent="0.2">
      <c r="F2404" s="163"/>
      <c r="K2404"/>
    </row>
    <row r="2405" spans="6:11" x14ac:dyDescent="0.2">
      <c r="F2405" s="163"/>
      <c r="K2405"/>
    </row>
    <row r="2406" spans="6:11" x14ac:dyDescent="0.2">
      <c r="F2406" s="163"/>
      <c r="K2406"/>
    </row>
    <row r="2407" spans="6:11" x14ac:dyDescent="0.2">
      <c r="F2407" s="163"/>
      <c r="K2407"/>
    </row>
    <row r="2408" spans="6:11" x14ac:dyDescent="0.2">
      <c r="F2408" s="163"/>
      <c r="K2408"/>
    </row>
    <row r="2409" spans="6:11" x14ac:dyDescent="0.2">
      <c r="F2409" s="163"/>
      <c r="K2409"/>
    </row>
    <row r="2410" spans="6:11" x14ac:dyDescent="0.2">
      <c r="F2410" s="163"/>
      <c r="K2410"/>
    </row>
    <row r="2411" spans="6:11" x14ac:dyDescent="0.2">
      <c r="F2411" s="163"/>
      <c r="K2411"/>
    </row>
    <row r="2412" spans="6:11" x14ac:dyDescent="0.2">
      <c r="F2412" s="163"/>
      <c r="K2412"/>
    </row>
    <row r="2413" spans="6:11" x14ac:dyDescent="0.2">
      <c r="F2413" s="163"/>
      <c r="K2413"/>
    </row>
    <row r="2414" spans="6:11" x14ac:dyDescent="0.2">
      <c r="F2414" s="163"/>
      <c r="K2414"/>
    </row>
    <row r="2415" spans="6:11" x14ac:dyDescent="0.2">
      <c r="F2415" s="163"/>
      <c r="K2415"/>
    </row>
    <row r="2416" spans="6:11" x14ac:dyDescent="0.2">
      <c r="F2416" s="163"/>
      <c r="K2416"/>
    </row>
    <row r="2417" spans="6:11" x14ac:dyDescent="0.2">
      <c r="F2417" s="163"/>
      <c r="K2417"/>
    </row>
    <row r="2418" spans="6:11" x14ac:dyDescent="0.2">
      <c r="F2418" s="163"/>
      <c r="K2418"/>
    </row>
    <row r="2419" spans="6:11" x14ac:dyDescent="0.2">
      <c r="F2419" s="163"/>
      <c r="K2419"/>
    </row>
    <row r="2420" spans="6:11" x14ac:dyDescent="0.2">
      <c r="F2420" s="163"/>
      <c r="K2420"/>
    </row>
    <row r="2421" spans="6:11" x14ac:dyDescent="0.2">
      <c r="F2421" s="163"/>
      <c r="K2421"/>
    </row>
    <row r="2422" spans="6:11" x14ac:dyDescent="0.2">
      <c r="F2422" s="163"/>
      <c r="K2422"/>
    </row>
    <row r="2423" spans="6:11" x14ac:dyDescent="0.2">
      <c r="F2423" s="163"/>
      <c r="K2423"/>
    </row>
    <row r="2424" spans="6:11" x14ac:dyDescent="0.2">
      <c r="F2424" s="163"/>
      <c r="K2424"/>
    </row>
    <row r="2425" spans="6:11" x14ac:dyDescent="0.2">
      <c r="F2425" s="163"/>
      <c r="K2425"/>
    </row>
    <row r="2426" spans="6:11" x14ac:dyDescent="0.2">
      <c r="F2426" s="163"/>
      <c r="K2426"/>
    </row>
    <row r="2427" spans="6:11" x14ac:dyDescent="0.2">
      <c r="F2427" s="163"/>
      <c r="K2427"/>
    </row>
    <row r="2428" spans="6:11" x14ac:dyDescent="0.2">
      <c r="F2428" s="163"/>
      <c r="K2428"/>
    </row>
    <row r="2429" spans="6:11" x14ac:dyDescent="0.2">
      <c r="F2429" s="163"/>
      <c r="K2429"/>
    </row>
    <row r="2430" spans="6:11" x14ac:dyDescent="0.2">
      <c r="F2430" s="163"/>
      <c r="K2430"/>
    </row>
    <row r="2431" spans="6:11" x14ac:dyDescent="0.2">
      <c r="F2431" s="163"/>
      <c r="K2431"/>
    </row>
    <row r="2432" spans="6:11" x14ac:dyDescent="0.2">
      <c r="F2432" s="163"/>
      <c r="K2432"/>
    </row>
    <row r="2433" spans="6:11" x14ac:dyDescent="0.2">
      <c r="F2433" s="163"/>
      <c r="K2433"/>
    </row>
    <row r="2434" spans="6:11" x14ac:dyDescent="0.2">
      <c r="F2434" s="163"/>
      <c r="K2434"/>
    </row>
    <row r="2435" spans="6:11" x14ac:dyDescent="0.2">
      <c r="F2435" s="163"/>
      <c r="K2435"/>
    </row>
    <row r="2436" spans="6:11" x14ac:dyDescent="0.2">
      <c r="F2436" s="163"/>
      <c r="K2436"/>
    </row>
    <row r="2437" spans="6:11" x14ac:dyDescent="0.2">
      <c r="F2437" s="163"/>
      <c r="K2437"/>
    </row>
    <row r="2438" spans="6:11" x14ac:dyDescent="0.2">
      <c r="F2438" s="163"/>
      <c r="K2438"/>
    </row>
    <row r="2439" spans="6:11" x14ac:dyDescent="0.2">
      <c r="F2439" s="163"/>
      <c r="K2439"/>
    </row>
    <row r="2440" spans="6:11" x14ac:dyDescent="0.2">
      <c r="F2440" s="163"/>
      <c r="K2440"/>
    </row>
    <row r="2441" spans="6:11" x14ac:dyDescent="0.2">
      <c r="F2441" s="163"/>
      <c r="K2441"/>
    </row>
    <row r="2442" spans="6:11" x14ac:dyDescent="0.2">
      <c r="F2442" s="163"/>
      <c r="K2442"/>
    </row>
    <row r="2443" spans="6:11" x14ac:dyDescent="0.2">
      <c r="F2443" s="163"/>
      <c r="K2443"/>
    </row>
    <row r="2444" spans="6:11" x14ac:dyDescent="0.2">
      <c r="F2444" s="163"/>
      <c r="K2444"/>
    </row>
    <row r="2445" spans="6:11" x14ac:dyDescent="0.2">
      <c r="F2445" s="163"/>
      <c r="K2445"/>
    </row>
    <row r="2446" spans="6:11" x14ac:dyDescent="0.2">
      <c r="F2446" s="163"/>
      <c r="K2446"/>
    </row>
    <row r="2447" spans="6:11" x14ac:dyDescent="0.2">
      <c r="F2447" s="163"/>
      <c r="K2447"/>
    </row>
    <row r="2448" spans="6:11" x14ac:dyDescent="0.2">
      <c r="F2448" s="163"/>
      <c r="K2448"/>
    </row>
    <row r="2449" spans="6:11" x14ac:dyDescent="0.2">
      <c r="F2449" s="163"/>
      <c r="K2449"/>
    </row>
    <row r="2450" spans="6:11" x14ac:dyDescent="0.2">
      <c r="F2450" s="163"/>
      <c r="K2450"/>
    </row>
    <row r="2451" spans="6:11" x14ac:dyDescent="0.2">
      <c r="F2451" s="163"/>
      <c r="K2451"/>
    </row>
    <row r="2452" spans="6:11" x14ac:dyDescent="0.2">
      <c r="F2452" s="163"/>
      <c r="K2452"/>
    </row>
    <row r="2453" spans="6:11" x14ac:dyDescent="0.2">
      <c r="F2453" s="163"/>
      <c r="K2453"/>
    </row>
    <row r="2454" spans="6:11" x14ac:dyDescent="0.2">
      <c r="F2454" s="163"/>
      <c r="K2454"/>
    </row>
    <row r="2455" spans="6:11" x14ac:dyDescent="0.2">
      <c r="F2455" s="163"/>
      <c r="K2455"/>
    </row>
    <row r="2456" spans="6:11" x14ac:dyDescent="0.2">
      <c r="F2456" s="163"/>
      <c r="K2456"/>
    </row>
    <row r="2457" spans="6:11" x14ac:dyDescent="0.2">
      <c r="F2457" s="163"/>
      <c r="K2457"/>
    </row>
    <row r="2458" spans="6:11" x14ac:dyDescent="0.2">
      <c r="F2458" s="163"/>
      <c r="K2458"/>
    </row>
    <row r="2459" spans="6:11" x14ac:dyDescent="0.2">
      <c r="F2459" s="163"/>
      <c r="K2459"/>
    </row>
    <row r="2460" spans="6:11" x14ac:dyDescent="0.2">
      <c r="F2460" s="163"/>
      <c r="K2460"/>
    </row>
    <row r="2461" spans="6:11" x14ac:dyDescent="0.2">
      <c r="F2461" s="163"/>
      <c r="K2461"/>
    </row>
    <row r="2462" spans="6:11" x14ac:dyDescent="0.2">
      <c r="F2462" s="163"/>
      <c r="K2462"/>
    </row>
    <row r="2463" spans="6:11" x14ac:dyDescent="0.2">
      <c r="F2463" s="163"/>
      <c r="K2463"/>
    </row>
    <row r="2464" spans="6:11" x14ac:dyDescent="0.2">
      <c r="F2464" s="163"/>
      <c r="K2464"/>
    </row>
    <row r="2465" spans="6:11" x14ac:dyDescent="0.2">
      <c r="F2465" s="163"/>
      <c r="K2465"/>
    </row>
    <row r="2466" spans="6:11" x14ac:dyDescent="0.2">
      <c r="F2466" s="163"/>
      <c r="K2466"/>
    </row>
    <row r="2467" spans="6:11" x14ac:dyDescent="0.2">
      <c r="F2467" s="163"/>
      <c r="K2467"/>
    </row>
    <row r="2468" spans="6:11" x14ac:dyDescent="0.2">
      <c r="F2468" s="163"/>
      <c r="K2468"/>
    </row>
    <row r="2469" spans="6:11" x14ac:dyDescent="0.2">
      <c r="F2469" s="163"/>
      <c r="K2469"/>
    </row>
    <row r="2470" spans="6:11" x14ac:dyDescent="0.2">
      <c r="F2470" s="163"/>
      <c r="K2470"/>
    </row>
    <row r="2471" spans="6:11" x14ac:dyDescent="0.2">
      <c r="F2471" s="163"/>
      <c r="K2471"/>
    </row>
    <row r="2472" spans="6:11" x14ac:dyDescent="0.2">
      <c r="F2472" s="163"/>
      <c r="K2472"/>
    </row>
    <row r="2473" spans="6:11" x14ac:dyDescent="0.2">
      <c r="F2473" s="163"/>
      <c r="K2473"/>
    </row>
    <row r="2474" spans="6:11" x14ac:dyDescent="0.2">
      <c r="F2474" s="163"/>
      <c r="K2474"/>
    </row>
    <row r="2475" spans="6:11" x14ac:dyDescent="0.2">
      <c r="F2475" s="163"/>
      <c r="K2475"/>
    </row>
    <row r="2476" spans="6:11" x14ac:dyDescent="0.2">
      <c r="F2476" s="163"/>
      <c r="K2476"/>
    </row>
    <row r="2477" spans="6:11" x14ac:dyDescent="0.2">
      <c r="F2477" s="163"/>
      <c r="K2477"/>
    </row>
    <row r="2478" spans="6:11" x14ac:dyDescent="0.2">
      <c r="F2478" s="163"/>
      <c r="K2478"/>
    </row>
    <row r="2479" spans="6:11" x14ac:dyDescent="0.2">
      <c r="F2479" s="163"/>
      <c r="K2479"/>
    </row>
    <row r="2480" spans="6:11" x14ac:dyDescent="0.2">
      <c r="F2480" s="163"/>
      <c r="K2480"/>
    </row>
    <row r="2481" spans="6:11" x14ac:dyDescent="0.2">
      <c r="F2481" s="163"/>
      <c r="K2481"/>
    </row>
    <row r="2482" spans="6:11" x14ac:dyDescent="0.2">
      <c r="F2482" s="163"/>
      <c r="K2482"/>
    </row>
    <row r="2483" spans="6:11" x14ac:dyDescent="0.2">
      <c r="F2483" s="163"/>
      <c r="K2483"/>
    </row>
    <row r="2484" spans="6:11" x14ac:dyDescent="0.2">
      <c r="F2484" s="163"/>
      <c r="K2484"/>
    </row>
    <row r="2485" spans="6:11" x14ac:dyDescent="0.2">
      <c r="F2485" s="163"/>
      <c r="K2485"/>
    </row>
    <row r="2486" spans="6:11" x14ac:dyDescent="0.2">
      <c r="F2486" s="163"/>
      <c r="K2486"/>
    </row>
    <row r="2487" spans="6:11" x14ac:dyDescent="0.2">
      <c r="F2487" s="163"/>
      <c r="K2487"/>
    </row>
    <row r="2488" spans="6:11" x14ac:dyDescent="0.2">
      <c r="F2488" s="163"/>
      <c r="K2488"/>
    </row>
    <row r="2489" spans="6:11" x14ac:dyDescent="0.2">
      <c r="F2489" s="163"/>
      <c r="K2489"/>
    </row>
    <row r="2490" spans="6:11" x14ac:dyDescent="0.2">
      <c r="F2490" s="163"/>
      <c r="K2490"/>
    </row>
    <row r="2491" spans="6:11" x14ac:dyDescent="0.2">
      <c r="F2491" s="163"/>
      <c r="K2491"/>
    </row>
    <row r="2492" spans="6:11" x14ac:dyDescent="0.2">
      <c r="F2492" s="163"/>
      <c r="K2492"/>
    </row>
    <row r="2493" spans="6:11" x14ac:dyDescent="0.2">
      <c r="F2493" s="163"/>
      <c r="K2493"/>
    </row>
    <row r="2494" spans="6:11" x14ac:dyDescent="0.2">
      <c r="F2494" s="163"/>
      <c r="K2494"/>
    </row>
    <row r="2495" spans="6:11" x14ac:dyDescent="0.2">
      <c r="F2495" s="163"/>
      <c r="K2495"/>
    </row>
    <row r="2496" spans="6:11" x14ac:dyDescent="0.2">
      <c r="F2496" s="163"/>
      <c r="K2496"/>
    </row>
    <row r="2497" spans="6:11" x14ac:dyDescent="0.2">
      <c r="F2497" s="163"/>
      <c r="K2497"/>
    </row>
    <row r="2498" spans="6:11" x14ac:dyDescent="0.2">
      <c r="F2498" s="163"/>
      <c r="K2498"/>
    </row>
    <row r="2499" spans="6:11" x14ac:dyDescent="0.2">
      <c r="F2499" s="163"/>
      <c r="K2499"/>
    </row>
    <row r="2500" spans="6:11" x14ac:dyDescent="0.2">
      <c r="F2500" s="163"/>
      <c r="K2500"/>
    </row>
    <row r="2501" spans="6:11" x14ac:dyDescent="0.2">
      <c r="F2501" s="163"/>
      <c r="K2501"/>
    </row>
    <row r="2502" spans="6:11" x14ac:dyDescent="0.2">
      <c r="F2502" s="163"/>
      <c r="K2502"/>
    </row>
    <row r="2503" spans="6:11" x14ac:dyDescent="0.2">
      <c r="F2503" s="163"/>
      <c r="K2503"/>
    </row>
    <row r="2504" spans="6:11" x14ac:dyDescent="0.2">
      <c r="F2504" s="163"/>
      <c r="K2504"/>
    </row>
    <row r="2505" spans="6:11" x14ac:dyDescent="0.2">
      <c r="F2505" s="163"/>
      <c r="K2505"/>
    </row>
    <row r="2506" spans="6:11" x14ac:dyDescent="0.2">
      <c r="F2506" s="163"/>
      <c r="K2506"/>
    </row>
    <row r="2507" spans="6:11" x14ac:dyDescent="0.2">
      <c r="F2507" s="163"/>
      <c r="K2507"/>
    </row>
    <row r="2508" spans="6:11" x14ac:dyDescent="0.2">
      <c r="F2508" s="163"/>
      <c r="K2508"/>
    </row>
    <row r="2509" spans="6:11" x14ac:dyDescent="0.2">
      <c r="F2509" s="163"/>
      <c r="K2509"/>
    </row>
    <row r="2510" spans="6:11" x14ac:dyDescent="0.2">
      <c r="F2510" s="163"/>
      <c r="K2510"/>
    </row>
    <row r="2511" spans="6:11" x14ac:dyDescent="0.2">
      <c r="F2511" s="163"/>
      <c r="K2511"/>
    </row>
    <row r="2512" spans="6:11" x14ac:dyDescent="0.2">
      <c r="F2512" s="163"/>
      <c r="K2512"/>
    </row>
    <row r="2513" spans="6:11" x14ac:dyDescent="0.2">
      <c r="F2513" s="163"/>
      <c r="K2513"/>
    </row>
    <row r="2514" spans="6:11" x14ac:dyDescent="0.2">
      <c r="F2514" s="163"/>
      <c r="K2514"/>
    </row>
    <row r="2515" spans="6:11" x14ac:dyDescent="0.2">
      <c r="F2515" s="163"/>
      <c r="K2515"/>
    </row>
    <row r="2516" spans="6:11" x14ac:dyDescent="0.2">
      <c r="F2516" s="163"/>
      <c r="K2516"/>
    </row>
    <row r="2517" spans="6:11" x14ac:dyDescent="0.2">
      <c r="F2517" s="163"/>
      <c r="K2517"/>
    </row>
    <row r="2518" spans="6:11" x14ac:dyDescent="0.2">
      <c r="F2518" s="163"/>
      <c r="K2518"/>
    </row>
    <row r="2519" spans="6:11" x14ac:dyDescent="0.2">
      <c r="F2519" s="163"/>
      <c r="K2519"/>
    </row>
    <row r="2520" spans="6:11" x14ac:dyDescent="0.2">
      <c r="F2520" s="163"/>
      <c r="K2520"/>
    </row>
    <row r="2521" spans="6:11" x14ac:dyDescent="0.2">
      <c r="F2521" s="163"/>
      <c r="K2521"/>
    </row>
    <row r="2522" spans="6:11" x14ac:dyDescent="0.2">
      <c r="F2522" s="163"/>
      <c r="K2522"/>
    </row>
    <row r="2523" spans="6:11" x14ac:dyDescent="0.2">
      <c r="F2523" s="163"/>
      <c r="K2523"/>
    </row>
    <row r="2524" spans="6:11" x14ac:dyDescent="0.2">
      <c r="F2524" s="163"/>
      <c r="K2524"/>
    </row>
    <row r="2525" spans="6:11" x14ac:dyDescent="0.2">
      <c r="F2525" s="163"/>
      <c r="K2525"/>
    </row>
    <row r="2526" spans="6:11" x14ac:dyDescent="0.2">
      <c r="F2526" s="163"/>
      <c r="K2526"/>
    </row>
    <row r="2527" spans="6:11" x14ac:dyDescent="0.2">
      <c r="F2527" s="163"/>
      <c r="K2527"/>
    </row>
    <row r="2528" spans="6:11" x14ac:dyDescent="0.2">
      <c r="F2528" s="163"/>
      <c r="K2528"/>
    </row>
    <row r="2529" spans="6:11" x14ac:dyDescent="0.2">
      <c r="F2529" s="163"/>
      <c r="K2529"/>
    </row>
    <row r="2530" spans="6:11" x14ac:dyDescent="0.2">
      <c r="F2530" s="163"/>
      <c r="K2530"/>
    </row>
    <row r="2531" spans="6:11" x14ac:dyDescent="0.2">
      <c r="F2531" s="163"/>
      <c r="K2531"/>
    </row>
    <row r="2532" spans="6:11" x14ac:dyDescent="0.2">
      <c r="F2532" s="163"/>
      <c r="K2532"/>
    </row>
    <row r="2533" spans="6:11" x14ac:dyDescent="0.2">
      <c r="F2533" s="163"/>
      <c r="K2533"/>
    </row>
    <row r="2534" spans="6:11" x14ac:dyDescent="0.2">
      <c r="F2534" s="163"/>
      <c r="K2534"/>
    </row>
    <row r="2535" spans="6:11" x14ac:dyDescent="0.2">
      <c r="F2535" s="163"/>
      <c r="K2535"/>
    </row>
    <row r="2536" spans="6:11" x14ac:dyDescent="0.2">
      <c r="F2536" s="163"/>
      <c r="K2536"/>
    </row>
    <row r="2537" spans="6:11" x14ac:dyDescent="0.2">
      <c r="F2537" s="163"/>
      <c r="K2537"/>
    </row>
    <row r="2538" spans="6:11" x14ac:dyDescent="0.2">
      <c r="F2538" s="163"/>
      <c r="K2538"/>
    </row>
    <row r="2539" spans="6:11" x14ac:dyDescent="0.2">
      <c r="F2539" s="163"/>
      <c r="K2539"/>
    </row>
    <row r="2540" spans="6:11" x14ac:dyDescent="0.2">
      <c r="F2540" s="163"/>
      <c r="K2540"/>
    </row>
    <row r="2541" spans="6:11" x14ac:dyDescent="0.2">
      <c r="F2541" s="163"/>
      <c r="K2541"/>
    </row>
    <row r="2542" spans="6:11" x14ac:dyDescent="0.2">
      <c r="F2542" s="163"/>
      <c r="K2542"/>
    </row>
    <row r="2543" spans="6:11" x14ac:dyDescent="0.2">
      <c r="F2543" s="163"/>
      <c r="K2543"/>
    </row>
    <row r="2544" spans="6:11" x14ac:dyDescent="0.2">
      <c r="F2544" s="163"/>
      <c r="K2544"/>
    </row>
    <row r="2545" spans="6:11" x14ac:dyDescent="0.2">
      <c r="F2545" s="163"/>
      <c r="K2545"/>
    </row>
    <row r="2546" spans="6:11" x14ac:dyDescent="0.2">
      <c r="F2546" s="163"/>
      <c r="K2546"/>
    </row>
    <row r="2547" spans="6:11" x14ac:dyDescent="0.2">
      <c r="F2547" s="163"/>
      <c r="K2547"/>
    </row>
    <row r="2548" spans="6:11" x14ac:dyDescent="0.2">
      <c r="F2548" s="163"/>
      <c r="K2548"/>
    </row>
    <row r="2549" spans="6:11" x14ac:dyDescent="0.2">
      <c r="F2549" s="163"/>
      <c r="K2549"/>
    </row>
    <row r="2550" spans="6:11" x14ac:dyDescent="0.2">
      <c r="F2550" s="163"/>
      <c r="K2550"/>
    </row>
    <row r="2551" spans="6:11" x14ac:dyDescent="0.2">
      <c r="F2551" s="163"/>
      <c r="K2551"/>
    </row>
    <row r="2552" spans="6:11" x14ac:dyDescent="0.2">
      <c r="F2552" s="163"/>
      <c r="K2552"/>
    </row>
    <row r="2553" spans="6:11" x14ac:dyDescent="0.2">
      <c r="F2553" s="163"/>
      <c r="K2553"/>
    </row>
    <row r="2554" spans="6:11" x14ac:dyDescent="0.2">
      <c r="F2554" s="163"/>
      <c r="K2554"/>
    </row>
    <row r="2555" spans="6:11" x14ac:dyDescent="0.2">
      <c r="F2555" s="163"/>
      <c r="K2555"/>
    </row>
    <row r="2556" spans="6:11" x14ac:dyDescent="0.2">
      <c r="F2556" s="163"/>
      <c r="K2556"/>
    </row>
    <row r="2557" spans="6:11" x14ac:dyDescent="0.2">
      <c r="F2557" s="163"/>
      <c r="K2557"/>
    </row>
    <row r="2558" spans="6:11" x14ac:dyDescent="0.2">
      <c r="F2558" s="163"/>
      <c r="K2558"/>
    </row>
    <row r="2559" spans="6:11" x14ac:dyDescent="0.2">
      <c r="F2559" s="163"/>
      <c r="K2559"/>
    </row>
    <row r="2560" spans="6:11" x14ac:dyDescent="0.2">
      <c r="F2560" s="163"/>
      <c r="K2560"/>
    </row>
    <row r="2561" spans="6:11" x14ac:dyDescent="0.2">
      <c r="F2561" s="163"/>
      <c r="K2561"/>
    </row>
    <row r="2562" spans="6:11" x14ac:dyDescent="0.2">
      <c r="F2562" s="163"/>
      <c r="K2562"/>
    </row>
    <row r="2563" spans="6:11" x14ac:dyDescent="0.2">
      <c r="F2563" s="163"/>
      <c r="K2563"/>
    </row>
    <row r="2564" spans="6:11" x14ac:dyDescent="0.2">
      <c r="F2564" s="163"/>
      <c r="K2564"/>
    </row>
    <row r="2565" spans="6:11" x14ac:dyDescent="0.2">
      <c r="F2565" s="163"/>
      <c r="K2565"/>
    </row>
    <row r="2566" spans="6:11" x14ac:dyDescent="0.2">
      <c r="F2566" s="163"/>
      <c r="K2566"/>
    </row>
    <row r="2567" spans="6:11" x14ac:dyDescent="0.2">
      <c r="F2567" s="163"/>
      <c r="K2567"/>
    </row>
    <row r="2568" spans="6:11" x14ac:dyDescent="0.2">
      <c r="F2568" s="163"/>
      <c r="K2568"/>
    </row>
    <row r="2569" spans="6:11" x14ac:dyDescent="0.2">
      <c r="F2569" s="163"/>
      <c r="K2569"/>
    </row>
    <row r="2570" spans="6:11" x14ac:dyDescent="0.2">
      <c r="F2570" s="163"/>
      <c r="K2570"/>
    </row>
    <row r="2571" spans="6:11" x14ac:dyDescent="0.2">
      <c r="F2571" s="163"/>
      <c r="K2571"/>
    </row>
    <row r="2572" spans="6:11" x14ac:dyDescent="0.2">
      <c r="F2572" s="163"/>
      <c r="K2572"/>
    </row>
    <row r="2573" spans="6:11" x14ac:dyDescent="0.2">
      <c r="F2573" s="163"/>
      <c r="K2573"/>
    </row>
    <row r="2574" spans="6:11" x14ac:dyDescent="0.2">
      <c r="F2574" s="163"/>
      <c r="K2574"/>
    </row>
    <row r="2575" spans="6:11" x14ac:dyDescent="0.2">
      <c r="F2575" s="163"/>
      <c r="K2575"/>
    </row>
    <row r="2576" spans="6:11" x14ac:dyDescent="0.2">
      <c r="F2576" s="163"/>
      <c r="K2576"/>
    </row>
    <row r="2577" spans="6:11" x14ac:dyDescent="0.2">
      <c r="F2577" s="163"/>
      <c r="K2577"/>
    </row>
    <row r="2578" spans="6:11" x14ac:dyDescent="0.2">
      <c r="F2578" s="163"/>
      <c r="K2578"/>
    </row>
    <row r="2579" spans="6:11" x14ac:dyDescent="0.2">
      <c r="F2579" s="163"/>
      <c r="K2579"/>
    </row>
    <row r="2580" spans="6:11" x14ac:dyDescent="0.2">
      <c r="F2580" s="163"/>
      <c r="K2580"/>
    </row>
    <row r="2581" spans="6:11" x14ac:dyDescent="0.2">
      <c r="F2581" s="163"/>
      <c r="K2581"/>
    </row>
    <row r="2582" spans="6:11" x14ac:dyDescent="0.2">
      <c r="F2582" s="163"/>
      <c r="K2582"/>
    </row>
    <row r="2583" spans="6:11" x14ac:dyDescent="0.2">
      <c r="F2583" s="163"/>
      <c r="K2583"/>
    </row>
    <row r="2584" spans="6:11" x14ac:dyDescent="0.2">
      <c r="F2584" s="163"/>
      <c r="K2584"/>
    </row>
    <row r="2585" spans="6:11" x14ac:dyDescent="0.2">
      <c r="F2585" s="163"/>
      <c r="K2585"/>
    </row>
    <row r="2586" spans="6:11" x14ac:dyDescent="0.2">
      <c r="F2586" s="163"/>
      <c r="K2586"/>
    </row>
    <row r="2587" spans="6:11" x14ac:dyDescent="0.2">
      <c r="F2587" s="163"/>
      <c r="K2587"/>
    </row>
    <row r="2588" spans="6:11" x14ac:dyDescent="0.2">
      <c r="F2588" s="163"/>
      <c r="K2588"/>
    </row>
    <row r="2589" spans="6:11" x14ac:dyDescent="0.2">
      <c r="F2589" s="163"/>
      <c r="K2589"/>
    </row>
    <row r="2590" spans="6:11" x14ac:dyDescent="0.2">
      <c r="F2590" s="163"/>
      <c r="K2590"/>
    </row>
    <row r="2591" spans="6:11" x14ac:dyDescent="0.2">
      <c r="F2591" s="163"/>
      <c r="K2591"/>
    </row>
    <row r="2592" spans="6:11" x14ac:dyDescent="0.2">
      <c r="F2592" s="163"/>
      <c r="K2592"/>
    </row>
    <row r="2593" spans="6:11" x14ac:dyDescent="0.2">
      <c r="F2593" s="163"/>
      <c r="K2593"/>
    </row>
    <row r="2594" spans="6:11" x14ac:dyDescent="0.2">
      <c r="F2594" s="163"/>
      <c r="K2594"/>
    </row>
    <row r="2595" spans="6:11" x14ac:dyDescent="0.2">
      <c r="F2595" s="163"/>
      <c r="K2595"/>
    </row>
    <row r="2596" spans="6:11" x14ac:dyDescent="0.2">
      <c r="F2596" s="163"/>
      <c r="K2596"/>
    </row>
    <row r="2597" spans="6:11" x14ac:dyDescent="0.2">
      <c r="F2597" s="163"/>
      <c r="K2597"/>
    </row>
    <row r="2598" spans="6:11" x14ac:dyDescent="0.2">
      <c r="F2598" s="163"/>
      <c r="K2598"/>
    </row>
    <row r="2599" spans="6:11" x14ac:dyDescent="0.2">
      <c r="F2599" s="163"/>
      <c r="K2599"/>
    </row>
    <row r="2600" spans="6:11" x14ac:dyDescent="0.2">
      <c r="F2600" s="163"/>
      <c r="K2600"/>
    </row>
    <row r="2601" spans="6:11" x14ac:dyDescent="0.2">
      <c r="F2601" s="163"/>
      <c r="K2601"/>
    </row>
    <row r="2602" spans="6:11" x14ac:dyDescent="0.2">
      <c r="F2602" s="163"/>
      <c r="K2602"/>
    </row>
    <row r="2603" spans="6:11" x14ac:dyDescent="0.2">
      <c r="F2603" s="163"/>
      <c r="K2603"/>
    </row>
    <row r="2604" spans="6:11" x14ac:dyDescent="0.2">
      <c r="F2604" s="163"/>
      <c r="K2604"/>
    </row>
    <row r="2605" spans="6:11" x14ac:dyDescent="0.2">
      <c r="F2605" s="163"/>
      <c r="K2605"/>
    </row>
    <row r="2606" spans="6:11" x14ac:dyDescent="0.2">
      <c r="F2606" s="163"/>
      <c r="K2606"/>
    </row>
    <row r="2607" spans="6:11" x14ac:dyDescent="0.2">
      <c r="F2607" s="163"/>
      <c r="K2607"/>
    </row>
    <row r="2608" spans="6:11" x14ac:dyDescent="0.2">
      <c r="F2608" s="163"/>
      <c r="K2608"/>
    </row>
    <row r="2609" spans="6:11" x14ac:dyDescent="0.2">
      <c r="F2609" s="163"/>
      <c r="K2609"/>
    </row>
    <row r="2610" spans="6:11" x14ac:dyDescent="0.2">
      <c r="F2610" s="163"/>
      <c r="K2610"/>
    </row>
    <row r="2611" spans="6:11" x14ac:dyDescent="0.2">
      <c r="F2611" s="163"/>
      <c r="K2611"/>
    </row>
    <row r="2612" spans="6:11" x14ac:dyDescent="0.2">
      <c r="F2612" s="163"/>
      <c r="K2612"/>
    </row>
    <row r="2613" spans="6:11" x14ac:dyDescent="0.2">
      <c r="F2613" s="163"/>
      <c r="K2613"/>
    </row>
    <row r="2614" spans="6:11" x14ac:dyDescent="0.2">
      <c r="F2614" s="163"/>
      <c r="K2614"/>
    </row>
    <row r="2615" spans="6:11" x14ac:dyDescent="0.2">
      <c r="F2615" s="163"/>
      <c r="K2615"/>
    </row>
    <row r="2616" spans="6:11" x14ac:dyDescent="0.2">
      <c r="F2616" s="163"/>
      <c r="K2616"/>
    </row>
    <row r="2617" spans="6:11" x14ac:dyDescent="0.2">
      <c r="F2617" s="163"/>
      <c r="K2617"/>
    </row>
    <row r="2618" spans="6:11" x14ac:dyDescent="0.2">
      <c r="F2618" s="163"/>
      <c r="K2618"/>
    </row>
    <row r="2619" spans="6:11" x14ac:dyDescent="0.2">
      <c r="F2619" s="163"/>
      <c r="K2619"/>
    </row>
    <row r="2620" spans="6:11" x14ac:dyDescent="0.2">
      <c r="F2620" s="163"/>
      <c r="K2620"/>
    </row>
    <row r="2621" spans="6:11" x14ac:dyDescent="0.2">
      <c r="F2621" s="163"/>
      <c r="K2621"/>
    </row>
    <row r="2622" spans="6:11" x14ac:dyDescent="0.2">
      <c r="F2622" s="163"/>
      <c r="K2622"/>
    </row>
    <row r="2623" spans="6:11" x14ac:dyDescent="0.2">
      <c r="F2623" s="163"/>
      <c r="K2623"/>
    </row>
    <row r="2624" spans="6:11" x14ac:dyDescent="0.2">
      <c r="F2624" s="163"/>
      <c r="K2624"/>
    </row>
    <row r="2625" spans="6:11" x14ac:dyDescent="0.2">
      <c r="F2625" s="163"/>
      <c r="K2625"/>
    </row>
    <row r="2626" spans="6:11" x14ac:dyDescent="0.2">
      <c r="F2626" s="163"/>
      <c r="K2626"/>
    </row>
    <row r="2627" spans="6:11" x14ac:dyDescent="0.2">
      <c r="F2627" s="163"/>
      <c r="K2627"/>
    </row>
    <row r="2628" spans="6:11" x14ac:dyDescent="0.2">
      <c r="F2628" s="163"/>
      <c r="K2628"/>
    </row>
    <row r="2629" spans="6:11" x14ac:dyDescent="0.2">
      <c r="F2629" s="163"/>
      <c r="K2629"/>
    </row>
    <row r="2630" spans="6:11" x14ac:dyDescent="0.2">
      <c r="F2630" s="163"/>
      <c r="K2630"/>
    </row>
    <row r="2631" spans="6:11" x14ac:dyDescent="0.2">
      <c r="F2631" s="163"/>
      <c r="K2631"/>
    </row>
    <row r="2632" spans="6:11" x14ac:dyDescent="0.2">
      <c r="F2632" s="163"/>
      <c r="K2632"/>
    </row>
    <row r="2633" spans="6:11" x14ac:dyDescent="0.2">
      <c r="F2633" s="163"/>
      <c r="K2633"/>
    </row>
    <row r="2634" spans="6:11" x14ac:dyDescent="0.2">
      <c r="F2634" s="163"/>
      <c r="K2634"/>
    </row>
    <row r="2635" spans="6:11" x14ac:dyDescent="0.2">
      <c r="F2635" s="163"/>
      <c r="K2635"/>
    </row>
    <row r="2636" spans="6:11" x14ac:dyDescent="0.2">
      <c r="F2636" s="163"/>
      <c r="K2636"/>
    </row>
    <row r="2637" spans="6:11" x14ac:dyDescent="0.2">
      <c r="F2637" s="163"/>
      <c r="K2637"/>
    </row>
    <row r="2638" spans="6:11" x14ac:dyDescent="0.2">
      <c r="F2638" s="163"/>
      <c r="K2638"/>
    </row>
    <row r="2639" spans="6:11" x14ac:dyDescent="0.2">
      <c r="F2639" s="163"/>
      <c r="K2639"/>
    </row>
    <row r="2640" spans="6:11" x14ac:dyDescent="0.2">
      <c r="F2640" s="163"/>
      <c r="K2640"/>
    </row>
    <row r="2641" spans="6:11" x14ac:dyDescent="0.2">
      <c r="F2641" s="163"/>
      <c r="K2641"/>
    </row>
    <row r="2642" spans="6:11" x14ac:dyDescent="0.2">
      <c r="F2642" s="163"/>
      <c r="K2642"/>
    </row>
    <row r="2643" spans="6:11" x14ac:dyDescent="0.2">
      <c r="F2643" s="163"/>
      <c r="K2643"/>
    </row>
    <row r="2644" spans="6:11" x14ac:dyDescent="0.2">
      <c r="F2644" s="163"/>
      <c r="K2644"/>
    </row>
    <row r="2645" spans="6:11" x14ac:dyDescent="0.2">
      <c r="F2645" s="163"/>
      <c r="K2645"/>
    </row>
    <row r="2646" spans="6:11" x14ac:dyDescent="0.2">
      <c r="F2646" s="163"/>
      <c r="K2646"/>
    </row>
    <row r="2647" spans="6:11" x14ac:dyDescent="0.2">
      <c r="F2647" s="163"/>
      <c r="K2647"/>
    </row>
    <row r="2648" spans="6:11" x14ac:dyDescent="0.2">
      <c r="F2648" s="163"/>
      <c r="K2648"/>
    </row>
    <row r="2649" spans="6:11" x14ac:dyDescent="0.2">
      <c r="F2649" s="163"/>
      <c r="K2649"/>
    </row>
    <row r="2650" spans="6:11" x14ac:dyDescent="0.2">
      <c r="F2650" s="163"/>
      <c r="K2650"/>
    </row>
    <row r="2651" spans="6:11" x14ac:dyDescent="0.2">
      <c r="F2651" s="163"/>
      <c r="K2651"/>
    </row>
    <row r="2652" spans="6:11" x14ac:dyDescent="0.2">
      <c r="F2652" s="163"/>
      <c r="K2652"/>
    </row>
    <row r="2653" spans="6:11" x14ac:dyDescent="0.2">
      <c r="F2653" s="163"/>
      <c r="K2653"/>
    </row>
    <row r="2654" spans="6:11" x14ac:dyDescent="0.2">
      <c r="F2654" s="163"/>
      <c r="K2654"/>
    </row>
    <row r="2655" spans="6:11" x14ac:dyDescent="0.2">
      <c r="F2655" s="163"/>
      <c r="K2655"/>
    </row>
    <row r="2656" spans="6:11" x14ac:dyDescent="0.2">
      <c r="F2656" s="163"/>
      <c r="K2656"/>
    </row>
    <row r="2657" spans="6:11" x14ac:dyDescent="0.2">
      <c r="F2657" s="163"/>
      <c r="K2657"/>
    </row>
    <row r="2658" spans="6:11" x14ac:dyDescent="0.2">
      <c r="F2658" s="163"/>
      <c r="K2658"/>
    </row>
    <row r="2659" spans="6:11" x14ac:dyDescent="0.2">
      <c r="F2659" s="163"/>
      <c r="K2659"/>
    </row>
    <row r="2660" spans="6:11" x14ac:dyDescent="0.2">
      <c r="F2660" s="163"/>
      <c r="K2660"/>
    </row>
    <row r="2661" spans="6:11" x14ac:dyDescent="0.2">
      <c r="F2661" s="163"/>
      <c r="K2661"/>
    </row>
    <row r="2662" spans="6:11" x14ac:dyDescent="0.2">
      <c r="F2662" s="163"/>
      <c r="K2662"/>
    </row>
    <row r="2663" spans="6:11" x14ac:dyDescent="0.2">
      <c r="F2663" s="163"/>
      <c r="K2663"/>
    </row>
    <row r="2664" spans="6:11" x14ac:dyDescent="0.2">
      <c r="F2664" s="163"/>
      <c r="K2664"/>
    </row>
    <row r="2665" spans="6:11" x14ac:dyDescent="0.2">
      <c r="F2665" s="163"/>
      <c r="K2665"/>
    </row>
    <row r="2666" spans="6:11" x14ac:dyDescent="0.2">
      <c r="F2666" s="163"/>
      <c r="K2666"/>
    </row>
    <row r="2667" spans="6:11" x14ac:dyDescent="0.2">
      <c r="F2667" s="163"/>
      <c r="K2667"/>
    </row>
    <row r="2668" spans="6:11" x14ac:dyDescent="0.2">
      <c r="F2668" s="163"/>
      <c r="K2668"/>
    </row>
    <row r="2669" spans="6:11" x14ac:dyDescent="0.2">
      <c r="F2669" s="163"/>
      <c r="K2669"/>
    </row>
    <row r="2670" spans="6:11" x14ac:dyDescent="0.2">
      <c r="F2670" s="163"/>
      <c r="K2670"/>
    </row>
    <row r="2671" spans="6:11" x14ac:dyDescent="0.2">
      <c r="F2671" s="163"/>
      <c r="K2671"/>
    </row>
    <row r="2672" spans="6:11" x14ac:dyDescent="0.2">
      <c r="F2672" s="163"/>
      <c r="K2672"/>
    </row>
    <row r="2673" spans="6:11" x14ac:dyDescent="0.2">
      <c r="F2673" s="163"/>
      <c r="K2673"/>
    </row>
    <row r="2674" spans="6:11" x14ac:dyDescent="0.2">
      <c r="F2674" s="163"/>
      <c r="K2674"/>
    </row>
    <row r="2675" spans="6:11" x14ac:dyDescent="0.2">
      <c r="F2675" s="163"/>
      <c r="K2675"/>
    </row>
    <row r="2676" spans="6:11" x14ac:dyDescent="0.2">
      <c r="F2676" s="163"/>
      <c r="K2676"/>
    </row>
    <row r="2677" spans="6:11" x14ac:dyDescent="0.2">
      <c r="F2677" s="163"/>
      <c r="K2677"/>
    </row>
    <row r="2678" spans="6:11" x14ac:dyDescent="0.2">
      <c r="F2678" s="163"/>
      <c r="K2678"/>
    </row>
    <row r="2679" spans="6:11" x14ac:dyDescent="0.2">
      <c r="F2679" s="163"/>
      <c r="K2679"/>
    </row>
    <row r="2680" spans="6:11" x14ac:dyDescent="0.2">
      <c r="F2680" s="163"/>
      <c r="K2680"/>
    </row>
    <row r="2681" spans="6:11" x14ac:dyDescent="0.2">
      <c r="F2681" s="163"/>
      <c r="K2681"/>
    </row>
    <row r="2682" spans="6:11" x14ac:dyDescent="0.2">
      <c r="F2682" s="163"/>
      <c r="K2682"/>
    </row>
    <row r="2683" spans="6:11" x14ac:dyDescent="0.2">
      <c r="F2683" s="163"/>
      <c r="K2683"/>
    </row>
    <row r="2684" spans="6:11" x14ac:dyDescent="0.2">
      <c r="F2684" s="163"/>
      <c r="K2684"/>
    </row>
    <row r="2685" spans="6:11" x14ac:dyDescent="0.2">
      <c r="F2685" s="163"/>
      <c r="K2685"/>
    </row>
    <row r="2686" spans="6:11" x14ac:dyDescent="0.2">
      <c r="F2686" s="163"/>
      <c r="K2686"/>
    </row>
    <row r="2687" spans="6:11" x14ac:dyDescent="0.2">
      <c r="F2687" s="163"/>
      <c r="K2687"/>
    </row>
    <row r="2688" spans="6:11" x14ac:dyDescent="0.2">
      <c r="F2688" s="163"/>
      <c r="K2688"/>
    </row>
    <row r="2689" spans="6:11" x14ac:dyDescent="0.2">
      <c r="F2689" s="163"/>
      <c r="K2689"/>
    </row>
    <row r="2690" spans="6:11" x14ac:dyDescent="0.2">
      <c r="F2690" s="163"/>
      <c r="K2690"/>
    </row>
    <row r="2691" spans="6:11" x14ac:dyDescent="0.2">
      <c r="F2691" s="163"/>
      <c r="K2691"/>
    </row>
    <row r="2692" spans="6:11" x14ac:dyDescent="0.2">
      <c r="F2692" s="163"/>
      <c r="K2692"/>
    </row>
    <row r="2693" spans="6:11" x14ac:dyDescent="0.2">
      <c r="F2693" s="163"/>
      <c r="K2693"/>
    </row>
    <row r="2694" spans="6:11" x14ac:dyDescent="0.2">
      <c r="F2694" s="163"/>
      <c r="K2694"/>
    </row>
    <row r="2695" spans="6:11" x14ac:dyDescent="0.2">
      <c r="F2695" s="163"/>
      <c r="K2695"/>
    </row>
    <row r="2696" spans="6:11" x14ac:dyDescent="0.2">
      <c r="F2696" s="163"/>
      <c r="K2696"/>
    </row>
    <row r="2697" spans="6:11" x14ac:dyDescent="0.2">
      <c r="F2697" s="163"/>
      <c r="K2697"/>
    </row>
    <row r="2698" spans="6:11" x14ac:dyDescent="0.2">
      <c r="F2698" s="163"/>
      <c r="K2698"/>
    </row>
    <row r="2699" spans="6:11" x14ac:dyDescent="0.2">
      <c r="F2699" s="163"/>
      <c r="K2699"/>
    </row>
    <row r="2700" spans="6:11" x14ac:dyDescent="0.2">
      <c r="F2700" s="163"/>
      <c r="K2700"/>
    </row>
    <row r="2701" spans="6:11" x14ac:dyDescent="0.2">
      <c r="F2701" s="163"/>
      <c r="K2701"/>
    </row>
    <row r="2702" spans="6:11" x14ac:dyDescent="0.2">
      <c r="F2702" s="163"/>
      <c r="K2702"/>
    </row>
    <row r="2703" spans="6:11" x14ac:dyDescent="0.2">
      <c r="F2703" s="163"/>
      <c r="K2703"/>
    </row>
    <row r="2704" spans="6:11" x14ac:dyDescent="0.2">
      <c r="F2704" s="163"/>
      <c r="K2704"/>
    </row>
    <row r="2705" spans="6:11" x14ac:dyDescent="0.2">
      <c r="F2705" s="163"/>
      <c r="K2705"/>
    </row>
    <row r="2706" spans="6:11" x14ac:dyDescent="0.2">
      <c r="F2706" s="163"/>
      <c r="K2706"/>
    </row>
    <row r="2707" spans="6:11" x14ac:dyDescent="0.2">
      <c r="F2707" s="163"/>
      <c r="K2707"/>
    </row>
    <row r="2708" spans="6:11" x14ac:dyDescent="0.2">
      <c r="F2708" s="163"/>
      <c r="K2708"/>
    </row>
    <row r="2709" spans="6:11" x14ac:dyDescent="0.2">
      <c r="F2709" s="163"/>
      <c r="K2709"/>
    </row>
    <row r="2710" spans="6:11" x14ac:dyDescent="0.2">
      <c r="F2710" s="163"/>
      <c r="K2710"/>
    </row>
    <row r="2711" spans="6:11" x14ac:dyDescent="0.2">
      <c r="F2711" s="163"/>
      <c r="K2711"/>
    </row>
    <row r="2712" spans="6:11" x14ac:dyDescent="0.2">
      <c r="F2712" s="163"/>
      <c r="K2712"/>
    </row>
    <row r="2713" spans="6:11" x14ac:dyDescent="0.2">
      <c r="F2713" s="163"/>
      <c r="K2713"/>
    </row>
    <row r="2714" spans="6:11" x14ac:dyDescent="0.2">
      <c r="F2714" s="163"/>
      <c r="K2714"/>
    </row>
    <row r="2715" spans="6:11" x14ac:dyDescent="0.2">
      <c r="F2715" s="163"/>
      <c r="K2715"/>
    </row>
    <row r="2716" spans="6:11" x14ac:dyDescent="0.2">
      <c r="F2716" s="163"/>
      <c r="K2716"/>
    </row>
    <row r="2717" spans="6:11" x14ac:dyDescent="0.2">
      <c r="F2717" s="163"/>
      <c r="K2717"/>
    </row>
    <row r="2718" spans="6:11" x14ac:dyDescent="0.2">
      <c r="F2718" s="163"/>
      <c r="K2718"/>
    </row>
    <row r="2719" spans="6:11" x14ac:dyDescent="0.2">
      <c r="F2719" s="163"/>
      <c r="K2719"/>
    </row>
    <row r="2720" spans="6:11" x14ac:dyDescent="0.2">
      <c r="F2720" s="163"/>
      <c r="K2720"/>
    </row>
    <row r="2721" spans="6:11" x14ac:dyDescent="0.2">
      <c r="F2721" s="163"/>
      <c r="K2721"/>
    </row>
    <row r="2722" spans="6:11" x14ac:dyDescent="0.2">
      <c r="F2722" s="163"/>
      <c r="K2722"/>
    </row>
    <row r="2723" spans="6:11" x14ac:dyDescent="0.2">
      <c r="F2723" s="163"/>
      <c r="K2723"/>
    </row>
    <row r="2724" spans="6:11" x14ac:dyDescent="0.2">
      <c r="F2724" s="163"/>
      <c r="K2724"/>
    </row>
    <row r="2725" spans="6:11" x14ac:dyDescent="0.2">
      <c r="F2725" s="163"/>
      <c r="K2725"/>
    </row>
    <row r="2726" spans="6:11" x14ac:dyDescent="0.2">
      <c r="F2726" s="163"/>
      <c r="K2726"/>
    </row>
    <row r="2727" spans="6:11" x14ac:dyDescent="0.2">
      <c r="F2727" s="163"/>
      <c r="K2727"/>
    </row>
    <row r="2728" spans="6:11" x14ac:dyDescent="0.2">
      <c r="F2728" s="163"/>
      <c r="K2728"/>
    </row>
    <row r="2729" spans="6:11" x14ac:dyDescent="0.2">
      <c r="F2729" s="163"/>
      <c r="K2729"/>
    </row>
    <row r="2730" spans="6:11" x14ac:dyDescent="0.2">
      <c r="F2730" s="163"/>
      <c r="K2730"/>
    </row>
    <row r="2731" spans="6:11" x14ac:dyDescent="0.2">
      <c r="F2731" s="163"/>
      <c r="K2731"/>
    </row>
    <row r="2732" spans="6:11" x14ac:dyDescent="0.2">
      <c r="F2732" s="163"/>
      <c r="K2732"/>
    </row>
    <row r="2733" spans="6:11" x14ac:dyDescent="0.2">
      <c r="F2733" s="163"/>
      <c r="K2733"/>
    </row>
    <row r="2734" spans="6:11" x14ac:dyDescent="0.2">
      <c r="F2734" s="163"/>
      <c r="K2734"/>
    </row>
    <row r="2735" spans="6:11" x14ac:dyDescent="0.2">
      <c r="F2735" s="163"/>
      <c r="K2735"/>
    </row>
    <row r="2736" spans="6:11" x14ac:dyDescent="0.2">
      <c r="F2736" s="163"/>
      <c r="K2736"/>
    </row>
    <row r="2737" spans="6:11" x14ac:dyDescent="0.2">
      <c r="F2737" s="163"/>
      <c r="K2737"/>
    </row>
    <row r="2738" spans="6:11" x14ac:dyDescent="0.2">
      <c r="F2738" s="163"/>
      <c r="K2738"/>
    </row>
    <row r="2739" spans="6:11" x14ac:dyDescent="0.2">
      <c r="F2739" s="163"/>
      <c r="K2739"/>
    </row>
    <row r="2740" spans="6:11" x14ac:dyDescent="0.2">
      <c r="F2740" s="163"/>
      <c r="K2740"/>
    </row>
    <row r="2741" spans="6:11" x14ac:dyDescent="0.2">
      <c r="F2741" s="163"/>
      <c r="K2741"/>
    </row>
    <row r="2742" spans="6:11" x14ac:dyDescent="0.2">
      <c r="F2742" s="163"/>
      <c r="K2742"/>
    </row>
    <row r="2743" spans="6:11" x14ac:dyDescent="0.2">
      <c r="F2743" s="163"/>
      <c r="K2743"/>
    </row>
    <row r="2744" spans="6:11" x14ac:dyDescent="0.2">
      <c r="F2744" s="163"/>
      <c r="K2744"/>
    </row>
    <row r="2745" spans="6:11" x14ac:dyDescent="0.2">
      <c r="F2745" s="163"/>
      <c r="K2745"/>
    </row>
    <row r="2746" spans="6:11" x14ac:dyDescent="0.2">
      <c r="F2746" s="163"/>
      <c r="K2746"/>
    </row>
    <row r="2747" spans="6:11" x14ac:dyDescent="0.2">
      <c r="F2747" s="163"/>
      <c r="K2747"/>
    </row>
    <row r="2748" spans="6:11" x14ac:dyDescent="0.2">
      <c r="F2748" s="163"/>
      <c r="K2748"/>
    </row>
    <row r="2749" spans="6:11" x14ac:dyDescent="0.2">
      <c r="F2749" s="163"/>
      <c r="K2749"/>
    </row>
    <row r="2750" spans="6:11" x14ac:dyDescent="0.2">
      <c r="F2750" s="163"/>
      <c r="K2750"/>
    </row>
    <row r="2751" spans="6:11" x14ac:dyDescent="0.2">
      <c r="F2751" s="163"/>
      <c r="K2751"/>
    </row>
    <row r="2752" spans="6:11" x14ac:dyDescent="0.2">
      <c r="F2752" s="163"/>
      <c r="K2752"/>
    </row>
    <row r="2753" spans="6:11" x14ac:dyDescent="0.2">
      <c r="F2753" s="163"/>
      <c r="K2753"/>
    </row>
    <row r="2754" spans="6:11" x14ac:dyDescent="0.2">
      <c r="F2754" s="163"/>
      <c r="K2754"/>
    </row>
    <row r="2755" spans="6:11" x14ac:dyDescent="0.2">
      <c r="F2755" s="163"/>
      <c r="K2755"/>
    </row>
    <row r="2756" spans="6:11" x14ac:dyDescent="0.2">
      <c r="F2756" s="163"/>
      <c r="K2756"/>
    </row>
    <row r="2757" spans="6:11" x14ac:dyDescent="0.2">
      <c r="F2757" s="163"/>
      <c r="K2757"/>
    </row>
    <row r="2758" spans="6:11" x14ac:dyDescent="0.2">
      <c r="F2758" s="163"/>
      <c r="K2758"/>
    </row>
    <row r="2759" spans="6:11" x14ac:dyDescent="0.2">
      <c r="F2759" s="163"/>
      <c r="K2759"/>
    </row>
    <row r="2760" spans="6:11" x14ac:dyDescent="0.2">
      <c r="F2760" s="163"/>
      <c r="K2760"/>
    </row>
    <row r="2761" spans="6:11" x14ac:dyDescent="0.2">
      <c r="F2761" s="163"/>
      <c r="K2761"/>
    </row>
    <row r="2762" spans="6:11" x14ac:dyDescent="0.2">
      <c r="F2762" s="163"/>
      <c r="K2762"/>
    </row>
    <row r="2763" spans="6:11" x14ac:dyDescent="0.2">
      <c r="F2763" s="163"/>
      <c r="K2763"/>
    </row>
    <row r="2764" spans="6:11" x14ac:dyDescent="0.2">
      <c r="F2764" s="163"/>
      <c r="K2764"/>
    </row>
    <row r="2765" spans="6:11" x14ac:dyDescent="0.2">
      <c r="F2765" s="163"/>
      <c r="K2765"/>
    </row>
    <row r="2766" spans="6:11" x14ac:dyDescent="0.2">
      <c r="F2766" s="163"/>
      <c r="K2766"/>
    </row>
    <row r="2767" spans="6:11" x14ac:dyDescent="0.2">
      <c r="F2767" s="163"/>
      <c r="K2767"/>
    </row>
    <row r="2768" spans="6:11" x14ac:dyDescent="0.2">
      <c r="F2768" s="163"/>
      <c r="K2768"/>
    </row>
    <row r="2769" spans="6:11" x14ac:dyDescent="0.2">
      <c r="F2769" s="163"/>
      <c r="K2769"/>
    </row>
    <row r="2770" spans="6:11" x14ac:dyDescent="0.2">
      <c r="F2770" s="163"/>
      <c r="K2770"/>
    </row>
    <row r="2771" spans="6:11" x14ac:dyDescent="0.2">
      <c r="F2771" s="163"/>
      <c r="K2771"/>
    </row>
    <row r="2772" spans="6:11" x14ac:dyDescent="0.2">
      <c r="F2772" s="163"/>
      <c r="K2772"/>
    </row>
    <row r="2773" spans="6:11" x14ac:dyDescent="0.2">
      <c r="F2773" s="163"/>
      <c r="K2773"/>
    </row>
    <row r="2774" spans="6:11" x14ac:dyDescent="0.2">
      <c r="F2774" s="163"/>
      <c r="K2774"/>
    </row>
    <row r="2775" spans="6:11" x14ac:dyDescent="0.2">
      <c r="F2775" s="163"/>
      <c r="K2775"/>
    </row>
    <row r="2776" spans="6:11" x14ac:dyDescent="0.2">
      <c r="F2776" s="163"/>
      <c r="K2776"/>
    </row>
    <row r="2777" spans="6:11" x14ac:dyDescent="0.2">
      <c r="F2777" s="163"/>
      <c r="K2777"/>
    </row>
    <row r="2778" spans="6:11" x14ac:dyDescent="0.2">
      <c r="F2778" s="163"/>
      <c r="K2778"/>
    </row>
    <row r="2779" spans="6:11" x14ac:dyDescent="0.2">
      <c r="F2779" s="163"/>
      <c r="K2779"/>
    </row>
    <row r="2780" spans="6:11" x14ac:dyDescent="0.2">
      <c r="F2780" s="163"/>
      <c r="K2780"/>
    </row>
    <row r="2781" spans="6:11" x14ac:dyDescent="0.2">
      <c r="F2781" s="163"/>
      <c r="K2781"/>
    </row>
    <row r="2782" spans="6:11" x14ac:dyDescent="0.2">
      <c r="F2782" s="163"/>
      <c r="K2782"/>
    </row>
    <row r="2783" spans="6:11" x14ac:dyDescent="0.2">
      <c r="F2783" s="163"/>
      <c r="K2783"/>
    </row>
    <row r="2784" spans="6:11" x14ac:dyDescent="0.2">
      <c r="F2784" s="163"/>
      <c r="K2784"/>
    </row>
    <row r="2785" spans="6:11" x14ac:dyDescent="0.2">
      <c r="F2785" s="163"/>
      <c r="K2785"/>
    </row>
    <row r="2786" spans="6:11" x14ac:dyDescent="0.2">
      <c r="F2786" s="163"/>
      <c r="K2786"/>
    </row>
    <row r="2787" spans="6:11" x14ac:dyDescent="0.2">
      <c r="F2787" s="163"/>
      <c r="K2787"/>
    </row>
    <row r="2788" spans="6:11" x14ac:dyDescent="0.2">
      <c r="F2788" s="163"/>
      <c r="K2788"/>
    </row>
    <row r="2789" spans="6:11" x14ac:dyDescent="0.2">
      <c r="F2789" s="163"/>
      <c r="K2789"/>
    </row>
    <row r="2790" spans="6:11" x14ac:dyDescent="0.2">
      <c r="F2790" s="163"/>
      <c r="K2790"/>
    </row>
    <row r="2791" spans="6:11" x14ac:dyDescent="0.2">
      <c r="F2791" s="163"/>
      <c r="K2791"/>
    </row>
    <row r="2792" spans="6:11" x14ac:dyDescent="0.2">
      <c r="F2792" s="163"/>
      <c r="K2792"/>
    </row>
    <row r="2793" spans="6:11" x14ac:dyDescent="0.2">
      <c r="F2793" s="163"/>
      <c r="K2793"/>
    </row>
    <row r="2794" spans="6:11" x14ac:dyDescent="0.2">
      <c r="F2794" s="163"/>
      <c r="K2794"/>
    </row>
    <row r="2795" spans="6:11" x14ac:dyDescent="0.2">
      <c r="F2795" s="163"/>
      <c r="K2795"/>
    </row>
    <row r="2796" spans="6:11" x14ac:dyDescent="0.2">
      <c r="F2796" s="163"/>
      <c r="K2796"/>
    </row>
    <row r="2797" spans="6:11" x14ac:dyDescent="0.2">
      <c r="F2797" s="163"/>
      <c r="K2797"/>
    </row>
    <row r="2798" spans="6:11" x14ac:dyDescent="0.2">
      <c r="F2798" s="163"/>
      <c r="K2798"/>
    </row>
    <row r="2799" spans="6:11" x14ac:dyDescent="0.2">
      <c r="F2799" s="163"/>
      <c r="K2799"/>
    </row>
    <row r="2800" spans="6:11" x14ac:dyDescent="0.2">
      <c r="F2800" s="163"/>
      <c r="K2800"/>
    </row>
    <row r="2801" spans="6:11" x14ac:dyDescent="0.2">
      <c r="F2801" s="163"/>
      <c r="K2801"/>
    </row>
    <row r="2802" spans="6:11" x14ac:dyDescent="0.2">
      <c r="F2802" s="163"/>
      <c r="K2802"/>
    </row>
    <row r="2803" spans="6:11" x14ac:dyDescent="0.2">
      <c r="F2803" s="163"/>
      <c r="K2803"/>
    </row>
    <row r="2804" spans="6:11" x14ac:dyDescent="0.2">
      <c r="F2804" s="163"/>
      <c r="K2804"/>
    </row>
    <row r="2805" spans="6:11" x14ac:dyDescent="0.2">
      <c r="F2805" s="163"/>
      <c r="K2805"/>
    </row>
    <row r="2806" spans="6:11" x14ac:dyDescent="0.2">
      <c r="F2806" s="163"/>
      <c r="K2806"/>
    </row>
    <row r="2807" spans="6:11" x14ac:dyDescent="0.2">
      <c r="F2807" s="163"/>
      <c r="K2807"/>
    </row>
    <row r="2808" spans="6:11" x14ac:dyDescent="0.2">
      <c r="F2808" s="163"/>
      <c r="K2808"/>
    </row>
    <row r="2809" spans="6:11" x14ac:dyDescent="0.2">
      <c r="F2809" s="163"/>
      <c r="K2809"/>
    </row>
    <row r="2810" spans="6:11" x14ac:dyDescent="0.2">
      <c r="F2810" s="163"/>
      <c r="K2810"/>
    </row>
    <row r="2811" spans="6:11" x14ac:dyDescent="0.2">
      <c r="F2811" s="163"/>
      <c r="K2811"/>
    </row>
    <row r="2812" spans="6:11" x14ac:dyDescent="0.2">
      <c r="F2812" s="163"/>
      <c r="K2812"/>
    </row>
    <row r="2813" spans="6:11" x14ac:dyDescent="0.2">
      <c r="F2813" s="163"/>
      <c r="K2813"/>
    </row>
    <row r="2814" spans="6:11" x14ac:dyDescent="0.2">
      <c r="F2814" s="163"/>
      <c r="K2814"/>
    </row>
    <row r="2815" spans="6:11" x14ac:dyDescent="0.2">
      <c r="F2815" s="163"/>
      <c r="K2815"/>
    </row>
    <row r="2816" spans="6:11" x14ac:dyDescent="0.2">
      <c r="F2816" s="163"/>
      <c r="K2816"/>
    </row>
    <row r="2817" spans="6:11" x14ac:dyDescent="0.2">
      <c r="F2817" s="163"/>
      <c r="K2817"/>
    </row>
    <row r="2818" spans="6:11" x14ac:dyDescent="0.2">
      <c r="F2818" s="163"/>
      <c r="K2818"/>
    </row>
    <row r="2819" spans="6:11" x14ac:dyDescent="0.2">
      <c r="F2819" s="163"/>
      <c r="K2819"/>
    </row>
    <row r="2820" spans="6:11" x14ac:dyDescent="0.2">
      <c r="F2820" s="163"/>
      <c r="K2820"/>
    </row>
    <row r="2821" spans="6:11" x14ac:dyDescent="0.2">
      <c r="F2821" s="163"/>
      <c r="K2821"/>
    </row>
    <row r="2822" spans="6:11" x14ac:dyDescent="0.2">
      <c r="F2822" s="163"/>
      <c r="K2822"/>
    </row>
    <row r="2823" spans="6:11" x14ac:dyDescent="0.2">
      <c r="F2823" s="163"/>
      <c r="K2823"/>
    </row>
    <row r="2824" spans="6:11" x14ac:dyDescent="0.2">
      <c r="F2824" s="163"/>
      <c r="K2824"/>
    </row>
    <row r="2825" spans="6:11" x14ac:dyDescent="0.2">
      <c r="F2825" s="163"/>
      <c r="K2825"/>
    </row>
    <row r="2826" spans="6:11" x14ac:dyDescent="0.2">
      <c r="F2826" s="163"/>
      <c r="K2826"/>
    </row>
    <row r="2827" spans="6:11" x14ac:dyDescent="0.2">
      <c r="F2827" s="163"/>
      <c r="K2827"/>
    </row>
    <row r="2828" spans="6:11" x14ac:dyDescent="0.2">
      <c r="F2828" s="163"/>
      <c r="K2828"/>
    </row>
    <row r="2829" spans="6:11" x14ac:dyDescent="0.2">
      <c r="F2829" s="163"/>
      <c r="K2829"/>
    </row>
    <row r="2830" spans="6:11" x14ac:dyDescent="0.2">
      <c r="F2830" s="163"/>
      <c r="K2830"/>
    </row>
    <row r="2831" spans="6:11" x14ac:dyDescent="0.2">
      <c r="F2831" s="163"/>
      <c r="K2831"/>
    </row>
    <row r="2832" spans="6:11" x14ac:dyDescent="0.2">
      <c r="F2832" s="163"/>
      <c r="K2832"/>
    </row>
    <row r="2833" spans="6:11" x14ac:dyDescent="0.2">
      <c r="F2833" s="163"/>
      <c r="K2833"/>
    </row>
    <row r="2834" spans="6:11" x14ac:dyDescent="0.2">
      <c r="F2834" s="163"/>
      <c r="K2834"/>
    </row>
    <row r="2835" spans="6:11" x14ac:dyDescent="0.2">
      <c r="F2835" s="163"/>
      <c r="K2835"/>
    </row>
    <row r="2836" spans="6:11" x14ac:dyDescent="0.2">
      <c r="F2836" s="163"/>
      <c r="K2836"/>
    </row>
    <row r="2837" spans="6:11" x14ac:dyDescent="0.2">
      <c r="F2837" s="163"/>
      <c r="K2837"/>
    </row>
    <row r="2838" spans="6:11" x14ac:dyDescent="0.2">
      <c r="F2838" s="163"/>
      <c r="K2838"/>
    </row>
    <row r="2839" spans="6:11" x14ac:dyDescent="0.2">
      <c r="F2839" s="163"/>
      <c r="K2839"/>
    </row>
    <row r="2840" spans="6:11" x14ac:dyDescent="0.2">
      <c r="F2840" s="163"/>
      <c r="K2840"/>
    </row>
    <row r="2841" spans="6:11" x14ac:dyDescent="0.2">
      <c r="F2841" s="163"/>
      <c r="K2841"/>
    </row>
    <row r="2842" spans="6:11" x14ac:dyDescent="0.2">
      <c r="F2842" s="163"/>
      <c r="K2842"/>
    </row>
    <row r="2843" spans="6:11" x14ac:dyDescent="0.2">
      <c r="F2843" s="163"/>
      <c r="K2843"/>
    </row>
    <row r="2844" spans="6:11" x14ac:dyDescent="0.2">
      <c r="F2844" s="163"/>
      <c r="K2844"/>
    </row>
    <row r="2845" spans="6:11" x14ac:dyDescent="0.2">
      <c r="F2845" s="163"/>
      <c r="K2845"/>
    </row>
    <row r="2846" spans="6:11" x14ac:dyDescent="0.2">
      <c r="F2846" s="163"/>
      <c r="K2846"/>
    </row>
    <row r="2847" spans="6:11" x14ac:dyDescent="0.2">
      <c r="F2847" s="163"/>
      <c r="K2847"/>
    </row>
    <row r="2848" spans="6:11" x14ac:dyDescent="0.2">
      <c r="F2848" s="163"/>
      <c r="K2848"/>
    </row>
    <row r="2849" spans="6:11" x14ac:dyDescent="0.2">
      <c r="F2849" s="163"/>
      <c r="K2849"/>
    </row>
    <row r="2850" spans="6:11" x14ac:dyDescent="0.2">
      <c r="F2850" s="163"/>
      <c r="K2850"/>
    </row>
    <row r="2851" spans="6:11" x14ac:dyDescent="0.2">
      <c r="F2851" s="163"/>
      <c r="K2851"/>
    </row>
    <row r="2852" spans="6:11" x14ac:dyDescent="0.2">
      <c r="F2852" s="163"/>
      <c r="K2852"/>
    </row>
    <row r="2853" spans="6:11" x14ac:dyDescent="0.2">
      <c r="F2853" s="163"/>
      <c r="K2853"/>
    </row>
    <row r="2854" spans="6:11" x14ac:dyDescent="0.2">
      <c r="F2854" s="163"/>
      <c r="K2854"/>
    </row>
    <row r="2855" spans="6:11" x14ac:dyDescent="0.2">
      <c r="F2855" s="163"/>
      <c r="K2855"/>
    </row>
    <row r="2856" spans="6:11" x14ac:dyDescent="0.2">
      <c r="F2856" s="163"/>
      <c r="K2856"/>
    </row>
    <row r="2857" spans="6:11" x14ac:dyDescent="0.2">
      <c r="F2857" s="163"/>
      <c r="K2857"/>
    </row>
    <row r="2858" spans="6:11" x14ac:dyDescent="0.2">
      <c r="F2858" s="163"/>
      <c r="K2858"/>
    </row>
    <row r="2859" spans="6:11" x14ac:dyDescent="0.2">
      <c r="F2859" s="163"/>
      <c r="K2859"/>
    </row>
    <row r="2860" spans="6:11" x14ac:dyDescent="0.2">
      <c r="F2860" s="163"/>
      <c r="K2860"/>
    </row>
    <row r="2861" spans="6:11" x14ac:dyDescent="0.2">
      <c r="F2861" s="163"/>
      <c r="K2861"/>
    </row>
    <row r="2862" spans="6:11" x14ac:dyDescent="0.2">
      <c r="F2862" s="163"/>
      <c r="K2862"/>
    </row>
    <row r="2863" spans="6:11" x14ac:dyDescent="0.2">
      <c r="F2863" s="163"/>
      <c r="K2863"/>
    </row>
    <row r="2864" spans="6:11" x14ac:dyDescent="0.2">
      <c r="F2864" s="163"/>
      <c r="K2864"/>
    </row>
    <row r="2865" spans="6:11" x14ac:dyDescent="0.2">
      <c r="F2865" s="163"/>
      <c r="K2865"/>
    </row>
    <row r="2866" spans="6:11" x14ac:dyDescent="0.2">
      <c r="F2866" s="163"/>
      <c r="K2866"/>
    </row>
    <row r="2867" spans="6:11" x14ac:dyDescent="0.2">
      <c r="F2867" s="163"/>
      <c r="K2867"/>
    </row>
    <row r="2868" spans="6:11" x14ac:dyDescent="0.2">
      <c r="F2868" s="163"/>
      <c r="K2868"/>
    </row>
    <row r="2869" spans="6:11" x14ac:dyDescent="0.2">
      <c r="F2869" s="163"/>
      <c r="K2869"/>
    </row>
    <row r="2870" spans="6:11" x14ac:dyDescent="0.2">
      <c r="F2870" s="163"/>
      <c r="K2870"/>
    </row>
    <row r="2871" spans="6:11" x14ac:dyDescent="0.2">
      <c r="F2871" s="163"/>
      <c r="K2871"/>
    </row>
    <row r="2872" spans="6:11" x14ac:dyDescent="0.2">
      <c r="F2872" s="163"/>
      <c r="K2872"/>
    </row>
    <row r="2873" spans="6:11" x14ac:dyDescent="0.2">
      <c r="F2873" s="163"/>
      <c r="K2873"/>
    </row>
    <row r="2874" spans="6:11" x14ac:dyDescent="0.2">
      <c r="F2874" s="163"/>
      <c r="K2874"/>
    </row>
    <row r="2875" spans="6:11" x14ac:dyDescent="0.2">
      <c r="F2875" s="163"/>
      <c r="K2875"/>
    </row>
    <row r="2876" spans="6:11" x14ac:dyDescent="0.2">
      <c r="F2876" s="163"/>
      <c r="K2876"/>
    </row>
    <row r="2877" spans="6:11" x14ac:dyDescent="0.2">
      <c r="F2877" s="163"/>
      <c r="K2877"/>
    </row>
    <row r="2878" spans="6:11" x14ac:dyDescent="0.2">
      <c r="F2878" s="163"/>
      <c r="K2878"/>
    </row>
    <row r="2879" spans="6:11" x14ac:dyDescent="0.2">
      <c r="F2879" s="163"/>
      <c r="K2879"/>
    </row>
    <row r="2880" spans="6:11" x14ac:dyDescent="0.2">
      <c r="F2880" s="163"/>
      <c r="K2880"/>
    </row>
    <row r="2881" spans="6:11" x14ac:dyDescent="0.2">
      <c r="F2881" s="163"/>
      <c r="K2881"/>
    </row>
    <row r="2882" spans="6:11" x14ac:dyDescent="0.2">
      <c r="F2882" s="163"/>
      <c r="K2882"/>
    </row>
    <row r="2883" spans="6:11" x14ac:dyDescent="0.2">
      <c r="F2883" s="163"/>
      <c r="K2883"/>
    </row>
    <row r="2884" spans="6:11" x14ac:dyDescent="0.2">
      <c r="F2884" s="163"/>
      <c r="K2884"/>
    </row>
    <row r="2885" spans="6:11" x14ac:dyDescent="0.2">
      <c r="F2885" s="163"/>
      <c r="K2885"/>
    </row>
    <row r="2886" spans="6:11" x14ac:dyDescent="0.2">
      <c r="F2886" s="163"/>
      <c r="K2886"/>
    </row>
    <row r="2887" spans="6:11" x14ac:dyDescent="0.2">
      <c r="F2887" s="163"/>
      <c r="K2887"/>
    </row>
    <row r="2888" spans="6:11" x14ac:dyDescent="0.2">
      <c r="F2888" s="163"/>
      <c r="K2888"/>
    </row>
    <row r="2889" spans="6:11" x14ac:dyDescent="0.2">
      <c r="F2889" s="163"/>
      <c r="K2889"/>
    </row>
    <row r="2890" spans="6:11" x14ac:dyDescent="0.2">
      <c r="F2890" s="163"/>
      <c r="K2890"/>
    </row>
    <row r="2891" spans="6:11" x14ac:dyDescent="0.2">
      <c r="F2891" s="163"/>
      <c r="K2891"/>
    </row>
    <row r="2892" spans="6:11" x14ac:dyDescent="0.2">
      <c r="F2892" s="163"/>
      <c r="K2892"/>
    </row>
    <row r="2893" spans="6:11" x14ac:dyDescent="0.2">
      <c r="F2893" s="163"/>
      <c r="K2893"/>
    </row>
    <row r="2894" spans="6:11" x14ac:dyDescent="0.2">
      <c r="F2894" s="163"/>
      <c r="K2894"/>
    </row>
    <row r="2895" spans="6:11" x14ac:dyDescent="0.2">
      <c r="F2895" s="163"/>
      <c r="K2895"/>
    </row>
    <row r="2896" spans="6:11" x14ac:dyDescent="0.2">
      <c r="F2896" s="163"/>
      <c r="K2896"/>
    </row>
    <row r="2897" spans="6:11" x14ac:dyDescent="0.2">
      <c r="F2897" s="163"/>
      <c r="K2897"/>
    </row>
    <row r="2898" spans="6:11" x14ac:dyDescent="0.2">
      <c r="F2898" s="163"/>
      <c r="K2898"/>
    </row>
    <row r="2899" spans="6:11" x14ac:dyDescent="0.2">
      <c r="F2899" s="163"/>
      <c r="K2899"/>
    </row>
    <row r="2900" spans="6:11" x14ac:dyDescent="0.2">
      <c r="F2900" s="163"/>
      <c r="K2900"/>
    </row>
    <row r="2901" spans="6:11" x14ac:dyDescent="0.2">
      <c r="F2901" s="163"/>
      <c r="K2901"/>
    </row>
    <row r="2902" spans="6:11" x14ac:dyDescent="0.2">
      <c r="F2902" s="163"/>
      <c r="K2902"/>
    </row>
    <row r="2903" spans="6:11" x14ac:dyDescent="0.2">
      <c r="F2903" s="163"/>
      <c r="K2903"/>
    </row>
    <row r="2904" spans="6:11" x14ac:dyDescent="0.2">
      <c r="F2904" s="163"/>
      <c r="K2904"/>
    </row>
    <row r="2905" spans="6:11" x14ac:dyDescent="0.2">
      <c r="F2905" s="163"/>
      <c r="K2905"/>
    </row>
    <row r="2906" spans="6:11" x14ac:dyDescent="0.2">
      <c r="F2906" s="163"/>
      <c r="K2906"/>
    </row>
    <row r="2907" spans="6:11" x14ac:dyDescent="0.2">
      <c r="F2907" s="163"/>
      <c r="K2907"/>
    </row>
    <row r="2908" spans="6:11" x14ac:dyDescent="0.2">
      <c r="F2908" s="163"/>
      <c r="K2908"/>
    </row>
    <row r="2909" spans="6:11" x14ac:dyDescent="0.2">
      <c r="F2909" s="163"/>
      <c r="K2909"/>
    </row>
    <row r="2910" spans="6:11" x14ac:dyDescent="0.2">
      <c r="F2910" s="163"/>
      <c r="K2910"/>
    </row>
    <row r="2911" spans="6:11" x14ac:dyDescent="0.2">
      <c r="F2911" s="163"/>
      <c r="K2911"/>
    </row>
    <row r="2912" spans="6:11" x14ac:dyDescent="0.2">
      <c r="F2912" s="163"/>
      <c r="K2912"/>
    </row>
    <row r="2913" spans="6:11" x14ac:dyDescent="0.2">
      <c r="F2913" s="163"/>
      <c r="K2913"/>
    </row>
    <row r="2914" spans="6:11" x14ac:dyDescent="0.2">
      <c r="F2914" s="163"/>
      <c r="K2914"/>
    </row>
    <row r="2915" spans="6:11" x14ac:dyDescent="0.2">
      <c r="F2915" s="163"/>
      <c r="K2915"/>
    </row>
    <row r="2916" spans="6:11" x14ac:dyDescent="0.2">
      <c r="F2916" s="163"/>
      <c r="K2916"/>
    </row>
    <row r="2917" spans="6:11" x14ac:dyDescent="0.2">
      <c r="F2917" s="163"/>
      <c r="K2917"/>
    </row>
    <row r="2918" spans="6:11" x14ac:dyDescent="0.2">
      <c r="F2918" s="163"/>
      <c r="K2918"/>
    </row>
    <row r="2919" spans="6:11" x14ac:dyDescent="0.2">
      <c r="F2919" s="163"/>
      <c r="K2919"/>
    </row>
    <row r="2920" spans="6:11" x14ac:dyDescent="0.2">
      <c r="F2920" s="163"/>
      <c r="K2920"/>
    </row>
    <row r="2921" spans="6:11" x14ac:dyDescent="0.2">
      <c r="F2921" s="163"/>
      <c r="K2921"/>
    </row>
    <row r="2922" spans="6:11" x14ac:dyDescent="0.2">
      <c r="F2922" s="163"/>
      <c r="K2922"/>
    </row>
    <row r="2923" spans="6:11" x14ac:dyDescent="0.2">
      <c r="F2923" s="163"/>
      <c r="K2923"/>
    </row>
    <row r="2924" spans="6:11" x14ac:dyDescent="0.2">
      <c r="F2924" s="163"/>
      <c r="K2924"/>
    </row>
    <row r="2925" spans="6:11" x14ac:dyDescent="0.2">
      <c r="F2925" s="163"/>
      <c r="K2925"/>
    </row>
    <row r="2926" spans="6:11" x14ac:dyDescent="0.2">
      <c r="F2926" s="163"/>
      <c r="K2926"/>
    </row>
    <row r="2927" spans="6:11" x14ac:dyDescent="0.2">
      <c r="F2927" s="163"/>
      <c r="K2927"/>
    </row>
    <row r="2928" spans="6:11" x14ac:dyDescent="0.2">
      <c r="F2928" s="163"/>
      <c r="K2928"/>
    </row>
    <row r="2929" spans="6:11" x14ac:dyDescent="0.2">
      <c r="F2929" s="163"/>
      <c r="K2929"/>
    </row>
    <row r="2930" spans="6:11" x14ac:dyDescent="0.2">
      <c r="F2930" s="163"/>
      <c r="K2930"/>
    </row>
    <row r="2931" spans="6:11" x14ac:dyDescent="0.2">
      <c r="F2931" s="163"/>
      <c r="K2931"/>
    </row>
    <row r="2932" spans="6:11" x14ac:dyDescent="0.2">
      <c r="F2932" s="163"/>
      <c r="K2932"/>
    </row>
    <row r="2933" spans="6:11" x14ac:dyDescent="0.2">
      <c r="F2933" s="163"/>
      <c r="K2933"/>
    </row>
    <row r="2934" spans="6:11" x14ac:dyDescent="0.2">
      <c r="F2934" s="163"/>
      <c r="K2934"/>
    </row>
    <row r="2935" spans="6:11" x14ac:dyDescent="0.2">
      <c r="F2935" s="163"/>
      <c r="K2935"/>
    </row>
    <row r="2936" spans="6:11" x14ac:dyDescent="0.2">
      <c r="F2936" s="163"/>
      <c r="K2936"/>
    </row>
    <row r="2937" spans="6:11" x14ac:dyDescent="0.2">
      <c r="F2937" s="163"/>
      <c r="K2937"/>
    </row>
    <row r="2938" spans="6:11" x14ac:dyDescent="0.2">
      <c r="F2938" s="163"/>
      <c r="K2938"/>
    </row>
    <row r="2939" spans="6:11" x14ac:dyDescent="0.2">
      <c r="F2939" s="163"/>
      <c r="K2939"/>
    </row>
    <row r="2940" spans="6:11" x14ac:dyDescent="0.2">
      <c r="F2940" s="163"/>
      <c r="K2940"/>
    </row>
    <row r="2941" spans="6:11" x14ac:dyDescent="0.2">
      <c r="F2941" s="163"/>
      <c r="K2941"/>
    </row>
    <row r="2942" spans="6:11" x14ac:dyDescent="0.2">
      <c r="F2942" s="163"/>
      <c r="K2942"/>
    </row>
    <row r="2943" spans="6:11" x14ac:dyDescent="0.2">
      <c r="F2943" s="163"/>
      <c r="K2943"/>
    </row>
    <row r="2944" spans="6:11" x14ac:dyDescent="0.2">
      <c r="F2944" s="163"/>
      <c r="K2944"/>
    </row>
    <row r="2945" spans="6:11" x14ac:dyDescent="0.2">
      <c r="F2945" s="163"/>
      <c r="K2945"/>
    </row>
    <row r="2946" spans="6:11" x14ac:dyDescent="0.2">
      <c r="F2946" s="163"/>
      <c r="K2946"/>
    </row>
    <row r="2947" spans="6:11" x14ac:dyDescent="0.2">
      <c r="F2947" s="163"/>
      <c r="K2947"/>
    </row>
    <row r="2948" spans="6:11" x14ac:dyDescent="0.2">
      <c r="F2948" s="163"/>
      <c r="K2948"/>
    </row>
    <row r="2949" spans="6:11" x14ac:dyDescent="0.2">
      <c r="F2949" s="163"/>
      <c r="K2949"/>
    </row>
    <row r="2950" spans="6:11" x14ac:dyDescent="0.2">
      <c r="F2950" s="163"/>
      <c r="K2950"/>
    </row>
    <row r="2951" spans="6:11" x14ac:dyDescent="0.2">
      <c r="F2951" s="163"/>
      <c r="K2951"/>
    </row>
    <row r="2952" spans="6:11" x14ac:dyDescent="0.2">
      <c r="F2952" s="163"/>
      <c r="K2952"/>
    </row>
    <row r="2953" spans="6:11" x14ac:dyDescent="0.2">
      <c r="F2953" s="163"/>
      <c r="K2953"/>
    </row>
    <row r="2954" spans="6:11" x14ac:dyDescent="0.2">
      <c r="F2954" s="163"/>
      <c r="K2954"/>
    </row>
    <row r="2955" spans="6:11" x14ac:dyDescent="0.2">
      <c r="F2955" s="163"/>
      <c r="K2955"/>
    </row>
    <row r="2956" spans="6:11" x14ac:dyDescent="0.2">
      <c r="F2956" s="163"/>
      <c r="K2956"/>
    </row>
    <row r="2957" spans="6:11" x14ac:dyDescent="0.2">
      <c r="F2957" s="163"/>
      <c r="K2957"/>
    </row>
    <row r="2958" spans="6:11" x14ac:dyDescent="0.2">
      <c r="F2958" s="163"/>
      <c r="K2958"/>
    </row>
    <row r="2959" spans="6:11" x14ac:dyDescent="0.2">
      <c r="F2959" s="163"/>
      <c r="K2959"/>
    </row>
    <row r="2960" spans="6:11" x14ac:dyDescent="0.2">
      <c r="F2960" s="163"/>
      <c r="K2960"/>
    </row>
    <row r="2961" spans="6:11" x14ac:dyDescent="0.2">
      <c r="F2961" s="163"/>
      <c r="K2961"/>
    </row>
    <row r="2962" spans="6:11" x14ac:dyDescent="0.2">
      <c r="F2962" s="163"/>
      <c r="K2962"/>
    </row>
    <row r="2963" spans="6:11" x14ac:dyDescent="0.2">
      <c r="F2963" s="163"/>
      <c r="K2963"/>
    </row>
    <row r="2964" spans="6:11" x14ac:dyDescent="0.2">
      <c r="F2964" s="163"/>
      <c r="K2964"/>
    </row>
    <row r="2965" spans="6:11" x14ac:dyDescent="0.2">
      <c r="F2965" s="163"/>
      <c r="K2965"/>
    </row>
    <row r="2966" spans="6:11" x14ac:dyDescent="0.2">
      <c r="F2966" s="163"/>
      <c r="K2966"/>
    </row>
    <row r="2967" spans="6:11" x14ac:dyDescent="0.2">
      <c r="F2967" s="163"/>
      <c r="K2967"/>
    </row>
    <row r="2968" spans="6:11" x14ac:dyDescent="0.2">
      <c r="F2968" s="163"/>
      <c r="K2968"/>
    </row>
    <row r="2969" spans="6:11" x14ac:dyDescent="0.2">
      <c r="F2969" s="163"/>
      <c r="K2969"/>
    </row>
    <row r="2970" spans="6:11" x14ac:dyDescent="0.2">
      <c r="F2970" s="163"/>
      <c r="K2970"/>
    </row>
    <row r="2971" spans="6:11" x14ac:dyDescent="0.2">
      <c r="F2971" s="163"/>
      <c r="K2971"/>
    </row>
    <row r="2972" spans="6:11" x14ac:dyDescent="0.2">
      <c r="F2972" s="163"/>
      <c r="K2972"/>
    </row>
    <row r="2973" spans="6:11" x14ac:dyDescent="0.2">
      <c r="F2973" s="163"/>
      <c r="K2973"/>
    </row>
    <row r="2974" spans="6:11" x14ac:dyDescent="0.2">
      <c r="F2974" s="163"/>
      <c r="K2974"/>
    </row>
    <row r="2975" spans="6:11" x14ac:dyDescent="0.2">
      <c r="F2975" s="163"/>
      <c r="K2975"/>
    </row>
    <row r="2976" spans="6:11" x14ac:dyDescent="0.2">
      <c r="F2976" s="163"/>
      <c r="K2976"/>
    </row>
    <row r="2977" spans="6:11" x14ac:dyDescent="0.2">
      <c r="F2977" s="163"/>
      <c r="K2977"/>
    </row>
    <row r="2978" spans="6:11" x14ac:dyDescent="0.2">
      <c r="F2978" s="163"/>
      <c r="K2978"/>
    </row>
    <row r="2979" spans="6:11" x14ac:dyDescent="0.2">
      <c r="F2979" s="163"/>
      <c r="K2979"/>
    </row>
    <row r="2980" spans="6:11" x14ac:dyDescent="0.2">
      <c r="F2980" s="163"/>
      <c r="K2980"/>
    </row>
    <row r="2981" spans="6:11" x14ac:dyDescent="0.2">
      <c r="F2981" s="163"/>
      <c r="K2981"/>
    </row>
    <row r="2982" spans="6:11" x14ac:dyDescent="0.2">
      <c r="F2982" s="163"/>
      <c r="K2982"/>
    </row>
    <row r="2983" spans="6:11" x14ac:dyDescent="0.2">
      <c r="F2983" s="163"/>
      <c r="K2983"/>
    </row>
    <row r="2984" spans="6:11" x14ac:dyDescent="0.2">
      <c r="F2984" s="163"/>
      <c r="K2984"/>
    </row>
    <row r="2985" spans="6:11" x14ac:dyDescent="0.2">
      <c r="F2985" s="163"/>
      <c r="K2985"/>
    </row>
    <row r="2986" spans="6:11" x14ac:dyDescent="0.2">
      <c r="F2986" s="163"/>
      <c r="K2986"/>
    </row>
    <row r="2987" spans="6:11" x14ac:dyDescent="0.2">
      <c r="F2987" s="163"/>
      <c r="K2987"/>
    </row>
    <row r="2988" spans="6:11" x14ac:dyDescent="0.2">
      <c r="F2988" s="163"/>
      <c r="K2988"/>
    </row>
    <row r="2989" spans="6:11" x14ac:dyDescent="0.2">
      <c r="F2989" s="163"/>
      <c r="K2989"/>
    </row>
    <row r="2990" spans="6:11" x14ac:dyDescent="0.2">
      <c r="F2990" s="163"/>
      <c r="K2990"/>
    </row>
    <row r="2991" spans="6:11" x14ac:dyDescent="0.2">
      <c r="F2991" s="163"/>
      <c r="K2991"/>
    </row>
    <row r="2992" spans="6:11" x14ac:dyDescent="0.2">
      <c r="F2992" s="163"/>
      <c r="K2992"/>
    </row>
    <row r="2993" spans="6:11" x14ac:dyDescent="0.2">
      <c r="F2993" s="163"/>
      <c r="K2993"/>
    </row>
    <row r="2994" spans="6:11" x14ac:dyDescent="0.2">
      <c r="F2994" s="163"/>
      <c r="K2994"/>
    </row>
    <row r="2995" spans="6:11" x14ac:dyDescent="0.2">
      <c r="F2995" s="163"/>
      <c r="K2995"/>
    </row>
    <row r="2996" spans="6:11" x14ac:dyDescent="0.2">
      <c r="F2996" s="163"/>
      <c r="K2996"/>
    </row>
    <row r="2997" spans="6:11" x14ac:dyDescent="0.2">
      <c r="F2997" s="163"/>
      <c r="K2997"/>
    </row>
    <row r="2998" spans="6:11" x14ac:dyDescent="0.2">
      <c r="F2998" s="163"/>
      <c r="K2998"/>
    </row>
    <row r="2999" spans="6:11" x14ac:dyDescent="0.2">
      <c r="F2999" s="163"/>
      <c r="K2999"/>
    </row>
    <row r="3000" spans="6:11" x14ac:dyDescent="0.2">
      <c r="F3000" s="163"/>
      <c r="K3000"/>
    </row>
    <row r="3001" spans="6:11" x14ac:dyDescent="0.2">
      <c r="F3001" s="163"/>
      <c r="K3001"/>
    </row>
    <row r="3002" spans="6:11" x14ac:dyDescent="0.2">
      <c r="F3002" s="163"/>
      <c r="K3002"/>
    </row>
    <row r="3003" spans="6:11" x14ac:dyDescent="0.2">
      <c r="F3003" s="163"/>
      <c r="K3003"/>
    </row>
    <row r="3004" spans="6:11" x14ac:dyDescent="0.2">
      <c r="F3004" s="163"/>
      <c r="K3004"/>
    </row>
    <row r="3005" spans="6:11" x14ac:dyDescent="0.2">
      <c r="F3005" s="163"/>
      <c r="K3005"/>
    </row>
    <row r="3006" spans="6:11" x14ac:dyDescent="0.2">
      <c r="F3006" s="163"/>
      <c r="K3006"/>
    </row>
    <row r="3007" spans="6:11" x14ac:dyDescent="0.2">
      <c r="F3007" s="163"/>
      <c r="K3007"/>
    </row>
    <row r="3008" spans="6:11" x14ac:dyDescent="0.2">
      <c r="F3008" s="163"/>
      <c r="K3008"/>
    </row>
    <row r="3009" spans="6:11" x14ac:dyDescent="0.2">
      <c r="F3009" s="163"/>
      <c r="K3009"/>
    </row>
    <row r="3010" spans="6:11" x14ac:dyDescent="0.2">
      <c r="F3010" s="163"/>
      <c r="K3010"/>
    </row>
    <row r="3011" spans="6:11" x14ac:dyDescent="0.2">
      <c r="F3011" s="163"/>
      <c r="K3011"/>
    </row>
    <row r="3012" spans="6:11" x14ac:dyDescent="0.2">
      <c r="F3012" s="163"/>
      <c r="K3012"/>
    </row>
    <row r="3013" spans="6:11" x14ac:dyDescent="0.2">
      <c r="F3013" s="163"/>
      <c r="K3013"/>
    </row>
    <row r="3014" spans="6:11" x14ac:dyDescent="0.2">
      <c r="F3014" s="163"/>
      <c r="K3014"/>
    </row>
    <row r="3015" spans="6:11" x14ac:dyDescent="0.2">
      <c r="F3015" s="163"/>
      <c r="K3015"/>
    </row>
    <row r="3016" spans="6:11" x14ac:dyDescent="0.2">
      <c r="F3016" s="163"/>
      <c r="K3016"/>
    </row>
    <row r="3017" spans="6:11" x14ac:dyDescent="0.2">
      <c r="F3017" s="163"/>
      <c r="K3017"/>
    </row>
    <row r="3018" spans="6:11" x14ac:dyDescent="0.2">
      <c r="F3018" s="163"/>
      <c r="K3018"/>
    </row>
    <row r="3019" spans="6:11" x14ac:dyDescent="0.2">
      <c r="F3019" s="163"/>
      <c r="K3019"/>
    </row>
    <row r="3020" spans="6:11" x14ac:dyDescent="0.2">
      <c r="F3020" s="163"/>
      <c r="K3020"/>
    </row>
    <row r="3021" spans="6:11" x14ac:dyDescent="0.2">
      <c r="F3021" s="163"/>
      <c r="K3021"/>
    </row>
    <row r="3022" spans="6:11" x14ac:dyDescent="0.2">
      <c r="F3022" s="163"/>
      <c r="K3022"/>
    </row>
    <row r="3023" spans="6:11" x14ac:dyDescent="0.2">
      <c r="F3023" s="163"/>
      <c r="K3023"/>
    </row>
    <row r="3024" spans="6:11" x14ac:dyDescent="0.2">
      <c r="F3024" s="163"/>
      <c r="K3024"/>
    </row>
    <row r="3025" spans="6:11" x14ac:dyDescent="0.2">
      <c r="F3025" s="163"/>
      <c r="K3025"/>
    </row>
    <row r="3026" spans="6:11" x14ac:dyDescent="0.2">
      <c r="F3026" s="163"/>
      <c r="K3026"/>
    </row>
    <row r="3027" spans="6:11" x14ac:dyDescent="0.2">
      <c r="F3027" s="163"/>
      <c r="K3027"/>
    </row>
    <row r="3028" spans="6:11" x14ac:dyDescent="0.2">
      <c r="F3028" s="163"/>
      <c r="K3028"/>
    </row>
    <row r="3029" spans="6:11" x14ac:dyDescent="0.2">
      <c r="F3029" s="163"/>
      <c r="K3029"/>
    </row>
    <row r="3030" spans="6:11" x14ac:dyDescent="0.2">
      <c r="F3030" s="163"/>
      <c r="K3030"/>
    </row>
    <row r="3031" spans="6:11" x14ac:dyDescent="0.2">
      <c r="F3031" s="163"/>
      <c r="K3031"/>
    </row>
    <row r="3032" spans="6:11" x14ac:dyDescent="0.2">
      <c r="F3032" s="163"/>
      <c r="K3032"/>
    </row>
    <row r="3033" spans="6:11" x14ac:dyDescent="0.2">
      <c r="F3033" s="163"/>
      <c r="K3033"/>
    </row>
    <row r="3034" spans="6:11" x14ac:dyDescent="0.2">
      <c r="F3034" s="163"/>
      <c r="K3034"/>
    </row>
    <row r="3035" spans="6:11" x14ac:dyDescent="0.2">
      <c r="F3035" s="163"/>
      <c r="K3035"/>
    </row>
    <row r="3036" spans="6:11" x14ac:dyDescent="0.2">
      <c r="F3036" s="163"/>
      <c r="K3036"/>
    </row>
    <row r="3037" spans="6:11" x14ac:dyDescent="0.2">
      <c r="F3037" s="163"/>
      <c r="K3037"/>
    </row>
    <row r="3038" spans="6:11" x14ac:dyDescent="0.2">
      <c r="F3038" s="163"/>
      <c r="K3038"/>
    </row>
    <row r="3039" spans="6:11" x14ac:dyDescent="0.2">
      <c r="F3039" s="163"/>
      <c r="K3039"/>
    </row>
    <row r="3040" spans="6:11" x14ac:dyDescent="0.2">
      <c r="F3040" s="163"/>
      <c r="K3040"/>
    </row>
    <row r="3041" spans="6:11" x14ac:dyDescent="0.2">
      <c r="F3041" s="163"/>
      <c r="K3041"/>
    </row>
    <row r="3042" spans="6:11" x14ac:dyDescent="0.2">
      <c r="F3042" s="163"/>
      <c r="K3042"/>
    </row>
    <row r="3043" spans="6:11" x14ac:dyDescent="0.2">
      <c r="F3043" s="163"/>
      <c r="K3043"/>
    </row>
    <row r="3044" spans="6:11" x14ac:dyDescent="0.2">
      <c r="F3044" s="163"/>
      <c r="K3044"/>
    </row>
    <row r="3045" spans="6:11" x14ac:dyDescent="0.2">
      <c r="F3045" s="163"/>
      <c r="K3045"/>
    </row>
    <row r="3046" spans="6:11" x14ac:dyDescent="0.2">
      <c r="F3046" s="163"/>
      <c r="K3046"/>
    </row>
    <row r="3047" spans="6:11" x14ac:dyDescent="0.2">
      <c r="F3047" s="163"/>
      <c r="K3047"/>
    </row>
    <row r="3048" spans="6:11" x14ac:dyDescent="0.2">
      <c r="F3048" s="163"/>
      <c r="K3048"/>
    </row>
    <row r="3049" spans="6:11" x14ac:dyDescent="0.2">
      <c r="F3049" s="163"/>
      <c r="K3049"/>
    </row>
    <row r="3050" spans="6:11" x14ac:dyDescent="0.2">
      <c r="F3050" s="163"/>
      <c r="K3050"/>
    </row>
    <row r="3051" spans="6:11" x14ac:dyDescent="0.2">
      <c r="F3051" s="163"/>
      <c r="K3051"/>
    </row>
    <row r="3052" spans="6:11" x14ac:dyDescent="0.2">
      <c r="F3052" s="163"/>
      <c r="K3052"/>
    </row>
    <row r="3053" spans="6:11" x14ac:dyDescent="0.2">
      <c r="F3053" s="163"/>
      <c r="K3053"/>
    </row>
    <row r="3054" spans="6:11" x14ac:dyDescent="0.2">
      <c r="F3054" s="163"/>
      <c r="K3054"/>
    </row>
    <row r="3055" spans="6:11" x14ac:dyDescent="0.2">
      <c r="F3055" s="163"/>
      <c r="K3055"/>
    </row>
    <row r="3056" spans="6:11" x14ac:dyDescent="0.2">
      <c r="F3056" s="163"/>
      <c r="K3056"/>
    </row>
    <row r="3057" spans="6:11" x14ac:dyDescent="0.2">
      <c r="F3057" s="163"/>
      <c r="K3057"/>
    </row>
    <row r="3058" spans="6:11" x14ac:dyDescent="0.2">
      <c r="F3058" s="163"/>
      <c r="K3058"/>
    </row>
    <row r="3059" spans="6:11" x14ac:dyDescent="0.2">
      <c r="F3059" s="163"/>
      <c r="K3059"/>
    </row>
    <row r="3060" spans="6:11" x14ac:dyDescent="0.2">
      <c r="F3060" s="163"/>
      <c r="K3060"/>
    </row>
    <row r="3061" spans="6:11" x14ac:dyDescent="0.2">
      <c r="F3061" s="163"/>
      <c r="K3061"/>
    </row>
    <row r="3062" spans="6:11" x14ac:dyDescent="0.2">
      <c r="F3062" s="163"/>
      <c r="K3062"/>
    </row>
    <row r="3063" spans="6:11" x14ac:dyDescent="0.2">
      <c r="F3063" s="163"/>
      <c r="K3063"/>
    </row>
    <row r="3064" spans="6:11" x14ac:dyDescent="0.2">
      <c r="F3064" s="163"/>
      <c r="K3064"/>
    </row>
    <row r="3065" spans="6:11" x14ac:dyDescent="0.2">
      <c r="F3065" s="163"/>
      <c r="K3065"/>
    </row>
    <row r="3066" spans="6:11" x14ac:dyDescent="0.2">
      <c r="F3066" s="163"/>
      <c r="K3066"/>
    </row>
    <row r="3067" spans="6:11" x14ac:dyDescent="0.2">
      <c r="F3067" s="163"/>
      <c r="K3067"/>
    </row>
    <row r="3068" spans="6:11" x14ac:dyDescent="0.2">
      <c r="F3068" s="163"/>
      <c r="K3068"/>
    </row>
    <row r="3069" spans="6:11" x14ac:dyDescent="0.2">
      <c r="F3069" s="163"/>
      <c r="K3069"/>
    </row>
    <row r="3070" spans="6:11" x14ac:dyDescent="0.2">
      <c r="F3070" s="163"/>
      <c r="K3070"/>
    </row>
    <row r="3071" spans="6:11" x14ac:dyDescent="0.2">
      <c r="F3071" s="163"/>
      <c r="K3071"/>
    </row>
    <row r="3072" spans="6:11" x14ac:dyDescent="0.2">
      <c r="F3072" s="163"/>
      <c r="K3072"/>
    </row>
    <row r="3073" spans="6:11" x14ac:dyDescent="0.2">
      <c r="F3073" s="163"/>
      <c r="K3073"/>
    </row>
    <row r="3074" spans="6:11" x14ac:dyDescent="0.2">
      <c r="F3074" s="163"/>
      <c r="K3074"/>
    </row>
    <row r="3075" spans="6:11" x14ac:dyDescent="0.2">
      <c r="F3075" s="163"/>
      <c r="K3075"/>
    </row>
    <row r="3076" spans="6:11" x14ac:dyDescent="0.2">
      <c r="F3076" s="163"/>
      <c r="K3076"/>
    </row>
    <row r="3077" spans="6:11" x14ac:dyDescent="0.2">
      <c r="F3077" s="163"/>
      <c r="K3077"/>
    </row>
    <row r="3078" spans="6:11" x14ac:dyDescent="0.2">
      <c r="F3078" s="163"/>
      <c r="K3078"/>
    </row>
    <row r="3079" spans="6:11" x14ac:dyDescent="0.2">
      <c r="F3079" s="163"/>
      <c r="K3079"/>
    </row>
    <row r="3080" spans="6:11" x14ac:dyDescent="0.2">
      <c r="F3080" s="163"/>
      <c r="K3080"/>
    </row>
    <row r="3081" spans="6:11" x14ac:dyDescent="0.2">
      <c r="F3081" s="163"/>
      <c r="K3081"/>
    </row>
    <row r="3082" spans="6:11" x14ac:dyDescent="0.2">
      <c r="F3082" s="163"/>
      <c r="K3082"/>
    </row>
    <row r="3083" spans="6:11" x14ac:dyDescent="0.2">
      <c r="F3083" s="163"/>
      <c r="K3083"/>
    </row>
    <row r="3084" spans="6:11" x14ac:dyDescent="0.2">
      <c r="F3084" s="163"/>
      <c r="K3084"/>
    </row>
    <row r="3085" spans="6:11" x14ac:dyDescent="0.2">
      <c r="F3085" s="163"/>
      <c r="K3085"/>
    </row>
    <row r="3086" spans="6:11" x14ac:dyDescent="0.2">
      <c r="F3086" s="163"/>
      <c r="K3086"/>
    </row>
    <row r="3087" spans="6:11" x14ac:dyDescent="0.2">
      <c r="F3087" s="163"/>
      <c r="K3087"/>
    </row>
    <row r="3088" spans="6:11" x14ac:dyDescent="0.2">
      <c r="F3088" s="163"/>
      <c r="K3088"/>
    </row>
    <row r="3089" spans="6:11" x14ac:dyDescent="0.2">
      <c r="F3089" s="163"/>
      <c r="K3089"/>
    </row>
    <row r="3090" spans="6:11" x14ac:dyDescent="0.2">
      <c r="F3090" s="163"/>
      <c r="K3090"/>
    </row>
    <row r="3091" spans="6:11" x14ac:dyDescent="0.2">
      <c r="F3091" s="163"/>
      <c r="K3091"/>
    </row>
    <row r="3092" spans="6:11" x14ac:dyDescent="0.2">
      <c r="F3092" s="163"/>
      <c r="K3092"/>
    </row>
    <row r="3093" spans="6:11" x14ac:dyDescent="0.2">
      <c r="F3093" s="163"/>
      <c r="K3093"/>
    </row>
    <row r="3094" spans="6:11" x14ac:dyDescent="0.2">
      <c r="F3094" s="163"/>
      <c r="K3094"/>
    </row>
    <row r="3095" spans="6:11" x14ac:dyDescent="0.2">
      <c r="F3095" s="163"/>
      <c r="K3095"/>
    </row>
    <row r="3096" spans="6:11" x14ac:dyDescent="0.2">
      <c r="F3096" s="163"/>
      <c r="K3096"/>
    </row>
    <row r="3097" spans="6:11" x14ac:dyDescent="0.2">
      <c r="F3097" s="163"/>
      <c r="K3097"/>
    </row>
    <row r="3098" spans="6:11" x14ac:dyDescent="0.2">
      <c r="F3098" s="163"/>
      <c r="K3098"/>
    </row>
    <row r="3099" spans="6:11" x14ac:dyDescent="0.2">
      <c r="F3099" s="163"/>
      <c r="K3099"/>
    </row>
    <row r="3100" spans="6:11" x14ac:dyDescent="0.2">
      <c r="F3100" s="163"/>
      <c r="K3100"/>
    </row>
    <row r="3101" spans="6:11" x14ac:dyDescent="0.2">
      <c r="F3101" s="163"/>
      <c r="K3101"/>
    </row>
    <row r="3102" spans="6:11" x14ac:dyDescent="0.2">
      <c r="F3102" s="163"/>
      <c r="K3102"/>
    </row>
    <row r="3103" spans="6:11" x14ac:dyDescent="0.2">
      <c r="F3103" s="163"/>
      <c r="K3103"/>
    </row>
    <row r="3104" spans="6:11" x14ac:dyDescent="0.2">
      <c r="F3104" s="163"/>
      <c r="K3104"/>
    </row>
    <row r="3105" spans="6:11" x14ac:dyDescent="0.2">
      <c r="F3105" s="163"/>
      <c r="K3105"/>
    </row>
    <row r="3106" spans="6:11" x14ac:dyDescent="0.2">
      <c r="F3106" s="163"/>
      <c r="K3106"/>
    </row>
    <row r="3107" spans="6:11" x14ac:dyDescent="0.2">
      <c r="F3107" s="163"/>
      <c r="K3107"/>
    </row>
    <row r="3108" spans="6:11" x14ac:dyDescent="0.2">
      <c r="F3108" s="163"/>
      <c r="K3108"/>
    </row>
    <row r="3109" spans="6:11" x14ac:dyDescent="0.2">
      <c r="F3109" s="163"/>
      <c r="K3109"/>
    </row>
    <row r="3110" spans="6:11" x14ac:dyDescent="0.2">
      <c r="F3110" s="163"/>
      <c r="K3110"/>
    </row>
    <row r="3111" spans="6:11" x14ac:dyDescent="0.2">
      <c r="F3111" s="163"/>
      <c r="K3111"/>
    </row>
    <row r="3112" spans="6:11" x14ac:dyDescent="0.2">
      <c r="F3112" s="163"/>
      <c r="K3112"/>
    </row>
    <row r="3113" spans="6:11" x14ac:dyDescent="0.2">
      <c r="F3113" s="163"/>
      <c r="K3113"/>
    </row>
    <row r="3114" spans="6:11" x14ac:dyDescent="0.2">
      <c r="F3114" s="163"/>
      <c r="K3114"/>
    </row>
    <row r="3115" spans="6:11" x14ac:dyDescent="0.2">
      <c r="F3115" s="163"/>
      <c r="K3115"/>
    </row>
    <row r="3116" spans="6:11" x14ac:dyDescent="0.2">
      <c r="F3116" s="163"/>
      <c r="K3116"/>
    </row>
    <row r="3117" spans="6:11" x14ac:dyDescent="0.2">
      <c r="F3117" s="163"/>
      <c r="K3117"/>
    </row>
    <row r="3118" spans="6:11" x14ac:dyDescent="0.2">
      <c r="F3118" s="163"/>
      <c r="K3118"/>
    </row>
    <row r="3119" spans="6:11" x14ac:dyDescent="0.2">
      <c r="F3119" s="163"/>
      <c r="K3119"/>
    </row>
    <row r="3120" spans="6:11" x14ac:dyDescent="0.2">
      <c r="F3120" s="163"/>
      <c r="K3120"/>
    </row>
    <row r="3121" spans="6:11" x14ac:dyDescent="0.2">
      <c r="F3121" s="163"/>
      <c r="K3121"/>
    </row>
    <row r="3122" spans="6:11" x14ac:dyDescent="0.2">
      <c r="F3122" s="163"/>
      <c r="K3122"/>
    </row>
    <row r="3123" spans="6:11" x14ac:dyDescent="0.2">
      <c r="F3123" s="163"/>
      <c r="K3123"/>
    </row>
    <row r="3124" spans="6:11" x14ac:dyDescent="0.2">
      <c r="F3124" s="163"/>
      <c r="K3124"/>
    </row>
    <row r="3125" spans="6:11" x14ac:dyDescent="0.2">
      <c r="F3125" s="163"/>
      <c r="K3125"/>
    </row>
    <row r="3126" spans="6:11" x14ac:dyDescent="0.2">
      <c r="F3126" s="163"/>
      <c r="K3126"/>
    </row>
    <row r="3127" spans="6:11" x14ac:dyDescent="0.2">
      <c r="F3127" s="163"/>
      <c r="K3127"/>
    </row>
    <row r="3128" spans="6:11" x14ac:dyDescent="0.2">
      <c r="F3128" s="163"/>
      <c r="K3128"/>
    </row>
    <row r="3129" spans="6:11" x14ac:dyDescent="0.2">
      <c r="F3129" s="163"/>
      <c r="K3129"/>
    </row>
    <row r="3130" spans="6:11" x14ac:dyDescent="0.2">
      <c r="F3130" s="163"/>
      <c r="K3130"/>
    </row>
    <row r="3131" spans="6:11" x14ac:dyDescent="0.2">
      <c r="F3131" s="163"/>
      <c r="K3131"/>
    </row>
    <row r="3132" spans="6:11" x14ac:dyDescent="0.2">
      <c r="F3132" s="163"/>
      <c r="K3132"/>
    </row>
    <row r="3133" spans="6:11" x14ac:dyDescent="0.2">
      <c r="F3133" s="163"/>
      <c r="K3133"/>
    </row>
    <row r="3134" spans="6:11" x14ac:dyDescent="0.2">
      <c r="F3134" s="163"/>
      <c r="K3134"/>
    </row>
    <row r="3135" spans="6:11" x14ac:dyDescent="0.2">
      <c r="F3135" s="163"/>
      <c r="K3135"/>
    </row>
    <row r="3136" spans="6:11" x14ac:dyDescent="0.2">
      <c r="F3136" s="163"/>
      <c r="K3136"/>
    </row>
    <row r="3137" spans="6:11" x14ac:dyDescent="0.2">
      <c r="F3137" s="163"/>
      <c r="K3137"/>
    </row>
    <row r="3138" spans="6:11" x14ac:dyDescent="0.2">
      <c r="F3138" s="163"/>
      <c r="K3138"/>
    </row>
    <row r="3139" spans="6:11" x14ac:dyDescent="0.2">
      <c r="F3139" s="163"/>
      <c r="K3139"/>
    </row>
    <row r="3140" spans="6:11" x14ac:dyDescent="0.2">
      <c r="F3140" s="163"/>
      <c r="K3140"/>
    </row>
    <row r="3141" spans="6:11" x14ac:dyDescent="0.2">
      <c r="F3141" s="163"/>
      <c r="K3141"/>
    </row>
    <row r="3142" spans="6:11" x14ac:dyDescent="0.2">
      <c r="F3142" s="163"/>
      <c r="K3142"/>
    </row>
    <row r="3143" spans="6:11" x14ac:dyDescent="0.2">
      <c r="F3143" s="163"/>
      <c r="K3143"/>
    </row>
    <row r="3144" spans="6:11" x14ac:dyDescent="0.2">
      <c r="F3144" s="163"/>
      <c r="K3144"/>
    </row>
    <row r="3145" spans="6:11" x14ac:dyDescent="0.2">
      <c r="F3145" s="163"/>
      <c r="K3145"/>
    </row>
    <row r="3146" spans="6:11" x14ac:dyDescent="0.2">
      <c r="F3146" s="163"/>
      <c r="K3146"/>
    </row>
    <row r="3147" spans="6:11" x14ac:dyDescent="0.2">
      <c r="F3147" s="163"/>
      <c r="K3147"/>
    </row>
    <row r="3148" spans="6:11" x14ac:dyDescent="0.2">
      <c r="F3148" s="163"/>
      <c r="K3148"/>
    </row>
    <row r="3149" spans="6:11" x14ac:dyDescent="0.2">
      <c r="F3149" s="163"/>
      <c r="K3149"/>
    </row>
    <row r="3150" spans="6:11" x14ac:dyDescent="0.2">
      <c r="F3150" s="163"/>
      <c r="K3150"/>
    </row>
    <row r="3151" spans="6:11" x14ac:dyDescent="0.2">
      <c r="F3151" s="163"/>
      <c r="K3151"/>
    </row>
    <row r="3152" spans="6:11" x14ac:dyDescent="0.2">
      <c r="F3152" s="163"/>
      <c r="K3152"/>
    </row>
    <row r="3153" spans="6:11" x14ac:dyDescent="0.2">
      <c r="F3153" s="163"/>
      <c r="K3153"/>
    </row>
    <row r="3154" spans="6:11" x14ac:dyDescent="0.2">
      <c r="F3154" s="163"/>
      <c r="K3154"/>
    </row>
    <row r="3155" spans="6:11" x14ac:dyDescent="0.2">
      <c r="F3155" s="163"/>
      <c r="K3155"/>
    </row>
    <row r="3156" spans="6:11" x14ac:dyDescent="0.2">
      <c r="F3156" s="163"/>
      <c r="K3156"/>
    </row>
    <row r="3157" spans="6:11" x14ac:dyDescent="0.2">
      <c r="F3157" s="163"/>
      <c r="K3157"/>
    </row>
    <row r="3158" spans="6:11" x14ac:dyDescent="0.2">
      <c r="F3158" s="163"/>
      <c r="K3158"/>
    </row>
    <row r="3159" spans="6:11" x14ac:dyDescent="0.2">
      <c r="F3159" s="163"/>
      <c r="K3159"/>
    </row>
    <row r="3160" spans="6:11" x14ac:dyDescent="0.2">
      <c r="F3160" s="163"/>
      <c r="K3160"/>
    </row>
    <row r="3161" spans="6:11" x14ac:dyDescent="0.2">
      <c r="F3161" s="163"/>
      <c r="K3161"/>
    </row>
    <row r="3162" spans="6:11" x14ac:dyDescent="0.2">
      <c r="F3162" s="163"/>
      <c r="K3162"/>
    </row>
    <row r="3163" spans="6:11" x14ac:dyDescent="0.2">
      <c r="F3163" s="163"/>
      <c r="K3163"/>
    </row>
    <row r="3164" spans="6:11" x14ac:dyDescent="0.2">
      <c r="F3164" s="163"/>
      <c r="K3164"/>
    </row>
    <row r="3165" spans="6:11" x14ac:dyDescent="0.2">
      <c r="F3165" s="163"/>
      <c r="K3165"/>
    </row>
    <row r="3166" spans="6:11" x14ac:dyDescent="0.2">
      <c r="F3166" s="163"/>
      <c r="K3166"/>
    </row>
    <row r="3167" spans="6:11" x14ac:dyDescent="0.2">
      <c r="F3167" s="163"/>
      <c r="K3167"/>
    </row>
    <row r="3168" spans="6:11" x14ac:dyDescent="0.2">
      <c r="F3168" s="163"/>
      <c r="K3168"/>
    </row>
    <row r="3169" spans="6:11" x14ac:dyDescent="0.2">
      <c r="F3169" s="163"/>
      <c r="K3169"/>
    </row>
    <row r="3170" spans="6:11" x14ac:dyDescent="0.2">
      <c r="F3170" s="163"/>
      <c r="K3170"/>
    </row>
    <row r="3171" spans="6:11" x14ac:dyDescent="0.2">
      <c r="F3171" s="163"/>
      <c r="K3171"/>
    </row>
    <row r="3172" spans="6:11" x14ac:dyDescent="0.2">
      <c r="F3172" s="163"/>
      <c r="K3172"/>
    </row>
    <row r="3173" spans="6:11" x14ac:dyDescent="0.2">
      <c r="F3173" s="163"/>
      <c r="K3173"/>
    </row>
    <row r="3174" spans="6:11" x14ac:dyDescent="0.2">
      <c r="F3174" s="163"/>
      <c r="K3174"/>
    </row>
    <row r="3175" spans="6:11" x14ac:dyDescent="0.2">
      <c r="F3175" s="163"/>
      <c r="K3175"/>
    </row>
    <row r="3176" spans="6:11" x14ac:dyDescent="0.2">
      <c r="F3176" s="163"/>
      <c r="K3176"/>
    </row>
    <row r="3177" spans="6:11" x14ac:dyDescent="0.2">
      <c r="F3177" s="163"/>
      <c r="K3177"/>
    </row>
    <row r="3178" spans="6:11" x14ac:dyDescent="0.2">
      <c r="F3178" s="163"/>
      <c r="K3178"/>
    </row>
    <row r="3179" spans="6:11" x14ac:dyDescent="0.2">
      <c r="F3179" s="163"/>
      <c r="K3179"/>
    </row>
    <row r="3180" spans="6:11" x14ac:dyDescent="0.2">
      <c r="F3180" s="163"/>
      <c r="K3180"/>
    </row>
    <row r="3181" spans="6:11" x14ac:dyDescent="0.2">
      <c r="F3181" s="163"/>
      <c r="K3181"/>
    </row>
    <row r="3182" spans="6:11" x14ac:dyDescent="0.2">
      <c r="F3182" s="163"/>
      <c r="K3182"/>
    </row>
    <row r="3183" spans="6:11" x14ac:dyDescent="0.2">
      <c r="F3183" s="163"/>
      <c r="K3183"/>
    </row>
    <row r="3184" spans="6:11" x14ac:dyDescent="0.2">
      <c r="F3184" s="163"/>
      <c r="K3184"/>
    </row>
    <row r="3185" spans="6:11" x14ac:dyDescent="0.2">
      <c r="F3185" s="163"/>
      <c r="K3185"/>
    </row>
    <row r="3186" spans="6:11" x14ac:dyDescent="0.2">
      <c r="F3186" s="163"/>
      <c r="K3186"/>
    </row>
    <row r="3187" spans="6:11" x14ac:dyDescent="0.2">
      <c r="F3187" s="163"/>
      <c r="K3187"/>
    </row>
    <row r="3188" spans="6:11" x14ac:dyDescent="0.2">
      <c r="F3188" s="163"/>
      <c r="K3188"/>
    </row>
    <row r="3189" spans="6:11" x14ac:dyDescent="0.2">
      <c r="F3189" s="163"/>
      <c r="K3189"/>
    </row>
    <row r="3190" spans="6:11" x14ac:dyDescent="0.2">
      <c r="F3190" s="163"/>
      <c r="K3190"/>
    </row>
    <row r="3191" spans="6:11" x14ac:dyDescent="0.2">
      <c r="F3191" s="163"/>
      <c r="K3191"/>
    </row>
    <row r="3192" spans="6:11" x14ac:dyDescent="0.2">
      <c r="F3192" s="163"/>
      <c r="K3192"/>
    </row>
    <row r="3193" spans="6:11" x14ac:dyDescent="0.2">
      <c r="F3193" s="163"/>
      <c r="K3193"/>
    </row>
    <row r="3194" spans="6:11" x14ac:dyDescent="0.2">
      <c r="F3194" s="163"/>
      <c r="K3194"/>
    </row>
    <row r="3195" spans="6:11" x14ac:dyDescent="0.2">
      <c r="F3195" s="163"/>
      <c r="K3195"/>
    </row>
    <row r="3196" spans="6:11" x14ac:dyDescent="0.2">
      <c r="F3196" s="163"/>
      <c r="K3196"/>
    </row>
    <row r="3197" spans="6:11" x14ac:dyDescent="0.2">
      <c r="F3197" s="163"/>
      <c r="K3197"/>
    </row>
    <row r="3198" spans="6:11" x14ac:dyDescent="0.2">
      <c r="F3198" s="163"/>
      <c r="K3198"/>
    </row>
    <row r="3199" spans="6:11" x14ac:dyDescent="0.2">
      <c r="F3199" s="163"/>
      <c r="K3199"/>
    </row>
    <row r="3200" spans="6:11" x14ac:dyDescent="0.2">
      <c r="F3200" s="163"/>
      <c r="K3200"/>
    </row>
    <row r="3201" spans="6:11" x14ac:dyDescent="0.2">
      <c r="F3201" s="163"/>
      <c r="K3201"/>
    </row>
    <row r="3202" spans="6:11" x14ac:dyDescent="0.2">
      <c r="F3202" s="163"/>
      <c r="K3202"/>
    </row>
    <row r="3203" spans="6:11" x14ac:dyDescent="0.2">
      <c r="F3203" s="163"/>
      <c r="K3203"/>
    </row>
    <row r="3204" spans="6:11" x14ac:dyDescent="0.2">
      <c r="F3204" s="163"/>
      <c r="K3204"/>
    </row>
    <row r="3205" spans="6:11" x14ac:dyDescent="0.2">
      <c r="F3205" s="163"/>
      <c r="K3205"/>
    </row>
    <row r="3206" spans="6:11" x14ac:dyDescent="0.2">
      <c r="F3206" s="163"/>
      <c r="K3206"/>
    </row>
    <row r="3207" spans="6:11" x14ac:dyDescent="0.2">
      <c r="F3207" s="163"/>
      <c r="K3207"/>
    </row>
    <row r="3208" spans="6:11" x14ac:dyDescent="0.2">
      <c r="F3208" s="163"/>
      <c r="K3208"/>
    </row>
    <row r="3209" spans="6:11" x14ac:dyDescent="0.2">
      <c r="F3209" s="163"/>
      <c r="K3209"/>
    </row>
    <row r="3210" spans="6:11" x14ac:dyDescent="0.2">
      <c r="F3210" s="163"/>
      <c r="K3210"/>
    </row>
    <row r="3211" spans="6:11" x14ac:dyDescent="0.2">
      <c r="F3211" s="163"/>
      <c r="K3211"/>
    </row>
    <row r="3212" spans="6:11" x14ac:dyDescent="0.2">
      <c r="F3212" s="163"/>
      <c r="K3212"/>
    </row>
    <row r="3213" spans="6:11" x14ac:dyDescent="0.2">
      <c r="F3213" s="163"/>
      <c r="K3213"/>
    </row>
    <row r="3214" spans="6:11" x14ac:dyDescent="0.2">
      <c r="F3214" s="163"/>
      <c r="K3214"/>
    </row>
    <row r="3215" spans="6:11" x14ac:dyDescent="0.2">
      <c r="F3215" s="163"/>
      <c r="K3215"/>
    </row>
    <row r="3216" spans="6:11" x14ac:dyDescent="0.2">
      <c r="F3216" s="163"/>
      <c r="K3216"/>
    </row>
    <row r="3217" spans="6:11" x14ac:dyDescent="0.2">
      <c r="F3217" s="163"/>
      <c r="K3217"/>
    </row>
    <row r="3218" spans="6:11" x14ac:dyDescent="0.2">
      <c r="F3218" s="163"/>
      <c r="K3218"/>
    </row>
    <row r="3219" spans="6:11" x14ac:dyDescent="0.2">
      <c r="F3219" s="163"/>
      <c r="K3219"/>
    </row>
    <row r="3220" spans="6:11" x14ac:dyDescent="0.2">
      <c r="F3220" s="163"/>
      <c r="K3220"/>
    </row>
    <row r="3221" spans="6:11" x14ac:dyDescent="0.2">
      <c r="F3221" s="163"/>
      <c r="K3221"/>
    </row>
    <row r="3222" spans="6:11" x14ac:dyDescent="0.2">
      <c r="F3222" s="163"/>
      <c r="K3222"/>
    </row>
    <row r="3223" spans="6:11" x14ac:dyDescent="0.2">
      <c r="F3223" s="163"/>
      <c r="K3223"/>
    </row>
    <row r="3224" spans="6:11" x14ac:dyDescent="0.2">
      <c r="F3224" s="163"/>
      <c r="K3224"/>
    </row>
    <row r="3225" spans="6:11" x14ac:dyDescent="0.2">
      <c r="F3225" s="163"/>
      <c r="K3225"/>
    </row>
    <row r="3226" spans="6:11" x14ac:dyDescent="0.2">
      <c r="F3226" s="163"/>
      <c r="K3226"/>
    </row>
    <row r="3227" spans="6:11" x14ac:dyDescent="0.2">
      <c r="F3227" s="163"/>
      <c r="K3227"/>
    </row>
    <row r="3228" spans="6:11" x14ac:dyDescent="0.2">
      <c r="F3228" s="163"/>
      <c r="K3228"/>
    </row>
    <row r="3229" spans="6:11" x14ac:dyDescent="0.2">
      <c r="F3229" s="163"/>
      <c r="K3229"/>
    </row>
    <row r="3230" spans="6:11" x14ac:dyDescent="0.2">
      <c r="F3230" s="163"/>
      <c r="K3230"/>
    </row>
    <row r="3231" spans="6:11" x14ac:dyDescent="0.2">
      <c r="F3231" s="163"/>
      <c r="K3231"/>
    </row>
    <row r="3232" spans="6:11" x14ac:dyDescent="0.2">
      <c r="F3232" s="163"/>
      <c r="K3232"/>
    </row>
    <row r="3233" spans="6:11" x14ac:dyDescent="0.2">
      <c r="F3233" s="163"/>
      <c r="K3233"/>
    </row>
    <row r="3234" spans="6:11" x14ac:dyDescent="0.2">
      <c r="F3234" s="163"/>
      <c r="K3234"/>
    </row>
    <row r="3235" spans="6:11" x14ac:dyDescent="0.2">
      <c r="F3235" s="163"/>
      <c r="K3235"/>
    </row>
    <row r="3236" spans="6:11" x14ac:dyDescent="0.2">
      <c r="F3236" s="163"/>
      <c r="K3236"/>
    </row>
    <row r="3237" spans="6:11" x14ac:dyDescent="0.2">
      <c r="F3237" s="163"/>
      <c r="K3237"/>
    </row>
    <row r="3238" spans="6:11" x14ac:dyDescent="0.2">
      <c r="F3238" s="163"/>
      <c r="K3238"/>
    </row>
    <row r="3239" spans="6:11" x14ac:dyDescent="0.2">
      <c r="F3239" s="163"/>
      <c r="K3239"/>
    </row>
    <row r="3240" spans="6:11" x14ac:dyDescent="0.2">
      <c r="F3240" s="163"/>
      <c r="K3240"/>
    </row>
    <row r="3241" spans="6:11" x14ac:dyDescent="0.2">
      <c r="F3241" s="163"/>
      <c r="K3241"/>
    </row>
    <row r="3242" spans="6:11" x14ac:dyDescent="0.2">
      <c r="F3242" s="163"/>
      <c r="K3242"/>
    </row>
    <row r="3243" spans="6:11" x14ac:dyDescent="0.2">
      <c r="F3243" s="163"/>
      <c r="K3243"/>
    </row>
    <row r="3244" spans="6:11" x14ac:dyDescent="0.2">
      <c r="F3244" s="163"/>
      <c r="K3244"/>
    </row>
    <row r="3245" spans="6:11" x14ac:dyDescent="0.2">
      <c r="F3245" s="163"/>
      <c r="K3245"/>
    </row>
    <row r="3246" spans="6:11" x14ac:dyDescent="0.2">
      <c r="F3246" s="163"/>
      <c r="K3246"/>
    </row>
    <row r="3247" spans="6:11" x14ac:dyDescent="0.2">
      <c r="F3247" s="163"/>
      <c r="K3247"/>
    </row>
    <row r="3248" spans="6:11" x14ac:dyDescent="0.2">
      <c r="F3248" s="163"/>
      <c r="K3248"/>
    </row>
    <row r="3249" spans="6:11" x14ac:dyDescent="0.2">
      <c r="F3249" s="163"/>
      <c r="K3249"/>
    </row>
    <row r="3250" spans="6:11" x14ac:dyDescent="0.2">
      <c r="F3250" s="163"/>
      <c r="K3250"/>
    </row>
    <row r="3251" spans="6:11" x14ac:dyDescent="0.2">
      <c r="F3251" s="163"/>
      <c r="K3251"/>
    </row>
    <row r="3252" spans="6:11" x14ac:dyDescent="0.2">
      <c r="F3252" s="163"/>
      <c r="K3252"/>
    </row>
    <row r="3253" spans="6:11" x14ac:dyDescent="0.2">
      <c r="F3253" s="163"/>
      <c r="K3253"/>
    </row>
    <row r="3254" spans="6:11" x14ac:dyDescent="0.2">
      <c r="F3254" s="163"/>
      <c r="K3254"/>
    </row>
    <row r="3255" spans="6:11" x14ac:dyDescent="0.2">
      <c r="F3255" s="163"/>
      <c r="K3255"/>
    </row>
    <row r="3256" spans="6:11" x14ac:dyDescent="0.2">
      <c r="F3256" s="163"/>
      <c r="K3256"/>
    </row>
    <row r="3257" spans="6:11" x14ac:dyDescent="0.2">
      <c r="F3257" s="163"/>
      <c r="K3257"/>
    </row>
    <row r="3258" spans="6:11" x14ac:dyDescent="0.2">
      <c r="F3258" s="163"/>
      <c r="K3258"/>
    </row>
    <row r="3259" spans="6:11" x14ac:dyDescent="0.2">
      <c r="F3259" s="163"/>
      <c r="K3259"/>
    </row>
    <row r="3260" spans="6:11" x14ac:dyDescent="0.2">
      <c r="F3260" s="163"/>
      <c r="K3260"/>
    </row>
    <row r="3261" spans="6:11" x14ac:dyDescent="0.2">
      <c r="F3261" s="163"/>
      <c r="K3261"/>
    </row>
    <row r="3262" spans="6:11" x14ac:dyDescent="0.2">
      <c r="F3262" s="163"/>
      <c r="K3262"/>
    </row>
    <row r="3263" spans="6:11" x14ac:dyDescent="0.2">
      <c r="F3263" s="163"/>
      <c r="K3263"/>
    </row>
    <row r="3264" spans="6:11" x14ac:dyDescent="0.2">
      <c r="F3264" s="163"/>
      <c r="K3264"/>
    </row>
    <row r="3265" spans="6:11" x14ac:dyDescent="0.2">
      <c r="F3265" s="163"/>
      <c r="K3265"/>
    </row>
    <row r="3266" spans="6:11" x14ac:dyDescent="0.2">
      <c r="F3266" s="163"/>
      <c r="K3266"/>
    </row>
    <row r="3267" spans="6:11" x14ac:dyDescent="0.2">
      <c r="F3267" s="163"/>
      <c r="K3267"/>
    </row>
    <row r="3268" spans="6:11" x14ac:dyDescent="0.2">
      <c r="F3268" s="163"/>
      <c r="K3268"/>
    </row>
    <row r="3269" spans="6:11" x14ac:dyDescent="0.2">
      <c r="F3269" s="163"/>
      <c r="K3269"/>
    </row>
    <row r="3270" spans="6:11" x14ac:dyDescent="0.2">
      <c r="F3270" s="163"/>
      <c r="K3270"/>
    </row>
    <row r="3271" spans="6:11" x14ac:dyDescent="0.2">
      <c r="F3271" s="163"/>
      <c r="K3271"/>
    </row>
    <row r="3272" spans="6:11" x14ac:dyDescent="0.2">
      <c r="F3272" s="163"/>
      <c r="K3272"/>
    </row>
    <row r="3273" spans="6:11" x14ac:dyDescent="0.2">
      <c r="F3273" s="163"/>
      <c r="K3273"/>
    </row>
    <row r="3274" spans="6:11" x14ac:dyDescent="0.2">
      <c r="F3274" s="163"/>
      <c r="K3274"/>
    </row>
    <row r="3275" spans="6:11" x14ac:dyDescent="0.2">
      <c r="F3275" s="163"/>
      <c r="K3275"/>
    </row>
    <row r="3276" spans="6:11" x14ac:dyDescent="0.2">
      <c r="F3276" s="163"/>
      <c r="K3276"/>
    </row>
    <row r="3277" spans="6:11" x14ac:dyDescent="0.2">
      <c r="F3277" s="163"/>
      <c r="K3277"/>
    </row>
    <row r="3278" spans="6:11" x14ac:dyDescent="0.2">
      <c r="F3278" s="163"/>
      <c r="K3278"/>
    </row>
    <row r="3279" spans="6:11" x14ac:dyDescent="0.2">
      <c r="F3279" s="163"/>
      <c r="K3279"/>
    </row>
    <row r="3280" spans="6:11" x14ac:dyDescent="0.2">
      <c r="F3280" s="163"/>
      <c r="K3280"/>
    </row>
    <row r="3281" spans="6:11" x14ac:dyDescent="0.2">
      <c r="F3281" s="163"/>
      <c r="K3281"/>
    </row>
    <row r="3282" spans="6:11" x14ac:dyDescent="0.2">
      <c r="F3282" s="163"/>
      <c r="K3282"/>
    </row>
    <row r="3283" spans="6:11" x14ac:dyDescent="0.2">
      <c r="F3283" s="163"/>
      <c r="K3283"/>
    </row>
    <row r="3284" spans="6:11" x14ac:dyDescent="0.2">
      <c r="F3284" s="163"/>
      <c r="K3284"/>
    </row>
    <row r="3285" spans="6:11" x14ac:dyDescent="0.2">
      <c r="F3285" s="163"/>
      <c r="K3285"/>
    </row>
    <row r="3286" spans="6:11" x14ac:dyDescent="0.2">
      <c r="F3286" s="163"/>
      <c r="K3286"/>
    </row>
    <row r="3287" spans="6:11" x14ac:dyDescent="0.2">
      <c r="F3287" s="163"/>
      <c r="K3287"/>
    </row>
    <row r="3288" spans="6:11" x14ac:dyDescent="0.2">
      <c r="F3288" s="163"/>
      <c r="K3288"/>
    </row>
    <row r="3289" spans="6:11" x14ac:dyDescent="0.2">
      <c r="F3289" s="163"/>
      <c r="K3289"/>
    </row>
    <row r="3290" spans="6:11" x14ac:dyDescent="0.2">
      <c r="F3290" s="163"/>
      <c r="K3290"/>
    </row>
    <row r="3291" spans="6:11" x14ac:dyDescent="0.2">
      <c r="F3291" s="163"/>
      <c r="K3291"/>
    </row>
    <row r="3292" spans="6:11" x14ac:dyDescent="0.2">
      <c r="F3292" s="163"/>
      <c r="K3292"/>
    </row>
    <row r="3293" spans="6:11" x14ac:dyDescent="0.2">
      <c r="F3293" s="163"/>
      <c r="K3293"/>
    </row>
    <row r="3294" spans="6:11" x14ac:dyDescent="0.2">
      <c r="F3294" s="163"/>
      <c r="K3294"/>
    </row>
    <row r="3295" spans="6:11" x14ac:dyDescent="0.2">
      <c r="F3295" s="163"/>
      <c r="K3295"/>
    </row>
    <row r="3296" spans="6:11" x14ac:dyDescent="0.2">
      <c r="F3296" s="163"/>
      <c r="K3296"/>
    </row>
    <row r="3297" spans="6:11" x14ac:dyDescent="0.2">
      <c r="F3297" s="163"/>
      <c r="K3297"/>
    </row>
    <row r="3298" spans="6:11" x14ac:dyDescent="0.2">
      <c r="F3298" s="163"/>
      <c r="K3298"/>
    </row>
    <row r="3299" spans="6:11" x14ac:dyDescent="0.2">
      <c r="F3299" s="163"/>
      <c r="K3299"/>
    </row>
    <row r="3300" spans="6:11" x14ac:dyDescent="0.2">
      <c r="F3300" s="163"/>
      <c r="K3300"/>
    </row>
    <row r="3301" spans="6:11" x14ac:dyDescent="0.2">
      <c r="F3301" s="163"/>
      <c r="K3301"/>
    </row>
    <row r="3302" spans="6:11" x14ac:dyDescent="0.2">
      <c r="F3302" s="163"/>
      <c r="K3302"/>
    </row>
    <row r="3303" spans="6:11" x14ac:dyDescent="0.2">
      <c r="F3303" s="163"/>
      <c r="K3303"/>
    </row>
    <row r="3304" spans="6:11" x14ac:dyDescent="0.2">
      <c r="F3304" s="163"/>
      <c r="K3304"/>
    </row>
    <row r="3305" spans="6:11" x14ac:dyDescent="0.2">
      <c r="F3305" s="163"/>
      <c r="K3305"/>
    </row>
    <row r="3306" spans="6:11" x14ac:dyDescent="0.2">
      <c r="F3306" s="163"/>
      <c r="K3306"/>
    </row>
    <row r="3307" spans="6:11" x14ac:dyDescent="0.2">
      <c r="F3307" s="163"/>
      <c r="K3307"/>
    </row>
    <row r="3308" spans="6:11" x14ac:dyDescent="0.2">
      <c r="F3308" s="163"/>
      <c r="K3308"/>
    </row>
    <row r="3309" spans="6:11" x14ac:dyDescent="0.2">
      <c r="F3309" s="163"/>
      <c r="K3309"/>
    </row>
    <row r="3310" spans="6:11" x14ac:dyDescent="0.2">
      <c r="F3310" s="163"/>
      <c r="K3310"/>
    </row>
    <row r="3311" spans="6:11" x14ac:dyDescent="0.2">
      <c r="F3311" s="163"/>
      <c r="K3311"/>
    </row>
    <row r="3312" spans="6:11" x14ac:dyDescent="0.2">
      <c r="F3312" s="163"/>
      <c r="K3312"/>
    </row>
    <row r="3313" spans="6:11" x14ac:dyDescent="0.2">
      <c r="F3313" s="163"/>
      <c r="K3313"/>
    </row>
    <row r="3314" spans="6:11" x14ac:dyDescent="0.2">
      <c r="F3314" s="163"/>
      <c r="K3314"/>
    </row>
    <row r="3315" spans="6:11" x14ac:dyDescent="0.2">
      <c r="F3315" s="163"/>
      <c r="K3315"/>
    </row>
    <row r="3316" spans="6:11" x14ac:dyDescent="0.2">
      <c r="F3316" s="163"/>
      <c r="K3316"/>
    </row>
    <row r="3317" spans="6:11" x14ac:dyDescent="0.2">
      <c r="F3317" s="163"/>
      <c r="K3317"/>
    </row>
    <row r="3318" spans="6:11" x14ac:dyDescent="0.2">
      <c r="F3318" s="163"/>
      <c r="K3318"/>
    </row>
    <row r="3319" spans="6:11" x14ac:dyDescent="0.2">
      <c r="F3319" s="163"/>
      <c r="K3319"/>
    </row>
    <row r="3320" spans="6:11" x14ac:dyDescent="0.2">
      <c r="F3320" s="163"/>
      <c r="K3320"/>
    </row>
    <row r="3321" spans="6:11" x14ac:dyDescent="0.2">
      <c r="F3321" s="163"/>
      <c r="K3321"/>
    </row>
    <row r="3322" spans="6:11" x14ac:dyDescent="0.2">
      <c r="F3322" s="163"/>
      <c r="K3322"/>
    </row>
    <row r="3323" spans="6:11" x14ac:dyDescent="0.2">
      <c r="F3323" s="163"/>
      <c r="K3323"/>
    </row>
    <row r="3324" spans="6:11" x14ac:dyDescent="0.2">
      <c r="F3324" s="163"/>
      <c r="K3324"/>
    </row>
    <row r="3325" spans="6:11" x14ac:dyDescent="0.2">
      <c r="F3325" s="163"/>
      <c r="K3325"/>
    </row>
    <row r="3326" spans="6:11" x14ac:dyDescent="0.2">
      <c r="F3326" s="163"/>
      <c r="K3326"/>
    </row>
    <row r="3327" spans="6:11" x14ac:dyDescent="0.2">
      <c r="F3327" s="163"/>
      <c r="K3327"/>
    </row>
    <row r="3328" spans="6:11" x14ac:dyDescent="0.2">
      <c r="F3328" s="163"/>
      <c r="K3328"/>
    </row>
    <row r="3329" spans="6:11" x14ac:dyDescent="0.2">
      <c r="F3329" s="163"/>
      <c r="K3329"/>
    </row>
    <row r="3330" spans="6:11" x14ac:dyDescent="0.2">
      <c r="F3330" s="163"/>
      <c r="K3330"/>
    </row>
    <row r="3331" spans="6:11" x14ac:dyDescent="0.2">
      <c r="F3331" s="163"/>
      <c r="K3331"/>
    </row>
    <row r="3332" spans="6:11" x14ac:dyDescent="0.2">
      <c r="F3332" s="163"/>
      <c r="K3332"/>
    </row>
    <row r="3333" spans="6:11" x14ac:dyDescent="0.2">
      <c r="F3333" s="163"/>
      <c r="K3333"/>
    </row>
    <row r="3334" spans="6:11" x14ac:dyDescent="0.2">
      <c r="F3334" s="163"/>
      <c r="K3334"/>
    </row>
    <row r="3335" spans="6:11" x14ac:dyDescent="0.2">
      <c r="F3335" s="163"/>
      <c r="K3335"/>
    </row>
    <row r="3336" spans="6:11" x14ac:dyDescent="0.2">
      <c r="F3336" s="163"/>
      <c r="K3336"/>
    </row>
    <row r="3337" spans="6:11" x14ac:dyDescent="0.2">
      <c r="F3337" s="163"/>
      <c r="K3337"/>
    </row>
    <row r="3338" spans="6:11" x14ac:dyDescent="0.2">
      <c r="F3338" s="163"/>
      <c r="K3338"/>
    </row>
    <row r="3339" spans="6:11" x14ac:dyDescent="0.2">
      <c r="F3339" s="163"/>
      <c r="K3339"/>
    </row>
    <row r="3340" spans="6:11" x14ac:dyDescent="0.2">
      <c r="F3340" s="163"/>
      <c r="K3340"/>
    </row>
    <row r="3341" spans="6:11" x14ac:dyDescent="0.2">
      <c r="F3341" s="163"/>
      <c r="K3341"/>
    </row>
    <row r="3342" spans="6:11" x14ac:dyDescent="0.2">
      <c r="F3342" s="163"/>
      <c r="K3342"/>
    </row>
    <row r="3343" spans="6:11" x14ac:dyDescent="0.2">
      <c r="F3343" s="163"/>
      <c r="K3343"/>
    </row>
    <row r="3344" spans="6:11" x14ac:dyDescent="0.2">
      <c r="F3344" s="163"/>
      <c r="K3344"/>
    </row>
    <row r="3345" spans="6:11" x14ac:dyDescent="0.2">
      <c r="F3345" s="163"/>
      <c r="K3345"/>
    </row>
    <row r="3346" spans="6:11" x14ac:dyDescent="0.2">
      <c r="F3346" s="163"/>
      <c r="K3346"/>
    </row>
    <row r="3347" spans="6:11" x14ac:dyDescent="0.2">
      <c r="F3347" s="163"/>
      <c r="K3347"/>
    </row>
    <row r="3348" spans="6:11" x14ac:dyDescent="0.2">
      <c r="F3348" s="163"/>
      <c r="K3348"/>
    </row>
    <row r="3349" spans="6:11" x14ac:dyDescent="0.2">
      <c r="F3349" s="163"/>
      <c r="K3349"/>
    </row>
    <row r="3350" spans="6:11" x14ac:dyDescent="0.2">
      <c r="F3350" s="163"/>
      <c r="K3350"/>
    </row>
    <row r="3351" spans="6:11" x14ac:dyDescent="0.2">
      <c r="F3351" s="163"/>
      <c r="K3351"/>
    </row>
    <row r="3352" spans="6:11" x14ac:dyDescent="0.2">
      <c r="F3352" s="163"/>
      <c r="K3352"/>
    </row>
    <row r="3353" spans="6:11" x14ac:dyDescent="0.2">
      <c r="F3353" s="163"/>
      <c r="K3353"/>
    </row>
    <row r="3354" spans="6:11" x14ac:dyDescent="0.2">
      <c r="F3354" s="163"/>
      <c r="K3354"/>
    </row>
    <row r="3355" spans="6:11" x14ac:dyDescent="0.2">
      <c r="F3355" s="163"/>
      <c r="K3355"/>
    </row>
    <row r="3356" spans="6:11" x14ac:dyDescent="0.2">
      <c r="F3356" s="163"/>
      <c r="K3356"/>
    </row>
    <row r="3357" spans="6:11" x14ac:dyDescent="0.2">
      <c r="F3357" s="163"/>
      <c r="K3357"/>
    </row>
    <row r="3358" spans="6:11" x14ac:dyDescent="0.2">
      <c r="F3358" s="163"/>
      <c r="K3358"/>
    </row>
    <row r="3359" spans="6:11" x14ac:dyDescent="0.2">
      <c r="F3359" s="163"/>
      <c r="K3359"/>
    </row>
    <row r="3360" spans="6:11" x14ac:dyDescent="0.2">
      <c r="F3360" s="163"/>
      <c r="K3360"/>
    </row>
    <row r="3361" spans="6:11" x14ac:dyDescent="0.2">
      <c r="F3361" s="163"/>
      <c r="K3361"/>
    </row>
    <row r="3362" spans="6:11" x14ac:dyDescent="0.2">
      <c r="F3362" s="163"/>
      <c r="K3362"/>
    </row>
    <row r="3363" spans="6:11" x14ac:dyDescent="0.2">
      <c r="F3363" s="163"/>
      <c r="K3363"/>
    </row>
    <row r="3364" spans="6:11" x14ac:dyDescent="0.2">
      <c r="F3364" s="163"/>
      <c r="K3364"/>
    </row>
    <row r="3365" spans="6:11" x14ac:dyDescent="0.2">
      <c r="F3365" s="163"/>
      <c r="K3365"/>
    </row>
    <row r="3366" spans="6:11" x14ac:dyDescent="0.2">
      <c r="F3366" s="163"/>
      <c r="K3366"/>
    </row>
    <row r="3367" spans="6:11" x14ac:dyDescent="0.2">
      <c r="F3367" s="163"/>
      <c r="K3367"/>
    </row>
    <row r="3368" spans="6:11" x14ac:dyDescent="0.2">
      <c r="F3368" s="163"/>
      <c r="K3368"/>
    </row>
    <row r="3369" spans="6:11" x14ac:dyDescent="0.2">
      <c r="F3369" s="163"/>
      <c r="K3369"/>
    </row>
    <row r="3370" spans="6:11" x14ac:dyDescent="0.2">
      <c r="F3370" s="163"/>
      <c r="K3370"/>
    </row>
    <row r="3371" spans="6:11" x14ac:dyDescent="0.2">
      <c r="F3371" s="163"/>
      <c r="K3371"/>
    </row>
    <row r="3372" spans="6:11" x14ac:dyDescent="0.2">
      <c r="F3372" s="163"/>
      <c r="K3372"/>
    </row>
    <row r="3373" spans="6:11" x14ac:dyDescent="0.2">
      <c r="F3373" s="163"/>
      <c r="K3373"/>
    </row>
    <row r="3374" spans="6:11" x14ac:dyDescent="0.2">
      <c r="F3374" s="163"/>
      <c r="K3374"/>
    </row>
    <row r="3375" spans="6:11" x14ac:dyDescent="0.2">
      <c r="F3375" s="163"/>
      <c r="K3375"/>
    </row>
    <row r="3376" spans="6:11" x14ac:dyDescent="0.2">
      <c r="F3376" s="163"/>
      <c r="K3376"/>
    </row>
    <row r="3377" spans="6:11" x14ac:dyDescent="0.2">
      <c r="F3377" s="163"/>
      <c r="K3377"/>
    </row>
    <row r="3378" spans="6:11" x14ac:dyDescent="0.2">
      <c r="F3378" s="163"/>
      <c r="K3378"/>
    </row>
    <row r="3379" spans="6:11" x14ac:dyDescent="0.2">
      <c r="F3379" s="163"/>
      <c r="K3379"/>
    </row>
    <row r="3380" spans="6:11" x14ac:dyDescent="0.2">
      <c r="F3380" s="163"/>
      <c r="K3380"/>
    </row>
    <row r="3381" spans="6:11" x14ac:dyDescent="0.2">
      <c r="F3381" s="163"/>
      <c r="K3381"/>
    </row>
    <row r="3382" spans="6:11" x14ac:dyDescent="0.2">
      <c r="F3382" s="163"/>
      <c r="K3382"/>
    </row>
    <row r="3383" spans="6:11" x14ac:dyDescent="0.2">
      <c r="F3383" s="163"/>
      <c r="K3383"/>
    </row>
    <row r="3384" spans="6:11" x14ac:dyDescent="0.2">
      <c r="F3384" s="163"/>
      <c r="K3384"/>
    </row>
    <row r="3385" spans="6:11" x14ac:dyDescent="0.2">
      <c r="F3385" s="163"/>
      <c r="K3385"/>
    </row>
    <row r="3386" spans="6:11" x14ac:dyDescent="0.2">
      <c r="F3386" s="163"/>
      <c r="K3386"/>
    </row>
    <row r="3387" spans="6:11" x14ac:dyDescent="0.2">
      <c r="F3387" s="163"/>
      <c r="K3387"/>
    </row>
    <row r="3388" spans="6:11" x14ac:dyDescent="0.2">
      <c r="F3388" s="163"/>
      <c r="K3388"/>
    </row>
    <row r="3389" spans="6:11" x14ac:dyDescent="0.2">
      <c r="F3389" s="163"/>
      <c r="K3389"/>
    </row>
    <row r="3390" spans="6:11" x14ac:dyDescent="0.2">
      <c r="F3390" s="163"/>
      <c r="K3390"/>
    </row>
    <row r="3391" spans="6:11" x14ac:dyDescent="0.2">
      <c r="F3391" s="163"/>
      <c r="K3391"/>
    </row>
    <row r="3392" spans="6:11" x14ac:dyDescent="0.2">
      <c r="F3392" s="163"/>
      <c r="K3392"/>
    </row>
    <row r="3393" spans="6:11" x14ac:dyDescent="0.2">
      <c r="F3393" s="163"/>
      <c r="K3393"/>
    </row>
    <row r="3394" spans="6:11" x14ac:dyDescent="0.2">
      <c r="F3394" s="163"/>
      <c r="K3394"/>
    </row>
    <row r="3395" spans="6:11" x14ac:dyDescent="0.2">
      <c r="F3395" s="163"/>
      <c r="K3395"/>
    </row>
    <row r="3396" spans="6:11" x14ac:dyDescent="0.2">
      <c r="F3396" s="163"/>
      <c r="K3396"/>
    </row>
    <row r="3397" spans="6:11" x14ac:dyDescent="0.2">
      <c r="F3397" s="163"/>
      <c r="K3397"/>
    </row>
    <row r="3398" spans="6:11" x14ac:dyDescent="0.2">
      <c r="F3398" s="163"/>
      <c r="K3398"/>
    </row>
    <row r="3399" spans="6:11" x14ac:dyDescent="0.2">
      <c r="F3399" s="163"/>
      <c r="K3399"/>
    </row>
    <row r="3400" spans="6:11" x14ac:dyDescent="0.2">
      <c r="F3400" s="163"/>
      <c r="K3400"/>
    </row>
    <row r="3401" spans="6:11" x14ac:dyDescent="0.2">
      <c r="F3401" s="163"/>
      <c r="K3401"/>
    </row>
    <row r="3402" spans="6:11" x14ac:dyDescent="0.2">
      <c r="F3402" s="163"/>
      <c r="K3402"/>
    </row>
    <row r="3403" spans="6:11" x14ac:dyDescent="0.2">
      <c r="F3403" s="163"/>
      <c r="K3403"/>
    </row>
    <row r="3404" spans="6:11" x14ac:dyDescent="0.2">
      <c r="F3404" s="163"/>
      <c r="K3404"/>
    </row>
    <row r="3405" spans="6:11" x14ac:dyDescent="0.2">
      <c r="F3405" s="163"/>
      <c r="K3405"/>
    </row>
    <row r="3406" spans="6:11" x14ac:dyDescent="0.2">
      <c r="F3406" s="163"/>
      <c r="K3406"/>
    </row>
    <row r="3407" spans="6:11" x14ac:dyDescent="0.2">
      <c r="F3407" s="163"/>
      <c r="K3407"/>
    </row>
    <row r="3408" spans="6:11" x14ac:dyDescent="0.2">
      <c r="F3408" s="163"/>
      <c r="K3408"/>
    </row>
    <row r="3409" spans="6:11" x14ac:dyDescent="0.2">
      <c r="F3409" s="163"/>
      <c r="K3409"/>
    </row>
    <row r="3410" spans="6:11" x14ac:dyDescent="0.2">
      <c r="F3410" s="163"/>
      <c r="K3410"/>
    </row>
    <row r="3411" spans="6:11" x14ac:dyDescent="0.2">
      <c r="F3411" s="163"/>
      <c r="K3411"/>
    </row>
    <row r="3412" spans="6:11" x14ac:dyDescent="0.2">
      <c r="F3412" s="163"/>
      <c r="K3412"/>
    </row>
    <row r="3413" spans="6:11" x14ac:dyDescent="0.2">
      <c r="F3413" s="163"/>
      <c r="K3413"/>
    </row>
    <row r="3414" spans="6:11" x14ac:dyDescent="0.2">
      <c r="F3414" s="163"/>
      <c r="K3414"/>
    </row>
    <row r="3415" spans="6:11" x14ac:dyDescent="0.2">
      <c r="F3415" s="163"/>
      <c r="K3415"/>
    </row>
    <row r="3416" spans="6:11" x14ac:dyDescent="0.2">
      <c r="F3416" s="163"/>
      <c r="K3416"/>
    </row>
    <row r="3417" spans="6:11" x14ac:dyDescent="0.2">
      <c r="F3417" s="163"/>
      <c r="K3417"/>
    </row>
    <row r="3418" spans="6:11" x14ac:dyDescent="0.2">
      <c r="F3418" s="163"/>
      <c r="K3418"/>
    </row>
    <row r="3419" spans="6:11" x14ac:dyDescent="0.2">
      <c r="F3419" s="163"/>
      <c r="K3419"/>
    </row>
    <row r="3420" spans="6:11" x14ac:dyDescent="0.2">
      <c r="F3420" s="163"/>
      <c r="K3420"/>
    </row>
    <row r="3421" spans="6:11" x14ac:dyDescent="0.2">
      <c r="F3421" s="163"/>
      <c r="K3421"/>
    </row>
    <row r="3422" spans="6:11" x14ac:dyDescent="0.2">
      <c r="F3422" s="163"/>
      <c r="K3422"/>
    </row>
    <row r="3423" spans="6:11" x14ac:dyDescent="0.2">
      <c r="F3423" s="163"/>
      <c r="K3423"/>
    </row>
    <row r="3424" spans="6:11" x14ac:dyDescent="0.2">
      <c r="F3424" s="163"/>
      <c r="K3424"/>
    </row>
    <row r="3425" spans="6:11" x14ac:dyDescent="0.2">
      <c r="F3425" s="163"/>
      <c r="K3425"/>
    </row>
    <row r="3426" spans="6:11" x14ac:dyDescent="0.2">
      <c r="F3426" s="163"/>
      <c r="K3426"/>
    </row>
    <row r="3427" spans="6:11" x14ac:dyDescent="0.2">
      <c r="F3427" s="163"/>
      <c r="K3427"/>
    </row>
    <row r="3428" spans="6:11" x14ac:dyDescent="0.2">
      <c r="F3428" s="163"/>
      <c r="K3428"/>
    </row>
    <row r="3429" spans="6:11" x14ac:dyDescent="0.2">
      <c r="F3429" s="163"/>
      <c r="K3429"/>
    </row>
    <row r="3430" spans="6:11" x14ac:dyDescent="0.2">
      <c r="F3430" s="163"/>
      <c r="K3430"/>
    </row>
    <row r="3431" spans="6:11" x14ac:dyDescent="0.2">
      <c r="F3431" s="163"/>
      <c r="K3431"/>
    </row>
    <row r="3432" spans="6:11" x14ac:dyDescent="0.2">
      <c r="F3432" s="163"/>
      <c r="K3432"/>
    </row>
    <row r="3433" spans="6:11" x14ac:dyDescent="0.2">
      <c r="F3433" s="163"/>
      <c r="K3433"/>
    </row>
    <row r="3434" spans="6:11" x14ac:dyDescent="0.2">
      <c r="F3434" s="163"/>
      <c r="K3434"/>
    </row>
    <row r="3435" spans="6:11" x14ac:dyDescent="0.2">
      <c r="F3435" s="163"/>
      <c r="K3435"/>
    </row>
    <row r="3436" spans="6:11" x14ac:dyDescent="0.2">
      <c r="F3436" s="163"/>
      <c r="K3436"/>
    </row>
    <row r="3437" spans="6:11" x14ac:dyDescent="0.2">
      <c r="F3437" s="163"/>
      <c r="K3437"/>
    </row>
    <row r="3438" spans="6:11" x14ac:dyDescent="0.2">
      <c r="F3438" s="163"/>
      <c r="K3438"/>
    </row>
    <row r="3439" spans="6:11" x14ac:dyDescent="0.2">
      <c r="F3439" s="163"/>
      <c r="K3439"/>
    </row>
    <row r="3440" spans="6:11" x14ac:dyDescent="0.2">
      <c r="F3440" s="163"/>
      <c r="K3440"/>
    </row>
    <row r="3441" spans="6:11" x14ac:dyDescent="0.2">
      <c r="F3441" s="163"/>
      <c r="K3441"/>
    </row>
    <row r="3442" spans="6:11" x14ac:dyDescent="0.2">
      <c r="F3442" s="163"/>
      <c r="K3442"/>
    </row>
    <row r="3443" spans="6:11" x14ac:dyDescent="0.2">
      <c r="F3443" s="163"/>
      <c r="K3443"/>
    </row>
    <row r="3444" spans="6:11" x14ac:dyDescent="0.2">
      <c r="F3444" s="163"/>
      <c r="K3444"/>
    </row>
    <row r="3445" spans="6:11" x14ac:dyDescent="0.2">
      <c r="F3445" s="163"/>
      <c r="K3445"/>
    </row>
    <row r="3446" spans="6:11" x14ac:dyDescent="0.2">
      <c r="F3446" s="163"/>
      <c r="K3446"/>
    </row>
    <row r="3447" spans="6:11" x14ac:dyDescent="0.2">
      <c r="F3447" s="163"/>
      <c r="K3447"/>
    </row>
    <row r="3448" spans="6:11" x14ac:dyDescent="0.2">
      <c r="F3448" s="163"/>
      <c r="K3448"/>
    </row>
    <row r="3449" spans="6:11" x14ac:dyDescent="0.2">
      <c r="F3449" s="163"/>
      <c r="K3449"/>
    </row>
    <row r="3450" spans="6:11" x14ac:dyDescent="0.2">
      <c r="F3450" s="163"/>
      <c r="K3450"/>
    </row>
    <row r="3451" spans="6:11" x14ac:dyDescent="0.2">
      <c r="F3451" s="163"/>
      <c r="K3451"/>
    </row>
    <row r="3452" spans="6:11" x14ac:dyDescent="0.2">
      <c r="F3452" s="163"/>
      <c r="K3452"/>
    </row>
    <row r="3453" spans="6:11" x14ac:dyDescent="0.2">
      <c r="F3453" s="163"/>
      <c r="K3453"/>
    </row>
    <row r="3454" spans="6:11" x14ac:dyDescent="0.2">
      <c r="F3454" s="163"/>
      <c r="K3454"/>
    </row>
    <row r="3455" spans="6:11" x14ac:dyDescent="0.2">
      <c r="F3455" s="163"/>
      <c r="K3455"/>
    </row>
    <row r="3456" spans="6:11" x14ac:dyDescent="0.2">
      <c r="F3456" s="163"/>
      <c r="K3456"/>
    </row>
    <row r="3457" spans="6:11" x14ac:dyDescent="0.2">
      <c r="F3457" s="163"/>
      <c r="K3457"/>
    </row>
    <row r="3458" spans="6:11" x14ac:dyDescent="0.2">
      <c r="F3458" s="163"/>
      <c r="K3458"/>
    </row>
    <row r="3459" spans="6:11" x14ac:dyDescent="0.2">
      <c r="F3459" s="163"/>
      <c r="K3459"/>
    </row>
    <row r="3460" spans="6:11" x14ac:dyDescent="0.2">
      <c r="F3460" s="163"/>
      <c r="K3460"/>
    </row>
    <row r="3461" spans="6:11" x14ac:dyDescent="0.2">
      <c r="F3461" s="163"/>
      <c r="K3461"/>
    </row>
    <row r="3462" spans="6:11" x14ac:dyDescent="0.2">
      <c r="F3462" s="163"/>
      <c r="K3462"/>
    </row>
    <row r="3463" spans="6:11" x14ac:dyDescent="0.2">
      <c r="F3463" s="163"/>
      <c r="K3463"/>
    </row>
    <row r="3464" spans="6:11" x14ac:dyDescent="0.2">
      <c r="F3464" s="163"/>
      <c r="K3464"/>
    </row>
    <row r="3465" spans="6:11" x14ac:dyDescent="0.2">
      <c r="F3465" s="163"/>
      <c r="K3465"/>
    </row>
    <row r="3466" spans="6:11" x14ac:dyDescent="0.2">
      <c r="F3466" s="163"/>
      <c r="K3466"/>
    </row>
    <row r="3467" spans="6:11" x14ac:dyDescent="0.2">
      <c r="F3467" s="163"/>
      <c r="K3467"/>
    </row>
    <row r="3468" spans="6:11" x14ac:dyDescent="0.2">
      <c r="F3468" s="163"/>
      <c r="K3468"/>
    </row>
    <row r="3469" spans="6:11" x14ac:dyDescent="0.2">
      <c r="F3469" s="163"/>
      <c r="K3469"/>
    </row>
    <row r="3470" spans="6:11" x14ac:dyDescent="0.2">
      <c r="F3470" s="163"/>
      <c r="K3470"/>
    </row>
    <row r="3471" spans="6:11" x14ac:dyDescent="0.2">
      <c r="F3471" s="163"/>
      <c r="K3471"/>
    </row>
    <row r="3472" spans="6:11" x14ac:dyDescent="0.2">
      <c r="F3472" s="163"/>
      <c r="K3472"/>
    </row>
    <row r="3473" spans="6:11" x14ac:dyDescent="0.2">
      <c r="F3473" s="163"/>
      <c r="K3473"/>
    </row>
    <row r="3474" spans="6:11" x14ac:dyDescent="0.2">
      <c r="F3474" s="163"/>
      <c r="K3474"/>
    </row>
    <row r="3475" spans="6:11" x14ac:dyDescent="0.2">
      <c r="F3475" s="163"/>
      <c r="K3475"/>
    </row>
    <row r="3476" spans="6:11" x14ac:dyDescent="0.2">
      <c r="F3476" s="163"/>
      <c r="K3476"/>
    </row>
    <row r="3477" spans="6:11" x14ac:dyDescent="0.2">
      <c r="F3477" s="163"/>
      <c r="K3477"/>
    </row>
    <row r="3478" spans="6:11" x14ac:dyDescent="0.2">
      <c r="F3478" s="163"/>
      <c r="K3478"/>
    </row>
    <row r="3479" spans="6:11" x14ac:dyDescent="0.2">
      <c r="F3479" s="163"/>
      <c r="K3479"/>
    </row>
    <row r="3480" spans="6:11" x14ac:dyDescent="0.2">
      <c r="F3480" s="163"/>
      <c r="K3480"/>
    </row>
    <row r="3481" spans="6:11" x14ac:dyDescent="0.2">
      <c r="F3481" s="163"/>
      <c r="K3481"/>
    </row>
    <row r="3482" spans="6:11" x14ac:dyDescent="0.2">
      <c r="F3482" s="163"/>
      <c r="K3482"/>
    </row>
    <row r="3483" spans="6:11" x14ac:dyDescent="0.2">
      <c r="F3483" s="163"/>
      <c r="K3483"/>
    </row>
    <row r="3484" spans="6:11" x14ac:dyDescent="0.2">
      <c r="F3484" s="163"/>
      <c r="K3484"/>
    </row>
    <row r="3485" spans="6:11" x14ac:dyDescent="0.2">
      <c r="F3485" s="163"/>
      <c r="K3485"/>
    </row>
    <row r="3486" spans="6:11" x14ac:dyDescent="0.2">
      <c r="F3486" s="163"/>
      <c r="K3486"/>
    </row>
    <row r="3487" spans="6:11" x14ac:dyDescent="0.2">
      <c r="F3487" s="163"/>
      <c r="K3487"/>
    </row>
    <row r="3488" spans="6:11" x14ac:dyDescent="0.2">
      <c r="F3488" s="163"/>
      <c r="K3488"/>
    </row>
    <row r="3489" spans="6:11" x14ac:dyDescent="0.2">
      <c r="F3489" s="163"/>
      <c r="K3489"/>
    </row>
    <row r="3490" spans="6:11" x14ac:dyDescent="0.2">
      <c r="F3490" s="163"/>
      <c r="K3490"/>
    </row>
    <row r="3491" spans="6:11" x14ac:dyDescent="0.2">
      <c r="F3491" s="163"/>
      <c r="K3491"/>
    </row>
    <row r="3492" spans="6:11" x14ac:dyDescent="0.2">
      <c r="F3492" s="163"/>
      <c r="K3492"/>
    </row>
    <row r="3493" spans="6:11" x14ac:dyDescent="0.2">
      <c r="F3493" s="163"/>
      <c r="K3493"/>
    </row>
    <row r="3494" spans="6:11" x14ac:dyDescent="0.2">
      <c r="F3494" s="163"/>
      <c r="K3494"/>
    </row>
    <row r="3495" spans="6:11" x14ac:dyDescent="0.2">
      <c r="F3495" s="163"/>
      <c r="K3495"/>
    </row>
    <row r="3496" spans="6:11" x14ac:dyDescent="0.2">
      <c r="F3496" s="163"/>
      <c r="K3496"/>
    </row>
    <row r="3497" spans="6:11" x14ac:dyDescent="0.2">
      <c r="F3497" s="163"/>
      <c r="K3497"/>
    </row>
    <row r="3498" spans="6:11" x14ac:dyDescent="0.2">
      <c r="F3498" s="163"/>
      <c r="K3498"/>
    </row>
    <row r="3499" spans="6:11" x14ac:dyDescent="0.2">
      <c r="F3499" s="163"/>
      <c r="K3499"/>
    </row>
    <row r="3500" spans="6:11" x14ac:dyDescent="0.2">
      <c r="F3500" s="163"/>
      <c r="K3500"/>
    </row>
    <row r="3501" spans="6:11" x14ac:dyDescent="0.2">
      <c r="F3501" s="163"/>
      <c r="K3501"/>
    </row>
    <row r="3502" spans="6:11" x14ac:dyDescent="0.2">
      <c r="F3502" s="163"/>
      <c r="K3502"/>
    </row>
    <row r="3503" spans="6:11" x14ac:dyDescent="0.2">
      <c r="F3503" s="163"/>
      <c r="K3503"/>
    </row>
    <row r="3504" spans="6:11" x14ac:dyDescent="0.2">
      <c r="F3504" s="163"/>
      <c r="K3504"/>
    </row>
    <row r="3505" spans="6:11" x14ac:dyDescent="0.2">
      <c r="F3505" s="163"/>
      <c r="K3505"/>
    </row>
    <row r="3506" spans="6:11" x14ac:dyDescent="0.2">
      <c r="F3506" s="163"/>
      <c r="K3506"/>
    </row>
    <row r="3507" spans="6:11" x14ac:dyDescent="0.2">
      <c r="F3507" s="163"/>
      <c r="K3507"/>
    </row>
    <row r="3508" spans="6:11" x14ac:dyDescent="0.2">
      <c r="F3508" s="163"/>
      <c r="K3508"/>
    </row>
    <row r="3509" spans="6:11" x14ac:dyDescent="0.2">
      <c r="F3509" s="163"/>
      <c r="K3509"/>
    </row>
    <row r="3510" spans="6:11" x14ac:dyDescent="0.2">
      <c r="F3510" s="163"/>
      <c r="K3510"/>
    </row>
    <row r="3511" spans="6:11" x14ac:dyDescent="0.2">
      <c r="F3511" s="163"/>
      <c r="K3511"/>
    </row>
    <row r="3512" spans="6:11" x14ac:dyDescent="0.2">
      <c r="F3512" s="163"/>
      <c r="K3512"/>
    </row>
    <row r="3513" spans="6:11" x14ac:dyDescent="0.2">
      <c r="F3513" s="163"/>
      <c r="K3513"/>
    </row>
    <row r="3514" spans="6:11" x14ac:dyDescent="0.2">
      <c r="F3514" s="163"/>
      <c r="K3514"/>
    </row>
    <row r="3515" spans="6:11" x14ac:dyDescent="0.2">
      <c r="F3515" s="163"/>
      <c r="K3515"/>
    </row>
    <row r="3516" spans="6:11" x14ac:dyDescent="0.2">
      <c r="F3516" s="163"/>
      <c r="K3516"/>
    </row>
    <row r="3517" spans="6:11" x14ac:dyDescent="0.2">
      <c r="F3517" s="163"/>
      <c r="K3517"/>
    </row>
    <row r="3518" spans="6:11" x14ac:dyDescent="0.2">
      <c r="F3518" s="163"/>
      <c r="K3518"/>
    </row>
    <row r="3519" spans="6:11" x14ac:dyDescent="0.2">
      <c r="F3519" s="163"/>
      <c r="K3519"/>
    </row>
    <row r="3520" spans="6:11" x14ac:dyDescent="0.2">
      <c r="F3520" s="163"/>
      <c r="K3520"/>
    </row>
    <row r="3521" spans="6:11" x14ac:dyDescent="0.2">
      <c r="F3521" s="163"/>
      <c r="K3521"/>
    </row>
    <row r="3522" spans="6:11" x14ac:dyDescent="0.2">
      <c r="F3522" s="163"/>
      <c r="K3522"/>
    </row>
    <row r="3523" spans="6:11" x14ac:dyDescent="0.2">
      <c r="F3523" s="163"/>
      <c r="K3523"/>
    </row>
    <row r="3524" spans="6:11" x14ac:dyDescent="0.2">
      <c r="F3524" s="163"/>
      <c r="K3524"/>
    </row>
    <row r="3525" spans="6:11" x14ac:dyDescent="0.2">
      <c r="F3525" s="163"/>
      <c r="K3525"/>
    </row>
    <row r="3526" spans="6:11" x14ac:dyDescent="0.2">
      <c r="F3526" s="163"/>
      <c r="K3526"/>
    </row>
    <row r="3527" spans="6:11" x14ac:dyDescent="0.2">
      <c r="F3527" s="163"/>
      <c r="K3527"/>
    </row>
    <row r="3528" spans="6:11" x14ac:dyDescent="0.2">
      <c r="F3528" s="163"/>
      <c r="K3528"/>
    </row>
    <row r="3529" spans="6:11" x14ac:dyDescent="0.2">
      <c r="F3529" s="163"/>
      <c r="K3529"/>
    </row>
    <row r="3530" spans="6:11" x14ac:dyDescent="0.2">
      <c r="F3530" s="163"/>
      <c r="K3530"/>
    </row>
    <row r="3531" spans="6:11" x14ac:dyDescent="0.2">
      <c r="F3531" s="163"/>
      <c r="K3531"/>
    </row>
    <row r="3532" spans="6:11" x14ac:dyDescent="0.2">
      <c r="F3532" s="163"/>
      <c r="K3532"/>
    </row>
    <row r="3533" spans="6:11" x14ac:dyDescent="0.2">
      <c r="F3533" s="163"/>
      <c r="K3533"/>
    </row>
    <row r="3534" spans="6:11" x14ac:dyDescent="0.2">
      <c r="F3534" s="163"/>
      <c r="K3534"/>
    </row>
    <row r="3535" spans="6:11" x14ac:dyDescent="0.2">
      <c r="F3535" s="163"/>
      <c r="K3535"/>
    </row>
    <row r="3536" spans="6:11" x14ac:dyDescent="0.2">
      <c r="F3536" s="163"/>
      <c r="K3536"/>
    </row>
    <row r="3537" spans="6:11" x14ac:dyDescent="0.2">
      <c r="F3537" s="163"/>
      <c r="K3537"/>
    </row>
    <row r="3538" spans="6:11" x14ac:dyDescent="0.2">
      <c r="F3538" s="163"/>
      <c r="K3538"/>
    </row>
    <row r="3539" spans="6:11" x14ac:dyDescent="0.2">
      <c r="F3539" s="163"/>
      <c r="K3539"/>
    </row>
    <row r="3540" spans="6:11" x14ac:dyDescent="0.2">
      <c r="F3540" s="163"/>
      <c r="K3540"/>
    </row>
    <row r="3541" spans="6:11" x14ac:dyDescent="0.2">
      <c r="F3541" s="163"/>
      <c r="K3541"/>
    </row>
    <row r="3542" spans="6:11" x14ac:dyDescent="0.2">
      <c r="F3542" s="163"/>
      <c r="K3542"/>
    </row>
    <row r="3543" spans="6:11" x14ac:dyDescent="0.2">
      <c r="F3543" s="163"/>
      <c r="K3543"/>
    </row>
    <row r="3544" spans="6:11" x14ac:dyDescent="0.2">
      <c r="F3544" s="163"/>
      <c r="K3544"/>
    </row>
    <row r="3545" spans="6:11" x14ac:dyDescent="0.2">
      <c r="F3545" s="163"/>
      <c r="K3545"/>
    </row>
    <row r="3546" spans="6:11" x14ac:dyDescent="0.2">
      <c r="F3546" s="163"/>
      <c r="K3546"/>
    </row>
    <row r="3547" spans="6:11" x14ac:dyDescent="0.2">
      <c r="F3547" s="163"/>
      <c r="K3547"/>
    </row>
    <row r="3548" spans="6:11" x14ac:dyDescent="0.2">
      <c r="F3548" s="163"/>
      <c r="K3548"/>
    </row>
    <row r="3549" spans="6:11" x14ac:dyDescent="0.2">
      <c r="F3549" s="163"/>
      <c r="K3549"/>
    </row>
    <row r="3550" spans="6:11" x14ac:dyDescent="0.2">
      <c r="F3550" s="163"/>
      <c r="K3550"/>
    </row>
    <row r="3551" spans="6:11" x14ac:dyDescent="0.2">
      <c r="F3551" s="163"/>
      <c r="K3551"/>
    </row>
    <row r="3552" spans="6:11" x14ac:dyDescent="0.2">
      <c r="F3552" s="163"/>
      <c r="K3552"/>
    </row>
    <row r="3553" spans="6:11" x14ac:dyDescent="0.2">
      <c r="F3553" s="163"/>
      <c r="K3553"/>
    </row>
    <row r="3554" spans="6:11" x14ac:dyDescent="0.2">
      <c r="F3554" s="163"/>
      <c r="K3554"/>
    </row>
    <row r="3555" spans="6:11" x14ac:dyDescent="0.2">
      <c r="F3555" s="163"/>
      <c r="K3555"/>
    </row>
    <row r="3556" spans="6:11" x14ac:dyDescent="0.2">
      <c r="F3556" s="163"/>
      <c r="K3556"/>
    </row>
    <row r="3557" spans="6:11" x14ac:dyDescent="0.2">
      <c r="F3557" s="163"/>
      <c r="K3557"/>
    </row>
    <row r="3558" spans="6:11" x14ac:dyDescent="0.2">
      <c r="F3558" s="163"/>
      <c r="K3558"/>
    </row>
    <row r="3559" spans="6:11" x14ac:dyDescent="0.2">
      <c r="F3559" s="163"/>
      <c r="K3559"/>
    </row>
    <row r="3560" spans="6:11" x14ac:dyDescent="0.2">
      <c r="F3560" s="163"/>
      <c r="K3560"/>
    </row>
    <row r="3561" spans="6:11" x14ac:dyDescent="0.2">
      <c r="F3561" s="163"/>
      <c r="K3561"/>
    </row>
    <row r="3562" spans="6:11" x14ac:dyDescent="0.2">
      <c r="F3562" s="163"/>
      <c r="K3562"/>
    </row>
    <row r="3563" spans="6:11" x14ac:dyDescent="0.2">
      <c r="F3563" s="163"/>
      <c r="K3563"/>
    </row>
    <row r="3564" spans="6:11" x14ac:dyDescent="0.2">
      <c r="F3564" s="163"/>
      <c r="K3564"/>
    </row>
    <row r="3565" spans="6:11" x14ac:dyDescent="0.2">
      <c r="F3565" s="163"/>
      <c r="K3565"/>
    </row>
    <row r="3566" spans="6:11" x14ac:dyDescent="0.2">
      <c r="F3566" s="163"/>
      <c r="K3566"/>
    </row>
    <row r="3567" spans="6:11" x14ac:dyDescent="0.2">
      <c r="F3567" s="163"/>
      <c r="K3567"/>
    </row>
    <row r="3568" spans="6:11" x14ac:dyDescent="0.2">
      <c r="F3568" s="163"/>
      <c r="K3568"/>
    </row>
    <row r="3569" spans="6:11" x14ac:dyDescent="0.2">
      <c r="F3569" s="163"/>
      <c r="K3569"/>
    </row>
    <row r="3570" spans="6:11" x14ac:dyDescent="0.2">
      <c r="F3570" s="163"/>
      <c r="K3570"/>
    </row>
    <row r="3571" spans="6:11" x14ac:dyDescent="0.2">
      <c r="F3571" s="163"/>
      <c r="K3571"/>
    </row>
    <row r="3572" spans="6:11" x14ac:dyDescent="0.2">
      <c r="F3572" s="163"/>
      <c r="K3572"/>
    </row>
    <row r="3573" spans="6:11" x14ac:dyDescent="0.2">
      <c r="F3573" s="163"/>
      <c r="K3573"/>
    </row>
    <row r="3574" spans="6:11" x14ac:dyDescent="0.2">
      <c r="F3574" s="163"/>
      <c r="K3574"/>
    </row>
    <row r="3575" spans="6:11" x14ac:dyDescent="0.2">
      <c r="F3575" s="163"/>
      <c r="K3575"/>
    </row>
    <row r="3576" spans="6:11" x14ac:dyDescent="0.2">
      <c r="F3576" s="163"/>
      <c r="K3576"/>
    </row>
    <row r="3577" spans="6:11" x14ac:dyDescent="0.2">
      <c r="F3577" s="163"/>
      <c r="K3577"/>
    </row>
    <row r="3578" spans="6:11" x14ac:dyDescent="0.2">
      <c r="F3578" s="163"/>
      <c r="K3578"/>
    </row>
    <row r="3579" spans="6:11" x14ac:dyDescent="0.2">
      <c r="F3579" s="163"/>
      <c r="K3579"/>
    </row>
    <row r="3580" spans="6:11" x14ac:dyDescent="0.2">
      <c r="F3580" s="163"/>
      <c r="K3580"/>
    </row>
    <row r="3581" spans="6:11" x14ac:dyDescent="0.2">
      <c r="F3581" s="163"/>
      <c r="K3581"/>
    </row>
    <row r="3582" spans="6:11" x14ac:dyDescent="0.2">
      <c r="F3582" s="163"/>
      <c r="K3582"/>
    </row>
    <row r="3583" spans="6:11" x14ac:dyDescent="0.2">
      <c r="F3583" s="163"/>
      <c r="K3583"/>
    </row>
    <row r="3584" spans="6:11" x14ac:dyDescent="0.2">
      <c r="F3584" s="163"/>
      <c r="K3584"/>
    </row>
    <row r="3585" spans="6:11" x14ac:dyDescent="0.2">
      <c r="F3585" s="163"/>
      <c r="K3585"/>
    </row>
    <row r="3586" spans="6:11" x14ac:dyDescent="0.2">
      <c r="F3586" s="163"/>
      <c r="K3586"/>
    </row>
    <row r="3587" spans="6:11" x14ac:dyDescent="0.2">
      <c r="F3587" s="163"/>
      <c r="K3587"/>
    </row>
    <row r="3588" spans="6:11" x14ac:dyDescent="0.2">
      <c r="F3588" s="163"/>
      <c r="K3588"/>
    </row>
    <row r="3589" spans="6:11" x14ac:dyDescent="0.2">
      <c r="F3589" s="163"/>
      <c r="K3589"/>
    </row>
    <row r="3590" spans="6:11" x14ac:dyDescent="0.2">
      <c r="F3590" s="163"/>
      <c r="K3590"/>
    </row>
    <row r="3591" spans="6:11" x14ac:dyDescent="0.2">
      <c r="F3591" s="163"/>
      <c r="K3591"/>
    </row>
    <row r="3592" spans="6:11" x14ac:dyDescent="0.2">
      <c r="F3592" s="163"/>
      <c r="K3592"/>
    </row>
    <row r="3593" spans="6:11" x14ac:dyDescent="0.2">
      <c r="F3593" s="163"/>
      <c r="K3593"/>
    </row>
    <row r="3594" spans="6:11" x14ac:dyDescent="0.2">
      <c r="F3594" s="163"/>
      <c r="K3594"/>
    </row>
    <row r="3595" spans="6:11" x14ac:dyDescent="0.2">
      <c r="F3595" s="163"/>
      <c r="K3595"/>
    </row>
    <row r="3596" spans="6:11" x14ac:dyDescent="0.2">
      <c r="F3596" s="163"/>
      <c r="K3596"/>
    </row>
    <row r="3597" spans="6:11" x14ac:dyDescent="0.2">
      <c r="F3597" s="163"/>
      <c r="K3597"/>
    </row>
    <row r="3598" spans="6:11" x14ac:dyDescent="0.2">
      <c r="F3598" s="163"/>
      <c r="K3598"/>
    </row>
    <row r="3599" spans="6:11" x14ac:dyDescent="0.2">
      <c r="F3599" s="163"/>
      <c r="K3599"/>
    </row>
    <row r="3600" spans="6:11" x14ac:dyDescent="0.2">
      <c r="F3600" s="163"/>
      <c r="K3600"/>
    </row>
    <row r="3601" spans="6:11" x14ac:dyDescent="0.2">
      <c r="F3601" s="163"/>
      <c r="K3601"/>
    </row>
    <row r="3602" spans="6:11" x14ac:dyDescent="0.2">
      <c r="F3602" s="163"/>
      <c r="K3602"/>
    </row>
    <row r="3603" spans="6:11" x14ac:dyDescent="0.2">
      <c r="F3603" s="163"/>
      <c r="K3603"/>
    </row>
    <row r="3604" spans="6:11" x14ac:dyDescent="0.2">
      <c r="F3604" s="163"/>
      <c r="K3604"/>
    </row>
    <row r="3605" spans="6:11" x14ac:dyDescent="0.2">
      <c r="F3605" s="163"/>
      <c r="K3605"/>
    </row>
    <row r="3606" spans="6:11" x14ac:dyDescent="0.2">
      <c r="F3606" s="163"/>
      <c r="K3606"/>
    </row>
    <row r="3607" spans="6:11" x14ac:dyDescent="0.2">
      <c r="F3607" s="163"/>
      <c r="K3607"/>
    </row>
    <row r="3608" spans="6:11" x14ac:dyDescent="0.2">
      <c r="F3608" s="163"/>
      <c r="K3608"/>
    </row>
    <row r="3609" spans="6:11" x14ac:dyDescent="0.2">
      <c r="F3609" s="163"/>
      <c r="K3609"/>
    </row>
    <row r="3610" spans="6:11" x14ac:dyDescent="0.2">
      <c r="F3610" s="163"/>
      <c r="K3610"/>
    </row>
    <row r="3611" spans="6:11" x14ac:dyDescent="0.2">
      <c r="F3611" s="163"/>
      <c r="K3611"/>
    </row>
    <row r="3612" spans="6:11" x14ac:dyDescent="0.2">
      <c r="F3612" s="163"/>
      <c r="K3612"/>
    </row>
    <row r="3613" spans="6:11" x14ac:dyDescent="0.2">
      <c r="F3613" s="163"/>
      <c r="K3613"/>
    </row>
    <row r="3614" spans="6:11" x14ac:dyDescent="0.2">
      <c r="F3614" s="163"/>
      <c r="K3614"/>
    </row>
    <row r="3615" spans="6:11" x14ac:dyDescent="0.2">
      <c r="F3615" s="163"/>
      <c r="K3615"/>
    </row>
    <row r="3616" spans="6:11" x14ac:dyDescent="0.2">
      <c r="F3616" s="163"/>
      <c r="K3616"/>
    </row>
    <row r="3617" spans="6:11" x14ac:dyDescent="0.2">
      <c r="F3617" s="163"/>
      <c r="K3617"/>
    </row>
    <row r="3618" spans="6:11" x14ac:dyDescent="0.2">
      <c r="F3618" s="163"/>
      <c r="K3618"/>
    </row>
    <row r="3619" spans="6:11" x14ac:dyDescent="0.2">
      <c r="F3619" s="163"/>
      <c r="K3619"/>
    </row>
    <row r="3620" spans="6:11" x14ac:dyDescent="0.2">
      <c r="F3620" s="163"/>
      <c r="K3620"/>
    </row>
    <row r="3621" spans="6:11" x14ac:dyDescent="0.2">
      <c r="F3621" s="163"/>
      <c r="K3621"/>
    </row>
    <row r="3622" spans="6:11" x14ac:dyDescent="0.2">
      <c r="F3622" s="163"/>
      <c r="K3622"/>
    </row>
    <row r="3623" spans="6:11" x14ac:dyDescent="0.2">
      <c r="F3623" s="163"/>
      <c r="K3623"/>
    </row>
    <row r="3624" spans="6:11" x14ac:dyDescent="0.2">
      <c r="F3624" s="163"/>
      <c r="K3624"/>
    </row>
    <row r="3625" spans="6:11" x14ac:dyDescent="0.2">
      <c r="F3625" s="163"/>
      <c r="K3625"/>
    </row>
    <row r="3626" spans="6:11" x14ac:dyDescent="0.2">
      <c r="F3626" s="163"/>
      <c r="K3626"/>
    </row>
    <row r="3627" spans="6:11" x14ac:dyDescent="0.2">
      <c r="F3627" s="163"/>
      <c r="K3627"/>
    </row>
    <row r="3628" spans="6:11" x14ac:dyDescent="0.2">
      <c r="F3628" s="163"/>
      <c r="K3628"/>
    </row>
    <row r="3629" spans="6:11" x14ac:dyDescent="0.2">
      <c r="F3629" s="163"/>
      <c r="K3629"/>
    </row>
    <row r="3630" spans="6:11" x14ac:dyDescent="0.2">
      <c r="F3630" s="163"/>
      <c r="K3630"/>
    </row>
    <row r="3631" spans="6:11" x14ac:dyDescent="0.2">
      <c r="F3631" s="163"/>
      <c r="K3631"/>
    </row>
    <row r="3632" spans="6:11" x14ac:dyDescent="0.2">
      <c r="F3632" s="163"/>
      <c r="K3632"/>
    </row>
    <row r="3633" spans="6:11" x14ac:dyDescent="0.2">
      <c r="F3633" s="163"/>
      <c r="K3633"/>
    </row>
    <row r="3634" spans="6:11" x14ac:dyDescent="0.2">
      <c r="F3634" s="163"/>
      <c r="K3634"/>
    </row>
    <row r="3635" spans="6:11" x14ac:dyDescent="0.2">
      <c r="F3635" s="163"/>
      <c r="K3635"/>
    </row>
    <row r="3636" spans="6:11" x14ac:dyDescent="0.2">
      <c r="F3636" s="163"/>
      <c r="K3636"/>
    </row>
    <row r="3637" spans="6:11" x14ac:dyDescent="0.2">
      <c r="F3637" s="163"/>
      <c r="K3637"/>
    </row>
    <row r="3638" spans="6:11" x14ac:dyDescent="0.2">
      <c r="F3638" s="163"/>
      <c r="K3638"/>
    </row>
    <row r="3639" spans="6:11" x14ac:dyDescent="0.2">
      <c r="F3639" s="163"/>
      <c r="K3639"/>
    </row>
    <row r="3640" spans="6:11" x14ac:dyDescent="0.2">
      <c r="F3640" s="163"/>
      <c r="K3640"/>
    </row>
    <row r="3641" spans="6:11" x14ac:dyDescent="0.2">
      <c r="F3641" s="163"/>
      <c r="K3641"/>
    </row>
    <row r="3642" spans="6:11" x14ac:dyDescent="0.2">
      <c r="F3642" s="163"/>
      <c r="K3642"/>
    </row>
    <row r="3643" spans="6:11" x14ac:dyDescent="0.2">
      <c r="F3643" s="163"/>
      <c r="K3643"/>
    </row>
    <row r="3644" spans="6:11" x14ac:dyDescent="0.2">
      <c r="F3644" s="163"/>
      <c r="K3644"/>
    </row>
    <row r="3645" spans="6:11" x14ac:dyDescent="0.2">
      <c r="F3645" s="163"/>
      <c r="K3645"/>
    </row>
    <row r="3646" spans="6:11" x14ac:dyDescent="0.2">
      <c r="F3646" s="163"/>
      <c r="K3646"/>
    </row>
    <row r="3647" spans="6:11" x14ac:dyDescent="0.2">
      <c r="F3647" s="163"/>
      <c r="K3647"/>
    </row>
    <row r="3648" spans="6:11" x14ac:dyDescent="0.2">
      <c r="F3648" s="163"/>
      <c r="K3648"/>
    </row>
    <row r="3649" spans="6:11" x14ac:dyDescent="0.2">
      <c r="F3649" s="163"/>
      <c r="K3649"/>
    </row>
    <row r="3650" spans="6:11" x14ac:dyDescent="0.2">
      <c r="F3650" s="163"/>
      <c r="K3650"/>
    </row>
    <row r="3651" spans="6:11" x14ac:dyDescent="0.2">
      <c r="F3651" s="163"/>
      <c r="K3651"/>
    </row>
    <row r="3652" spans="6:11" x14ac:dyDescent="0.2">
      <c r="F3652" s="163"/>
      <c r="K3652"/>
    </row>
    <row r="3653" spans="6:11" x14ac:dyDescent="0.2">
      <c r="F3653" s="163"/>
      <c r="K3653"/>
    </row>
    <row r="3654" spans="6:11" x14ac:dyDescent="0.2">
      <c r="F3654" s="163"/>
      <c r="K3654"/>
    </row>
    <row r="3655" spans="6:11" x14ac:dyDescent="0.2">
      <c r="F3655" s="163"/>
      <c r="K3655"/>
    </row>
    <row r="3656" spans="6:11" x14ac:dyDescent="0.2">
      <c r="F3656" s="163"/>
      <c r="K3656"/>
    </row>
    <row r="3657" spans="6:11" x14ac:dyDescent="0.2">
      <c r="F3657" s="163"/>
      <c r="K3657"/>
    </row>
    <row r="3658" spans="6:11" x14ac:dyDescent="0.2">
      <c r="F3658" s="163"/>
      <c r="K3658"/>
    </row>
    <row r="3659" spans="6:11" x14ac:dyDescent="0.2">
      <c r="F3659" s="163"/>
      <c r="K3659"/>
    </row>
    <row r="3660" spans="6:11" x14ac:dyDescent="0.2">
      <c r="F3660" s="163"/>
      <c r="K3660"/>
    </row>
    <row r="3661" spans="6:11" x14ac:dyDescent="0.2">
      <c r="F3661" s="163"/>
      <c r="K3661"/>
    </row>
    <row r="3662" spans="6:11" x14ac:dyDescent="0.2">
      <c r="F3662" s="163"/>
      <c r="K3662"/>
    </row>
    <row r="3663" spans="6:11" x14ac:dyDescent="0.2">
      <c r="F3663" s="163"/>
      <c r="K3663"/>
    </row>
    <row r="3664" spans="6:11" x14ac:dyDescent="0.2">
      <c r="F3664" s="163"/>
      <c r="K3664"/>
    </row>
    <row r="3665" spans="6:11" x14ac:dyDescent="0.2">
      <c r="F3665" s="163"/>
      <c r="K3665"/>
    </row>
    <row r="3666" spans="6:11" x14ac:dyDescent="0.2">
      <c r="F3666" s="163"/>
      <c r="K3666"/>
    </row>
    <row r="3667" spans="6:11" x14ac:dyDescent="0.2">
      <c r="F3667" s="163"/>
      <c r="K3667"/>
    </row>
    <row r="3668" spans="6:11" x14ac:dyDescent="0.2">
      <c r="F3668" s="163"/>
      <c r="K3668"/>
    </row>
    <row r="3669" spans="6:11" x14ac:dyDescent="0.2">
      <c r="F3669" s="163"/>
      <c r="K3669"/>
    </row>
    <row r="3670" spans="6:11" x14ac:dyDescent="0.2">
      <c r="F3670" s="163"/>
      <c r="K3670"/>
    </row>
    <row r="3671" spans="6:11" x14ac:dyDescent="0.2">
      <c r="F3671" s="163"/>
      <c r="K3671"/>
    </row>
    <row r="3672" spans="6:11" x14ac:dyDescent="0.2">
      <c r="F3672" s="163"/>
      <c r="K3672"/>
    </row>
    <row r="3673" spans="6:11" x14ac:dyDescent="0.2">
      <c r="F3673" s="163"/>
      <c r="K3673"/>
    </row>
    <row r="3674" spans="6:11" x14ac:dyDescent="0.2">
      <c r="F3674" s="163"/>
      <c r="K3674"/>
    </row>
    <row r="3675" spans="6:11" x14ac:dyDescent="0.2">
      <c r="F3675" s="163"/>
      <c r="K3675"/>
    </row>
    <row r="3676" spans="6:11" x14ac:dyDescent="0.2">
      <c r="F3676" s="163"/>
      <c r="K3676"/>
    </row>
    <row r="3677" spans="6:11" x14ac:dyDescent="0.2">
      <c r="F3677" s="163"/>
      <c r="K3677"/>
    </row>
    <row r="3678" spans="6:11" x14ac:dyDescent="0.2">
      <c r="F3678" s="163"/>
      <c r="K3678"/>
    </row>
    <row r="3679" spans="6:11" x14ac:dyDescent="0.2">
      <c r="F3679" s="163"/>
      <c r="K3679"/>
    </row>
    <row r="3680" spans="6:11" x14ac:dyDescent="0.2">
      <c r="F3680" s="163"/>
      <c r="K3680"/>
    </row>
    <row r="3681" spans="6:11" x14ac:dyDescent="0.2">
      <c r="F3681" s="163"/>
      <c r="K3681"/>
    </row>
    <row r="3682" spans="6:11" x14ac:dyDescent="0.2">
      <c r="F3682" s="163"/>
      <c r="K3682"/>
    </row>
    <row r="3683" spans="6:11" x14ac:dyDescent="0.2">
      <c r="F3683" s="163"/>
      <c r="K3683"/>
    </row>
    <row r="3684" spans="6:11" x14ac:dyDescent="0.2">
      <c r="F3684" s="163"/>
      <c r="K3684"/>
    </row>
    <row r="3685" spans="6:11" x14ac:dyDescent="0.2">
      <c r="F3685" s="163"/>
      <c r="K3685"/>
    </row>
    <row r="3686" spans="6:11" x14ac:dyDescent="0.2">
      <c r="F3686" s="163"/>
      <c r="K3686"/>
    </row>
    <row r="3687" spans="6:11" x14ac:dyDescent="0.2">
      <c r="F3687" s="163"/>
      <c r="K3687"/>
    </row>
    <row r="3688" spans="6:11" x14ac:dyDescent="0.2">
      <c r="F3688" s="163"/>
      <c r="K3688"/>
    </row>
    <row r="3689" spans="6:11" x14ac:dyDescent="0.2">
      <c r="F3689" s="163"/>
      <c r="K3689"/>
    </row>
    <row r="3690" spans="6:11" x14ac:dyDescent="0.2">
      <c r="F3690" s="163"/>
      <c r="K3690"/>
    </row>
    <row r="3691" spans="6:11" x14ac:dyDescent="0.2">
      <c r="F3691" s="163"/>
      <c r="K3691"/>
    </row>
    <row r="3692" spans="6:11" x14ac:dyDescent="0.2">
      <c r="F3692" s="163"/>
      <c r="K3692"/>
    </row>
    <row r="3693" spans="6:11" x14ac:dyDescent="0.2">
      <c r="F3693" s="163"/>
      <c r="K3693"/>
    </row>
    <row r="3694" spans="6:11" x14ac:dyDescent="0.2">
      <c r="F3694" s="163"/>
      <c r="K3694"/>
    </row>
    <row r="3695" spans="6:11" x14ac:dyDescent="0.2">
      <c r="F3695" s="163"/>
      <c r="K3695"/>
    </row>
    <row r="3696" spans="6:11" x14ac:dyDescent="0.2">
      <c r="F3696" s="163"/>
      <c r="K3696"/>
    </row>
    <row r="3697" spans="6:11" x14ac:dyDescent="0.2">
      <c r="F3697" s="163"/>
      <c r="K3697"/>
    </row>
    <row r="3698" spans="6:11" x14ac:dyDescent="0.2">
      <c r="F3698" s="163"/>
      <c r="K3698"/>
    </row>
    <row r="3699" spans="6:11" x14ac:dyDescent="0.2">
      <c r="F3699" s="163"/>
      <c r="K3699"/>
    </row>
    <row r="3700" spans="6:11" x14ac:dyDescent="0.2">
      <c r="F3700" s="163"/>
      <c r="K3700"/>
    </row>
    <row r="3701" spans="6:11" x14ac:dyDescent="0.2">
      <c r="F3701" s="163"/>
      <c r="K3701"/>
    </row>
    <row r="3702" spans="6:11" x14ac:dyDescent="0.2">
      <c r="F3702" s="163"/>
      <c r="K3702"/>
    </row>
    <row r="3703" spans="6:11" x14ac:dyDescent="0.2">
      <c r="F3703" s="163"/>
      <c r="K3703"/>
    </row>
    <row r="3704" spans="6:11" x14ac:dyDescent="0.2">
      <c r="F3704" s="163"/>
      <c r="K3704"/>
    </row>
    <row r="3705" spans="6:11" x14ac:dyDescent="0.2">
      <c r="F3705" s="163"/>
      <c r="K3705"/>
    </row>
    <row r="3706" spans="6:11" x14ac:dyDescent="0.2">
      <c r="F3706" s="163"/>
      <c r="K3706"/>
    </row>
    <row r="3707" spans="6:11" x14ac:dyDescent="0.2">
      <c r="F3707" s="163"/>
      <c r="K3707"/>
    </row>
    <row r="3708" spans="6:11" x14ac:dyDescent="0.2">
      <c r="F3708" s="163"/>
      <c r="K3708"/>
    </row>
    <row r="3709" spans="6:11" x14ac:dyDescent="0.2">
      <c r="F3709" s="163"/>
      <c r="K3709"/>
    </row>
    <row r="3710" spans="6:11" x14ac:dyDescent="0.2">
      <c r="F3710" s="163"/>
      <c r="K3710"/>
    </row>
    <row r="3711" spans="6:11" x14ac:dyDescent="0.2">
      <c r="F3711" s="163"/>
      <c r="K3711"/>
    </row>
    <row r="3712" spans="6:11" x14ac:dyDescent="0.2">
      <c r="F3712" s="163"/>
      <c r="K3712"/>
    </row>
    <row r="3713" spans="6:11" x14ac:dyDescent="0.2">
      <c r="F3713" s="163"/>
      <c r="K3713"/>
    </row>
    <row r="3714" spans="6:11" x14ac:dyDescent="0.2">
      <c r="F3714" s="163"/>
      <c r="K3714"/>
    </row>
    <row r="3715" spans="6:11" x14ac:dyDescent="0.2">
      <c r="F3715" s="163"/>
      <c r="K3715"/>
    </row>
    <row r="3716" spans="6:11" x14ac:dyDescent="0.2">
      <c r="F3716" s="163"/>
      <c r="K3716"/>
    </row>
    <row r="3717" spans="6:11" x14ac:dyDescent="0.2">
      <c r="F3717" s="163"/>
      <c r="K3717"/>
    </row>
    <row r="3718" spans="6:11" x14ac:dyDescent="0.2">
      <c r="F3718" s="163"/>
      <c r="K3718"/>
    </row>
    <row r="3719" spans="6:11" x14ac:dyDescent="0.2">
      <c r="F3719" s="163"/>
      <c r="K3719"/>
    </row>
    <row r="3720" spans="6:11" x14ac:dyDescent="0.2">
      <c r="F3720" s="163"/>
      <c r="K3720"/>
    </row>
    <row r="3721" spans="6:11" x14ac:dyDescent="0.2">
      <c r="F3721" s="163"/>
      <c r="K3721"/>
    </row>
    <row r="3722" spans="6:11" x14ac:dyDescent="0.2">
      <c r="F3722" s="163"/>
      <c r="K3722"/>
    </row>
    <row r="3723" spans="6:11" x14ac:dyDescent="0.2">
      <c r="F3723" s="163"/>
      <c r="K3723"/>
    </row>
    <row r="3724" spans="6:11" x14ac:dyDescent="0.2">
      <c r="F3724" s="163"/>
      <c r="K3724"/>
    </row>
    <row r="3725" spans="6:11" x14ac:dyDescent="0.2">
      <c r="F3725" s="163"/>
      <c r="K3725"/>
    </row>
    <row r="3726" spans="6:11" x14ac:dyDescent="0.2">
      <c r="F3726" s="163"/>
      <c r="K3726"/>
    </row>
    <row r="3727" spans="6:11" x14ac:dyDescent="0.2">
      <c r="F3727" s="163"/>
      <c r="K3727"/>
    </row>
    <row r="3728" spans="6:11" x14ac:dyDescent="0.2">
      <c r="F3728" s="163"/>
      <c r="K3728"/>
    </row>
    <row r="3729" spans="6:11" x14ac:dyDescent="0.2">
      <c r="F3729" s="163"/>
      <c r="K3729"/>
    </row>
    <row r="3730" spans="6:11" x14ac:dyDescent="0.2">
      <c r="F3730" s="163"/>
      <c r="K3730"/>
    </row>
    <row r="3731" spans="6:11" x14ac:dyDescent="0.2">
      <c r="F3731" s="163"/>
      <c r="K3731"/>
    </row>
    <row r="3732" spans="6:11" x14ac:dyDescent="0.2">
      <c r="F3732" s="163"/>
      <c r="K3732"/>
    </row>
    <row r="3733" spans="6:11" x14ac:dyDescent="0.2">
      <c r="F3733" s="163"/>
      <c r="K3733"/>
    </row>
    <row r="3734" spans="6:11" x14ac:dyDescent="0.2">
      <c r="F3734" s="163"/>
      <c r="K3734"/>
    </row>
    <row r="3735" spans="6:11" x14ac:dyDescent="0.2">
      <c r="F3735" s="163"/>
      <c r="K3735"/>
    </row>
    <row r="3736" spans="6:11" x14ac:dyDescent="0.2">
      <c r="F3736" s="163"/>
      <c r="K3736"/>
    </row>
    <row r="3737" spans="6:11" x14ac:dyDescent="0.2">
      <c r="F3737" s="163"/>
      <c r="K3737"/>
    </row>
    <row r="3738" spans="6:11" x14ac:dyDescent="0.2">
      <c r="F3738" s="163"/>
      <c r="K3738"/>
    </row>
    <row r="3739" spans="6:11" x14ac:dyDescent="0.2">
      <c r="F3739" s="163"/>
      <c r="K3739"/>
    </row>
    <row r="3740" spans="6:11" x14ac:dyDescent="0.2">
      <c r="F3740" s="163"/>
      <c r="K3740"/>
    </row>
    <row r="3741" spans="6:11" x14ac:dyDescent="0.2">
      <c r="F3741" s="163"/>
      <c r="K3741"/>
    </row>
    <row r="3742" spans="6:11" x14ac:dyDescent="0.2">
      <c r="F3742" s="163"/>
      <c r="K3742"/>
    </row>
    <row r="3743" spans="6:11" x14ac:dyDescent="0.2">
      <c r="F3743" s="163"/>
      <c r="K3743"/>
    </row>
    <row r="3744" spans="6:11" x14ac:dyDescent="0.2">
      <c r="F3744" s="163"/>
      <c r="K3744"/>
    </row>
    <row r="3745" spans="6:11" x14ac:dyDescent="0.2">
      <c r="F3745" s="163"/>
      <c r="K3745"/>
    </row>
    <row r="3746" spans="6:11" x14ac:dyDescent="0.2">
      <c r="F3746" s="163"/>
      <c r="K3746"/>
    </row>
    <row r="3747" spans="6:11" x14ac:dyDescent="0.2">
      <c r="F3747" s="163"/>
      <c r="K3747"/>
    </row>
    <row r="3748" spans="6:11" x14ac:dyDescent="0.2">
      <c r="F3748" s="163"/>
      <c r="K3748"/>
    </row>
    <row r="3749" spans="6:11" x14ac:dyDescent="0.2">
      <c r="F3749" s="163"/>
      <c r="K3749"/>
    </row>
    <row r="3750" spans="6:11" x14ac:dyDescent="0.2">
      <c r="F3750" s="163"/>
      <c r="K3750"/>
    </row>
    <row r="3751" spans="6:11" x14ac:dyDescent="0.2">
      <c r="F3751" s="163"/>
      <c r="K3751"/>
    </row>
    <row r="3752" spans="6:11" x14ac:dyDescent="0.2">
      <c r="F3752" s="163"/>
      <c r="K3752"/>
    </row>
    <row r="3753" spans="6:11" x14ac:dyDescent="0.2">
      <c r="F3753" s="163"/>
      <c r="K3753"/>
    </row>
    <row r="3754" spans="6:11" x14ac:dyDescent="0.2">
      <c r="F3754" s="163"/>
      <c r="K3754"/>
    </row>
    <row r="3755" spans="6:11" x14ac:dyDescent="0.2">
      <c r="F3755" s="163"/>
      <c r="K3755"/>
    </row>
    <row r="3756" spans="6:11" x14ac:dyDescent="0.2">
      <c r="F3756" s="163"/>
      <c r="K3756"/>
    </row>
    <row r="3757" spans="6:11" x14ac:dyDescent="0.2">
      <c r="F3757" s="163"/>
      <c r="K3757"/>
    </row>
    <row r="3758" spans="6:11" x14ac:dyDescent="0.2">
      <c r="F3758" s="163"/>
      <c r="K3758"/>
    </row>
    <row r="3759" spans="6:11" x14ac:dyDescent="0.2">
      <c r="F3759" s="163"/>
      <c r="K3759"/>
    </row>
    <row r="3760" spans="6:11" x14ac:dyDescent="0.2">
      <c r="F3760" s="163"/>
      <c r="K3760"/>
    </row>
    <row r="3761" spans="6:11" x14ac:dyDescent="0.2">
      <c r="F3761" s="163"/>
      <c r="K3761"/>
    </row>
    <row r="3762" spans="6:11" x14ac:dyDescent="0.2">
      <c r="F3762" s="163"/>
      <c r="K3762"/>
    </row>
    <row r="3763" spans="6:11" x14ac:dyDescent="0.2">
      <c r="F3763" s="163"/>
      <c r="K3763"/>
    </row>
    <row r="3764" spans="6:11" x14ac:dyDescent="0.2">
      <c r="F3764" s="163"/>
      <c r="K3764"/>
    </row>
    <row r="3765" spans="6:11" x14ac:dyDescent="0.2">
      <c r="F3765" s="163"/>
      <c r="K3765"/>
    </row>
    <row r="3766" spans="6:11" x14ac:dyDescent="0.2">
      <c r="F3766" s="163"/>
      <c r="K3766"/>
    </row>
    <row r="3767" spans="6:11" x14ac:dyDescent="0.2">
      <c r="F3767" s="163"/>
      <c r="K3767"/>
    </row>
    <row r="3768" spans="6:11" x14ac:dyDescent="0.2">
      <c r="F3768" s="163"/>
      <c r="K3768"/>
    </row>
    <row r="3769" spans="6:11" x14ac:dyDescent="0.2">
      <c r="F3769" s="163"/>
      <c r="K3769"/>
    </row>
    <row r="3770" spans="6:11" x14ac:dyDescent="0.2">
      <c r="F3770" s="163"/>
      <c r="K3770"/>
    </row>
    <row r="3771" spans="6:11" x14ac:dyDescent="0.2">
      <c r="F3771" s="163"/>
      <c r="K3771"/>
    </row>
    <row r="3772" spans="6:11" x14ac:dyDescent="0.2">
      <c r="F3772" s="163"/>
      <c r="K3772"/>
    </row>
    <row r="3773" spans="6:11" x14ac:dyDescent="0.2">
      <c r="F3773" s="163"/>
      <c r="K3773"/>
    </row>
    <row r="3774" spans="6:11" x14ac:dyDescent="0.2">
      <c r="F3774" s="163"/>
      <c r="K3774"/>
    </row>
    <row r="3775" spans="6:11" x14ac:dyDescent="0.2">
      <c r="F3775" s="163"/>
      <c r="K3775"/>
    </row>
    <row r="3776" spans="6:11" x14ac:dyDescent="0.2">
      <c r="F3776" s="163"/>
      <c r="K3776"/>
    </row>
    <row r="3777" spans="6:11" x14ac:dyDescent="0.2">
      <c r="F3777" s="163"/>
      <c r="K3777"/>
    </row>
    <row r="3778" spans="6:11" x14ac:dyDescent="0.2">
      <c r="F3778" s="163"/>
      <c r="K3778"/>
    </row>
    <row r="3779" spans="6:11" x14ac:dyDescent="0.2">
      <c r="F3779" s="163"/>
      <c r="K3779"/>
    </row>
    <row r="3780" spans="6:11" x14ac:dyDescent="0.2">
      <c r="F3780" s="163"/>
      <c r="K3780"/>
    </row>
    <row r="3781" spans="6:11" x14ac:dyDescent="0.2">
      <c r="F3781" s="163"/>
      <c r="K3781"/>
    </row>
    <row r="3782" spans="6:11" x14ac:dyDescent="0.2">
      <c r="F3782" s="163"/>
      <c r="K3782"/>
    </row>
    <row r="3783" spans="6:11" x14ac:dyDescent="0.2">
      <c r="F3783" s="163"/>
      <c r="K3783"/>
    </row>
    <row r="3784" spans="6:11" x14ac:dyDescent="0.2">
      <c r="F3784" s="163"/>
      <c r="K3784"/>
    </row>
    <row r="3785" spans="6:11" x14ac:dyDescent="0.2">
      <c r="F3785" s="163"/>
      <c r="K3785"/>
    </row>
    <row r="3786" spans="6:11" x14ac:dyDescent="0.2">
      <c r="F3786" s="163"/>
      <c r="K3786"/>
    </row>
    <row r="3787" spans="6:11" x14ac:dyDescent="0.2">
      <c r="F3787" s="163"/>
      <c r="K3787"/>
    </row>
    <row r="3788" spans="6:11" x14ac:dyDescent="0.2">
      <c r="F3788" s="163"/>
      <c r="K3788"/>
    </row>
    <row r="3789" spans="6:11" x14ac:dyDescent="0.2">
      <c r="F3789" s="163"/>
      <c r="K3789"/>
    </row>
    <row r="3790" spans="6:11" x14ac:dyDescent="0.2">
      <c r="F3790" s="163"/>
      <c r="K3790"/>
    </row>
    <row r="3791" spans="6:11" x14ac:dyDescent="0.2">
      <c r="F3791" s="163"/>
      <c r="K3791"/>
    </row>
    <row r="3792" spans="6:11" x14ac:dyDescent="0.2">
      <c r="F3792" s="163"/>
      <c r="K3792"/>
    </row>
    <row r="3793" spans="6:11" x14ac:dyDescent="0.2">
      <c r="F3793" s="163"/>
      <c r="K3793"/>
    </row>
    <row r="3794" spans="6:11" x14ac:dyDescent="0.2">
      <c r="F3794" s="163"/>
      <c r="K3794"/>
    </row>
    <row r="3795" spans="6:11" x14ac:dyDescent="0.2">
      <c r="F3795" s="163"/>
      <c r="K3795"/>
    </row>
    <row r="3796" spans="6:11" x14ac:dyDescent="0.2">
      <c r="F3796" s="163"/>
      <c r="K3796"/>
    </row>
    <row r="3797" spans="6:11" x14ac:dyDescent="0.2">
      <c r="F3797" s="163"/>
      <c r="K3797"/>
    </row>
    <row r="3798" spans="6:11" x14ac:dyDescent="0.2">
      <c r="F3798" s="163"/>
      <c r="K3798"/>
    </row>
    <row r="3799" spans="6:11" x14ac:dyDescent="0.2">
      <c r="F3799" s="163"/>
      <c r="K3799"/>
    </row>
    <row r="3800" spans="6:11" x14ac:dyDescent="0.2">
      <c r="F3800" s="163"/>
      <c r="K3800"/>
    </row>
    <row r="3801" spans="6:11" x14ac:dyDescent="0.2">
      <c r="F3801" s="163"/>
      <c r="K3801"/>
    </row>
    <row r="3802" spans="6:11" x14ac:dyDescent="0.2">
      <c r="F3802" s="163"/>
      <c r="K3802"/>
    </row>
    <row r="3803" spans="6:11" x14ac:dyDescent="0.2">
      <c r="F3803" s="163"/>
      <c r="K3803"/>
    </row>
    <row r="3804" spans="6:11" x14ac:dyDescent="0.2">
      <c r="F3804" s="163"/>
      <c r="K3804"/>
    </row>
    <row r="3805" spans="6:11" x14ac:dyDescent="0.2">
      <c r="F3805" s="163"/>
      <c r="K3805"/>
    </row>
    <row r="3806" spans="6:11" x14ac:dyDescent="0.2">
      <c r="F3806" s="163"/>
      <c r="K3806"/>
    </row>
    <row r="3807" spans="6:11" x14ac:dyDescent="0.2">
      <c r="F3807" s="163"/>
      <c r="K3807"/>
    </row>
    <row r="3808" spans="6:11" x14ac:dyDescent="0.2">
      <c r="F3808" s="163"/>
      <c r="K3808"/>
    </row>
    <row r="3809" spans="6:11" x14ac:dyDescent="0.2">
      <c r="F3809" s="163"/>
      <c r="K3809"/>
    </row>
    <row r="3810" spans="6:11" x14ac:dyDescent="0.2">
      <c r="F3810" s="163"/>
      <c r="K3810"/>
    </row>
    <row r="3811" spans="6:11" x14ac:dyDescent="0.2">
      <c r="F3811" s="163"/>
      <c r="K3811"/>
    </row>
    <row r="3812" spans="6:11" x14ac:dyDescent="0.2">
      <c r="F3812" s="163"/>
      <c r="K3812"/>
    </row>
    <row r="3813" spans="6:11" x14ac:dyDescent="0.2">
      <c r="F3813" s="163"/>
      <c r="K3813"/>
    </row>
    <row r="3814" spans="6:11" x14ac:dyDescent="0.2">
      <c r="F3814" s="163"/>
      <c r="K3814"/>
    </row>
    <row r="3815" spans="6:11" x14ac:dyDescent="0.2">
      <c r="F3815" s="163"/>
      <c r="K3815"/>
    </row>
    <row r="3816" spans="6:11" x14ac:dyDescent="0.2">
      <c r="F3816" s="163"/>
      <c r="K3816"/>
    </row>
    <row r="3817" spans="6:11" x14ac:dyDescent="0.2">
      <c r="F3817" s="163"/>
      <c r="K3817"/>
    </row>
    <row r="3818" spans="6:11" x14ac:dyDescent="0.2">
      <c r="F3818" s="163"/>
      <c r="K3818"/>
    </row>
    <row r="3819" spans="6:11" x14ac:dyDescent="0.2">
      <c r="F3819" s="163"/>
      <c r="K3819"/>
    </row>
    <row r="3820" spans="6:11" x14ac:dyDescent="0.2">
      <c r="F3820" s="163"/>
      <c r="K3820"/>
    </row>
    <row r="3821" spans="6:11" x14ac:dyDescent="0.2">
      <c r="F3821" s="163"/>
      <c r="K3821"/>
    </row>
    <row r="3822" spans="6:11" x14ac:dyDescent="0.2">
      <c r="F3822" s="163"/>
      <c r="K3822"/>
    </row>
    <row r="3823" spans="6:11" x14ac:dyDescent="0.2">
      <c r="F3823" s="163"/>
      <c r="K3823"/>
    </row>
    <row r="3824" spans="6:11" x14ac:dyDescent="0.2">
      <c r="F3824" s="163"/>
      <c r="K3824"/>
    </row>
    <row r="3825" spans="6:11" x14ac:dyDescent="0.2">
      <c r="F3825" s="163"/>
      <c r="K3825"/>
    </row>
    <row r="3826" spans="6:11" x14ac:dyDescent="0.2">
      <c r="F3826" s="163"/>
      <c r="K3826"/>
    </row>
    <row r="3827" spans="6:11" x14ac:dyDescent="0.2">
      <c r="F3827" s="163"/>
      <c r="K3827"/>
    </row>
    <row r="3828" spans="6:11" x14ac:dyDescent="0.2">
      <c r="F3828" s="163"/>
      <c r="K3828"/>
    </row>
    <row r="3829" spans="6:11" x14ac:dyDescent="0.2">
      <c r="F3829" s="163"/>
      <c r="K3829"/>
    </row>
    <row r="3830" spans="6:11" x14ac:dyDescent="0.2">
      <c r="F3830" s="163"/>
      <c r="K3830"/>
    </row>
    <row r="3831" spans="6:11" x14ac:dyDescent="0.2">
      <c r="F3831" s="163"/>
      <c r="K3831"/>
    </row>
    <row r="3832" spans="6:11" x14ac:dyDescent="0.2">
      <c r="F3832" s="163"/>
      <c r="K3832"/>
    </row>
    <row r="3833" spans="6:11" x14ac:dyDescent="0.2">
      <c r="F3833" s="163"/>
      <c r="K3833"/>
    </row>
    <row r="3834" spans="6:11" x14ac:dyDescent="0.2">
      <c r="F3834" s="163"/>
      <c r="K3834"/>
    </row>
    <row r="3835" spans="6:11" x14ac:dyDescent="0.2">
      <c r="F3835" s="163"/>
      <c r="K3835"/>
    </row>
    <row r="3836" spans="6:11" x14ac:dyDescent="0.2">
      <c r="F3836" s="163"/>
      <c r="K3836"/>
    </row>
    <row r="3837" spans="6:11" x14ac:dyDescent="0.2">
      <c r="F3837" s="163"/>
      <c r="K3837"/>
    </row>
    <row r="3838" spans="6:11" x14ac:dyDescent="0.2">
      <c r="F3838" s="163"/>
      <c r="K3838"/>
    </row>
    <row r="3839" spans="6:11" x14ac:dyDescent="0.2">
      <c r="F3839" s="163"/>
      <c r="K3839"/>
    </row>
    <row r="3840" spans="6:11" x14ac:dyDescent="0.2">
      <c r="F3840" s="163"/>
      <c r="K3840"/>
    </row>
    <row r="3841" spans="6:11" x14ac:dyDescent="0.2">
      <c r="F3841" s="163"/>
      <c r="K3841"/>
    </row>
    <row r="3842" spans="6:11" x14ac:dyDescent="0.2">
      <c r="F3842" s="163"/>
      <c r="K3842"/>
    </row>
    <row r="3843" spans="6:11" x14ac:dyDescent="0.2">
      <c r="F3843" s="163"/>
      <c r="K3843"/>
    </row>
    <row r="3844" spans="6:11" x14ac:dyDescent="0.2">
      <c r="F3844" s="163"/>
      <c r="K3844"/>
    </row>
    <row r="3845" spans="6:11" x14ac:dyDescent="0.2">
      <c r="F3845" s="163"/>
      <c r="K3845"/>
    </row>
    <row r="3846" spans="6:11" x14ac:dyDescent="0.2">
      <c r="F3846" s="163"/>
      <c r="K3846"/>
    </row>
    <row r="3847" spans="6:11" x14ac:dyDescent="0.2">
      <c r="F3847" s="163"/>
      <c r="K3847"/>
    </row>
    <row r="3848" spans="6:11" x14ac:dyDescent="0.2">
      <c r="F3848" s="163"/>
      <c r="K3848"/>
    </row>
    <row r="3849" spans="6:11" x14ac:dyDescent="0.2">
      <c r="F3849" s="163"/>
      <c r="K3849"/>
    </row>
    <row r="3850" spans="6:11" x14ac:dyDescent="0.2">
      <c r="F3850" s="163"/>
      <c r="K3850"/>
    </row>
    <row r="3851" spans="6:11" x14ac:dyDescent="0.2">
      <c r="F3851" s="163"/>
      <c r="K3851"/>
    </row>
    <row r="3852" spans="6:11" x14ac:dyDescent="0.2">
      <c r="F3852" s="163"/>
      <c r="K3852"/>
    </row>
    <row r="3853" spans="6:11" x14ac:dyDescent="0.2">
      <c r="F3853" s="163"/>
      <c r="K3853"/>
    </row>
    <row r="3854" spans="6:11" x14ac:dyDescent="0.2">
      <c r="F3854" s="163"/>
      <c r="K3854"/>
    </row>
    <row r="3855" spans="6:11" x14ac:dyDescent="0.2">
      <c r="F3855" s="163"/>
      <c r="K3855"/>
    </row>
    <row r="3856" spans="6:11" x14ac:dyDescent="0.2">
      <c r="F3856" s="163"/>
      <c r="K3856"/>
    </row>
    <row r="3857" spans="6:11" x14ac:dyDescent="0.2">
      <c r="F3857" s="163"/>
      <c r="K3857"/>
    </row>
    <row r="3858" spans="6:11" x14ac:dyDescent="0.2">
      <c r="F3858" s="163"/>
      <c r="K3858"/>
    </row>
    <row r="3859" spans="6:11" x14ac:dyDescent="0.2">
      <c r="F3859" s="163"/>
      <c r="K3859"/>
    </row>
    <row r="3860" spans="6:11" x14ac:dyDescent="0.2">
      <c r="F3860" s="163"/>
      <c r="K3860"/>
    </row>
    <row r="3861" spans="6:11" x14ac:dyDescent="0.2">
      <c r="F3861" s="163"/>
      <c r="K3861"/>
    </row>
    <row r="3862" spans="6:11" x14ac:dyDescent="0.2">
      <c r="F3862" s="163"/>
      <c r="K3862"/>
    </row>
    <row r="3863" spans="6:11" x14ac:dyDescent="0.2">
      <c r="F3863" s="163"/>
      <c r="K3863"/>
    </row>
    <row r="3864" spans="6:11" x14ac:dyDescent="0.2">
      <c r="F3864" s="163"/>
      <c r="K3864"/>
    </row>
    <row r="3865" spans="6:11" x14ac:dyDescent="0.2">
      <c r="F3865" s="163"/>
      <c r="K3865"/>
    </row>
    <row r="3866" spans="6:11" x14ac:dyDescent="0.2">
      <c r="F3866" s="163"/>
      <c r="K3866"/>
    </row>
    <row r="3867" spans="6:11" x14ac:dyDescent="0.2">
      <c r="F3867" s="163"/>
      <c r="K3867"/>
    </row>
    <row r="3868" spans="6:11" x14ac:dyDescent="0.2">
      <c r="F3868" s="163"/>
      <c r="K3868"/>
    </row>
    <row r="3869" spans="6:11" x14ac:dyDescent="0.2">
      <c r="F3869" s="163"/>
      <c r="K3869"/>
    </row>
    <row r="3870" spans="6:11" x14ac:dyDescent="0.2">
      <c r="F3870" s="163"/>
      <c r="K3870"/>
    </row>
    <row r="3871" spans="6:11" x14ac:dyDescent="0.2">
      <c r="F3871" s="163"/>
      <c r="K3871"/>
    </row>
    <row r="3872" spans="6:11" x14ac:dyDescent="0.2">
      <c r="F3872" s="163"/>
      <c r="K3872"/>
    </row>
    <row r="3873" spans="6:11" x14ac:dyDescent="0.2">
      <c r="F3873" s="163"/>
      <c r="K3873"/>
    </row>
    <row r="3874" spans="6:11" x14ac:dyDescent="0.2">
      <c r="F3874" s="163"/>
      <c r="K3874"/>
    </row>
    <row r="3875" spans="6:11" x14ac:dyDescent="0.2">
      <c r="F3875" s="163"/>
      <c r="K3875"/>
    </row>
    <row r="3876" spans="6:11" x14ac:dyDescent="0.2">
      <c r="F3876" s="163"/>
      <c r="K3876"/>
    </row>
    <row r="3877" spans="6:11" x14ac:dyDescent="0.2">
      <c r="F3877" s="163"/>
      <c r="K3877"/>
    </row>
    <row r="3878" spans="6:11" x14ac:dyDescent="0.2">
      <c r="F3878" s="163"/>
      <c r="K3878"/>
    </row>
    <row r="3879" spans="6:11" x14ac:dyDescent="0.2">
      <c r="F3879" s="163"/>
      <c r="K3879"/>
    </row>
    <row r="3880" spans="6:11" x14ac:dyDescent="0.2">
      <c r="F3880" s="163"/>
      <c r="K3880"/>
    </row>
    <row r="3881" spans="6:11" x14ac:dyDescent="0.2">
      <c r="F3881" s="163"/>
      <c r="K3881"/>
    </row>
    <row r="3882" spans="6:11" x14ac:dyDescent="0.2">
      <c r="F3882" s="163"/>
      <c r="K3882"/>
    </row>
    <row r="3883" spans="6:11" x14ac:dyDescent="0.2">
      <c r="F3883" s="163"/>
      <c r="K3883"/>
    </row>
    <row r="3884" spans="6:11" x14ac:dyDescent="0.2">
      <c r="F3884" s="163"/>
      <c r="K3884"/>
    </row>
    <row r="3885" spans="6:11" x14ac:dyDescent="0.2">
      <c r="F3885" s="163"/>
      <c r="K3885"/>
    </row>
    <row r="3886" spans="6:11" x14ac:dyDescent="0.2">
      <c r="F3886" s="163"/>
      <c r="K3886"/>
    </row>
    <row r="3887" spans="6:11" x14ac:dyDescent="0.2">
      <c r="F3887" s="163"/>
      <c r="K3887"/>
    </row>
    <row r="3888" spans="6:11" x14ac:dyDescent="0.2">
      <c r="F3888" s="163"/>
      <c r="K3888"/>
    </row>
    <row r="3889" spans="6:11" x14ac:dyDescent="0.2">
      <c r="F3889" s="163"/>
      <c r="K3889"/>
    </row>
    <row r="3890" spans="6:11" x14ac:dyDescent="0.2">
      <c r="F3890" s="163"/>
      <c r="K3890"/>
    </row>
    <row r="3891" spans="6:11" x14ac:dyDescent="0.2">
      <c r="F3891" s="163"/>
      <c r="K3891"/>
    </row>
    <row r="3892" spans="6:11" x14ac:dyDescent="0.2">
      <c r="F3892" s="163"/>
      <c r="K3892"/>
    </row>
    <row r="3893" spans="6:11" x14ac:dyDescent="0.2">
      <c r="F3893" s="163"/>
      <c r="K3893"/>
    </row>
    <row r="3894" spans="6:11" x14ac:dyDescent="0.2">
      <c r="F3894" s="163"/>
      <c r="K3894"/>
    </row>
    <row r="3895" spans="6:11" x14ac:dyDescent="0.2">
      <c r="F3895" s="163"/>
      <c r="K3895"/>
    </row>
    <row r="3896" spans="6:11" x14ac:dyDescent="0.2">
      <c r="F3896" s="163"/>
      <c r="K3896"/>
    </row>
    <row r="3897" spans="6:11" x14ac:dyDescent="0.2">
      <c r="F3897" s="163"/>
      <c r="K3897"/>
    </row>
    <row r="3898" spans="6:11" x14ac:dyDescent="0.2">
      <c r="F3898" s="163"/>
      <c r="K3898"/>
    </row>
    <row r="3899" spans="6:11" x14ac:dyDescent="0.2">
      <c r="F3899" s="163"/>
      <c r="K3899"/>
    </row>
    <row r="3900" spans="6:11" x14ac:dyDescent="0.2">
      <c r="F3900" s="163"/>
      <c r="K3900"/>
    </row>
    <row r="3901" spans="6:11" x14ac:dyDescent="0.2">
      <c r="F3901" s="163"/>
      <c r="K3901"/>
    </row>
    <row r="3902" spans="6:11" x14ac:dyDescent="0.2">
      <c r="F3902" s="163"/>
      <c r="K3902"/>
    </row>
    <row r="3903" spans="6:11" x14ac:dyDescent="0.2">
      <c r="F3903" s="163"/>
      <c r="K3903"/>
    </row>
    <row r="3904" spans="6:11" x14ac:dyDescent="0.2">
      <c r="F3904" s="163"/>
      <c r="K3904"/>
    </row>
    <row r="3905" spans="6:11" x14ac:dyDescent="0.2">
      <c r="F3905" s="163"/>
      <c r="K3905"/>
    </row>
    <row r="3906" spans="6:11" x14ac:dyDescent="0.2">
      <c r="F3906" s="163"/>
      <c r="K3906"/>
    </row>
    <row r="3907" spans="6:11" x14ac:dyDescent="0.2">
      <c r="F3907" s="163"/>
      <c r="K3907"/>
    </row>
    <row r="3908" spans="6:11" x14ac:dyDescent="0.2">
      <c r="F3908" s="163"/>
      <c r="K3908"/>
    </row>
    <row r="3909" spans="6:11" x14ac:dyDescent="0.2">
      <c r="F3909" s="163"/>
      <c r="K3909"/>
    </row>
    <row r="3910" spans="6:11" x14ac:dyDescent="0.2">
      <c r="F3910" s="163"/>
      <c r="K3910"/>
    </row>
    <row r="3911" spans="6:11" x14ac:dyDescent="0.2">
      <c r="F3911" s="163"/>
      <c r="K3911"/>
    </row>
    <row r="3912" spans="6:11" x14ac:dyDescent="0.2">
      <c r="F3912" s="163"/>
      <c r="K3912"/>
    </row>
    <row r="3913" spans="6:11" x14ac:dyDescent="0.2">
      <c r="F3913" s="163"/>
      <c r="K3913"/>
    </row>
    <row r="3914" spans="6:11" x14ac:dyDescent="0.2">
      <c r="F3914" s="163"/>
      <c r="K3914"/>
    </row>
    <row r="3915" spans="6:11" x14ac:dyDescent="0.2">
      <c r="F3915" s="163"/>
      <c r="K3915"/>
    </row>
    <row r="3916" spans="6:11" x14ac:dyDescent="0.2">
      <c r="F3916" s="163"/>
      <c r="K3916"/>
    </row>
    <row r="3917" spans="6:11" x14ac:dyDescent="0.2">
      <c r="F3917" s="163"/>
      <c r="K3917"/>
    </row>
    <row r="3918" spans="6:11" x14ac:dyDescent="0.2">
      <c r="F3918" s="163"/>
      <c r="K3918"/>
    </row>
    <row r="3919" spans="6:11" x14ac:dyDescent="0.2">
      <c r="F3919" s="163"/>
      <c r="K3919"/>
    </row>
    <row r="3920" spans="6:11" x14ac:dyDescent="0.2">
      <c r="F3920" s="163"/>
      <c r="K3920"/>
    </row>
    <row r="3921" spans="6:11" x14ac:dyDescent="0.2">
      <c r="F3921" s="163"/>
      <c r="K3921"/>
    </row>
    <row r="3922" spans="6:11" x14ac:dyDescent="0.2">
      <c r="F3922" s="163"/>
      <c r="K3922"/>
    </row>
    <row r="3923" spans="6:11" x14ac:dyDescent="0.2">
      <c r="F3923" s="163"/>
      <c r="K3923"/>
    </row>
    <row r="3924" spans="6:11" x14ac:dyDescent="0.2">
      <c r="F3924" s="163"/>
      <c r="K3924"/>
    </row>
    <row r="3925" spans="6:11" x14ac:dyDescent="0.2">
      <c r="F3925" s="163"/>
      <c r="K3925"/>
    </row>
    <row r="3926" spans="6:11" x14ac:dyDescent="0.2">
      <c r="F3926" s="163"/>
      <c r="K3926"/>
    </row>
    <row r="3927" spans="6:11" x14ac:dyDescent="0.2">
      <c r="F3927" s="163"/>
      <c r="K3927"/>
    </row>
    <row r="3928" spans="6:11" x14ac:dyDescent="0.2">
      <c r="F3928" s="163"/>
      <c r="K3928"/>
    </row>
    <row r="3929" spans="6:11" x14ac:dyDescent="0.2">
      <c r="F3929" s="163"/>
      <c r="K3929"/>
    </row>
    <row r="3930" spans="6:11" x14ac:dyDescent="0.2">
      <c r="F3930" s="163"/>
      <c r="K3930"/>
    </row>
    <row r="3931" spans="6:11" x14ac:dyDescent="0.2">
      <c r="F3931" s="163"/>
      <c r="K3931"/>
    </row>
    <row r="3932" spans="6:11" x14ac:dyDescent="0.2">
      <c r="F3932" s="163"/>
      <c r="K3932"/>
    </row>
    <row r="3933" spans="6:11" x14ac:dyDescent="0.2">
      <c r="F3933" s="163"/>
      <c r="K3933"/>
    </row>
    <row r="3934" spans="6:11" x14ac:dyDescent="0.2">
      <c r="F3934" s="163"/>
      <c r="K3934"/>
    </row>
    <row r="3935" spans="6:11" x14ac:dyDescent="0.2">
      <c r="F3935" s="163"/>
      <c r="K3935"/>
    </row>
    <row r="3936" spans="6:11" x14ac:dyDescent="0.2">
      <c r="F3936" s="163"/>
      <c r="K3936"/>
    </row>
    <row r="3937" spans="6:11" x14ac:dyDescent="0.2">
      <c r="F3937" s="163"/>
      <c r="K3937"/>
    </row>
    <row r="3938" spans="6:11" x14ac:dyDescent="0.2">
      <c r="F3938" s="163"/>
      <c r="K3938"/>
    </row>
    <row r="3939" spans="6:11" x14ac:dyDescent="0.2">
      <c r="F3939" s="163"/>
      <c r="K3939"/>
    </row>
    <row r="3940" spans="6:11" x14ac:dyDescent="0.2">
      <c r="F3940" s="163"/>
      <c r="K3940"/>
    </row>
    <row r="3941" spans="6:11" x14ac:dyDescent="0.2">
      <c r="F3941" s="163"/>
      <c r="K3941"/>
    </row>
    <row r="3942" spans="6:11" x14ac:dyDescent="0.2">
      <c r="F3942" s="163"/>
      <c r="K3942"/>
    </row>
    <row r="3943" spans="6:11" x14ac:dyDescent="0.2">
      <c r="F3943" s="163"/>
      <c r="K3943"/>
    </row>
    <row r="3944" spans="6:11" x14ac:dyDescent="0.2">
      <c r="F3944" s="163"/>
      <c r="K3944"/>
    </row>
    <row r="3945" spans="6:11" x14ac:dyDescent="0.2">
      <c r="F3945" s="163"/>
      <c r="K3945"/>
    </row>
    <row r="3946" spans="6:11" x14ac:dyDescent="0.2">
      <c r="F3946" s="163"/>
      <c r="K3946"/>
    </row>
    <row r="3947" spans="6:11" x14ac:dyDescent="0.2">
      <c r="F3947" s="163"/>
      <c r="K3947"/>
    </row>
    <row r="3948" spans="6:11" x14ac:dyDescent="0.2">
      <c r="F3948" s="163"/>
      <c r="K3948"/>
    </row>
    <row r="3949" spans="6:11" x14ac:dyDescent="0.2">
      <c r="F3949" s="163"/>
      <c r="K3949"/>
    </row>
    <row r="3950" spans="6:11" x14ac:dyDescent="0.2">
      <c r="F3950" s="163"/>
      <c r="K3950"/>
    </row>
    <row r="3951" spans="6:11" x14ac:dyDescent="0.2">
      <c r="F3951" s="163"/>
      <c r="K3951"/>
    </row>
    <row r="3952" spans="6:11" x14ac:dyDescent="0.2">
      <c r="F3952" s="163"/>
      <c r="K3952"/>
    </row>
    <row r="3953" spans="6:11" x14ac:dyDescent="0.2">
      <c r="F3953" s="163"/>
      <c r="K3953"/>
    </row>
    <row r="3954" spans="6:11" x14ac:dyDescent="0.2">
      <c r="F3954" s="163"/>
      <c r="K3954"/>
    </row>
    <row r="3955" spans="6:11" x14ac:dyDescent="0.2">
      <c r="F3955" s="163"/>
      <c r="K3955"/>
    </row>
    <row r="3956" spans="6:11" x14ac:dyDescent="0.2">
      <c r="F3956" s="163"/>
      <c r="K3956"/>
    </row>
    <row r="3957" spans="6:11" x14ac:dyDescent="0.2">
      <c r="F3957" s="163"/>
      <c r="K3957"/>
    </row>
    <row r="3958" spans="6:11" x14ac:dyDescent="0.2">
      <c r="F3958" s="163"/>
      <c r="K3958"/>
    </row>
    <row r="3959" spans="6:11" x14ac:dyDescent="0.2">
      <c r="F3959" s="163"/>
      <c r="K3959"/>
    </row>
    <row r="3960" spans="6:11" x14ac:dyDescent="0.2">
      <c r="F3960" s="163"/>
      <c r="K3960"/>
    </row>
    <row r="3961" spans="6:11" x14ac:dyDescent="0.2">
      <c r="F3961" s="163"/>
      <c r="K3961"/>
    </row>
    <row r="3962" spans="6:11" x14ac:dyDescent="0.2">
      <c r="F3962" s="163"/>
      <c r="K3962"/>
    </row>
    <row r="3963" spans="6:11" x14ac:dyDescent="0.2">
      <c r="F3963" s="163"/>
      <c r="K3963"/>
    </row>
    <row r="3964" spans="6:11" x14ac:dyDescent="0.2">
      <c r="F3964" s="163"/>
      <c r="K3964"/>
    </row>
    <row r="3965" spans="6:11" x14ac:dyDescent="0.2">
      <c r="F3965" s="163"/>
      <c r="K3965"/>
    </row>
    <row r="3966" spans="6:11" x14ac:dyDescent="0.2">
      <c r="F3966" s="163"/>
      <c r="K3966"/>
    </row>
    <row r="3967" spans="6:11" x14ac:dyDescent="0.2">
      <c r="F3967" s="163"/>
      <c r="K3967"/>
    </row>
    <row r="3968" spans="6:11" x14ac:dyDescent="0.2">
      <c r="F3968" s="163"/>
      <c r="K3968"/>
    </row>
    <row r="3969" spans="6:11" x14ac:dyDescent="0.2">
      <c r="F3969" s="163"/>
      <c r="K3969"/>
    </row>
    <row r="3970" spans="6:11" x14ac:dyDescent="0.2">
      <c r="F3970" s="163"/>
      <c r="K3970"/>
    </row>
    <row r="3971" spans="6:11" x14ac:dyDescent="0.2">
      <c r="F3971" s="163"/>
      <c r="K3971"/>
    </row>
    <row r="3972" spans="6:11" x14ac:dyDescent="0.2">
      <c r="F3972" s="163"/>
      <c r="K3972"/>
    </row>
    <row r="3973" spans="6:11" x14ac:dyDescent="0.2">
      <c r="F3973" s="163"/>
      <c r="K3973"/>
    </row>
    <row r="3974" spans="6:11" x14ac:dyDescent="0.2">
      <c r="F3974" s="163"/>
      <c r="K3974"/>
    </row>
    <row r="3975" spans="6:11" x14ac:dyDescent="0.2">
      <c r="F3975" s="163"/>
      <c r="K3975"/>
    </row>
    <row r="3976" spans="6:11" x14ac:dyDescent="0.2">
      <c r="F3976" s="163"/>
      <c r="K3976"/>
    </row>
    <row r="3977" spans="6:11" x14ac:dyDescent="0.2">
      <c r="F3977" s="163"/>
      <c r="K3977"/>
    </row>
    <row r="3978" spans="6:11" x14ac:dyDescent="0.2">
      <c r="F3978" s="163"/>
      <c r="K3978"/>
    </row>
    <row r="3979" spans="6:11" x14ac:dyDescent="0.2">
      <c r="F3979" s="163"/>
      <c r="K3979"/>
    </row>
    <row r="3980" spans="6:11" x14ac:dyDescent="0.2">
      <c r="F3980" s="163"/>
      <c r="K3980"/>
    </row>
    <row r="3981" spans="6:11" x14ac:dyDescent="0.2">
      <c r="F3981" s="163"/>
      <c r="K3981"/>
    </row>
    <row r="3982" spans="6:11" x14ac:dyDescent="0.2">
      <c r="F3982" s="163"/>
      <c r="K3982"/>
    </row>
    <row r="3983" spans="6:11" x14ac:dyDescent="0.2">
      <c r="F3983" s="163"/>
      <c r="K3983"/>
    </row>
    <row r="3984" spans="6:11" x14ac:dyDescent="0.2">
      <c r="F3984" s="163"/>
      <c r="K3984"/>
    </row>
    <row r="3985" spans="6:11" x14ac:dyDescent="0.2">
      <c r="F3985" s="163"/>
      <c r="K3985"/>
    </row>
    <row r="3986" spans="6:11" x14ac:dyDescent="0.2">
      <c r="F3986" s="163"/>
      <c r="K3986"/>
    </row>
    <row r="3987" spans="6:11" x14ac:dyDescent="0.2">
      <c r="F3987" s="163"/>
      <c r="K3987"/>
    </row>
    <row r="3988" spans="6:11" x14ac:dyDescent="0.2">
      <c r="F3988" s="163"/>
      <c r="K3988"/>
    </row>
    <row r="3989" spans="6:11" x14ac:dyDescent="0.2">
      <c r="F3989" s="163"/>
      <c r="K3989"/>
    </row>
    <row r="3990" spans="6:11" x14ac:dyDescent="0.2">
      <c r="F3990" s="163"/>
      <c r="K3990"/>
    </row>
    <row r="3991" spans="6:11" x14ac:dyDescent="0.2">
      <c r="F3991" s="163"/>
      <c r="K3991"/>
    </row>
    <row r="3992" spans="6:11" x14ac:dyDescent="0.2">
      <c r="F3992" s="163"/>
      <c r="K3992"/>
    </row>
    <row r="3993" spans="6:11" x14ac:dyDescent="0.2">
      <c r="F3993" s="163"/>
      <c r="K3993"/>
    </row>
    <row r="3994" spans="6:11" x14ac:dyDescent="0.2">
      <c r="F3994" s="163"/>
      <c r="K3994"/>
    </row>
    <row r="3995" spans="6:11" x14ac:dyDescent="0.2">
      <c r="F3995" s="163"/>
      <c r="K3995"/>
    </row>
    <row r="3996" spans="6:11" x14ac:dyDescent="0.2">
      <c r="F3996" s="163"/>
      <c r="K3996"/>
    </row>
    <row r="3997" spans="6:11" x14ac:dyDescent="0.2">
      <c r="F3997" s="163"/>
      <c r="K3997"/>
    </row>
    <row r="3998" spans="6:11" x14ac:dyDescent="0.2">
      <c r="F3998" s="163"/>
      <c r="K3998"/>
    </row>
    <row r="3999" spans="6:11" x14ac:dyDescent="0.2">
      <c r="F3999" s="163"/>
      <c r="K3999"/>
    </row>
    <row r="4000" spans="6:11" x14ac:dyDescent="0.2">
      <c r="F4000" s="163"/>
      <c r="K4000"/>
    </row>
    <row r="4001" spans="6:11" x14ac:dyDescent="0.2">
      <c r="F4001" s="163"/>
      <c r="K4001"/>
    </row>
    <row r="4002" spans="6:11" x14ac:dyDescent="0.2">
      <c r="F4002" s="163"/>
      <c r="K4002"/>
    </row>
    <row r="4003" spans="6:11" x14ac:dyDescent="0.2">
      <c r="F4003" s="163"/>
      <c r="K4003"/>
    </row>
    <row r="4004" spans="6:11" x14ac:dyDescent="0.2">
      <c r="F4004" s="163"/>
      <c r="K4004"/>
    </row>
    <row r="4005" spans="6:11" x14ac:dyDescent="0.2">
      <c r="F4005" s="163"/>
      <c r="K4005"/>
    </row>
    <row r="4006" spans="6:11" x14ac:dyDescent="0.2">
      <c r="F4006" s="163"/>
      <c r="K4006"/>
    </row>
    <row r="4007" spans="6:11" x14ac:dyDescent="0.2">
      <c r="F4007" s="163"/>
      <c r="K4007"/>
    </row>
    <row r="4008" spans="6:11" x14ac:dyDescent="0.2">
      <c r="F4008" s="163"/>
      <c r="K4008"/>
    </row>
    <row r="4009" spans="6:11" x14ac:dyDescent="0.2">
      <c r="F4009" s="163"/>
      <c r="K4009"/>
    </row>
    <row r="4010" spans="6:11" x14ac:dyDescent="0.2">
      <c r="F4010" s="163"/>
      <c r="K4010"/>
    </row>
    <row r="4011" spans="6:11" x14ac:dyDescent="0.2">
      <c r="F4011" s="163"/>
      <c r="K4011"/>
    </row>
    <row r="4012" spans="6:11" x14ac:dyDescent="0.2">
      <c r="F4012" s="163"/>
      <c r="K4012"/>
    </row>
    <row r="4013" spans="6:11" x14ac:dyDescent="0.2">
      <c r="F4013" s="163"/>
      <c r="K4013"/>
    </row>
    <row r="4014" spans="6:11" x14ac:dyDescent="0.2">
      <c r="F4014" s="163"/>
      <c r="K4014"/>
    </row>
    <row r="4015" spans="6:11" x14ac:dyDescent="0.2">
      <c r="F4015" s="163"/>
      <c r="K4015"/>
    </row>
    <row r="4016" spans="6:11" x14ac:dyDescent="0.2">
      <c r="F4016" s="163"/>
      <c r="K4016"/>
    </row>
    <row r="4017" spans="6:11" x14ac:dyDescent="0.2">
      <c r="F4017" s="163"/>
      <c r="K4017"/>
    </row>
    <row r="4018" spans="6:11" x14ac:dyDescent="0.2">
      <c r="F4018" s="163"/>
      <c r="K4018"/>
    </row>
    <row r="4019" spans="6:11" x14ac:dyDescent="0.2">
      <c r="F4019" s="163"/>
      <c r="K4019"/>
    </row>
    <row r="4020" spans="6:11" x14ac:dyDescent="0.2">
      <c r="F4020" s="163"/>
      <c r="K4020"/>
    </row>
    <row r="4021" spans="6:11" x14ac:dyDescent="0.2">
      <c r="F4021" s="163"/>
      <c r="K4021"/>
    </row>
    <row r="4022" spans="6:11" x14ac:dyDescent="0.2">
      <c r="F4022" s="163"/>
      <c r="K4022"/>
    </row>
    <row r="4023" spans="6:11" x14ac:dyDescent="0.2">
      <c r="F4023" s="163"/>
      <c r="K4023"/>
    </row>
    <row r="4024" spans="6:11" x14ac:dyDescent="0.2">
      <c r="F4024" s="163"/>
      <c r="K4024"/>
    </row>
    <row r="4025" spans="6:11" x14ac:dyDescent="0.2">
      <c r="F4025" s="163"/>
      <c r="K4025"/>
    </row>
    <row r="4026" spans="6:11" x14ac:dyDescent="0.2">
      <c r="F4026" s="163"/>
      <c r="K4026"/>
    </row>
    <row r="4027" spans="6:11" x14ac:dyDescent="0.2">
      <c r="F4027" s="163"/>
      <c r="K4027"/>
    </row>
    <row r="4028" spans="6:11" x14ac:dyDescent="0.2">
      <c r="F4028" s="163"/>
      <c r="K4028"/>
    </row>
    <row r="4029" spans="6:11" x14ac:dyDescent="0.2">
      <c r="F4029" s="163"/>
      <c r="K4029"/>
    </row>
    <row r="4030" spans="6:11" x14ac:dyDescent="0.2">
      <c r="F4030" s="163"/>
      <c r="K4030"/>
    </row>
    <row r="4031" spans="6:11" x14ac:dyDescent="0.2">
      <c r="F4031" s="163"/>
      <c r="K4031"/>
    </row>
    <row r="4032" spans="6:11" x14ac:dyDescent="0.2">
      <c r="F4032" s="163"/>
      <c r="K4032"/>
    </row>
    <row r="4033" spans="6:11" x14ac:dyDescent="0.2">
      <c r="F4033" s="163"/>
      <c r="K4033"/>
    </row>
    <row r="4034" spans="6:11" x14ac:dyDescent="0.2">
      <c r="F4034" s="163"/>
      <c r="K4034"/>
    </row>
    <row r="4035" spans="6:11" x14ac:dyDescent="0.2">
      <c r="F4035" s="163"/>
      <c r="K4035"/>
    </row>
    <row r="4036" spans="6:11" x14ac:dyDescent="0.2">
      <c r="F4036" s="163"/>
      <c r="K4036"/>
    </row>
    <row r="4037" spans="6:11" x14ac:dyDescent="0.2">
      <c r="F4037" s="163"/>
      <c r="K4037"/>
    </row>
    <row r="4038" spans="6:11" x14ac:dyDescent="0.2">
      <c r="F4038" s="163"/>
      <c r="K4038"/>
    </row>
    <row r="4039" spans="6:11" x14ac:dyDescent="0.2">
      <c r="F4039" s="163"/>
      <c r="K4039"/>
    </row>
    <row r="4040" spans="6:11" x14ac:dyDescent="0.2">
      <c r="F4040" s="163"/>
      <c r="K4040"/>
    </row>
    <row r="4041" spans="6:11" x14ac:dyDescent="0.2">
      <c r="F4041" s="163"/>
      <c r="K4041"/>
    </row>
    <row r="4042" spans="6:11" x14ac:dyDescent="0.2">
      <c r="F4042" s="163"/>
      <c r="K4042"/>
    </row>
    <row r="4043" spans="6:11" x14ac:dyDescent="0.2">
      <c r="F4043" s="163"/>
      <c r="K4043"/>
    </row>
    <row r="4044" spans="6:11" x14ac:dyDescent="0.2">
      <c r="F4044" s="163"/>
      <c r="K4044"/>
    </row>
    <row r="4045" spans="6:11" x14ac:dyDescent="0.2">
      <c r="F4045" s="163"/>
      <c r="K4045"/>
    </row>
    <row r="4046" spans="6:11" x14ac:dyDescent="0.2">
      <c r="F4046" s="163"/>
      <c r="K4046"/>
    </row>
    <row r="4047" spans="6:11" x14ac:dyDescent="0.2">
      <c r="F4047" s="163"/>
      <c r="K4047"/>
    </row>
    <row r="4048" spans="6:11" x14ac:dyDescent="0.2">
      <c r="F4048" s="163"/>
      <c r="K4048"/>
    </row>
    <row r="4049" spans="6:11" x14ac:dyDescent="0.2">
      <c r="F4049" s="163"/>
      <c r="K4049"/>
    </row>
    <row r="4050" spans="6:11" x14ac:dyDescent="0.2">
      <c r="F4050" s="163"/>
      <c r="K4050"/>
    </row>
    <row r="4051" spans="6:11" x14ac:dyDescent="0.2">
      <c r="F4051" s="163"/>
      <c r="K4051"/>
    </row>
    <row r="4052" spans="6:11" x14ac:dyDescent="0.2">
      <c r="F4052" s="163"/>
      <c r="K4052"/>
    </row>
    <row r="4053" spans="6:11" x14ac:dyDescent="0.2">
      <c r="F4053" s="163"/>
      <c r="K4053"/>
    </row>
    <row r="4054" spans="6:11" x14ac:dyDescent="0.2">
      <c r="F4054" s="163"/>
      <c r="K4054"/>
    </row>
    <row r="4055" spans="6:11" x14ac:dyDescent="0.2">
      <c r="F4055" s="163"/>
      <c r="K4055"/>
    </row>
    <row r="4056" spans="6:11" x14ac:dyDescent="0.2">
      <c r="F4056" s="163"/>
      <c r="K4056"/>
    </row>
    <row r="4057" spans="6:11" x14ac:dyDescent="0.2">
      <c r="F4057" s="163"/>
      <c r="K4057"/>
    </row>
    <row r="4058" spans="6:11" x14ac:dyDescent="0.2">
      <c r="F4058" s="163"/>
      <c r="K4058"/>
    </row>
    <row r="4059" spans="6:11" x14ac:dyDescent="0.2">
      <c r="F4059" s="163"/>
      <c r="K4059"/>
    </row>
    <row r="4060" spans="6:11" x14ac:dyDescent="0.2">
      <c r="F4060" s="163"/>
      <c r="K4060"/>
    </row>
    <row r="4061" spans="6:11" x14ac:dyDescent="0.2">
      <c r="F4061" s="163"/>
      <c r="K4061"/>
    </row>
    <row r="4062" spans="6:11" x14ac:dyDescent="0.2">
      <c r="F4062" s="163"/>
      <c r="K4062"/>
    </row>
    <row r="4063" spans="6:11" x14ac:dyDescent="0.2">
      <c r="F4063" s="163"/>
      <c r="K4063"/>
    </row>
    <row r="4064" spans="6:11" x14ac:dyDescent="0.2">
      <c r="F4064" s="163"/>
      <c r="K4064"/>
    </row>
    <row r="4065" spans="6:11" x14ac:dyDescent="0.2">
      <c r="F4065" s="163"/>
      <c r="K4065"/>
    </row>
    <row r="4066" spans="6:11" x14ac:dyDescent="0.2">
      <c r="F4066" s="163"/>
      <c r="K4066"/>
    </row>
    <row r="4067" spans="6:11" x14ac:dyDescent="0.2">
      <c r="F4067" s="163"/>
      <c r="K4067"/>
    </row>
    <row r="4068" spans="6:11" x14ac:dyDescent="0.2">
      <c r="F4068" s="163"/>
      <c r="K4068"/>
    </row>
    <row r="4069" spans="6:11" x14ac:dyDescent="0.2">
      <c r="F4069" s="163"/>
      <c r="K4069"/>
    </row>
    <row r="4070" spans="6:11" x14ac:dyDescent="0.2">
      <c r="F4070" s="163"/>
      <c r="K4070"/>
    </row>
    <row r="4071" spans="6:11" x14ac:dyDescent="0.2">
      <c r="F4071" s="163"/>
      <c r="K4071"/>
    </row>
    <row r="4072" spans="6:11" x14ac:dyDescent="0.2">
      <c r="F4072" s="163"/>
      <c r="K4072"/>
    </row>
    <row r="4073" spans="6:11" x14ac:dyDescent="0.2">
      <c r="F4073" s="163"/>
      <c r="K4073"/>
    </row>
    <row r="4074" spans="6:11" x14ac:dyDescent="0.2">
      <c r="F4074" s="163"/>
      <c r="K4074"/>
    </row>
    <row r="4075" spans="6:11" x14ac:dyDescent="0.2">
      <c r="F4075" s="163"/>
      <c r="K4075"/>
    </row>
    <row r="4076" spans="6:11" x14ac:dyDescent="0.2">
      <c r="F4076" s="163"/>
      <c r="K4076"/>
    </row>
    <row r="4077" spans="6:11" x14ac:dyDescent="0.2">
      <c r="F4077" s="163"/>
      <c r="K4077"/>
    </row>
    <row r="4078" spans="6:11" x14ac:dyDescent="0.2">
      <c r="F4078" s="163"/>
      <c r="K4078"/>
    </row>
    <row r="4079" spans="6:11" x14ac:dyDescent="0.2">
      <c r="F4079" s="163"/>
      <c r="K4079"/>
    </row>
    <row r="4080" spans="6:11" x14ac:dyDescent="0.2">
      <c r="F4080" s="163"/>
      <c r="K4080"/>
    </row>
    <row r="4081" spans="6:11" x14ac:dyDescent="0.2">
      <c r="F4081" s="163"/>
      <c r="K4081"/>
    </row>
    <row r="4082" spans="6:11" x14ac:dyDescent="0.2">
      <c r="F4082" s="163"/>
      <c r="K4082"/>
    </row>
    <row r="4083" spans="6:11" x14ac:dyDescent="0.2">
      <c r="F4083" s="163"/>
      <c r="K4083"/>
    </row>
    <row r="4084" spans="6:11" x14ac:dyDescent="0.2">
      <c r="F4084" s="163"/>
      <c r="K4084"/>
    </row>
    <row r="4085" spans="6:11" x14ac:dyDescent="0.2">
      <c r="F4085" s="163"/>
      <c r="K4085"/>
    </row>
    <row r="4086" spans="6:11" x14ac:dyDescent="0.2">
      <c r="F4086" s="163"/>
      <c r="K4086"/>
    </row>
    <row r="4087" spans="6:11" x14ac:dyDescent="0.2">
      <c r="F4087" s="163"/>
      <c r="K4087"/>
    </row>
    <row r="4088" spans="6:11" x14ac:dyDescent="0.2">
      <c r="F4088" s="163"/>
      <c r="K4088"/>
    </row>
    <row r="4089" spans="6:11" x14ac:dyDescent="0.2">
      <c r="F4089" s="163"/>
      <c r="K4089"/>
    </row>
    <row r="4090" spans="6:11" x14ac:dyDescent="0.2">
      <c r="F4090" s="163"/>
      <c r="K4090"/>
    </row>
    <row r="4091" spans="6:11" x14ac:dyDescent="0.2">
      <c r="F4091" s="163"/>
      <c r="K4091"/>
    </row>
    <row r="4092" spans="6:11" x14ac:dyDescent="0.2">
      <c r="F4092" s="163"/>
      <c r="K4092"/>
    </row>
    <row r="4093" spans="6:11" x14ac:dyDescent="0.2">
      <c r="F4093" s="163"/>
      <c r="K4093"/>
    </row>
    <row r="4094" spans="6:11" x14ac:dyDescent="0.2">
      <c r="F4094" s="163"/>
      <c r="K4094"/>
    </row>
    <row r="4095" spans="6:11" x14ac:dyDescent="0.2">
      <c r="F4095" s="163"/>
      <c r="K4095"/>
    </row>
    <row r="4096" spans="6:11" x14ac:dyDescent="0.2">
      <c r="F4096" s="163"/>
      <c r="K4096"/>
    </row>
    <row r="4097" spans="6:11" x14ac:dyDescent="0.2">
      <c r="F4097" s="163"/>
      <c r="K4097"/>
    </row>
    <row r="4098" spans="6:11" x14ac:dyDescent="0.2">
      <c r="F4098" s="163"/>
      <c r="K4098"/>
    </row>
    <row r="4099" spans="6:11" x14ac:dyDescent="0.2">
      <c r="F4099" s="163"/>
      <c r="K4099"/>
    </row>
    <row r="4100" spans="6:11" x14ac:dyDescent="0.2">
      <c r="F4100" s="163"/>
      <c r="K4100"/>
    </row>
    <row r="4101" spans="6:11" x14ac:dyDescent="0.2">
      <c r="F4101" s="163"/>
      <c r="K4101"/>
    </row>
    <row r="4102" spans="6:11" x14ac:dyDescent="0.2">
      <c r="F4102" s="163"/>
      <c r="K4102"/>
    </row>
    <row r="4103" spans="6:11" x14ac:dyDescent="0.2">
      <c r="F4103" s="163"/>
      <c r="K4103"/>
    </row>
    <row r="4104" spans="6:11" x14ac:dyDescent="0.2">
      <c r="F4104" s="163"/>
      <c r="K4104"/>
    </row>
    <row r="4105" spans="6:11" x14ac:dyDescent="0.2">
      <c r="F4105" s="163"/>
      <c r="K4105"/>
    </row>
    <row r="4106" spans="6:11" x14ac:dyDescent="0.2">
      <c r="F4106" s="163"/>
      <c r="K4106"/>
    </row>
    <row r="4107" spans="6:11" x14ac:dyDescent="0.2">
      <c r="F4107" s="163"/>
      <c r="K4107"/>
    </row>
    <row r="4108" spans="6:11" x14ac:dyDescent="0.2">
      <c r="F4108" s="163"/>
      <c r="K4108"/>
    </row>
    <row r="4109" spans="6:11" x14ac:dyDescent="0.2">
      <c r="F4109" s="163"/>
      <c r="K4109"/>
    </row>
    <row r="4110" spans="6:11" x14ac:dyDescent="0.2">
      <c r="F4110" s="163"/>
      <c r="K4110"/>
    </row>
    <row r="4111" spans="6:11" x14ac:dyDescent="0.2">
      <c r="F4111" s="163"/>
      <c r="K4111"/>
    </row>
    <row r="4112" spans="6:11" x14ac:dyDescent="0.2">
      <c r="F4112" s="163"/>
      <c r="K4112"/>
    </row>
    <row r="4113" spans="6:11" x14ac:dyDescent="0.2">
      <c r="F4113" s="163"/>
      <c r="K4113"/>
    </row>
    <row r="4114" spans="6:11" x14ac:dyDescent="0.2">
      <c r="F4114" s="163"/>
      <c r="K4114"/>
    </row>
    <row r="4115" spans="6:11" x14ac:dyDescent="0.2">
      <c r="F4115" s="163"/>
      <c r="K4115"/>
    </row>
    <row r="4116" spans="6:11" x14ac:dyDescent="0.2">
      <c r="F4116" s="163"/>
      <c r="K4116"/>
    </row>
    <row r="4117" spans="6:11" x14ac:dyDescent="0.2">
      <c r="F4117" s="163"/>
      <c r="K4117"/>
    </row>
    <row r="4118" spans="6:11" x14ac:dyDescent="0.2">
      <c r="F4118" s="163"/>
      <c r="K4118"/>
    </row>
    <row r="4119" spans="6:11" x14ac:dyDescent="0.2">
      <c r="F4119" s="163"/>
      <c r="K4119"/>
    </row>
    <row r="4120" spans="6:11" x14ac:dyDescent="0.2">
      <c r="F4120" s="163"/>
      <c r="K4120"/>
    </row>
    <row r="4121" spans="6:11" x14ac:dyDescent="0.2">
      <c r="F4121" s="163"/>
      <c r="K4121"/>
    </row>
    <row r="4122" spans="6:11" x14ac:dyDescent="0.2">
      <c r="F4122" s="163"/>
      <c r="K4122"/>
    </row>
    <row r="4123" spans="6:11" x14ac:dyDescent="0.2">
      <c r="F4123" s="163"/>
      <c r="K4123"/>
    </row>
    <row r="4124" spans="6:11" x14ac:dyDescent="0.2">
      <c r="F4124" s="163"/>
      <c r="K4124"/>
    </row>
    <row r="4125" spans="6:11" x14ac:dyDescent="0.2">
      <c r="F4125" s="163"/>
      <c r="K4125"/>
    </row>
    <row r="4126" spans="6:11" x14ac:dyDescent="0.2">
      <c r="F4126" s="163"/>
      <c r="K4126"/>
    </row>
    <row r="4127" spans="6:11" x14ac:dyDescent="0.2">
      <c r="F4127" s="163"/>
      <c r="K4127"/>
    </row>
    <row r="4128" spans="6:11" x14ac:dyDescent="0.2">
      <c r="F4128" s="163"/>
      <c r="K4128"/>
    </row>
    <row r="4129" spans="6:11" x14ac:dyDescent="0.2">
      <c r="F4129" s="163"/>
      <c r="K4129"/>
    </row>
    <row r="4130" spans="6:11" x14ac:dyDescent="0.2">
      <c r="F4130" s="163"/>
      <c r="K4130"/>
    </row>
    <row r="4131" spans="6:11" x14ac:dyDescent="0.2">
      <c r="F4131" s="163"/>
      <c r="K4131"/>
    </row>
    <row r="4132" spans="6:11" x14ac:dyDescent="0.2">
      <c r="F4132" s="163"/>
      <c r="K4132"/>
    </row>
    <row r="4133" spans="6:11" x14ac:dyDescent="0.2">
      <c r="F4133" s="163"/>
      <c r="K4133"/>
    </row>
    <row r="4134" spans="6:11" x14ac:dyDescent="0.2">
      <c r="F4134" s="163"/>
      <c r="K4134"/>
    </row>
    <row r="4135" spans="6:11" x14ac:dyDescent="0.2">
      <c r="F4135" s="163"/>
      <c r="K4135"/>
    </row>
    <row r="4136" spans="6:11" x14ac:dyDescent="0.2">
      <c r="F4136" s="163"/>
      <c r="K4136"/>
    </row>
    <row r="4137" spans="6:11" x14ac:dyDescent="0.2">
      <c r="F4137" s="163"/>
      <c r="K4137"/>
    </row>
    <row r="4138" spans="6:11" x14ac:dyDescent="0.2">
      <c r="F4138" s="163"/>
      <c r="K4138"/>
    </row>
    <row r="4139" spans="6:11" x14ac:dyDescent="0.2">
      <c r="F4139" s="163"/>
      <c r="K4139"/>
    </row>
    <row r="4140" spans="6:11" x14ac:dyDescent="0.2">
      <c r="F4140" s="163"/>
      <c r="K4140"/>
    </row>
    <row r="4141" spans="6:11" x14ac:dyDescent="0.2">
      <c r="F4141" s="163"/>
      <c r="K4141"/>
    </row>
    <row r="4142" spans="6:11" x14ac:dyDescent="0.2">
      <c r="F4142" s="163"/>
      <c r="K4142"/>
    </row>
    <row r="4143" spans="6:11" x14ac:dyDescent="0.2">
      <c r="F4143" s="163"/>
      <c r="K4143"/>
    </row>
    <row r="4144" spans="6:11" x14ac:dyDescent="0.2">
      <c r="F4144" s="163"/>
      <c r="K4144"/>
    </row>
    <row r="4145" spans="6:11" x14ac:dyDescent="0.2">
      <c r="F4145" s="163"/>
      <c r="K4145"/>
    </row>
    <row r="4146" spans="6:11" x14ac:dyDescent="0.2">
      <c r="F4146" s="163"/>
      <c r="K4146"/>
    </row>
    <row r="4147" spans="6:11" x14ac:dyDescent="0.2">
      <c r="F4147" s="163"/>
      <c r="K4147"/>
    </row>
    <row r="4148" spans="6:11" x14ac:dyDescent="0.2">
      <c r="F4148" s="163"/>
      <c r="K4148"/>
    </row>
    <row r="4149" spans="6:11" x14ac:dyDescent="0.2">
      <c r="F4149" s="163"/>
      <c r="K4149"/>
    </row>
    <row r="4150" spans="6:11" x14ac:dyDescent="0.2">
      <c r="F4150" s="163"/>
      <c r="K4150"/>
    </row>
    <row r="4151" spans="6:11" x14ac:dyDescent="0.2">
      <c r="F4151" s="163"/>
      <c r="K4151"/>
    </row>
    <row r="4152" spans="6:11" x14ac:dyDescent="0.2">
      <c r="F4152" s="163"/>
      <c r="K4152"/>
    </row>
    <row r="4153" spans="6:11" x14ac:dyDescent="0.2">
      <c r="F4153" s="163"/>
      <c r="K4153"/>
    </row>
    <row r="4154" spans="6:11" x14ac:dyDescent="0.2">
      <c r="F4154" s="163"/>
      <c r="K4154"/>
    </row>
    <row r="4155" spans="6:11" x14ac:dyDescent="0.2">
      <c r="F4155" s="163"/>
      <c r="K4155"/>
    </row>
    <row r="4156" spans="6:11" x14ac:dyDescent="0.2">
      <c r="F4156" s="163"/>
      <c r="K4156"/>
    </row>
    <row r="4157" spans="6:11" x14ac:dyDescent="0.2">
      <c r="F4157" s="163"/>
      <c r="K4157"/>
    </row>
    <row r="4158" spans="6:11" x14ac:dyDescent="0.2">
      <c r="F4158" s="163"/>
      <c r="K4158"/>
    </row>
    <row r="4159" spans="6:11" x14ac:dyDescent="0.2">
      <c r="F4159" s="163"/>
      <c r="K4159"/>
    </row>
    <row r="4160" spans="6:11" x14ac:dyDescent="0.2">
      <c r="F4160" s="163"/>
      <c r="K4160"/>
    </row>
    <row r="4161" spans="6:11" x14ac:dyDescent="0.2">
      <c r="F4161" s="163"/>
      <c r="K4161"/>
    </row>
    <row r="4162" spans="6:11" x14ac:dyDescent="0.2">
      <c r="F4162" s="163"/>
      <c r="K4162"/>
    </row>
    <row r="4163" spans="6:11" x14ac:dyDescent="0.2">
      <c r="F4163" s="163"/>
      <c r="K4163"/>
    </row>
    <row r="4164" spans="6:11" x14ac:dyDescent="0.2">
      <c r="F4164" s="163"/>
      <c r="K4164"/>
    </row>
    <row r="4165" spans="6:11" x14ac:dyDescent="0.2">
      <c r="F4165" s="163"/>
      <c r="K4165"/>
    </row>
    <row r="4166" spans="6:11" x14ac:dyDescent="0.2">
      <c r="F4166" s="163"/>
      <c r="K4166"/>
    </row>
    <row r="4167" spans="6:11" x14ac:dyDescent="0.2">
      <c r="F4167" s="163"/>
      <c r="K4167"/>
    </row>
    <row r="4168" spans="6:11" x14ac:dyDescent="0.2">
      <c r="F4168" s="163"/>
      <c r="K4168"/>
    </row>
    <row r="4169" spans="6:11" x14ac:dyDescent="0.2">
      <c r="F4169" s="163"/>
      <c r="K4169"/>
    </row>
    <row r="4170" spans="6:11" x14ac:dyDescent="0.2">
      <c r="F4170" s="163"/>
      <c r="K4170"/>
    </row>
    <row r="4171" spans="6:11" x14ac:dyDescent="0.2">
      <c r="F4171" s="163"/>
      <c r="K4171"/>
    </row>
    <row r="4172" spans="6:11" x14ac:dyDescent="0.2">
      <c r="F4172" s="163"/>
      <c r="K4172"/>
    </row>
    <row r="4173" spans="6:11" x14ac:dyDescent="0.2">
      <c r="F4173" s="163"/>
      <c r="K4173"/>
    </row>
    <row r="4174" spans="6:11" x14ac:dyDescent="0.2">
      <c r="F4174" s="163"/>
      <c r="K4174"/>
    </row>
    <row r="4175" spans="6:11" x14ac:dyDescent="0.2">
      <c r="F4175" s="163"/>
      <c r="K4175"/>
    </row>
    <row r="4176" spans="6:11" x14ac:dyDescent="0.2">
      <c r="F4176" s="163"/>
      <c r="K4176"/>
    </row>
    <row r="4177" spans="6:11" x14ac:dyDescent="0.2">
      <c r="F4177" s="163"/>
      <c r="K4177"/>
    </row>
    <row r="4178" spans="6:11" x14ac:dyDescent="0.2">
      <c r="F4178" s="163"/>
      <c r="K4178"/>
    </row>
    <row r="4179" spans="6:11" x14ac:dyDescent="0.2">
      <c r="F4179" s="163"/>
      <c r="K4179"/>
    </row>
    <row r="4180" spans="6:11" x14ac:dyDescent="0.2">
      <c r="F4180" s="163"/>
      <c r="K4180"/>
    </row>
    <row r="4181" spans="6:11" x14ac:dyDescent="0.2">
      <c r="F4181" s="163"/>
      <c r="K4181"/>
    </row>
    <row r="4182" spans="6:11" x14ac:dyDescent="0.2">
      <c r="F4182" s="163"/>
      <c r="K4182"/>
    </row>
    <row r="4183" spans="6:11" x14ac:dyDescent="0.2">
      <c r="F4183" s="163"/>
      <c r="K4183"/>
    </row>
    <row r="4184" spans="6:11" x14ac:dyDescent="0.2">
      <c r="F4184" s="163"/>
      <c r="K4184"/>
    </row>
    <row r="4185" spans="6:11" x14ac:dyDescent="0.2">
      <c r="F4185" s="163"/>
      <c r="K4185"/>
    </row>
    <row r="4186" spans="6:11" x14ac:dyDescent="0.2">
      <c r="F4186" s="163"/>
      <c r="K4186"/>
    </row>
    <row r="4187" spans="6:11" x14ac:dyDescent="0.2">
      <c r="F4187" s="163"/>
      <c r="K4187"/>
    </row>
    <row r="4188" spans="6:11" x14ac:dyDescent="0.2">
      <c r="F4188" s="163"/>
      <c r="K4188"/>
    </row>
    <row r="4189" spans="6:11" x14ac:dyDescent="0.2">
      <c r="F4189" s="163"/>
      <c r="K4189"/>
    </row>
    <row r="4190" spans="6:11" x14ac:dyDescent="0.2">
      <c r="F4190" s="163"/>
      <c r="K4190"/>
    </row>
    <row r="4191" spans="6:11" x14ac:dyDescent="0.2">
      <c r="F4191" s="163"/>
      <c r="K4191"/>
    </row>
    <row r="4192" spans="6:11" x14ac:dyDescent="0.2">
      <c r="F4192" s="163"/>
      <c r="K4192"/>
    </row>
    <row r="4193" spans="6:11" x14ac:dyDescent="0.2">
      <c r="F4193" s="163"/>
      <c r="K4193"/>
    </row>
    <row r="4194" spans="6:11" x14ac:dyDescent="0.2">
      <c r="F4194" s="163"/>
      <c r="K4194"/>
    </row>
    <row r="4195" spans="6:11" x14ac:dyDescent="0.2">
      <c r="F4195" s="163"/>
      <c r="K4195"/>
    </row>
    <row r="4196" spans="6:11" x14ac:dyDescent="0.2">
      <c r="F4196" s="163"/>
      <c r="K4196"/>
    </row>
    <row r="4197" spans="6:11" x14ac:dyDescent="0.2">
      <c r="F4197" s="163"/>
      <c r="K4197"/>
    </row>
    <row r="4198" spans="6:11" x14ac:dyDescent="0.2">
      <c r="F4198" s="163"/>
      <c r="K4198"/>
    </row>
    <row r="4199" spans="6:11" x14ac:dyDescent="0.2">
      <c r="F4199" s="163"/>
      <c r="K4199"/>
    </row>
    <row r="4200" spans="6:11" x14ac:dyDescent="0.2">
      <c r="F4200" s="163"/>
      <c r="K4200"/>
    </row>
    <row r="4201" spans="6:11" x14ac:dyDescent="0.2">
      <c r="F4201" s="163"/>
      <c r="K4201"/>
    </row>
    <row r="4202" spans="6:11" x14ac:dyDescent="0.2">
      <c r="F4202" s="163"/>
      <c r="K4202"/>
    </row>
    <row r="4203" spans="6:11" x14ac:dyDescent="0.2">
      <c r="F4203" s="163"/>
      <c r="K4203"/>
    </row>
    <row r="4204" spans="6:11" x14ac:dyDescent="0.2">
      <c r="F4204" s="163"/>
      <c r="K4204"/>
    </row>
    <row r="4205" spans="6:11" x14ac:dyDescent="0.2">
      <c r="F4205" s="163"/>
      <c r="K4205"/>
    </row>
    <row r="4206" spans="6:11" x14ac:dyDescent="0.2">
      <c r="F4206" s="163"/>
      <c r="K4206"/>
    </row>
    <row r="4207" spans="6:11" x14ac:dyDescent="0.2">
      <c r="F4207" s="163"/>
      <c r="K4207"/>
    </row>
    <row r="4208" spans="6:11" x14ac:dyDescent="0.2">
      <c r="F4208" s="163"/>
      <c r="K4208"/>
    </row>
    <row r="4209" spans="6:11" x14ac:dyDescent="0.2">
      <c r="F4209" s="163"/>
      <c r="K4209"/>
    </row>
    <row r="4210" spans="6:11" x14ac:dyDescent="0.2">
      <c r="F4210" s="163"/>
      <c r="K4210"/>
    </row>
    <row r="4211" spans="6:11" x14ac:dyDescent="0.2">
      <c r="F4211" s="163"/>
      <c r="K4211"/>
    </row>
    <row r="4212" spans="6:11" x14ac:dyDescent="0.2">
      <c r="F4212" s="163"/>
      <c r="K4212"/>
    </row>
    <row r="4213" spans="6:11" x14ac:dyDescent="0.2">
      <c r="F4213" s="163"/>
      <c r="K4213"/>
    </row>
    <row r="4214" spans="6:11" x14ac:dyDescent="0.2">
      <c r="F4214" s="163"/>
      <c r="K4214"/>
    </row>
    <row r="4215" spans="6:11" x14ac:dyDescent="0.2">
      <c r="F4215" s="163"/>
      <c r="K4215"/>
    </row>
    <row r="4216" spans="6:11" x14ac:dyDescent="0.2">
      <c r="F4216" s="163"/>
      <c r="K4216"/>
    </row>
    <row r="4217" spans="6:11" x14ac:dyDescent="0.2">
      <c r="F4217" s="163"/>
      <c r="K4217"/>
    </row>
    <row r="4218" spans="6:11" x14ac:dyDescent="0.2">
      <c r="F4218" s="163"/>
      <c r="K4218"/>
    </row>
    <row r="4219" spans="6:11" x14ac:dyDescent="0.2">
      <c r="F4219" s="163"/>
      <c r="K4219"/>
    </row>
    <row r="4220" spans="6:11" x14ac:dyDescent="0.2">
      <c r="F4220" s="163"/>
      <c r="K4220"/>
    </row>
    <row r="4221" spans="6:11" x14ac:dyDescent="0.2">
      <c r="F4221" s="163"/>
      <c r="K4221"/>
    </row>
    <row r="4222" spans="6:11" x14ac:dyDescent="0.2">
      <c r="F4222" s="163"/>
      <c r="K4222"/>
    </row>
    <row r="4223" spans="6:11" x14ac:dyDescent="0.2">
      <c r="F4223" s="163"/>
      <c r="K4223"/>
    </row>
    <row r="4224" spans="6:11" x14ac:dyDescent="0.2">
      <c r="F4224" s="163"/>
      <c r="K4224"/>
    </row>
    <row r="4225" spans="6:11" x14ac:dyDescent="0.2">
      <c r="F4225" s="163"/>
      <c r="K4225"/>
    </row>
    <row r="4226" spans="6:11" x14ac:dyDescent="0.2">
      <c r="F4226" s="163"/>
      <c r="K4226"/>
    </row>
    <row r="4227" spans="6:11" x14ac:dyDescent="0.2">
      <c r="F4227" s="163"/>
      <c r="K4227"/>
    </row>
    <row r="4228" spans="6:11" x14ac:dyDescent="0.2">
      <c r="F4228" s="163"/>
      <c r="K4228"/>
    </row>
    <row r="4229" spans="6:11" x14ac:dyDescent="0.2">
      <c r="F4229" s="163"/>
      <c r="K4229"/>
    </row>
    <row r="4230" spans="6:11" x14ac:dyDescent="0.2">
      <c r="F4230" s="163"/>
      <c r="K4230"/>
    </row>
    <row r="4231" spans="6:11" x14ac:dyDescent="0.2">
      <c r="F4231" s="163"/>
      <c r="K4231"/>
    </row>
    <row r="4232" spans="6:11" x14ac:dyDescent="0.2">
      <c r="F4232" s="163"/>
      <c r="K4232"/>
    </row>
    <row r="4233" spans="6:11" x14ac:dyDescent="0.2">
      <c r="F4233" s="163"/>
      <c r="K4233"/>
    </row>
    <row r="4234" spans="6:11" x14ac:dyDescent="0.2">
      <c r="F4234" s="163"/>
      <c r="K4234"/>
    </row>
    <row r="4235" spans="6:11" x14ac:dyDescent="0.2">
      <c r="F4235" s="163"/>
      <c r="K4235"/>
    </row>
    <row r="4236" spans="6:11" x14ac:dyDescent="0.2">
      <c r="F4236" s="163"/>
      <c r="K4236"/>
    </row>
    <row r="4237" spans="6:11" x14ac:dyDescent="0.2">
      <c r="F4237" s="163"/>
      <c r="K4237"/>
    </row>
    <row r="4238" spans="6:11" x14ac:dyDescent="0.2">
      <c r="F4238" s="163"/>
      <c r="K4238"/>
    </row>
    <row r="4239" spans="6:11" x14ac:dyDescent="0.2">
      <c r="F4239" s="163"/>
      <c r="K4239"/>
    </row>
    <row r="4240" spans="6:11" x14ac:dyDescent="0.2">
      <c r="F4240" s="163"/>
      <c r="K4240"/>
    </row>
    <row r="4241" spans="6:11" x14ac:dyDescent="0.2">
      <c r="F4241" s="163"/>
      <c r="K4241"/>
    </row>
    <row r="4242" spans="6:11" x14ac:dyDescent="0.2">
      <c r="F4242" s="163"/>
      <c r="K4242"/>
    </row>
    <row r="4243" spans="6:11" x14ac:dyDescent="0.2">
      <c r="F4243" s="163"/>
      <c r="K4243"/>
    </row>
    <row r="4244" spans="6:11" x14ac:dyDescent="0.2">
      <c r="F4244" s="163"/>
      <c r="K4244"/>
    </row>
    <row r="4245" spans="6:11" x14ac:dyDescent="0.2">
      <c r="F4245" s="163"/>
      <c r="K4245"/>
    </row>
    <row r="4246" spans="6:11" x14ac:dyDescent="0.2">
      <c r="F4246" s="163"/>
      <c r="K4246"/>
    </row>
    <row r="4247" spans="6:11" x14ac:dyDescent="0.2">
      <c r="F4247" s="163"/>
      <c r="K4247"/>
    </row>
    <row r="4248" spans="6:11" x14ac:dyDescent="0.2">
      <c r="F4248" s="163"/>
      <c r="K4248"/>
    </row>
    <row r="4249" spans="6:11" x14ac:dyDescent="0.2">
      <c r="F4249" s="163"/>
      <c r="K4249"/>
    </row>
    <row r="4250" spans="6:11" x14ac:dyDescent="0.2">
      <c r="F4250" s="163"/>
      <c r="K4250"/>
    </row>
    <row r="4251" spans="6:11" x14ac:dyDescent="0.2">
      <c r="F4251" s="163"/>
      <c r="K4251"/>
    </row>
    <row r="4252" spans="6:11" x14ac:dyDescent="0.2">
      <c r="F4252" s="163"/>
      <c r="K4252"/>
    </row>
    <row r="4253" spans="6:11" x14ac:dyDescent="0.2">
      <c r="F4253" s="163"/>
      <c r="K4253"/>
    </row>
    <row r="4254" spans="6:11" x14ac:dyDescent="0.2">
      <c r="F4254" s="163"/>
      <c r="K4254"/>
    </row>
    <row r="4255" spans="6:11" x14ac:dyDescent="0.2">
      <c r="F4255" s="163"/>
      <c r="K4255"/>
    </row>
    <row r="4256" spans="6:11" x14ac:dyDescent="0.2">
      <c r="F4256" s="163"/>
      <c r="K4256"/>
    </row>
    <row r="4257" spans="6:11" x14ac:dyDescent="0.2">
      <c r="F4257" s="163"/>
      <c r="K4257"/>
    </row>
    <row r="4258" spans="6:11" x14ac:dyDescent="0.2">
      <c r="F4258" s="163"/>
      <c r="K4258"/>
    </row>
    <row r="4259" spans="6:11" x14ac:dyDescent="0.2">
      <c r="F4259" s="163"/>
      <c r="K4259"/>
    </row>
    <row r="4260" spans="6:11" x14ac:dyDescent="0.2">
      <c r="F4260" s="163"/>
      <c r="K4260"/>
    </row>
    <row r="4261" spans="6:11" x14ac:dyDescent="0.2">
      <c r="F4261" s="163"/>
      <c r="K4261"/>
    </row>
    <row r="4262" spans="6:11" x14ac:dyDescent="0.2">
      <c r="F4262" s="163"/>
      <c r="K4262"/>
    </row>
    <row r="4263" spans="6:11" x14ac:dyDescent="0.2">
      <c r="F4263" s="163"/>
      <c r="K4263"/>
    </row>
    <row r="4264" spans="6:11" x14ac:dyDescent="0.2">
      <c r="F4264" s="163"/>
      <c r="K4264"/>
    </row>
    <row r="4265" spans="6:11" x14ac:dyDescent="0.2">
      <c r="F4265" s="163"/>
      <c r="K4265"/>
    </row>
    <row r="4266" spans="6:11" x14ac:dyDescent="0.2">
      <c r="F4266" s="163"/>
      <c r="K4266"/>
    </row>
    <row r="4267" spans="6:11" x14ac:dyDescent="0.2">
      <c r="F4267" s="163"/>
      <c r="K4267"/>
    </row>
    <row r="4268" spans="6:11" x14ac:dyDescent="0.2">
      <c r="F4268" s="163"/>
      <c r="K4268"/>
    </row>
    <row r="4269" spans="6:11" x14ac:dyDescent="0.2">
      <c r="F4269" s="163"/>
      <c r="K4269"/>
    </row>
    <row r="4270" spans="6:11" x14ac:dyDescent="0.2">
      <c r="F4270" s="163"/>
      <c r="K4270"/>
    </row>
    <row r="4271" spans="6:11" x14ac:dyDescent="0.2">
      <c r="F4271" s="163"/>
      <c r="K4271"/>
    </row>
    <row r="4272" spans="6:11" x14ac:dyDescent="0.2">
      <c r="F4272" s="163"/>
      <c r="K4272"/>
    </row>
    <row r="4273" spans="6:11" x14ac:dyDescent="0.2">
      <c r="F4273" s="163"/>
      <c r="K4273"/>
    </row>
    <row r="4274" spans="6:11" x14ac:dyDescent="0.2">
      <c r="F4274" s="163"/>
      <c r="K4274"/>
    </row>
    <row r="4275" spans="6:11" x14ac:dyDescent="0.2">
      <c r="F4275" s="163"/>
      <c r="K4275"/>
    </row>
    <row r="4276" spans="6:11" x14ac:dyDescent="0.2">
      <c r="F4276" s="163"/>
      <c r="K4276"/>
    </row>
    <row r="4277" spans="6:11" x14ac:dyDescent="0.2">
      <c r="F4277" s="163"/>
      <c r="K4277"/>
    </row>
    <row r="4278" spans="6:11" x14ac:dyDescent="0.2">
      <c r="F4278" s="163"/>
      <c r="K4278"/>
    </row>
    <row r="4279" spans="6:11" x14ac:dyDescent="0.2">
      <c r="F4279" s="163"/>
      <c r="K4279"/>
    </row>
    <row r="4280" spans="6:11" x14ac:dyDescent="0.2">
      <c r="F4280" s="163"/>
      <c r="K4280"/>
    </row>
    <row r="4281" spans="6:11" x14ac:dyDescent="0.2">
      <c r="F4281" s="163"/>
      <c r="K4281"/>
    </row>
    <row r="4282" spans="6:11" x14ac:dyDescent="0.2">
      <c r="F4282" s="163"/>
      <c r="K4282"/>
    </row>
    <row r="4283" spans="6:11" x14ac:dyDescent="0.2">
      <c r="F4283" s="163"/>
      <c r="K4283"/>
    </row>
    <row r="4284" spans="6:11" x14ac:dyDescent="0.2">
      <c r="F4284" s="163"/>
      <c r="K4284"/>
    </row>
    <row r="4285" spans="6:11" x14ac:dyDescent="0.2">
      <c r="F4285" s="163"/>
      <c r="K4285"/>
    </row>
    <row r="4286" spans="6:11" x14ac:dyDescent="0.2">
      <c r="F4286" s="163"/>
      <c r="K4286"/>
    </row>
    <row r="4287" spans="6:11" x14ac:dyDescent="0.2">
      <c r="F4287" s="163"/>
      <c r="K4287"/>
    </row>
    <row r="4288" spans="6:11" x14ac:dyDescent="0.2">
      <c r="F4288" s="163"/>
      <c r="K4288"/>
    </row>
    <row r="4289" spans="6:11" x14ac:dyDescent="0.2">
      <c r="F4289" s="163"/>
      <c r="K4289"/>
    </row>
    <row r="4290" spans="6:11" x14ac:dyDescent="0.2">
      <c r="F4290" s="163"/>
      <c r="K4290"/>
    </row>
    <row r="4291" spans="6:11" x14ac:dyDescent="0.2">
      <c r="F4291" s="163"/>
      <c r="K4291"/>
    </row>
    <row r="4292" spans="6:11" x14ac:dyDescent="0.2">
      <c r="F4292" s="163"/>
      <c r="K4292"/>
    </row>
    <row r="4293" spans="6:11" x14ac:dyDescent="0.2">
      <c r="F4293" s="163"/>
      <c r="K4293"/>
    </row>
    <row r="4294" spans="6:11" x14ac:dyDescent="0.2">
      <c r="F4294" s="163"/>
      <c r="K4294"/>
    </row>
    <row r="4295" spans="6:11" x14ac:dyDescent="0.2">
      <c r="F4295" s="163"/>
      <c r="K4295"/>
    </row>
    <row r="4296" spans="6:11" x14ac:dyDescent="0.2">
      <c r="F4296" s="163"/>
      <c r="K4296"/>
    </row>
    <row r="4297" spans="6:11" x14ac:dyDescent="0.2">
      <c r="F4297" s="163"/>
      <c r="K4297"/>
    </row>
    <row r="4298" spans="6:11" x14ac:dyDescent="0.2">
      <c r="F4298" s="163"/>
      <c r="K4298"/>
    </row>
    <row r="4299" spans="6:11" x14ac:dyDescent="0.2">
      <c r="F4299" s="163"/>
      <c r="K4299"/>
    </row>
    <row r="4300" spans="6:11" x14ac:dyDescent="0.2">
      <c r="F4300" s="163"/>
      <c r="K4300"/>
    </row>
    <row r="4301" spans="6:11" x14ac:dyDescent="0.2">
      <c r="F4301" s="163"/>
      <c r="K4301"/>
    </row>
    <row r="4302" spans="6:11" x14ac:dyDescent="0.2">
      <c r="F4302" s="163"/>
      <c r="K4302"/>
    </row>
    <row r="4303" spans="6:11" x14ac:dyDescent="0.2">
      <c r="F4303" s="163"/>
      <c r="K4303"/>
    </row>
    <row r="4304" spans="6:11" x14ac:dyDescent="0.2">
      <c r="F4304" s="163"/>
      <c r="K4304"/>
    </row>
    <row r="4305" spans="6:11" x14ac:dyDescent="0.2">
      <c r="F4305" s="163"/>
      <c r="K4305"/>
    </row>
    <row r="4306" spans="6:11" x14ac:dyDescent="0.2">
      <c r="F4306" s="163"/>
      <c r="K4306"/>
    </row>
    <row r="4307" spans="6:11" x14ac:dyDescent="0.2">
      <c r="F4307" s="163"/>
      <c r="K4307"/>
    </row>
    <row r="4308" spans="6:11" x14ac:dyDescent="0.2">
      <c r="F4308" s="163"/>
      <c r="K4308"/>
    </row>
    <row r="4309" spans="6:11" x14ac:dyDescent="0.2">
      <c r="F4309" s="163"/>
      <c r="K4309"/>
    </row>
    <row r="4310" spans="6:11" x14ac:dyDescent="0.2">
      <c r="F4310" s="163"/>
      <c r="K4310"/>
    </row>
    <row r="4311" spans="6:11" x14ac:dyDescent="0.2">
      <c r="F4311" s="163"/>
      <c r="K4311"/>
    </row>
    <row r="4312" spans="6:11" x14ac:dyDescent="0.2">
      <c r="F4312" s="163"/>
      <c r="K4312"/>
    </row>
    <row r="4313" spans="6:11" x14ac:dyDescent="0.2">
      <c r="F4313" s="163"/>
      <c r="K4313"/>
    </row>
    <row r="4314" spans="6:11" x14ac:dyDescent="0.2">
      <c r="F4314" s="163"/>
      <c r="K4314"/>
    </row>
    <row r="4315" spans="6:11" x14ac:dyDescent="0.2">
      <c r="F4315" s="163"/>
      <c r="K4315"/>
    </row>
    <row r="4316" spans="6:11" x14ac:dyDescent="0.2">
      <c r="F4316" s="163"/>
      <c r="K4316"/>
    </row>
    <row r="4317" spans="6:11" x14ac:dyDescent="0.2">
      <c r="F4317" s="163"/>
      <c r="K4317"/>
    </row>
    <row r="4318" spans="6:11" x14ac:dyDescent="0.2">
      <c r="F4318" s="163"/>
      <c r="K4318"/>
    </row>
    <row r="4319" spans="6:11" x14ac:dyDescent="0.2">
      <c r="F4319" s="163"/>
      <c r="K4319"/>
    </row>
    <row r="4320" spans="6:11" x14ac:dyDescent="0.2">
      <c r="F4320" s="163"/>
      <c r="K4320"/>
    </row>
    <row r="4321" spans="6:11" x14ac:dyDescent="0.2">
      <c r="F4321" s="163"/>
      <c r="K4321"/>
    </row>
    <row r="4322" spans="6:11" x14ac:dyDescent="0.2">
      <c r="F4322" s="163"/>
      <c r="K4322"/>
    </row>
    <row r="4323" spans="6:11" x14ac:dyDescent="0.2">
      <c r="F4323" s="163"/>
      <c r="K4323"/>
    </row>
    <row r="4324" spans="6:11" x14ac:dyDescent="0.2">
      <c r="F4324" s="163"/>
      <c r="K4324"/>
    </row>
    <row r="4325" spans="6:11" x14ac:dyDescent="0.2">
      <c r="F4325" s="163"/>
      <c r="K4325"/>
    </row>
    <row r="4326" spans="6:11" x14ac:dyDescent="0.2">
      <c r="F4326" s="163"/>
      <c r="K4326"/>
    </row>
    <row r="4327" spans="6:11" x14ac:dyDescent="0.2">
      <c r="F4327" s="163"/>
      <c r="K4327"/>
    </row>
    <row r="4328" spans="6:11" x14ac:dyDescent="0.2">
      <c r="F4328" s="163"/>
      <c r="K4328"/>
    </row>
    <row r="4329" spans="6:11" x14ac:dyDescent="0.2">
      <c r="F4329" s="163"/>
      <c r="K4329"/>
    </row>
    <row r="4330" spans="6:11" x14ac:dyDescent="0.2">
      <c r="F4330" s="163"/>
      <c r="K4330"/>
    </row>
    <row r="4331" spans="6:11" x14ac:dyDescent="0.2">
      <c r="F4331" s="163"/>
      <c r="K4331"/>
    </row>
    <row r="4332" spans="6:11" x14ac:dyDescent="0.2">
      <c r="F4332" s="163"/>
      <c r="K4332"/>
    </row>
    <row r="4333" spans="6:11" x14ac:dyDescent="0.2">
      <c r="F4333" s="163"/>
      <c r="K4333"/>
    </row>
    <row r="4334" spans="6:11" x14ac:dyDescent="0.2">
      <c r="F4334" s="163"/>
      <c r="K4334"/>
    </row>
    <row r="4335" spans="6:11" x14ac:dyDescent="0.2">
      <c r="F4335" s="163"/>
      <c r="K4335"/>
    </row>
    <row r="4336" spans="6:11" x14ac:dyDescent="0.2">
      <c r="F4336" s="163"/>
      <c r="K4336"/>
    </row>
    <row r="4337" spans="6:11" x14ac:dyDescent="0.2">
      <c r="F4337" s="163"/>
      <c r="K4337"/>
    </row>
    <row r="4338" spans="6:11" x14ac:dyDescent="0.2">
      <c r="F4338" s="163"/>
      <c r="K4338"/>
    </row>
    <row r="4339" spans="6:11" x14ac:dyDescent="0.2">
      <c r="F4339" s="163"/>
      <c r="K4339"/>
    </row>
    <row r="4340" spans="6:11" x14ac:dyDescent="0.2">
      <c r="F4340" s="163"/>
      <c r="K4340"/>
    </row>
    <row r="4341" spans="6:11" x14ac:dyDescent="0.2">
      <c r="F4341" s="163"/>
      <c r="K4341"/>
    </row>
    <row r="4342" spans="6:11" x14ac:dyDescent="0.2">
      <c r="F4342" s="163"/>
      <c r="K4342"/>
    </row>
    <row r="4343" spans="6:11" x14ac:dyDescent="0.2">
      <c r="F4343" s="163"/>
      <c r="K4343"/>
    </row>
    <row r="4344" spans="6:11" x14ac:dyDescent="0.2">
      <c r="F4344" s="163"/>
      <c r="K4344"/>
    </row>
    <row r="4345" spans="6:11" x14ac:dyDescent="0.2">
      <c r="F4345" s="163"/>
      <c r="K4345"/>
    </row>
    <row r="4346" spans="6:11" x14ac:dyDescent="0.2">
      <c r="F4346" s="163"/>
      <c r="K4346"/>
    </row>
    <row r="4347" spans="6:11" x14ac:dyDescent="0.2">
      <c r="F4347" s="163"/>
      <c r="K4347"/>
    </row>
    <row r="4348" spans="6:11" x14ac:dyDescent="0.2">
      <c r="F4348" s="163"/>
      <c r="K4348"/>
    </row>
    <row r="4349" spans="6:11" x14ac:dyDescent="0.2">
      <c r="F4349" s="163"/>
      <c r="K4349"/>
    </row>
    <row r="4350" spans="6:11" x14ac:dyDescent="0.2">
      <c r="F4350" s="163"/>
      <c r="K4350"/>
    </row>
    <row r="4351" spans="6:11" x14ac:dyDescent="0.2">
      <c r="F4351" s="163"/>
      <c r="K4351"/>
    </row>
    <row r="4352" spans="6:11" x14ac:dyDescent="0.2">
      <c r="F4352" s="163"/>
      <c r="K4352"/>
    </row>
    <row r="4353" spans="6:11" x14ac:dyDescent="0.2">
      <c r="F4353" s="163"/>
      <c r="K4353"/>
    </row>
    <row r="4354" spans="6:11" x14ac:dyDescent="0.2">
      <c r="F4354" s="163"/>
      <c r="K4354"/>
    </row>
    <row r="4355" spans="6:11" x14ac:dyDescent="0.2">
      <c r="F4355" s="163"/>
      <c r="K4355"/>
    </row>
    <row r="4356" spans="6:11" x14ac:dyDescent="0.2">
      <c r="F4356" s="163"/>
      <c r="K4356"/>
    </row>
    <row r="4357" spans="6:11" x14ac:dyDescent="0.2">
      <c r="F4357" s="163"/>
      <c r="K4357"/>
    </row>
    <row r="4358" spans="6:11" x14ac:dyDescent="0.2">
      <c r="F4358" s="163"/>
      <c r="K4358"/>
    </row>
    <row r="4359" spans="6:11" x14ac:dyDescent="0.2">
      <c r="F4359" s="163"/>
      <c r="K4359"/>
    </row>
    <row r="4360" spans="6:11" x14ac:dyDescent="0.2">
      <c r="F4360" s="163"/>
      <c r="K4360"/>
    </row>
    <row r="4361" spans="6:11" x14ac:dyDescent="0.2">
      <c r="F4361" s="163"/>
      <c r="K4361"/>
    </row>
    <row r="4362" spans="6:11" x14ac:dyDescent="0.2">
      <c r="F4362" s="163"/>
      <c r="K4362"/>
    </row>
    <row r="4363" spans="6:11" x14ac:dyDescent="0.2">
      <c r="F4363" s="163"/>
      <c r="K4363"/>
    </row>
    <row r="4364" spans="6:11" x14ac:dyDescent="0.2">
      <c r="F4364" s="163"/>
      <c r="K4364"/>
    </row>
    <row r="4365" spans="6:11" x14ac:dyDescent="0.2">
      <c r="F4365" s="163"/>
      <c r="K4365"/>
    </row>
    <row r="4366" spans="6:11" x14ac:dyDescent="0.2">
      <c r="F4366" s="163"/>
      <c r="K4366"/>
    </row>
    <row r="4367" spans="6:11" x14ac:dyDescent="0.2">
      <c r="F4367" s="163"/>
      <c r="K4367"/>
    </row>
    <row r="4368" spans="6:11" x14ac:dyDescent="0.2">
      <c r="F4368" s="163"/>
      <c r="K4368"/>
    </row>
    <row r="4369" spans="6:11" x14ac:dyDescent="0.2">
      <c r="F4369" s="163"/>
      <c r="K4369"/>
    </row>
    <row r="4370" spans="6:11" x14ac:dyDescent="0.2">
      <c r="F4370" s="163"/>
      <c r="K4370"/>
    </row>
    <row r="4371" spans="6:11" x14ac:dyDescent="0.2">
      <c r="F4371" s="163"/>
      <c r="K4371"/>
    </row>
    <row r="4372" spans="6:11" x14ac:dyDescent="0.2">
      <c r="F4372" s="163"/>
      <c r="K4372"/>
    </row>
    <row r="4373" spans="6:11" x14ac:dyDescent="0.2">
      <c r="F4373" s="163"/>
      <c r="K4373"/>
    </row>
    <row r="4374" spans="6:11" x14ac:dyDescent="0.2">
      <c r="F4374" s="163"/>
      <c r="K4374"/>
    </row>
    <row r="4375" spans="6:11" x14ac:dyDescent="0.2">
      <c r="F4375" s="163"/>
      <c r="K4375"/>
    </row>
    <row r="4376" spans="6:11" x14ac:dyDescent="0.2">
      <c r="F4376" s="163"/>
      <c r="K4376"/>
    </row>
    <row r="4377" spans="6:11" x14ac:dyDescent="0.2">
      <c r="F4377" s="163"/>
      <c r="K4377"/>
    </row>
    <row r="4378" spans="6:11" x14ac:dyDescent="0.2">
      <c r="F4378" s="163"/>
      <c r="K4378"/>
    </row>
    <row r="4379" spans="6:11" x14ac:dyDescent="0.2">
      <c r="F4379" s="163"/>
      <c r="K4379"/>
    </row>
    <row r="4380" spans="6:11" x14ac:dyDescent="0.2">
      <c r="F4380" s="163"/>
      <c r="K4380"/>
    </row>
    <row r="4381" spans="6:11" x14ac:dyDescent="0.2">
      <c r="F4381" s="163"/>
      <c r="K4381"/>
    </row>
    <row r="4382" spans="6:11" x14ac:dyDescent="0.2">
      <c r="F4382" s="163"/>
      <c r="K4382"/>
    </row>
    <row r="4383" spans="6:11" x14ac:dyDescent="0.2">
      <c r="F4383" s="163"/>
      <c r="K4383"/>
    </row>
    <row r="4384" spans="6:11" x14ac:dyDescent="0.2">
      <c r="F4384" s="163"/>
      <c r="K4384"/>
    </row>
    <row r="4385" spans="6:11" x14ac:dyDescent="0.2">
      <c r="F4385" s="163"/>
      <c r="K4385"/>
    </row>
    <row r="4386" spans="6:11" x14ac:dyDescent="0.2">
      <c r="F4386" s="163"/>
      <c r="K4386"/>
    </row>
    <row r="4387" spans="6:11" x14ac:dyDescent="0.2">
      <c r="F4387" s="163"/>
      <c r="K4387"/>
    </row>
    <row r="4388" spans="6:11" x14ac:dyDescent="0.2">
      <c r="F4388" s="163"/>
      <c r="K4388"/>
    </row>
    <row r="4389" spans="6:11" x14ac:dyDescent="0.2">
      <c r="F4389" s="163"/>
      <c r="K4389"/>
    </row>
    <row r="4390" spans="6:11" x14ac:dyDescent="0.2">
      <c r="F4390" s="163"/>
      <c r="K4390"/>
    </row>
    <row r="4391" spans="6:11" x14ac:dyDescent="0.2">
      <c r="F4391" s="163"/>
      <c r="K4391"/>
    </row>
    <row r="4392" spans="6:11" x14ac:dyDescent="0.2">
      <c r="F4392" s="163"/>
      <c r="K4392"/>
    </row>
    <row r="4393" spans="6:11" x14ac:dyDescent="0.2">
      <c r="F4393" s="163"/>
      <c r="K4393"/>
    </row>
    <row r="4394" spans="6:11" x14ac:dyDescent="0.2">
      <c r="F4394" s="163"/>
      <c r="K4394"/>
    </row>
    <row r="4395" spans="6:11" x14ac:dyDescent="0.2">
      <c r="F4395" s="163"/>
      <c r="K4395"/>
    </row>
    <row r="4396" spans="6:11" x14ac:dyDescent="0.2">
      <c r="F4396" s="163"/>
      <c r="K4396"/>
    </row>
    <row r="4397" spans="6:11" x14ac:dyDescent="0.2">
      <c r="F4397" s="163"/>
      <c r="K4397"/>
    </row>
    <row r="4398" spans="6:11" x14ac:dyDescent="0.2">
      <c r="F4398" s="163"/>
      <c r="K4398"/>
    </row>
    <row r="4399" spans="6:11" x14ac:dyDescent="0.2">
      <c r="F4399" s="163"/>
      <c r="K4399"/>
    </row>
    <row r="4400" spans="6:11" x14ac:dyDescent="0.2">
      <c r="F4400" s="163"/>
      <c r="K4400"/>
    </row>
    <row r="4401" spans="6:11" x14ac:dyDescent="0.2">
      <c r="F4401" s="163"/>
      <c r="K4401"/>
    </row>
    <row r="4402" spans="6:11" x14ac:dyDescent="0.2">
      <c r="F4402" s="163"/>
      <c r="K4402"/>
    </row>
    <row r="4403" spans="6:11" x14ac:dyDescent="0.2">
      <c r="F4403" s="163"/>
      <c r="K4403"/>
    </row>
    <row r="4404" spans="6:11" x14ac:dyDescent="0.2">
      <c r="F4404" s="163"/>
      <c r="K4404"/>
    </row>
    <row r="4405" spans="6:11" x14ac:dyDescent="0.2">
      <c r="F4405" s="163"/>
      <c r="K4405"/>
    </row>
    <row r="4406" spans="6:11" x14ac:dyDescent="0.2">
      <c r="F4406" s="163"/>
      <c r="K4406"/>
    </row>
    <row r="4407" spans="6:11" x14ac:dyDescent="0.2">
      <c r="F4407" s="163"/>
      <c r="K4407"/>
    </row>
    <row r="4408" spans="6:11" x14ac:dyDescent="0.2">
      <c r="F4408" s="163"/>
      <c r="K4408"/>
    </row>
    <row r="4409" spans="6:11" x14ac:dyDescent="0.2">
      <c r="F4409" s="163"/>
      <c r="K4409"/>
    </row>
    <row r="4410" spans="6:11" x14ac:dyDescent="0.2">
      <c r="F4410" s="163"/>
      <c r="K4410"/>
    </row>
    <row r="4411" spans="6:11" x14ac:dyDescent="0.2">
      <c r="F4411" s="163"/>
      <c r="K4411"/>
    </row>
    <row r="4412" spans="6:11" x14ac:dyDescent="0.2">
      <c r="F4412" s="163"/>
      <c r="K4412"/>
    </row>
    <row r="4413" spans="6:11" x14ac:dyDescent="0.2">
      <c r="F4413" s="163"/>
      <c r="K4413"/>
    </row>
    <row r="4414" spans="6:11" x14ac:dyDescent="0.2">
      <c r="F4414" s="163"/>
      <c r="K4414"/>
    </row>
    <row r="4415" spans="6:11" x14ac:dyDescent="0.2">
      <c r="F4415" s="163"/>
      <c r="K4415"/>
    </row>
    <row r="4416" spans="6:11" x14ac:dyDescent="0.2">
      <c r="F4416" s="163"/>
      <c r="K4416"/>
    </row>
    <row r="4417" spans="6:11" x14ac:dyDescent="0.2">
      <c r="F4417" s="163"/>
      <c r="K4417"/>
    </row>
    <row r="4418" spans="6:11" x14ac:dyDescent="0.2">
      <c r="F4418" s="163"/>
      <c r="K4418"/>
    </row>
    <row r="4419" spans="6:11" x14ac:dyDescent="0.2">
      <c r="F4419" s="163"/>
      <c r="K4419"/>
    </row>
    <row r="4420" spans="6:11" x14ac:dyDescent="0.2">
      <c r="F4420" s="163"/>
      <c r="K4420"/>
    </row>
    <row r="4421" spans="6:11" x14ac:dyDescent="0.2">
      <c r="F4421" s="163"/>
      <c r="K4421"/>
    </row>
    <row r="4422" spans="6:11" x14ac:dyDescent="0.2">
      <c r="F4422" s="163"/>
      <c r="K4422"/>
    </row>
    <row r="4423" spans="6:11" x14ac:dyDescent="0.2">
      <c r="F4423" s="163"/>
      <c r="K4423"/>
    </row>
    <row r="4424" spans="6:11" x14ac:dyDescent="0.2">
      <c r="F4424" s="163"/>
      <c r="K4424"/>
    </row>
    <row r="4425" spans="6:11" x14ac:dyDescent="0.2">
      <c r="F4425" s="163"/>
      <c r="K4425"/>
    </row>
    <row r="4426" spans="6:11" x14ac:dyDescent="0.2">
      <c r="F4426" s="163"/>
      <c r="K4426"/>
    </row>
    <row r="4427" spans="6:11" x14ac:dyDescent="0.2">
      <c r="F4427" s="163"/>
      <c r="K4427"/>
    </row>
    <row r="4428" spans="6:11" x14ac:dyDescent="0.2">
      <c r="F4428" s="163"/>
      <c r="K4428"/>
    </row>
    <row r="4429" spans="6:11" x14ac:dyDescent="0.2">
      <c r="F4429" s="163"/>
      <c r="K4429"/>
    </row>
    <row r="4430" spans="6:11" x14ac:dyDescent="0.2">
      <c r="F4430" s="163"/>
      <c r="K4430"/>
    </row>
    <row r="4431" spans="6:11" x14ac:dyDescent="0.2">
      <c r="F4431" s="163"/>
      <c r="K4431"/>
    </row>
    <row r="4432" spans="6:11" x14ac:dyDescent="0.2">
      <c r="F4432" s="163"/>
      <c r="K4432"/>
    </row>
    <row r="4433" spans="6:11" x14ac:dyDescent="0.2">
      <c r="F4433" s="163"/>
      <c r="K4433"/>
    </row>
    <row r="4434" spans="6:11" x14ac:dyDescent="0.2">
      <c r="F4434" s="163"/>
      <c r="K4434"/>
    </row>
    <row r="4435" spans="6:11" x14ac:dyDescent="0.2">
      <c r="F4435" s="163"/>
      <c r="K4435"/>
    </row>
    <row r="4436" spans="6:11" x14ac:dyDescent="0.2">
      <c r="F4436" s="163"/>
      <c r="K4436"/>
    </row>
    <row r="4437" spans="6:11" x14ac:dyDescent="0.2">
      <c r="F4437" s="163"/>
      <c r="K4437"/>
    </row>
    <row r="4438" spans="6:11" x14ac:dyDescent="0.2">
      <c r="F4438" s="163"/>
      <c r="K4438"/>
    </row>
    <row r="4439" spans="6:11" x14ac:dyDescent="0.2">
      <c r="F4439" s="163"/>
      <c r="K4439"/>
    </row>
    <row r="4440" spans="6:11" x14ac:dyDescent="0.2">
      <c r="F4440" s="163"/>
      <c r="K4440"/>
    </row>
    <row r="4441" spans="6:11" x14ac:dyDescent="0.2">
      <c r="F4441" s="163"/>
      <c r="K4441"/>
    </row>
    <row r="4442" spans="6:11" x14ac:dyDescent="0.2">
      <c r="F4442" s="163"/>
      <c r="K4442"/>
    </row>
    <row r="4443" spans="6:11" x14ac:dyDescent="0.2">
      <c r="F4443" s="163"/>
      <c r="K4443"/>
    </row>
    <row r="4444" spans="6:11" x14ac:dyDescent="0.2">
      <c r="F4444" s="163"/>
      <c r="K4444"/>
    </row>
    <row r="4445" spans="6:11" x14ac:dyDescent="0.2">
      <c r="F4445" s="163"/>
      <c r="K4445"/>
    </row>
    <row r="4446" spans="6:11" x14ac:dyDescent="0.2">
      <c r="F4446" s="163"/>
      <c r="K4446"/>
    </row>
    <row r="4447" spans="6:11" x14ac:dyDescent="0.2">
      <c r="F4447" s="163"/>
      <c r="K4447"/>
    </row>
    <row r="4448" spans="6:11" x14ac:dyDescent="0.2">
      <c r="F4448" s="163"/>
      <c r="K4448"/>
    </row>
    <row r="4449" spans="6:11" x14ac:dyDescent="0.2">
      <c r="F4449" s="163"/>
      <c r="K4449"/>
    </row>
    <row r="4450" spans="6:11" x14ac:dyDescent="0.2">
      <c r="F4450" s="163"/>
      <c r="K4450"/>
    </row>
    <row r="4451" spans="6:11" x14ac:dyDescent="0.2">
      <c r="F4451" s="163"/>
      <c r="K4451"/>
    </row>
    <row r="4452" spans="6:11" x14ac:dyDescent="0.2">
      <c r="F4452" s="163"/>
      <c r="K4452"/>
    </row>
    <row r="4453" spans="6:11" x14ac:dyDescent="0.2">
      <c r="F4453" s="163"/>
      <c r="K4453"/>
    </row>
    <row r="4454" spans="6:11" x14ac:dyDescent="0.2">
      <c r="F4454" s="163"/>
      <c r="K4454"/>
    </row>
    <row r="4455" spans="6:11" x14ac:dyDescent="0.2">
      <c r="F4455" s="163"/>
      <c r="K4455"/>
    </row>
    <row r="4456" spans="6:11" x14ac:dyDescent="0.2">
      <c r="F4456" s="163"/>
      <c r="K4456"/>
    </row>
    <row r="4457" spans="6:11" x14ac:dyDescent="0.2">
      <c r="F4457" s="163"/>
      <c r="K4457"/>
    </row>
    <row r="4458" spans="6:11" x14ac:dyDescent="0.2">
      <c r="F4458" s="163"/>
      <c r="K4458"/>
    </row>
    <row r="4459" spans="6:11" x14ac:dyDescent="0.2">
      <c r="F4459" s="163"/>
      <c r="K4459"/>
    </row>
    <row r="4460" spans="6:11" x14ac:dyDescent="0.2">
      <c r="F4460" s="163"/>
      <c r="K4460"/>
    </row>
    <row r="4461" spans="6:11" x14ac:dyDescent="0.2">
      <c r="F4461" s="163"/>
      <c r="K4461"/>
    </row>
    <row r="4462" spans="6:11" x14ac:dyDescent="0.2">
      <c r="F4462" s="163"/>
      <c r="K4462"/>
    </row>
    <row r="4463" spans="6:11" x14ac:dyDescent="0.2">
      <c r="F4463" s="163"/>
      <c r="K4463"/>
    </row>
    <row r="4464" spans="6:11" x14ac:dyDescent="0.2">
      <c r="F4464" s="163"/>
      <c r="K4464"/>
    </row>
    <row r="4465" spans="6:11" x14ac:dyDescent="0.2">
      <c r="F4465" s="163"/>
      <c r="K4465"/>
    </row>
    <row r="4466" spans="6:11" x14ac:dyDescent="0.2">
      <c r="F4466" s="163"/>
      <c r="K4466"/>
    </row>
    <row r="4467" spans="6:11" x14ac:dyDescent="0.2">
      <c r="F4467" s="163"/>
      <c r="K4467"/>
    </row>
    <row r="4468" spans="6:11" x14ac:dyDescent="0.2">
      <c r="F4468" s="163"/>
      <c r="K4468"/>
    </row>
    <row r="4469" spans="6:11" x14ac:dyDescent="0.2">
      <c r="F4469" s="163"/>
      <c r="K4469"/>
    </row>
    <row r="4470" spans="6:11" x14ac:dyDescent="0.2">
      <c r="F4470" s="163"/>
      <c r="K4470"/>
    </row>
    <row r="4471" spans="6:11" x14ac:dyDescent="0.2">
      <c r="F4471" s="163"/>
      <c r="K4471"/>
    </row>
    <row r="4472" spans="6:11" x14ac:dyDescent="0.2">
      <c r="F4472" s="163"/>
      <c r="K4472"/>
    </row>
    <row r="4473" spans="6:11" x14ac:dyDescent="0.2">
      <c r="F4473" s="163"/>
      <c r="K4473"/>
    </row>
    <row r="4474" spans="6:11" x14ac:dyDescent="0.2">
      <c r="F4474" s="163"/>
      <c r="K4474"/>
    </row>
    <row r="4475" spans="6:11" x14ac:dyDescent="0.2">
      <c r="F4475" s="163"/>
      <c r="K4475"/>
    </row>
    <row r="4476" spans="6:11" x14ac:dyDescent="0.2">
      <c r="F4476" s="163"/>
      <c r="K4476"/>
    </row>
    <row r="4477" spans="6:11" x14ac:dyDescent="0.2">
      <c r="F4477" s="163"/>
      <c r="K4477"/>
    </row>
    <row r="4478" spans="6:11" x14ac:dyDescent="0.2">
      <c r="F4478" s="163"/>
      <c r="K4478"/>
    </row>
    <row r="4479" spans="6:11" x14ac:dyDescent="0.2">
      <c r="F4479" s="163"/>
      <c r="K4479"/>
    </row>
    <row r="4480" spans="6:11" x14ac:dyDescent="0.2">
      <c r="F4480" s="163"/>
      <c r="K4480"/>
    </row>
    <row r="4481" spans="6:11" x14ac:dyDescent="0.2">
      <c r="F4481" s="163"/>
      <c r="K4481"/>
    </row>
    <row r="4482" spans="6:11" x14ac:dyDescent="0.2">
      <c r="F4482" s="163"/>
      <c r="K4482"/>
    </row>
    <row r="4483" spans="6:11" x14ac:dyDescent="0.2">
      <c r="F4483" s="163"/>
      <c r="K4483"/>
    </row>
    <row r="4484" spans="6:11" x14ac:dyDescent="0.2">
      <c r="F4484" s="163"/>
      <c r="K4484"/>
    </row>
    <row r="4485" spans="6:11" x14ac:dyDescent="0.2">
      <c r="F4485" s="163"/>
      <c r="K4485"/>
    </row>
    <row r="4486" spans="6:11" x14ac:dyDescent="0.2">
      <c r="F4486" s="163"/>
      <c r="K4486"/>
    </row>
    <row r="4487" spans="6:11" x14ac:dyDescent="0.2">
      <c r="F4487" s="163"/>
      <c r="K4487"/>
    </row>
    <row r="4488" spans="6:11" x14ac:dyDescent="0.2">
      <c r="F4488" s="163"/>
      <c r="K4488"/>
    </row>
    <row r="4489" spans="6:11" x14ac:dyDescent="0.2">
      <c r="F4489" s="163"/>
      <c r="K4489"/>
    </row>
    <row r="4490" spans="6:11" x14ac:dyDescent="0.2">
      <c r="F4490" s="163"/>
      <c r="K4490"/>
    </row>
    <row r="4491" spans="6:11" x14ac:dyDescent="0.2">
      <c r="F4491" s="163"/>
      <c r="K4491"/>
    </row>
    <row r="4492" spans="6:11" x14ac:dyDescent="0.2">
      <c r="F4492" s="163"/>
      <c r="K4492"/>
    </row>
    <row r="4493" spans="6:11" x14ac:dyDescent="0.2">
      <c r="F4493" s="163"/>
      <c r="K4493"/>
    </row>
    <row r="4494" spans="6:11" x14ac:dyDescent="0.2">
      <c r="F4494" s="163"/>
      <c r="K4494"/>
    </row>
    <row r="4495" spans="6:11" x14ac:dyDescent="0.2">
      <c r="F4495" s="163"/>
      <c r="K4495"/>
    </row>
    <row r="4496" spans="6:11" x14ac:dyDescent="0.2">
      <c r="F4496" s="163"/>
      <c r="K4496"/>
    </row>
    <row r="4497" spans="6:11" x14ac:dyDescent="0.2">
      <c r="F4497" s="163"/>
      <c r="K4497"/>
    </row>
    <row r="4498" spans="6:11" x14ac:dyDescent="0.2">
      <c r="F4498" s="163"/>
      <c r="K4498"/>
    </row>
    <row r="4499" spans="6:11" x14ac:dyDescent="0.2">
      <c r="F4499" s="163"/>
      <c r="K4499"/>
    </row>
    <row r="4500" spans="6:11" x14ac:dyDescent="0.2">
      <c r="F4500" s="163"/>
      <c r="K4500"/>
    </row>
    <row r="4501" spans="6:11" x14ac:dyDescent="0.2">
      <c r="F4501" s="163"/>
      <c r="K4501"/>
    </row>
    <row r="4502" spans="6:11" x14ac:dyDescent="0.2">
      <c r="F4502" s="163"/>
      <c r="K4502"/>
    </row>
    <row r="4503" spans="6:11" x14ac:dyDescent="0.2">
      <c r="F4503" s="163"/>
      <c r="K4503"/>
    </row>
    <row r="4504" spans="6:11" x14ac:dyDescent="0.2">
      <c r="F4504" s="163"/>
      <c r="K4504"/>
    </row>
    <row r="4505" spans="6:11" x14ac:dyDescent="0.2">
      <c r="F4505" s="163"/>
      <c r="K4505"/>
    </row>
    <row r="4506" spans="6:11" x14ac:dyDescent="0.2">
      <c r="F4506" s="163"/>
      <c r="K4506"/>
    </row>
    <row r="4507" spans="6:11" x14ac:dyDescent="0.2">
      <c r="F4507" s="163"/>
      <c r="K4507"/>
    </row>
    <row r="4508" spans="6:11" x14ac:dyDescent="0.2">
      <c r="F4508" s="163"/>
      <c r="K4508"/>
    </row>
    <row r="4509" spans="6:11" x14ac:dyDescent="0.2">
      <c r="F4509" s="163"/>
      <c r="K4509"/>
    </row>
    <row r="4510" spans="6:11" x14ac:dyDescent="0.2">
      <c r="F4510" s="163"/>
      <c r="K4510"/>
    </row>
    <row r="4511" spans="6:11" x14ac:dyDescent="0.2">
      <c r="F4511" s="163"/>
      <c r="K4511"/>
    </row>
    <row r="4512" spans="6:11" x14ac:dyDescent="0.2">
      <c r="F4512" s="163"/>
      <c r="K4512"/>
    </row>
    <row r="4513" spans="6:11" x14ac:dyDescent="0.2">
      <c r="F4513" s="163"/>
      <c r="K4513"/>
    </row>
    <row r="4514" spans="6:11" x14ac:dyDescent="0.2">
      <c r="F4514" s="163"/>
      <c r="K4514"/>
    </row>
    <row r="4515" spans="6:11" x14ac:dyDescent="0.2">
      <c r="F4515" s="163"/>
      <c r="K4515"/>
    </row>
    <row r="4516" spans="6:11" x14ac:dyDescent="0.2">
      <c r="F4516" s="163"/>
      <c r="K4516"/>
    </row>
    <row r="4517" spans="6:11" x14ac:dyDescent="0.2">
      <c r="F4517" s="163"/>
      <c r="K4517"/>
    </row>
    <row r="4518" spans="6:11" x14ac:dyDescent="0.2">
      <c r="F4518" s="163"/>
      <c r="K4518"/>
    </row>
    <row r="4519" spans="6:11" x14ac:dyDescent="0.2">
      <c r="F4519" s="163"/>
      <c r="K4519"/>
    </row>
    <row r="4520" spans="6:11" x14ac:dyDescent="0.2">
      <c r="F4520" s="163"/>
      <c r="K4520"/>
    </row>
    <row r="4521" spans="6:11" x14ac:dyDescent="0.2">
      <c r="F4521" s="163"/>
      <c r="K4521"/>
    </row>
    <row r="4522" spans="6:11" x14ac:dyDescent="0.2">
      <c r="F4522" s="163"/>
      <c r="K4522"/>
    </row>
    <row r="4523" spans="6:11" x14ac:dyDescent="0.2">
      <c r="F4523" s="163"/>
      <c r="K4523"/>
    </row>
    <row r="4524" spans="6:11" x14ac:dyDescent="0.2">
      <c r="F4524" s="163"/>
      <c r="K4524"/>
    </row>
    <row r="4525" spans="6:11" x14ac:dyDescent="0.2">
      <c r="F4525" s="163"/>
      <c r="K4525"/>
    </row>
    <row r="4526" spans="6:11" x14ac:dyDescent="0.2">
      <c r="F4526" s="163"/>
      <c r="K4526"/>
    </row>
    <row r="4527" spans="6:11" x14ac:dyDescent="0.2">
      <c r="F4527" s="163"/>
      <c r="K4527"/>
    </row>
    <row r="4528" spans="6:11" x14ac:dyDescent="0.2">
      <c r="F4528" s="163"/>
      <c r="K4528"/>
    </row>
    <row r="4529" spans="6:11" x14ac:dyDescent="0.2">
      <c r="F4529" s="163"/>
      <c r="K4529"/>
    </row>
    <row r="4530" spans="6:11" x14ac:dyDescent="0.2">
      <c r="F4530" s="163"/>
      <c r="K4530"/>
    </row>
    <row r="4531" spans="6:11" x14ac:dyDescent="0.2">
      <c r="F4531" s="163"/>
      <c r="K4531"/>
    </row>
    <row r="4532" spans="6:11" x14ac:dyDescent="0.2">
      <c r="F4532" s="163"/>
      <c r="K4532"/>
    </row>
    <row r="4533" spans="6:11" x14ac:dyDescent="0.2">
      <c r="F4533" s="163"/>
      <c r="K4533"/>
    </row>
    <row r="4534" spans="6:11" x14ac:dyDescent="0.2">
      <c r="F4534" s="163"/>
      <c r="K4534"/>
    </row>
    <row r="4535" spans="6:11" x14ac:dyDescent="0.2">
      <c r="F4535" s="163"/>
      <c r="K4535"/>
    </row>
    <row r="4536" spans="6:11" x14ac:dyDescent="0.2">
      <c r="F4536" s="163"/>
      <c r="K4536"/>
    </row>
    <row r="4537" spans="6:11" x14ac:dyDescent="0.2">
      <c r="F4537" s="163"/>
      <c r="K4537"/>
    </row>
    <row r="4538" spans="6:11" x14ac:dyDescent="0.2">
      <c r="F4538" s="163"/>
      <c r="K4538"/>
    </row>
    <row r="4539" spans="6:11" x14ac:dyDescent="0.2">
      <c r="F4539" s="163"/>
      <c r="K4539"/>
    </row>
    <row r="4540" spans="6:11" x14ac:dyDescent="0.2">
      <c r="F4540" s="163"/>
      <c r="K4540"/>
    </row>
    <row r="4541" spans="6:11" x14ac:dyDescent="0.2">
      <c r="F4541" s="163"/>
      <c r="K4541"/>
    </row>
    <row r="4542" spans="6:11" x14ac:dyDescent="0.2">
      <c r="F4542" s="163"/>
      <c r="K4542"/>
    </row>
    <row r="4543" spans="6:11" x14ac:dyDescent="0.2">
      <c r="F4543" s="163"/>
      <c r="K4543"/>
    </row>
    <row r="4544" spans="6:11" x14ac:dyDescent="0.2">
      <c r="F4544" s="163"/>
      <c r="K4544"/>
    </row>
    <row r="4545" spans="6:11" x14ac:dyDescent="0.2">
      <c r="F4545" s="163"/>
      <c r="K4545"/>
    </row>
    <row r="4546" spans="6:11" x14ac:dyDescent="0.2">
      <c r="F4546" s="163"/>
      <c r="K4546"/>
    </row>
    <row r="4547" spans="6:11" x14ac:dyDescent="0.2">
      <c r="F4547" s="163"/>
      <c r="K4547"/>
    </row>
    <row r="4548" spans="6:11" x14ac:dyDescent="0.2">
      <c r="F4548" s="163"/>
      <c r="K4548"/>
    </row>
    <row r="4549" spans="6:11" x14ac:dyDescent="0.2">
      <c r="F4549" s="163"/>
      <c r="K4549"/>
    </row>
    <row r="4550" spans="6:11" x14ac:dyDescent="0.2">
      <c r="F4550" s="163"/>
      <c r="K4550"/>
    </row>
    <row r="4551" spans="6:11" x14ac:dyDescent="0.2">
      <c r="F4551" s="163"/>
      <c r="K4551"/>
    </row>
    <row r="4552" spans="6:11" x14ac:dyDescent="0.2">
      <c r="F4552" s="163"/>
      <c r="K4552"/>
    </row>
    <row r="4553" spans="6:11" x14ac:dyDescent="0.2">
      <c r="F4553" s="163"/>
      <c r="K4553"/>
    </row>
    <row r="4554" spans="6:11" x14ac:dyDescent="0.2">
      <c r="F4554" s="163"/>
      <c r="K4554"/>
    </row>
    <row r="4555" spans="6:11" x14ac:dyDescent="0.2">
      <c r="F4555" s="163"/>
      <c r="K4555"/>
    </row>
    <row r="4556" spans="6:11" x14ac:dyDescent="0.2">
      <c r="F4556" s="163"/>
      <c r="K4556"/>
    </row>
    <row r="4557" spans="6:11" x14ac:dyDescent="0.2">
      <c r="F4557" s="163"/>
      <c r="K4557"/>
    </row>
    <row r="4558" spans="6:11" x14ac:dyDescent="0.2">
      <c r="F4558" s="163"/>
      <c r="K4558"/>
    </row>
    <row r="4559" spans="6:11" x14ac:dyDescent="0.2">
      <c r="F4559" s="163"/>
      <c r="K4559"/>
    </row>
    <row r="4560" spans="6:11" x14ac:dyDescent="0.2">
      <c r="F4560" s="163"/>
      <c r="K4560"/>
    </row>
    <row r="4561" spans="6:11" x14ac:dyDescent="0.2">
      <c r="F4561" s="163"/>
      <c r="K4561"/>
    </row>
    <row r="4562" spans="6:11" x14ac:dyDescent="0.2">
      <c r="F4562" s="163"/>
      <c r="K4562"/>
    </row>
    <row r="4563" spans="6:11" x14ac:dyDescent="0.2">
      <c r="F4563" s="163"/>
      <c r="K4563"/>
    </row>
    <row r="4564" spans="6:11" x14ac:dyDescent="0.2">
      <c r="F4564" s="163"/>
      <c r="K4564"/>
    </row>
    <row r="4565" spans="6:11" x14ac:dyDescent="0.2">
      <c r="F4565" s="163"/>
      <c r="K4565"/>
    </row>
    <row r="4566" spans="6:11" x14ac:dyDescent="0.2">
      <c r="F4566" s="163"/>
      <c r="K4566"/>
    </row>
    <row r="4567" spans="6:11" x14ac:dyDescent="0.2">
      <c r="F4567" s="163"/>
      <c r="K4567"/>
    </row>
    <row r="4568" spans="6:11" x14ac:dyDescent="0.2">
      <c r="F4568" s="163"/>
      <c r="K4568"/>
    </row>
    <row r="4569" spans="6:11" x14ac:dyDescent="0.2">
      <c r="F4569" s="163"/>
      <c r="K4569"/>
    </row>
    <row r="4570" spans="6:11" x14ac:dyDescent="0.2">
      <c r="F4570" s="163"/>
      <c r="K4570"/>
    </row>
    <row r="4571" spans="6:11" x14ac:dyDescent="0.2">
      <c r="F4571" s="163"/>
      <c r="K4571"/>
    </row>
    <row r="4572" spans="6:11" x14ac:dyDescent="0.2">
      <c r="F4572" s="163"/>
      <c r="K4572"/>
    </row>
    <row r="4573" spans="6:11" x14ac:dyDescent="0.2">
      <c r="F4573" s="163"/>
      <c r="K4573"/>
    </row>
    <row r="4574" spans="6:11" x14ac:dyDescent="0.2">
      <c r="F4574" s="163"/>
      <c r="K4574"/>
    </row>
    <row r="4575" spans="6:11" x14ac:dyDescent="0.2">
      <c r="F4575" s="163"/>
      <c r="K4575"/>
    </row>
    <row r="4576" spans="6:11" x14ac:dyDescent="0.2">
      <c r="F4576" s="163"/>
      <c r="K4576"/>
    </row>
    <row r="4577" spans="6:11" x14ac:dyDescent="0.2">
      <c r="F4577" s="163"/>
      <c r="K4577"/>
    </row>
    <row r="4578" spans="6:11" x14ac:dyDescent="0.2">
      <c r="F4578" s="163"/>
      <c r="K4578"/>
    </row>
    <row r="4579" spans="6:11" x14ac:dyDescent="0.2">
      <c r="F4579" s="163"/>
      <c r="K4579"/>
    </row>
    <row r="4580" spans="6:11" x14ac:dyDescent="0.2">
      <c r="F4580" s="163"/>
      <c r="K4580"/>
    </row>
    <row r="4581" spans="6:11" x14ac:dyDescent="0.2">
      <c r="F4581" s="163"/>
      <c r="K4581"/>
    </row>
    <row r="4582" spans="6:11" x14ac:dyDescent="0.2">
      <c r="F4582" s="163"/>
      <c r="K4582"/>
    </row>
    <row r="4583" spans="6:11" x14ac:dyDescent="0.2">
      <c r="F4583" s="163"/>
      <c r="K4583"/>
    </row>
    <row r="4584" spans="6:11" x14ac:dyDescent="0.2">
      <c r="F4584" s="163"/>
      <c r="K4584"/>
    </row>
    <row r="4585" spans="6:11" x14ac:dyDescent="0.2">
      <c r="F4585" s="163"/>
      <c r="K4585"/>
    </row>
    <row r="4586" spans="6:11" x14ac:dyDescent="0.2">
      <c r="F4586" s="163"/>
      <c r="K4586"/>
    </row>
    <row r="4587" spans="6:11" x14ac:dyDescent="0.2">
      <c r="F4587" s="163"/>
      <c r="K4587"/>
    </row>
    <row r="4588" spans="6:11" x14ac:dyDescent="0.2">
      <c r="F4588" s="163"/>
      <c r="K4588"/>
    </row>
    <row r="4589" spans="6:11" x14ac:dyDescent="0.2">
      <c r="F4589" s="163"/>
      <c r="K4589"/>
    </row>
    <row r="4590" spans="6:11" x14ac:dyDescent="0.2">
      <c r="F4590" s="163"/>
      <c r="K4590"/>
    </row>
    <row r="4591" spans="6:11" x14ac:dyDescent="0.2">
      <c r="F4591" s="163"/>
      <c r="K4591"/>
    </row>
    <row r="4592" spans="6:11" x14ac:dyDescent="0.2">
      <c r="F4592" s="163"/>
      <c r="K4592"/>
    </row>
    <row r="4593" spans="6:11" x14ac:dyDescent="0.2">
      <c r="F4593" s="163"/>
      <c r="K4593"/>
    </row>
    <row r="4594" spans="6:11" x14ac:dyDescent="0.2">
      <c r="F4594" s="163"/>
      <c r="K4594"/>
    </row>
    <row r="4595" spans="6:11" x14ac:dyDescent="0.2">
      <c r="F4595" s="163"/>
      <c r="K4595"/>
    </row>
    <row r="4596" spans="6:11" x14ac:dyDescent="0.2">
      <c r="F4596" s="163"/>
      <c r="K4596"/>
    </row>
    <row r="4597" spans="6:11" x14ac:dyDescent="0.2">
      <c r="F4597" s="163"/>
      <c r="K4597"/>
    </row>
    <row r="4598" spans="6:11" x14ac:dyDescent="0.2">
      <c r="F4598" s="163"/>
      <c r="K4598"/>
    </row>
    <row r="4599" spans="6:11" x14ac:dyDescent="0.2">
      <c r="F4599" s="163"/>
      <c r="K4599"/>
    </row>
    <row r="4600" spans="6:11" x14ac:dyDescent="0.2">
      <c r="F4600" s="163"/>
      <c r="K4600"/>
    </row>
    <row r="4601" spans="6:11" x14ac:dyDescent="0.2">
      <c r="F4601" s="163"/>
      <c r="K4601"/>
    </row>
    <row r="4602" spans="6:11" x14ac:dyDescent="0.2">
      <c r="F4602" s="163"/>
      <c r="K4602"/>
    </row>
    <row r="4603" spans="6:11" x14ac:dyDescent="0.2">
      <c r="F4603" s="163"/>
      <c r="K4603"/>
    </row>
    <row r="4604" spans="6:11" x14ac:dyDescent="0.2">
      <c r="F4604" s="163"/>
      <c r="K4604"/>
    </row>
    <row r="4605" spans="6:11" x14ac:dyDescent="0.2">
      <c r="F4605" s="163"/>
      <c r="K4605"/>
    </row>
    <row r="4606" spans="6:11" x14ac:dyDescent="0.2">
      <c r="F4606" s="163"/>
      <c r="K4606"/>
    </row>
    <row r="4607" spans="6:11" x14ac:dyDescent="0.2">
      <c r="F4607" s="163"/>
      <c r="K4607"/>
    </row>
    <row r="4608" spans="6:11" x14ac:dyDescent="0.2">
      <c r="F4608" s="163"/>
      <c r="K4608"/>
    </row>
    <row r="4609" spans="6:11" x14ac:dyDescent="0.2">
      <c r="F4609" s="163"/>
      <c r="K4609"/>
    </row>
    <row r="4610" spans="6:11" x14ac:dyDescent="0.2">
      <c r="F4610" s="163"/>
      <c r="K4610"/>
    </row>
    <row r="4611" spans="6:11" x14ac:dyDescent="0.2">
      <c r="F4611" s="163"/>
      <c r="K4611"/>
    </row>
    <row r="4612" spans="6:11" x14ac:dyDescent="0.2">
      <c r="F4612" s="163"/>
      <c r="K4612"/>
    </row>
    <row r="4613" spans="6:11" x14ac:dyDescent="0.2">
      <c r="F4613" s="163"/>
      <c r="K4613"/>
    </row>
    <row r="4614" spans="6:11" x14ac:dyDescent="0.2">
      <c r="F4614" s="163"/>
      <c r="K4614"/>
    </row>
    <row r="4615" spans="6:11" x14ac:dyDescent="0.2">
      <c r="F4615" s="163"/>
      <c r="K4615"/>
    </row>
    <row r="4616" spans="6:11" x14ac:dyDescent="0.2">
      <c r="F4616" s="163"/>
      <c r="K4616"/>
    </row>
    <row r="4617" spans="6:11" x14ac:dyDescent="0.2">
      <c r="F4617" s="163"/>
      <c r="K4617"/>
    </row>
    <row r="4618" spans="6:11" x14ac:dyDescent="0.2">
      <c r="F4618" s="163"/>
      <c r="K4618"/>
    </row>
    <row r="4619" spans="6:11" x14ac:dyDescent="0.2">
      <c r="F4619" s="163"/>
      <c r="K4619"/>
    </row>
    <row r="4620" spans="6:11" x14ac:dyDescent="0.2">
      <c r="F4620" s="163"/>
      <c r="K4620"/>
    </row>
    <row r="4621" spans="6:11" x14ac:dyDescent="0.2">
      <c r="F4621" s="163"/>
      <c r="K4621"/>
    </row>
    <row r="4622" spans="6:11" x14ac:dyDescent="0.2">
      <c r="F4622" s="163"/>
      <c r="K4622"/>
    </row>
    <row r="4623" spans="6:11" x14ac:dyDescent="0.2">
      <c r="F4623" s="163"/>
      <c r="K4623"/>
    </row>
    <row r="4624" spans="6:11" x14ac:dyDescent="0.2">
      <c r="F4624" s="163"/>
      <c r="K4624"/>
    </row>
    <row r="4625" spans="6:11" x14ac:dyDescent="0.2">
      <c r="F4625" s="163"/>
      <c r="K4625"/>
    </row>
    <row r="4626" spans="6:11" x14ac:dyDescent="0.2">
      <c r="F4626" s="163"/>
      <c r="K4626"/>
    </row>
    <row r="4627" spans="6:11" x14ac:dyDescent="0.2">
      <c r="F4627" s="163"/>
      <c r="K4627"/>
    </row>
    <row r="4628" spans="6:11" x14ac:dyDescent="0.2">
      <c r="F4628" s="163"/>
      <c r="K4628"/>
    </row>
    <row r="4629" spans="6:11" x14ac:dyDescent="0.2">
      <c r="F4629" s="163"/>
      <c r="K4629"/>
    </row>
    <row r="4630" spans="6:11" x14ac:dyDescent="0.2">
      <c r="F4630" s="163"/>
      <c r="K4630"/>
    </row>
    <row r="4631" spans="6:11" x14ac:dyDescent="0.2">
      <c r="F4631" s="163"/>
      <c r="K4631"/>
    </row>
    <row r="4632" spans="6:11" x14ac:dyDescent="0.2">
      <c r="F4632" s="163"/>
      <c r="K4632"/>
    </row>
    <row r="4633" spans="6:11" x14ac:dyDescent="0.2">
      <c r="F4633" s="163"/>
      <c r="K4633"/>
    </row>
    <row r="4634" spans="6:11" x14ac:dyDescent="0.2">
      <c r="F4634" s="163"/>
      <c r="K4634"/>
    </row>
    <row r="4635" spans="6:11" x14ac:dyDescent="0.2">
      <c r="F4635" s="163"/>
      <c r="K4635"/>
    </row>
    <row r="4636" spans="6:11" x14ac:dyDescent="0.2">
      <c r="F4636" s="163"/>
      <c r="K4636"/>
    </row>
    <row r="4637" spans="6:11" x14ac:dyDescent="0.2">
      <c r="F4637" s="163"/>
      <c r="K4637"/>
    </row>
    <row r="4638" spans="6:11" x14ac:dyDescent="0.2">
      <c r="F4638" s="163"/>
      <c r="K4638"/>
    </row>
    <row r="4639" spans="6:11" x14ac:dyDescent="0.2">
      <c r="F4639" s="163"/>
      <c r="K4639"/>
    </row>
    <row r="4640" spans="6:11" x14ac:dyDescent="0.2">
      <c r="F4640" s="163"/>
      <c r="K4640"/>
    </row>
    <row r="4641" spans="6:11" x14ac:dyDescent="0.2">
      <c r="F4641" s="163"/>
      <c r="K4641"/>
    </row>
    <row r="4642" spans="6:11" x14ac:dyDescent="0.2">
      <c r="F4642" s="163"/>
      <c r="K4642"/>
    </row>
    <row r="4643" spans="6:11" x14ac:dyDescent="0.2">
      <c r="F4643" s="163"/>
      <c r="K4643"/>
    </row>
    <row r="4644" spans="6:11" x14ac:dyDescent="0.2">
      <c r="F4644" s="163"/>
      <c r="K4644"/>
    </row>
    <row r="4645" spans="6:11" x14ac:dyDescent="0.2">
      <c r="F4645" s="163"/>
      <c r="K4645"/>
    </row>
    <row r="4646" spans="6:11" x14ac:dyDescent="0.2">
      <c r="F4646" s="163"/>
      <c r="K4646"/>
    </row>
    <row r="4647" spans="6:11" x14ac:dyDescent="0.2">
      <c r="F4647" s="163"/>
      <c r="K4647"/>
    </row>
    <row r="4648" spans="6:11" x14ac:dyDescent="0.2">
      <c r="F4648" s="163"/>
      <c r="K4648"/>
    </row>
    <row r="4649" spans="6:11" x14ac:dyDescent="0.2">
      <c r="F4649" s="163"/>
      <c r="K4649"/>
    </row>
    <row r="4650" spans="6:11" x14ac:dyDescent="0.2">
      <c r="F4650" s="163"/>
      <c r="K4650"/>
    </row>
    <row r="4651" spans="6:11" x14ac:dyDescent="0.2">
      <c r="F4651" s="163"/>
      <c r="K4651"/>
    </row>
    <row r="4652" spans="6:11" x14ac:dyDescent="0.2">
      <c r="F4652" s="163"/>
      <c r="K4652"/>
    </row>
    <row r="4653" spans="6:11" x14ac:dyDescent="0.2">
      <c r="F4653" s="163"/>
      <c r="K4653"/>
    </row>
    <row r="4654" spans="6:11" x14ac:dyDescent="0.2">
      <c r="F4654" s="163"/>
      <c r="K4654"/>
    </row>
    <row r="4655" spans="6:11" x14ac:dyDescent="0.2">
      <c r="F4655" s="163"/>
      <c r="K4655"/>
    </row>
    <row r="4656" spans="6:11" x14ac:dyDescent="0.2">
      <c r="F4656" s="163"/>
      <c r="K4656"/>
    </row>
    <row r="4657" spans="6:11" x14ac:dyDescent="0.2">
      <c r="F4657" s="163"/>
      <c r="K4657"/>
    </row>
    <row r="4658" spans="6:11" x14ac:dyDescent="0.2">
      <c r="F4658" s="163"/>
      <c r="K4658"/>
    </row>
    <row r="4659" spans="6:11" x14ac:dyDescent="0.2">
      <c r="F4659" s="163"/>
      <c r="K4659"/>
    </row>
    <row r="4660" spans="6:11" x14ac:dyDescent="0.2">
      <c r="F4660" s="163"/>
      <c r="K4660"/>
    </row>
    <row r="4661" spans="6:11" x14ac:dyDescent="0.2">
      <c r="F4661" s="163"/>
      <c r="K4661"/>
    </row>
    <row r="4662" spans="6:11" x14ac:dyDescent="0.2">
      <c r="F4662" s="163"/>
      <c r="K4662"/>
    </row>
    <row r="4663" spans="6:11" x14ac:dyDescent="0.2">
      <c r="F4663" s="163"/>
      <c r="K4663"/>
    </row>
    <row r="4664" spans="6:11" x14ac:dyDescent="0.2">
      <c r="F4664" s="163"/>
      <c r="K4664"/>
    </row>
    <row r="4665" spans="6:11" x14ac:dyDescent="0.2">
      <c r="F4665" s="163"/>
      <c r="K4665"/>
    </row>
    <row r="4666" spans="6:11" x14ac:dyDescent="0.2">
      <c r="F4666" s="163"/>
      <c r="K4666"/>
    </row>
    <row r="4667" spans="6:11" x14ac:dyDescent="0.2">
      <c r="F4667" s="163"/>
      <c r="K4667"/>
    </row>
    <row r="4668" spans="6:11" x14ac:dyDescent="0.2">
      <c r="F4668" s="163"/>
      <c r="K4668"/>
    </row>
    <row r="4669" spans="6:11" x14ac:dyDescent="0.2">
      <c r="F4669" s="163"/>
      <c r="K4669"/>
    </row>
    <row r="4670" spans="6:11" x14ac:dyDescent="0.2">
      <c r="F4670" s="163"/>
      <c r="K4670"/>
    </row>
    <row r="4671" spans="6:11" x14ac:dyDescent="0.2">
      <c r="F4671" s="163"/>
      <c r="K4671"/>
    </row>
    <row r="4672" spans="6:11" x14ac:dyDescent="0.2">
      <c r="F4672" s="163"/>
      <c r="K4672"/>
    </row>
    <row r="4673" spans="6:11" x14ac:dyDescent="0.2">
      <c r="F4673" s="163"/>
      <c r="K4673"/>
    </row>
    <row r="4674" spans="6:11" x14ac:dyDescent="0.2">
      <c r="F4674" s="163"/>
      <c r="K4674"/>
    </row>
    <row r="4675" spans="6:11" x14ac:dyDescent="0.2">
      <c r="F4675" s="163"/>
      <c r="K4675"/>
    </row>
    <row r="4676" spans="6:11" x14ac:dyDescent="0.2">
      <c r="F4676" s="163"/>
      <c r="K4676"/>
    </row>
    <row r="4677" spans="6:11" x14ac:dyDescent="0.2">
      <c r="F4677" s="163"/>
      <c r="K4677"/>
    </row>
    <row r="4678" spans="6:11" x14ac:dyDescent="0.2">
      <c r="F4678" s="163"/>
      <c r="K4678"/>
    </row>
    <row r="4679" spans="6:11" x14ac:dyDescent="0.2">
      <c r="F4679" s="163"/>
      <c r="K4679"/>
    </row>
    <row r="4680" spans="6:11" x14ac:dyDescent="0.2">
      <c r="F4680" s="163"/>
      <c r="K4680"/>
    </row>
    <row r="4681" spans="6:11" x14ac:dyDescent="0.2">
      <c r="F4681" s="163"/>
      <c r="K4681"/>
    </row>
    <row r="4682" spans="6:11" x14ac:dyDescent="0.2">
      <c r="F4682" s="163"/>
      <c r="K4682"/>
    </row>
    <row r="4683" spans="6:11" x14ac:dyDescent="0.2">
      <c r="F4683" s="163"/>
      <c r="K4683"/>
    </row>
    <row r="4684" spans="6:11" x14ac:dyDescent="0.2">
      <c r="F4684" s="163"/>
      <c r="K4684"/>
    </row>
    <row r="4685" spans="6:11" x14ac:dyDescent="0.2">
      <c r="F4685" s="163"/>
      <c r="K4685"/>
    </row>
    <row r="4686" spans="6:11" x14ac:dyDescent="0.2">
      <c r="F4686" s="163"/>
      <c r="K4686"/>
    </row>
    <row r="4687" spans="6:11" x14ac:dyDescent="0.2">
      <c r="F4687" s="163"/>
      <c r="K4687"/>
    </row>
    <row r="4688" spans="6:11" x14ac:dyDescent="0.2">
      <c r="F4688" s="163"/>
      <c r="K4688"/>
    </row>
    <row r="4689" spans="6:11" x14ac:dyDescent="0.2">
      <c r="F4689" s="163"/>
      <c r="K4689"/>
    </row>
    <row r="4690" spans="6:11" x14ac:dyDescent="0.2">
      <c r="F4690" s="163"/>
      <c r="K4690"/>
    </row>
    <row r="4691" spans="6:11" x14ac:dyDescent="0.2">
      <c r="F4691" s="163"/>
      <c r="K4691"/>
    </row>
    <row r="4692" spans="6:11" x14ac:dyDescent="0.2">
      <c r="F4692" s="163"/>
      <c r="K4692"/>
    </row>
    <row r="4693" spans="6:11" x14ac:dyDescent="0.2">
      <c r="F4693" s="163"/>
      <c r="K4693"/>
    </row>
    <row r="4694" spans="6:11" x14ac:dyDescent="0.2">
      <c r="F4694" s="163"/>
      <c r="K4694"/>
    </row>
    <row r="4695" spans="6:11" x14ac:dyDescent="0.2">
      <c r="F4695" s="163"/>
      <c r="K4695"/>
    </row>
    <row r="4696" spans="6:11" x14ac:dyDescent="0.2">
      <c r="F4696" s="163"/>
      <c r="K4696"/>
    </row>
    <row r="4697" spans="6:11" x14ac:dyDescent="0.2">
      <c r="F4697" s="163"/>
      <c r="K4697"/>
    </row>
    <row r="4698" spans="6:11" x14ac:dyDescent="0.2">
      <c r="F4698" s="163"/>
      <c r="K4698"/>
    </row>
    <row r="4699" spans="6:11" x14ac:dyDescent="0.2">
      <c r="F4699" s="163"/>
      <c r="K4699"/>
    </row>
  </sheetData>
  <mergeCells count="12">
    <mergeCell ref="AB1:AC1"/>
    <mergeCell ref="AB2:AC2"/>
    <mergeCell ref="AD2:AJ2"/>
    <mergeCell ref="S1:T1"/>
    <mergeCell ref="S2:T2"/>
    <mergeCell ref="U2:AA2"/>
    <mergeCell ref="L2:R2"/>
    <mergeCell ref="A1:B1"/>
    <mergeCell ref="A2:B2"/>
    <mergeCell ref="C2:H2"/>
    <mergeCell ref="J1:K1"/>
    <mergeCell ref="J2:K2"/>
  </mergeCells>
  <phoneticPr fontId="6" type="noConversion"/>
  <printOptions horizontalCentered="1"/>
  <pageMargins left="0.25" right="0.25" top="0.75" bottom="0.75" header="0.3" footer="0.3"/>
  <pageSetup scale="79" fitToWidth="0" orientation="portrait" r:id="rId1"/>
  <headerFooter alignWithMargins="0">
    <oddHeader>&amp;L
Schedule 10
&amp;CMinneapolis-St. Paul International Airport
&amp;"Arial,Bold"&amp;A
March 2025</oddHeader>
    <oddFooter>&amp;LPrinted on &amp;D&amp;RPage &amp;P of &amp;N</oddFooter>
  </headerFooter>
  <colBreaks count="3" manualBreakCount="3">
    <brk id="9" max="62" man="1"/>
    <brk id="18" max="62" man="1"/>
    <brk id="27" max="6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1"/>
  <sheetViews>
    <sheetView zoomScale="115" zoomScaleNormal="115" zoomScaleSheetLayoutView="100" workbookViewId="0">
      <selection activeCell="I5" sqref="I5:J5"/>
    </sheetView>
  </sheetViews>
  <sheetFormatPr defaultRowHeight="12.75" x14ac:dyDescent="0.2"/>
  <cols>
    <col min="1" max="1" width="25.28515625" bestFit="1" customWidth="1"/>
    <col min="2" max="2" width="9.85546875" bestFit="1" customWidth="1"/>
    <col min="3" max="3" width="12.7109375" bestFit="1" customWidth="1"/>
    <col min="4" max="4" width="9.85546875" bestFit="1" customWidth="1"/>
    <col min="5" max="5" width="8.7109375" bestFit="1" customWidth="1"/>
    <col min="6" max="6" width="10" bestFit="1" customWidth="1"/>
    <col min="7" max="7" width="10.42578125" bestFit="1" customWidth="1"/>
    <col min="8" max="8" width="8.7109375" bestFit="1" customWidth="1"/>
    <col min="9" max="10" width="9.85546875" bestFit="1" customWidth="1"/>
    <col min="11" max="11" width="11.7109375" bestFit="1" customWidth="1"/>
    <col min="12" max="12" width="12.7109375" bestFit="1" customWidth="1"/>
  </cols>
  <sheetData>
    <row r="1" spans="1:21" ht="26.25" thickBot="1" x14ac:dyDescent="0.25">
      <c r="A1" s="384">
        <v>45717</v>
      </c>
      <c r="B1" s="314" t="s">
        <v>17</v>
      </c>
      <c r="C1" s="314" t="s">
        <v>18</v>
      </c>
      <c r="D1" s="314" t="s">
        <v>19</v>
      </c>
      <c r="E1" s="314" t="s">
        <v>152</v>
      </c>
      <c r="F1" s="314" t="s">
        <v>157</v>
      </c>
      <c r="G1" s="314" t="s">
        <v>153</v>
      </c>
      <c r="H1" s="391" t="s">
        <v>182</v>
      </c>
      <c r="I1" s="391" t="s">
        <v>178</v>
      </c>
      <c r="J1" s="391" t="s">
        <v>230</v>
      </c>
      <c r="K1" s="314" t="s">
        <v>20</v>
      </c>
      <c r="L1" s="313" t="s">
        <v>21</v>
      </c>
    </row>
    <row r="2" spans="1:21" ht="15" x14ac:dyDescent="0.25">
      <c r="A2" s="45" t="s">
        <v>3</v>
      </c>
      <c r="B2" s="39"/>
      <c r="C2" s="39"/>
      <c r="D2" s="39"/>
      <c r="E2" s="39"/>
      <c r="F2" s="39"/>
      <c r="G2" s="39"/>
      <c r="H2" s="344"/>
      <c r="I2" s="344"/>
      <c r="J2" s="344"/>
      <c r="K2" s="39"/>
      <c r="L2" s="194"/>
    </row>
    <row r="3" spans="1:21" x14ac:dyDescent="0.2">
      <c r="A3" s="43" t="s">
        <v>29</v>
      </c>
      <c r="L3" s="37"/>
    </row>
    <row r="4" spans="1:21" x14ac:dyDescent="0.2">
      <c r="A4" s="43" t="s">
        <v>30</v>
      </c>
      <c r="B4" s="11">
        <f>[3]American!$JJ$22</f>
        <v>55284</v>
      </c>
      <c r="C4" s="11">
        <f>[3]Delta!$JJ$22+[3]Delta!$JJ$32</f>
        <v>878887</v>
      </c>
      <c r="D4" s="11">
        <f>[3]United!$JJ$22</f>
        <v>45182</v>
      </c>
      <c r="E4" s="11">
        <f>[3]Spirit!$JJ$22</f>
        <v>21233</v>
      </c>
      <c r="F4" s="11">
        <f>[3]Condor!$JJ$22+[3]Condor!$JJ$32</f>
        <v>0</v>
      </c>
      <c r="G4" s="11">
        <f>'[3]Air France'!$JJ$32</f>
        <v>0</v>
      </c>
      <c r="H4" s="11">
        <f>'[3]Jet Blue'!$JJ$22</f>
        <v>0</v>
      </c>
      <c r="I4" s="11">
        <f>[3]KLM!$JJ$22+[3]KLM!$JJ$32</f>
        <v>315</v>
      </c>
      <c r="J4" s="11">
        <f>[3]Lufthansa!$JJ$22+[3]Lufthansa!$JJ$32</f>
        <v>2926</v>
      </c>
      <c r="K4" s="11">
        <f>'Other Major Airline Stats'!K5</f>
        <v>320361</v>
      </c>
      <c r="L4" s="195">
        <f>SUM(B4:K4)</f>
        <v>1324188</v>
      </c>
    </row>
    <row r="5" spans="1:21" x14ac:dyDescent="0.2">
      <c r="A5" s="43" t="s">
        <v>31</v>
      </c>
      <c r="B5" s="7">
        <f>[3]American!$JJ$23</f>
        <v>58356</v>
      </c>
      <c r="C5" s="7">
        <f>[3]Delta!$JJ$23+[3]Delta!$JJ$33</f>
        <v>903456</v>
      </c>
      <c r="D5" s="7">
        <f>[3]United!$JJ$23</f>
        <v>45009</v>
      </c>
      <c r="E5" s="7">
        <f>[3]Spirit!$JJ$23</f>
        <v>22975</v>
      </c>
      <c r="F5" s="7">
        <f>[3]Condor!$JJ$23+[3]Condor!$JJ$33</f>
        <v>0</v>
      </c>
      <c r="G5" s="7">
        <f>'[3]Air France'!$JJ$33</f>
        <v>0</v>
      </c>
      <c r="H5" s="7">
        <f>'[3]Jet Blue'!$JJ$23</f>
        <v>0</v>
      </c>
      <c r="I5" s="7">
        <f>[3]KLM!$JJ$23+[3]KLM!$JJ$33</f>
        <v>273</v>
      </c>
      <c r="J5" s="7">
        <f>[3]Lufthansa!$JJ$23+[3]Lufthansa!$JJ$33</f>
        <v>3345</v>
      </c>
      <c r="K5" s="7">
        <f>'Other Major Airline Stats'!K6</f>
        <v>335646</v>
      </c>
      <c r="L5" s="196">
        <f>SUM(B5:K5)</f>
        <v>1369060</v>
      </c>
      <c r="N5" s="219"/>
      <c r="O5" s="219"/>
      <c r="P5" s="219"/>
      <c r="Q5" s="219"/>
      <c r="R5" s="219"/>
      <c r="S5" s="219"/>
      <c r="T5" s="219"/>
      <c r="U5" s="219"/>
    </row>
    <row r="6" spans="1:21" ht="15" x14ac:dyDescent="0.25">
      <c r="A6" s="41" t="s">
        <v>7</v>
      </c>
      <c r="B6" s="23">
        <f t="shared" ref="B6:E6" si="0">SUM(B4:B5)</f>
        <v>113640</v>
      </c>
      <c r="C6" s="23">
        <f t="shared" si="0"/>
        <v>1782343</v>
      </c>
      <c r="D6" s="23">
        <f t="shared" si="0"/>
        <v>90191</v>
      </c>
      <c r="E6" s="23">
        <f t="shared" si="0"/>
        <v>44208</v>
      </c>
      <c r="F6" s="23">
        <f t="shared" ref="F6:I6" si="1">SUM(F4:F5)</f>
        <v>0</v>
      </c>
      <c r="G6" s="23">
        <f t="shared" si="1"/>
        <v>0</v>
      </c>
      <c r="H6" s="23">
        <f t="shared" ref="H6" si="2">SUM(H4:H5)</f>
        <v>0</v>
      </c>
      <c r="I6" s="23">
        <f t="shared" si="1"/>
        <v>588</v>
      </c>
      <c r="J6" s="23">
        <f t="shared" ref="J6" si="3">SUM(J4:J5)</f>
        <v>6271</v>
      </c>
      <c r="K6" s="23">
        <f>SUM(K4:K5)</f>
        <v>656007</v>
      </c>
      <c r="L6" s="197">
        <f>SUM(B6:K6)</f>
        <v>2693248</v>
      </c>
      <c r="O6" s="87"/>
    </row>
    <row r="7" spans="1:21" x14ac:dyDescent="0.2">
      <c r="A7" s="43"/>
      <c r="B7" s="11"/>
      <c r="C7" s="11"/>
      <c r="D7" s="11"/>
      <c r="E7" s="11"/>
      <c r="F7" s="11"/>
      <c r="G7" s="11"/>
      <c r="H7" s="11"/>
      <c r="I7" s="11"/>
      <c r="J7" s="11"/>
      <c r="K7" s="11"/>
      <c r="L7" s="195"/>
      <c r="O7" s="219"/>
    </row>
    <row r="8" spans="1:21" x14ac:dyDescent="0.2">
      <c r="A8" s="43" t="s">
        <v>32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95">
        <f>SUM(B8:K8)</f>
        <v>0</v>
      </c>
    </row>
    <row r="9" spans="1:21" x14ac:dyDescent="0.2">
      <c r="A9" s="43" t="s">
        <v>30</v>
      </c>
      <c r="B9" s="11">
        <f>[3]American!$JJ$27</f>
        <v>1776</v>
      </c>
      <c r="C9" s="11">
        <f>[3]Delta!$JJ$27+[3]Delta!$JJ$37</f>
        <v>29112</v>
      </c>
      <c r="D9" s="11">
        <f>[3]United!$JJ$27</f>
        <v>1718</v>
      </c>
      <c r="E9" s="11">
        <f>[3]Spirit!$JJ$27</f>
        <v>162</v>
      </c>
      <c r="F9" s="11">
        <f>[3]Condor!$JJ$27+[3]Condor!$JJ$37</f>
        <v>0</v>
      </c>
      <c r="G9" s="11">
        <f>'[3]Air France'!$JJ$37</f>
        <v>0</v>
      </c>
      <c r="H9" s="11">
        <f>'[3]Jet Blue'!$JJ$27</f>
        <v>0</v>
      </c>
      <c r="I9" s="11">
        <f>[3]KLM!$JJ$27+[3]KLM!$JJ$37</f>
        <v>0</v>
      </c>
      <c r="J9" s="11">
        <f>[3]Lufthansa!$JJ$27+[3]Lufthansa!$JJ$37</f>
        <v>29</v>
      </c>
      <c r="K9" s="11">
        <f>'Other Major Airline Stats'!K10</f>
        <v>5761</v>
      </c>
      <c r="L9" s="195">
        <f>SUM(B9:K9)</f>
        <v>38558</v>
      </c>
      <c r="O9" s="219"/>
    </row>
    <row r="10" spans="1:21" x14ac:dyDescent="0.2">
      <c r="A10" s="43" t="s">
        <v>33</v>
      </c>
      <c r="B10" s="7">
        <f>[3]American!$JJ$28</f>
        <v>1844</v>
      </c>
      <c r="C10" s="7">
        <f>[3]Delta!$JJ$28+[3]Delta!$JJ$38</f>
        <v>29364</v>
      </c>
      <c r="D10" s="7">
        <f>[3]United!$JJ$28</f>
        <v>1746</v>
      </c>
      <c r="E10" s="7">
        <f>[3]Spirit!$JJ$28</f>
        <v>149</v>
      </c>
      <c r="F10" s="7">
        <f>[3]Condor!$JJ$28+[3]Condor!$JJ$38</f>
        <v>0</v>
      </c>
      <c r="G10" s="7">
        <f>'[3]Air France'!$JJ$38</f>
        <v>0</v>
      </c>
      <c r="H10" s="7">
        <f>'[3]Jet Blue'!$JJ$28</f>
        <v>0</v>
      </c>
      <c r="I10" s="7">
        <f>[3]KLM!$JJ$28+[3]KLM!$JJ$38</f>
        <v>0</v>
      </c>
      <c r="J10" s="7">
        <f>[3]Lufthansa!$JJ$28+[3]Lufthansa!$JJ$38</f>
        <v>42</v>
      </c>
      <c r="K10" s="7">
        <f>'Other Major Airline Stats'!K11</f>
        <v>6196</v>
      </c>
      <c r="L10" s="196">
        <f>SUM(B10:K10)</f>
        <v>39341</v>
      </c>
      <c r="O10" s="219"/>
    </row>
    <row r="11" spans="1:21" ht="15.75" thickBot="1" x14ac:dyDescent="0.3">
      <c r="A11" s="44" t="s">
        <v>34</v>
      </c>
      <c r="B11" s="198">
        <f t="shared" ref="B11:K11" si="4">SUM(B9:B10)</f>
        <v>3620</v>
      </c>
      <c r="C11" s="198">
        <f t="shared" si="4"/>
        <v>58476</v>
      </c>
      <c r="D11" s="198">
        <f t="shared" si="4"/>
        <v>3464</v>
      </c>
      <c r="E11" s="198">
        <f t="shared" si="4"/>
        <v>311</v>
      </c>
      <c r="F11" s="198">
        <f t="shared" ref="F11:I11" si="5">SUM(F9:F10)</f>
        <v>0</v>
      </c>
      <c r="G11" s="198">
        <f t="shared" si="5"/>
        <v>0</v>
      </c>
      <c r="H11" s="198">
        <f t="shared" ref="H11" si="6">SUM(H9:H10)</f>
        <v>0</v>
      </c>
      <c r="I11" s="198">
        <f t="shared" si="5"/>
        <v>0</v>
      </c>
      <c r="J11" s="198">
        <f t="shared" ref="J11" si="7">SUM(J9:J10)</f>
        <v>71</v>
      </c>
      <c r="K11" s="198">
        <f t="shared" si="4"/>
        <v>11957</v>
      </c>
      <c r="L11" s="199">
        <f>SUM(B11:K11)</f>
        <v>77899</v>
      </c>
    </row>
    <row r="12" spans="1:21" x14ac:dyDescent="0.2">
      <c r="O12" s="219"/>
    </row>
    <row r="13" spans="1:21" ht="13.5" thickBot="1" x14ac:dyDescent="0.25"/>
    <row r="14" spans="1:21" ht="15.75" thickTop="1" x14ac:dyDescent="0.25">
      <c r="A14" s="42" t="s">
        <v>9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5"/>
    </row>
    <row r="15" spans="1:21" x14ac:dyDescent="0.2">
      <c r="A15" s="43" t="s">
        <v>22</v>
      </c>
      <c r="B15" s="11">
        <f>[3]American!$JJ$4</f>
        <v>412</v>
      </c>
      <c r="C15" s="11">
        <f>[3]Delta!$JJ$4+[3]Delta!$JJ$15</f>
        <v>6248</v>
      </c>
      <c r="D15" s="11">
        <f>[3]United!$JJ$4</f>
        <v>352</v>
      </c>
      <c r="E15" s="11">
        <f>[3]Spirit!$JJ$4</f>
        <v>151</v>
      </c>
      <c r="F15" s="11">
        <f>[3]Condor!$JJ$15</f>
        <v>0</v>
      </c>
      <c r="G15" s="11">
        <f>'[3]Air France'!$JJ$15</f>
        <v>0</v>
      </c>
      <c r="H15" s="11">
        <f>'[3]Jet Blue'!$JJ$4</f>
        <v>0</v>
      </c>
      <c r="I15" s="11">
        <f>[3]KLM!$JJ$4+[3]KLM!$JJ$15</f>
        <v>1</v>
      </c>
      <c r="J15" s="11">
        <f>[3]Lufthansa!$JJ$4+[3]Lufthansa!$JJ$15</f>
        <v>16</v>
      </c>
      <c r="K15" s="11">
        <f>'Other Major Airline Stats'!K16</f>
        <v>2258</v>
      </c>
      <c r="L15" s="16">
        <f>SUM(B15:K15)</f>
        <v>9438</v>
      </c>
    </row>
    <row r="16" spans="1:21" x14ac:dyDescent="0.2">
      <c r="A16" s="43" t="s">
        <v>23</v>
      </c>
      <c r="B16" s="7">
        <f>[3]American!$JJ$5</f>
        <v>412</v>
      </c>
      <c r="C16" s="7">
        <f>[3]Delta!$JJ$5+[3]Delta!$JJ$16</f>
        <v>6242</v>
      </c>
      <c r="D16" s="7">
        <f>[3]United!$JJ$5</f>
        <v>352</v>
      </c>
      <c r="E16" s="7">
        <f>[3]Spirit!$JJ$5</f>
        <v>152</v>
      </c>
      <c r="F16" s="7">
        <f>[3]Condor!$JJ$5+[3]Condor!$JJ$16</f>
        <v>0</v>
      </c>
      <c r="G16" s="7">
        <f>'[3]Air France'!$JJ$16</f>
        <v>0</v>
      </c>
      <c r="H16" s="7">
        <f>'[3]Jet Blue'!$JJ$5</f>
        <v>0</v>
      </c>
      <c r="I16" s="7">
        <f>[3]KLM!$JJ$5+[3]KLM!$JJ$16</f>
        <v>1</v>
      </c>
      <c r="J16" s="7">
        <f>[3]Lufthansa!$JJ$5+[3]Lufthansa!$JJ$16</f>
        <v>16</v>
      </c>
      <c r="K16" s="7">
        <f>'Other Major Airline Stats'!K17</f>
        <v>2267</v>
      </c>
      <c r="L16" s="22">
        <f>SUM(B16:K16)</f>
        <v>9442</v>
      </c>
    </row>
    <row r="17" spans="1:12" x14ac:dyDescent="0.2">
      <c r="A17" s="43" t="s">
        <v>24</v>
      </c>
      <c r="B17" s="202">
        <f t="shared" ref="B17:K17" si="8">SUM(B15:B16)</f>
        <v>824</v>
      </c>
      <c r="C17" s="200">
        <f t="shared" si="8"/>
        <v>12490</v>
      </c>
      <c r="D17" s="200">
        <f t="shared" si="8"/>
        <v>704</v>
      </c>
      <c r="E17" s="200">
        <f t="shared" si="8"/>
        <v>303</v>
      </c>
      <c r="F17" s="200">
        <f t="shared" ref="F17:I17" si="9">SUM(F15:F16)</f>
        <v>0</v>
      </c>
      <c r="G17" s="200">
        <f t="shared" si="9"/>
        <v>0</v>
      </c>
      <c r="H17" s="200">
        <f t="shared" ref="H17" si="10">SUM(H15:H16)</f>
        <v>0</v>
      </c>
      <c r="I17" s="200">
        <f t="shared" si="9"/>
        <v>2</v>
      </c>
      <c r="J17" s="200">
        <f t="shared" ref="J17" si="11">SUM(J15:J16)</f>
        <v>32</v>
      </c>
      <c r="K17" s="200">
        <f t="shared" si="8"/>
        <v>4525</v>
      </c>
      <c r="L17" s="201">
        <f>SUM(B17:K17)</f>
        <v>18880</v>
      </c>
    </row>
    <row r="18" spans="1:12" x14ac:dyDescent="0.2">
      <c r="A18" s="43"/>
      <c r="B18" s="422"/>
      <c r="C18" s="11"/>
      <c r="D18" s="11"/>
      <c r="E18" s="11"/>
      <c r="F18" s="11"/>
      <c r="G18" s="11"/>
      <c r="H18" s="11"/>
      <c r="I18" s="11"/>
      <c r="J18" s="11"/>
      <c r="K18" s="11"/>
      <c r="L18" s="16"/>
    </row>
    <row r="19" spans="1:12" x14ac:dyDescent="0.2">
      <c r="A19" s="43" t="s">
        <v>25</v>
      </c>
      <c r="B19" s="11">
        <f>[3]American!$JJ$8</f>
        <v>0</v>
      </c>
      <c r="C19" s="11">
        <f>[3]Delta!$JJ$8</f>
        <v>6</v>
      </c>
      <c r="D19" s="11">
        <f>[3]United!$JJ$8</f>
        <v>1</v>
      </c>
      <c r="E19" s="11">
        <f>[3]Spirit!$JJ$8+[3]Spirit!$JJ$15</f>
        <v>1</v>
      </c>
      <c r="F19" s="11">
        <f>[3]Condor!$JJ$8</f>
        <v>0</v>
      </c>
      <c r="G19" s="11">
        <f>'[3]Air France'!$JJ$8</f>
        <v>0</v>
      </c>
      <c r="H19" s="11">
        <f>'[3]Jet Blue'!$JJ$8</f>
        <v>0</v>
      </c>
      <c r="I19" s="11">
        <f>[3]KLM!$JJ$8</f>
        <v>0</v>
      </c>
      <c r="J19" s="11">
        <f>[3]Lufthansa!$JJ$8</f>
        <v>0</v>
      </c>
      <c r="K19" s="11">
        <f>'Other Major Airline Stats'!K20</f>
        <v>72</v>
      </c>
      <c r="L19" s="16">
        <f>SUM(B19:K19)</f>
        <v>80</v>
      </c>
    </row>
    <row r="20" spans="1:12" x14ac:dyDescent="0.2">
      <c r="A20" s="43" t="s">
        <v>26</v>
      </c>
      <c r="B20" s="7">
        <f>[3]American!$JJ$9</f>
        <v>0</v>
      </c>
      <c r="C20" s="7">
        <f>[3]Delta!$JJ$9</f>
        <v>14</v>
      </c>
      <c r="D20" s="7">
        <f>[3]United!$JJ$9</f>
        <v>1</v>
      </c>
      <c r="E20" s="7">
        <f>[3]Spirit!$JJ$9</f>
        <v>0</v>
      </c>
      <c r="F20" s="7">
        <f>[3]Condor!$JJ$9</f>
        <v>0</v>
      </c>
      <c r="G20" s="7">
        <f>'[3]Air France'!$JJ$9</f>
        <v>0</v>
      </c>
      <c r="H20" s="7">
        <f>'[3]Jet Blue'!$JJ$9</f>
        <v>0</v>
      </c>
      <c r="I20" s="7">
        <f>[3]KLM!$JJ$9</f>
        <v>0</v>
      </c>
      <c r="J20" s="7">
        <f>[3]Lufthansa!$JJ$9</f>
        <v>0</v>
      </c>
      <c r="K20" s="7">
        <f>'Other Major Airline Stats'!K21</f>
        <v>70</v>
      </c>
      <c r="L20" s="22">
        <f>SUM(B20:K20)</f>
        <v>85</v>
      </c>
    </row>
    <row r="21" spans="1:12" x14ac:dyDescent="0.2">
      <c r="A21" s="43" t="s">
        <v>27</v>
      </c>
      <c r="B21" s="202">
        <f t="shared" ref="B21:K21" si="12">SUM(B19:B20)</f>
        <v>0</v>
      </c>
      <c r="C21" s="200">
        <f t="shared" si="12"/>
        <v>20</v>
      </c>
      <c r="D21" s="200">
        <f t="shared" si="12"/>
        <v>2</v>
      </c>
      <c r="E21" s="200">
        <f t="shared" si="12"/>
        <v>1</v>
      </c>
      <c r="F21" s="200">
        <f t="shared" ref="F21:I21" si="13">SUM(F19:F20)</f>
        <v>0</v>
      </c>
      <c r="G21" s="200">
        <f t="shared" si="13"/>
        <v>0</v>
      </c>
      <c r="H21" s="200">
        <f t="shared" ref="H21" si="14">SUM(H19:H20)</f>
        <v>0</v>
      </c>
      <c r="I21" s="200">
        <f t="shared" si="13"/>
        <v>0</v>
      </c>
      <c r="J21" s="200">
        <f t="shared" ref="J21" si="15">SUM(J19:J20)</f>
        <v>0</v>
      </c>
      <c r="K21" s="200">
        <f t="shared" si="12"/>
        <v>142</v>
      </c>
      <c r="L21" s="137">
        <f>SUM(B21:K21)</f>
        <v>165</v>
      </c>
    </row>
    <row r="22" spans="1:12" x14ac:dyDescent="0.2">
      <c r="A22" s="43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6"/>
    </row>
    <row r="23" spans="1:12" ht="15.75" thickBot="1" x14ac:dyDescent="0.3">
      <c r="A23" s="44" t="s">
        <v>28</v>
      </c>
      <c r="B23" s="17">
        <f t="shared" ref="B23:K23" si="16">B17+B21</f>
        <v>824</v>
      </c>
      <c r="C23" s="17">
        <f t="shared" si="16"/>
        <v>12510</v>
      </c>
      <c r="D23" s="17">
        <f t="shared" si="16"/>
        <v>706</v>
      </c>
      <c r="E23" s="17">
        <f>E17+E21</f>
        <v>304</v>
      </c>
      <c r="F23" s="17">
        <f t="shared" ref="F23:I23" si="17">F17+F21</f>
        <v>0</v>
      </c>
      <c r="G23" s="17">
        <f t="shared" si="17"/>
        <v>0</v>
      </c>
      <c r="H23" s="17">
        <f t="shared" ref="H23" si="18">H17+H21</f>
        <v>0</v>
      </c>
      <c r="I23" s="17">
        <f t="shared" si="17"/>
        <v>2</v>
      </c>
      <c r="J23" s="17">
        <f t="shared" ref="J23" si="19">J17+J21</f>
        <v>32</v>
      </c>
      <c r="K23" s="17">
        <f t="shared" si="16"/>
        <v>4667</v>
      </c>
      <c r="L23" s="18">
        <f>SUM(B23:K23)</f>
        <v>19045</v>
      </c>
    </row>
    <row r="25" spans="1:12" ht="13.5" thickBot="1" x14ac:dyDescent="0.25">
      <c r="B25" s="299"/>
      <c r="C25" s="299"/>
      <c r="D25" s="299"/>
      <c r="E25" s="299"/>
      <c r="F25" s="299"/>
      <c r="G25" s="299"/>
      <c r="H25" s="299"/>
      <c r="I25" s="299"/>
      <c r="J25" s="299"/>
      <c r="K25" s="299"/>
    </row>
    <row r="26" spans="1:12" ht="15.75" thickTop="1" x14ac:dyDescent="0.25">
      <c r="A26" s="46" t="s">
        <v>35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1"/>
    </row>
    <row r="27" spans="1:12" x14ac:dyDescent="0.2">
      <c r="A27" s="43" t="s">
        <v>36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9"/>
    </row>
    <row r="28" spans="1:12" x14ac:dyDescent="0.2">
      <c r="A28" s="43" t="s">
        <v>37</v>
      </c>
      <c r="B28" s="11">
        <f>[3]American!$JJ$47</f>
        <v>11709</v>
      </c>
      <c r="C28" s="11">
        <f>[3]Delta!$JJ$47</f>
        <v>3711255</v>
      </c>
      <c r="D28" s="11">
        <f>[3]United!$JJ$47</f>
        <v>19358</v>
      </c>
      <c r="E28" s="11">
        <f>[3]Spirit!$JJ$47</f>
        <v>0</v>
      </c>
      <c r="F28" s="11">
        <f>[3]Condor!$JJ$47</f>
        <v>0</v>
      </c>
      <c r="G28" s="11">
        <f>'[3]Air France'!$JJ$47</f>
        <v>0</v>
      </c>
      <c r="H28" s="11">
        <f>'[3]Jet Blue'!$JJ$47</f>
        <v>0</v>
      </c>
      <c r="I28" s="11">
        <f>[3]KLM!$JJ$47</f>
        <v>30942</v>
      </c>
      <c r="J28" s="11">
        <f>[3]Lufthansa!$JJ$47</f>
        <v>495449</v>
      </c>
      <c r="K28" s="11">
        <f>'Other Major Airline Stats'!K28</f>
        <v>164793</v>
      </c>
      <c r="L28" s="16">
        <f>SUM(B28:K28)</f>
        <v>4433506</v>
      </c>
    </row>
    <row r="29" spans="1:12" x14ac:dyDescent="0.2">
      <c r="A29" s="43" t="s">
        <v>38</v>
      </c>
      <c r="B29" s="7">
        <f>[3]American!$JJ$48</f>
        <v>298</v>
      </c>
      <c r="C29" s="7">
        <f>[3]Delta!$JJ$48</f>
        <v>53157</v>
      </c>
      <c r="D29" s="7">
        <f>[3]United!$JJ$48</f>
        <v>0</v>
      </c>
      <c r="E29" s="7">
        <f>[3]Spirit!$JJ$48</f>
        <v>0</v>
      </c>
      <c r="F29" s="7">
        <f>[3]Condor!$JJ$48</f>
        <v>0</v>
      </c>
      <c r="G29" s="7">
        <f>'[3]Air France'!$JJ$48</f>
        <v>0</v>
      </c>
      <c r="H29" s="7">
        <f>'[3]Jet Blue'!$JJ$48</f>
        <v>0</v>
      </c>
      <c r="I29" s="7">
        <f>[3]KLM!$JJ$48</f>
        <v>0</v>
      </c>
      <c r="J29" s="7">
        <f>[3]Lufthansa!$JJ$48</f>
        <v>0</v>
      </c>
      <c r="K29" s="7">
        <f>'Other Major Airline Stats'!K29</f>
        <v>829</v>
      </c>
      <c r="L29" s="22">
        <f>SUM(B29:K29)</f>
        <v>54284</v>
      </c>
    </row>
    <row r="30" spans="1:12" x14ac:dyDescent="0.2">
      <c r="A30" s="47" t="s">
        <v>39</v>
      </c>
      <c r="B30" s="202">
        <f t="shared" ref="B30:K30" si="20">SUM(B28:B29)</f>
        <v>12007</v>
      </c>
      <c r="C30" s="202">
        <f t="shared" si="20"/>
        <v>3764412</v>
      </c>
      <c r="D30" s="202">
        <f t="shared" si="20"/>
        <v>19358</v>
      </c>
      <c r="E30" s="202">
        <f t="shared" si="20"/>
        <v>0</v>
      </c>
      <c r="F30" s="202">
        <f t="shared" ref="F30:I30" si="21">SUM(F28:F29)</f>
        <v>0</v>
      </c>
      <c r="G30" s="202">
        <f t="shared" si="21"/>
        <v>0</v>
      </c>
      <c r="H30" s="202">
        <f t="shared" ref="H30" si="22">SUM(H28:H29)</f>
        <v>0</v>
      </c>
      <c r="I30" s="202">
        <f t="shared" si="21"/>
        <v>30942</v>
      </c>
      <c r="J30" s="202">
        <f t="shared" ref="J30" si="23">SUM(J28:J29)</f>
        <v>495449</v>
      </c>
      <c r="K30" s="202">
        <f t="shared" si="20"/>
        <v>165622</v>
      </c>
      <c r="L30" s="16">
        <f>SUM(B30:K30)</f>
        <v>4487790</v>
      </c>
    </row>
    <row r="31" spans="1:12" x14ac:dyDescent="0.2">
      <c r="A31" s="43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6"/>
    </row>
    <row r="32" spans="1:12" x14ac:dyDescent="0.2">
      <c r="A32" s="43" t="s">
        <v>40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6">
        <f t="shared" ref="L32:L40" si="24">SUM(B32:K32)</f>
        <v>0</v>
      </c>
    </row>
    <row r="33" spans="1:12" x14ac:dyDescent="0.2">
      <c r="A33" s="43" t="s">
        <v>37</v>
      </c>
      <c r="B33" s="11">
        <f>[3]American!$JJ$52</f>
        <v>3076</v>
      </c>
      <c r="C33" s="11">
        <f>[3]Delta!$JJ$52</f>
        <v>2466824</v>
      </c>
      <c r="D33" s="11">
        <f>[3]United!$JJ$52</f>
        <v>3739</v>
      </c>
      <c r="E33" s="11">
        <f>[3]Spirit!$JJ$52</f>
        <v>0</v>
      </c>
      <c r="F33" s="11">
        <f>[3]Condor!$JJ$52</f>
        <v>0</v>
      </c>
      <c r="G33" s="11">
        <f>'[3]Air France'!$JJ$52</f>
        <v>0</v>
      </c>
      <c r="H33" s="11">
        <f>'[3]Jet Blue'!$JJ$52</f>
        <v>0</v>
      </c>
      <c r="I33" s="11">
        <f>[3]KLM!$JJ$52</f>
        <v>401</v>
      </c>
      <c r="J33" s="11">
        <f>[3]Lufthansa!$JJ$52</f>
        <v>114571</v>
      </c>
      <c r="K33" s="11">
        <f>'Other Major Airline Stats'!K33</f>
        <v>50171</v>
      </c>
      <c r="L33" s="16">
        <f t="shared" si="24"/>
        <v>2638782</v>
      </c>
    </row>
    <row r="34" spans="1:12" x14ac:dyDescent="0.2">
      <c r="A34" s="43" t="s">
        <v>38</v>
      </c>
      <c r="B34" s="7">
        <f>[3]American!$JJ$53</f>
        <v>0</v>
      </c>
      <c r="C34" s="7">
        <f>[3]Delta!$JJ$53</f>
        <v>41536</v>
      </c>
      <c r="D34" s="7">
        <f>[3]United!$JJ$53</f>
        <v>0</v>
      </c>
      <c r="E34" s="7">
        <f>[3]Spirit!$JJ$53</f>
        <v>0</v>
      </c>
      <c r="F34" s="7">
        <f>[3]Condor!$JJ$53</f>
        <v>0</v>
      </c>
      <c r="G34" s="7">
        <f>'[3]Air France'!$JJ$53</f>
        <v>0</v>
      </c>
      <c r="H34" s="7">
        <f>'[3]Jet Blue'!$JJ$53</f>
        <v>0</v>
      </c>
      <c r="I34" s="7">
        <f>[3]KLM!$JJ$53</f>
        <v>0</v>
      </c>
      <c r="J34" s="7">
        <f>[3]Lufthansa!$JJ$53</f>
        <v>0</v>
      </c>
      <c r="K34" s="7">
        <f>'Other Major Airline Stats'!K34</f>
        <v>285</v>
      </c>
      <c r="L34" s="22">
        <f t="shared" si="24"/>
        <v>41821</v>
      </c>
    </row>
    <row r="35" spans="1:12" x14ac:dyDescent="0.2">
      <c r="A35" s="47" t="s">
        <v>41</v>
      </c>
      <c r="B35" s="202">
        <f t="shared" ref="B35:K35" si="25">SUM(B33:B34)</f>
        <v>3076</v>
      </c>
      <c r="C35" s="202">
        <f t="shared" si="25"/>
        <v>2508360</v>
      </c>
      <c r="D35" s="202">
        <f t="shared" si="25"/>
        <v>3739</v>
      </c>
      <c r="E35" s="202">
        <f t="shared" si="25"/>
        <v>0</v>
      </c>
      <c r="F35" s="202">
        <f t="shared" ref="F35:I35" si="26">SUM(F33:F34)</f>
        <v>0</v>
      </c>
      <c r="G35" s="202">
        <f t="shared" si="26"/>
        <v>0</v>
      </c>
      <c r="H35" s="202">
        <f t="shared" ref="H35" si="27">SUM(H33:H34)</f>
        <v>0</v>
      </c>
      <c r="I35" s="202">
        <f t="shared" si="26"/>
        <v>401</v>
      </c>
      <c r="J35" s="202">
        <f t="shared" ref="J35" si="28">SUM(J33:J34)</f>
        <v>114571</v>
      </c>
      <c r="K35" s="202">
        <f t="shared" si="25"/>
        <v>50456</v>
      </c>
      <c r="L35" s="16">
        <f t="shared" si="24"/>
        <v>2680603</v>
      </c>
    </row>
    <row r="36" spans="1:12" hidden="1" x14ac:dyDescent="0.2">
      <c r="A36" s="43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6">
        <f t="shared" si="24"/>
        <v>0</v>
      </c>
    </row>
    <row r="37" spans="1:12" hidden="1" x14ac:dyDescent="0.2">
      <c r="A37" s="43" t="s">
        <v>42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6">
        <f t="shared" si="24"/>
        <v>0</v>
      </c>
    </row>
    <row r="38" spans="1:12" hidden="1" x14ac:dyDescent="0.2">
      <c r="A38" s="43" t="s">
        <v>37</v>
      </c>
      <c r="B38" s="11">
        <f>[3]American!$JJ$57</f>
        <v>0</v>
      </c>
      <c r="C38" s="11">
        <f>[3]Delta!$JJ$57</f>
        <v>0</v>
      </c>
      <c r="D38" s="11">
        <f>[3]United!$JJ$57</f>
        <v>0</v>
      </c>
      <c r="E38" s="11">
        <f>[3]Spirit!$JJ$57</f>
        <v>0</v>
      </c>
      <c r="F38" s="11">
        <f>[3]Condor!$JJ$57</f>
        <v>0</v>
      </c>
      <c r="G38" s="11">
        <f>'[3]Air France'!$JJ$57</f>
        <v>0</v>
      </c>
      <c r="H38" s="11">
        <f>'[3]Jet Blue'!$JJ$57</f>
        <v>0</v>
      </c>
      <c r="I38" s="11">
        <f>[3]KLM!$JJ$57</f>
        <v>0</v>
      </c>
      <c r="J38" s="11">
        <f>[3]Lufthansa!$JJ$57</f>
        <v>0</v>
      </c>
      <c r="K38" s="11">
        <f>'Other Major Airline Stats'!K38</f>
        <v>0</v>
      </c>
      <c r="L38" s="16">
        <f t="shared" si="24"/>
        <v>0</v>
      </c>
    </row>
    <row r="39" spans="1:12" hidden="1" x14ac:dyDescent="0.2">
      <c r="A39" s="43" t="s">
        <v>38</v>
      </c>
      <c r="B39" s="7">
        <f>[3]American!$JJ$58</f>
        <v>0</v>
      </c>
      <c r="C39" s="7">
        <f>[3]Delta!$JJ$58</f>
        <v>0</v>
      </c>
      <c r="D39" s="7">
        <f>[3]United!$JJ$58</f>
        <v>0</v>
      </c>
      <c r="E39" s="7">
        <f>[3]Spirit!$JJ$58</f>
        <v>0</v>
      </c>
      <c r="F39" s="7">
        <f>[3]Condor!$JJ$58</f>
        <v>0</v>
      </c>
      <c r="G39" s="7">
        <f>'[3]Air France'!$JJ$58</f>
        <v>0</v>
      </c>
      <c r="H39" s="7">
        <f>'[3]Jet Blue'!$JJ$58</f>
        <v>0</v>
      </c>
      <c r="I39" s="7">
        <f>[3]KLM!$JJ$58</f>
        <v>0</v>
      </c>
      <c r="J39" s="7">
        <f>[3]Lufthansa!$JJ$58</f>
        <v>0</v>
      </c>
      <c r="K39" s="7">
        <f>'Other Major Airline Stats'!K39</f>
        <v>0</v>
      </c>
      <c r="L39" s="22">
        <f t="shared" si="24"/>
        <v>0</v>
      </c>
    </row>
    <row r="40" spans="1:12" hidden="1" x14ac:dyDescent="0.2">
      <c r="A40" s="47" t="s">
        <v>43</v>
      </c>
      <c r="B40" s="202">
        <f t="shared" ref="B40:K40" si="29">SUM(B38:B39)</f>
        <v>0</v>
      </c>
      <c r="C40" s="202">
        <f t="shared" si="29"/>
        <v>0</v>
      </c>
      <c r="D40" s="202">
        <f t="shared" si="29"/>
        <v>0</v>
      </c>
      <c r="E40" s="202">
        <f t="shared" si="29"/>
        <v>0</v>
      </c>
      <c r="F40" s="202">
        <f t="shared" ref="F40:I40" si="30">SUM(F38:F39)</f>
        <v>0</v>
      </c>
      <c r="G40" s="202">
        <f t="shared" si="30"/>
        <v>0</v>
      </c>
      <c r="H40" s="202">
        <f t="shared" ref="H40" si="31">SUM(H38:H39)</f>
        <v>0</v>
      </c>
      <c r="I40" s="202">
        <f t="shared" si="30"/>
        <v>0</v>
      </c>
      <c r="J40" s="202">
        <f t="shared" ref="J40" si="32">SUM(J38:J39)</f>
        <v>0</v>
      </c>
      <c r="K40" s="202">
        <f t="shared" si="29"/>
        <v>0</v>
      </c>
      <c r="L40" s="16">
        <f t="shared" si="24"/>
        <v>0</v>
      </c>
    </row>
    <row r="41" spans="1:12" x14ac:dyDescent="0.2">
      <c r="A41" s="43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6"/>
    </row>
    <row r="42" spans="1:12" x14ac:dyDescent="0.2">
      <c r="A42" s="43" t="s">
        <v>44</v>
      </c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6">
        <f>SUM(B42:K42)</f>
        <v>0</v>
      </c>
    </row>
    <row r="43" spans="1:12" x14ac:dyDescent="0.2">
      <c r="A43" s="43" t="s">
        <v>45</v>
      </c>
      <c r="B43" s="11">
        <f t="shared" ref="B43:K44" si="33">B28+B33+B38</f>
        <v>14785</v>
      </c>
      <c r="C43" s="11">
        <f t="shared" si="33"/>
        <v>6178079</v>
      </c>
      <c r="D43" s="11">
        <f t="shared" si="33"/>
        <v>23097</v>
      </c>
      <c r="E43" s="11">
        <f>E28+E33+E38</f>
        <v>0</v>
      </c>
      <c r="F43" s="11">
        <f t="shared" ref="F43:I43" si="34">F28+F33+F38</f>
        <v>0</v>
      </c>
      <c r="G43" s="11">
        <f t="shared" si="34"/>
        <v>0</v>
      </c>
      <c r="H43" s="11">
        <f t="shared" ref="H43" si="35">H28+H33+H38</f>
        <v>0</v>
      </c>
      <c r="I43" s="11">
        <f t="shared" si="34"/>
        <v>31343</v>
      </c>
      <c r="J43" s="11">
        <f t="shared" ref="J43" si="36">J28+J33+J38</f>
        <v>610020</v>
      </c>
      <c r="K43" s="11">
        <f t="shared" si="33"/>
        <v>214964</v>
      </c>
      <c r="L43" s="16">
        <f>SUM(B43:K43)</f>
        <v>7072288</v>
      </c>
    </row>
    <row r="44" spans="1:12" x14ac:dyDescent="0.2">
      <c r="A44" s="43" t="s">
        <v>38</v>
      </c>
      <c r="B44" s="7">
        <f t="shared" si="33"/>
        <v>298</v>
      </c>
      <c r="C44" s="7">
        <f t="shared" si="33"/>
        <v>94693</v>
      </c>
      <c r="D44" s="7">
        <f t="shared" si="33"/>
        <v>0</v>
      </c>
      <c r="E44" s="7">
        <f>E29+E34+E39</f>
        <v>0</v>
      </c>
      <c r="F44" s="7">
        <f t="shared" ref="F44:I44" si="37">F29+F34+F39</f>
        <v>0</v>
      </c>
      <c r="G44" s="7">
        <f t="shared" si="37"/>
        <v>0</v>
      </c>
      <c r="H44" s="7">
        <f t="shared" ref="H44" si="38">H29+H34+H39</f>
        <v>0</v>
      </c>
      <c r="I44" s="7">
        <f t="shared" si="37"/>
        <v>0</v>
      </c>
      <c r="J44" s="7">
        <f t="shared" ref="J44" si="39">J29+J34+J39</f>
        <v>0</v>
      </c>
      <c r="K44" s="7">
        <f t="shared" si="33"/>
        <v>1114</v>
      </c>
      <c r="L44" s="16">
        <f>SUM(B44:K44)</f>
        <v>96105</v>
      </c>
    </row>
    <row r="45" spans="1:12" ht="15.75" thickBot="1" x14ac:dyDescent="0.3">
      <c r="A45" s="44" t="s">
        <v>46</v>
      </c>
      <c r="B45" s="203">
        <f t="shared" ref="B45:K45" si="40">SUM(B43:B44)</f>
        <v>15083</v>
      </c>
      <c r="C45" s="203">
        <f t="shared" si="40"/>
        <v>6272772</v>
      </c>
      <c r="D45" s="203">
        <f t="shared" si="40"/>
        <v>23097</v>
      </c>
      <c r="E45" s="203">
        <f t="shared" si="40"/>
        <v>0</v>
      </c>
      <c r="F45" s="203">
        <f t="shared" ref="F45:I45" si="41">SUM(F43:F44)</f>
        <v>0</v>
      </c>
      <c r="G45" s="203">
        <f t="shared" si="41"/>
        <v>0</v>
      </c>
      <c r="H45" s="203">
        <f t="shared" ref="H45" si="42">SUM(H43:H44)</f>
        <v>0</v>
      </c>
      <c r="I45" s="203">
        <f t="shared" si="41"/>
        <v>31343</v>
      </c>
      <c r="J45" s="203">
        <f t="shared" ref="J45" si="43">SUM(J43:J44)</f>
        <v>610020</v>
      </c>
      <c r="K45" s="203">
        <f t="shared" si="40"/>
        <v>216078</v>
      </c>
      <c r="L45" s="204">
        <f>SUM(B45:K45)</f>
        <v>7168393</v>
      </c>
    </row>
    <row r="46" spans="1:12" x14ac:dyDescent="0.2"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2" hidden="1" x14ac:dyDescent="0.2">
      <c r="A47" s="264" t="s">
        <v>120</v>
      </c>
      <c r="C47" s="228">
        <f>[3]Delta!$JJ$70+[3]Delta!$JJ$73</f>
        <v>621279</v>
      </c>
      <c r="D47" s="217"/>
      <c r="E47" s="217"/>
      <c r="F47" s="217"/>
      <c r="G47" s="217"/>
      <c r="H47" s="217"/>
      <c r="I47" s="217"/>
      <c r="J47" s="217"/>
      <c r="K47" s="217"/>
      <c r="L47" s="218">
        <f>SUM(B47:K47)</f>
        <v>621279</v>
      </c>
    </row>
    <row r="48" spans="1:12" hidden="1" x14ac:dyDescent="0.2">
      <c r="A48" s="265" t="s">
        <v>121</v>
      </c>
      <c r="C48" s="228">
        <f>[3]Delta!$JJ$71+[3]Delta!$JJ$74</f>
        <v>282177</v>
      </c>
      <c r="D48" s="217"/>
      <c r="E48" s="217"/>
      <c r="F48" s="217"/>
      <c r="G48" s="217"/>
      <c r="H48" s="217"/>
      <c r="I48" s="217"/>
      <c r="J48" s="217"/>
      <c r="K48" s="217"/>
      <c r="L48" s="218">
        <f>SUM(B48:K48)</f>
        <v>282177</v>
      </c>
    </row>
    <row r="49" spans="1:12" hidden="1" x14ac:dyDescent="0.2">
      <c r="A49" s="266" t="s">
        <v>122</v>
      </c>
      <c r="C49" s="229">
        <f>SUM(C47:C48)</f>
        <v>903456</v>
      </c>
      <c r="L49" s="218">
        <f>SUM(B49:K49)</f>
        <v>903456</v>
      </c>
    </row>
    <row r="50" spans="1:12" x14ac:dyDescent="0.2">
      <c r="A50" s="264" t="s">
        <v>120</v>
      </c>
      <c r="B50" s="275"/>
      <c r="C50" s="231">
        <f>[3]Delta!$JJ$70+[3]Delta!$JJ$73</f>
        <v>621279</v>
      </c>
      <c r="D50" s="275"/>
      <c r="E50" s="231">
        <f>[3]Spirit!$JJ$70+[3]Spirit!$JJ$73</f>
        <v>0</v>
      </c>
      <c r="F50" s="275"/>
      <c r="G50" s="275"/>
      <c r="H50" s="275"/>
      <c r="I50" s="275"/>
      <c r="J50" s="275"/>
      <c r="K50" s="230">
        <f>'Other Major Airline Stats'!K48</f>
        <v>0</v>
      </c>
      <c r="L50" s="220">
        <f>SUM(B50:K50)</f>
        <v>621279</v>
      </c>
    </row>
    <row r="51" spans="1:12" x14ac:dyDescent="0.2">
      <c r="A51" s="277" t="s">
        <v>121</v>
      </c>
      <c r="B51" s="275"/>
      <c r="C51" s="231">
        <f>[3]Delta!$JJ$71+[3]Delta!$JJ$74</f>
        <v>282177</v>
      </c>
      <c r="D51" s="275"/>
      <c r="E51" s="231">
        <f>[3]Spirit!$JJ$71+[3]Spirit!$JJ$74</f>
        <v>0</v>
      </c>
      <c r="F51" s="275"/>
      <c r="G51" s="275"/>
      <c r="H51" s="275"/>
      <c r="I51" s="275"/>
      <c r="J51" s="275"/>
      <c r="K51" s="230">
        <f>+'Other Major Airline Stats'!K49</f>
        <v>0</v>
      </c>
      <c r="L51" s="220">
        <f>SUM(B51:K51)</f>
        <v>282177</v>
      </c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March 2025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X49"/>
  <sheetViews>
    <sheetView zoomScaleNormal="100" workbookViewId="0">
      <selection activeCell="F2" sqref="F2"/>
    </sheetView>
  </sheetViews>
  <sheetFormatPr defaultRowHeight="12.75" x14ac:dyDescent="0.2"/>
  <cols>
    <col min="1" max="1" width="26.140625" bestFit="1" customWidth="1"/>
    <col min="2" max="2" width="11.85546875" bestFit="1" customWidth="1"/>
    <col min="3" max="6" width="11.85546875" customWidth="1"/>
    <col min="7" max="7" width="10.28515625" bestFit="1" customWidth="1"/>
    <col min="8" max="8" width="10.42578125" bestFit="1" customWidth="1"/>
    <col min="9" max="9" width="12.140625" bestFit="1" customWidth="1"/>
    <col min="10" max="10" width="11.85546875" bestFit="1" customWidth="1"/>
    <col min="11" max="11" width="12.5703125" bestFit="1" customWidth="1"/>
  </cols>
  <sheetData>
    <row r="2" spans="1:14" ht="26.25" thickBot="1" x14ac:dyDescent="0.25">
      <c r="A2" s="384">
        <v>45717</v>
      </c>
      <c r="B2" s="314" t="s">
        <v>47</v>
      </c>
      <c r="C2" s="313" t="s">
        <v>208</v>
      </c>
      <c r="D2" s="313" t="s">
        <v>186</v>
      </c>
      <c r="E2" s="313" t="s">
        <v>201</v>
      </c>
      <c r="F2" s="313" t="s">
        <v>213</v>
      </c>
      <c r="G2" s="314" t="s">
        <v>48</v>
      </c>
      <c r="H2" s="313" t="s">
        <v>128</v>
      </c>
      <c r="I2" s="313" t="s">
        <v>49</v>
      </c>
      <c r="J2" s="313" t="s">
        <v>127</v>
      </c>
      <c r="K2" s="136" t="s">
        <v>61</v>
      </c>
    </row>
    <row r="3" spans="1:14" ht="15.75" thickTop="1" x14ac:dyDescent="0.25">
      <c r="A3" s="45" t="s">
        <v>3</v>
      </c>
      <c r="B3" s="92"/>
      <c r="C3" s="92"/>
      <c r="D3" s="92"/>
      <c r="E3" s="92"/>
      <c r="F3" s="92"/>
      <c r="G3" s="92"/>
      <c r="H3" s="92"/>
      <c r="I3" s="92"/>
      <c r="J3" s="92"/>
      <c r="K3" s="115"/>
    </row>
    <row r="4" spans="1:14" x14ac:dyDescent="0.2">
      <c r="A4" s="43" t="s">
        <v>29</v>
      </c>
      <c r="B4" s="87"/>
      <c r="C4" s="87"/>
      <c r="D4" s="87"/>
      <c r="E4" s="87"/>
      <c r="F4" s="87"/>
      <c r="G4" s="87"/>
      <c r="H4" s="87"/>
      <c r="I4" s="87"/>
      <c r="J4" s="87"/>
      <c r="K4" s="116"/>
    </row>
    <row r="5" spans="1:14" x14ac:dyDescent="0.2">
      <c r="A5" s="43" t="s">
        <v>30</v>
      </c>
      <c r="B5" s="87">
        <f>[3]Frontier!$JJ$22+[3]Frontier!$JJ$32</f>
        <v>16286</v>
      </c>
      <c r="C5" s="87">
        <f>'[3]Allegiant '!$JJ$22</f>
        <v>7247</v>
      </c>
      <c r="D5" s="87">
        <f>'[3]Aer Lingus'!$JJ$22+'[3]Aer Lingus'!$JJ$32</f>
        <v>0</v>
      </c>
      <c r="E5" s="87">
        <f>'[3]Denver Air'!$JJ$22+'[3]Denver Air'!$JJ$32</f>
        <v>857</v>
      </c>
      <c r="F5" s="87">
        <f>[3]WestJet!$JJ$22+[3]WestJet!$JJ$32</f>
        <v>4614</v>
      </c>
      <c r="G5" s="87">
        <f>[3]Icelandair!$JJ$32</f>
        <v>2556</v>
      </c>
      <c r="H5" s="87">
        <f>[3]Southwest!$JJ$22</f>
        <v>64165</v>
      </c>
      <c r="I5" s="87">
        <f>'[3]Sun Country'!$JJ$22+'[3]Sun Country'!$JJ$32</f>
        <v>215149</v>
      </c>
      <c r="J5" s="87">
        <f>[3]Alaska!$JJ$22</f>
        <v>9487</v>
      </c>
      <c r="K5" s="110">
        <f>SUM(B5:J5)</f>
        <v>320361</v>
      </c>
      <c r="N5" s="87"/>
    </row>
    <row r="6" spans="1:14" x14ac:dyDescent="0.2">
      <c r="A6" s="43" t="s">
        <v>31</v>
      </c>
      <c r="B6" s="87">
        <f>[3]Frontier!$JJ$23+[3]Frontier!$JJ$33</f>
        <v>17618</v>
      </c>
      <c r="C6" s="87">
        <f>'[3]Allegiant '!$JJ$23</f>
        <v>7488</v>
      </c>
      <c r="D6" s="87">
        <f>'[3]Aer Lingus'!$JJ$23+'[3]Aer Lingus'!$JJ$33</f>
        <v>0</v>
      </c>
      <c r="E6" s="87">
        <f>'[3]Denver Air'!$JJ$23+'[3]Denver Air'!$JJ$33</f>
        <v>844</v>
      </c>
      <c r="F6" s="87">
        <f>[3]WestJet!$JJ$23+[3]WestJet!$JJ$33</f>
        <v>5164</v>
      </c>
      <c r="G6" s="87">
        <f>[3]Icelandair!$JJ$33</f>
        <v>2959</v>
      </c>
      <c r="H6" s="87">
        <f>[3]Southwest!$JJ$23</f>
        <v>66241</v>
      </c>
      <c r="I6" s="87">
        <f>'[3]Sun Country'!$JJ$23+'[3]Sun Country'!$JJ$33</f>
        <v>225498</v>
      </c>
      <c r="J6" s="87">
        <f>[3]Alaska!$JJ$23</f>
        <v>9834</v>
      </c>
      <c r="K6" s="110">
        <f>SUM(B6:J6)</f>
        <v>335646</v>
      </c>
    </row>
    <row r="7" spans="1:14" ht="15" x14ac:dyDescent="0.25">
      <c r="A7" s="41" t="s">
        <v>7</v>
      </c>
      <c r="B7" s="118">
        <f>SUM(B5:B6)</f>
        <v>33904</v>
      </c>
      <c r="C7" s="118">
        <f t="shared" ref="C7:F7" si="0">SUM(C5:C6)</f>
        <v>14735</v>
      </c>
      <c r="D7" s="118">
        <f>SUM(D5:D6)</f>
        <v>0</v>
      </c>
      <c r="E7" s="118">
        <f>SUM(E5:E6)</f>
        <v>1701</v>
      </c>
      <c r="F7" s="118">
        <f t="shared" si="0"/>
        <v>9778</v>
      </c>
      <c r="G7" s="118">
        <f t="shared" ref="G7:J7" si="1">SUM(G5:G6)</f>
        <v>5515</v>
      </c>
      <c r="H7" s="118">
        <f t="shared" si="1"/>
        <v>130406</v>
      </c>
      <c r="I7" s="118">
        <f>SUM(I5:I6)</f>
        <v>440647</v>
      </c>
      <c r="J7" s="118">
        <f t="shared" si="1"/>
        <v>19321</v>
      </c>
      <c r="K7" s="119">
        <f>SUM(B7:J7)</f>
        <v>656007</v>
      </c>
    </row>
    <row r="8" spans="1:14" x14ac:dyDescent="0.2">
      <c r="A8" s="43"/>
      <c r="B8" s="117"/>
      <c r="C8" s="117"/>
      <c r="D8" s="347"/>
      <c r="E8" s="117"/>
      <c r="F8" s="117"/>
      <c r="G8" s="117"/>
      <c r="H8" s="117"/>
      <c r="I8" s="117"/>
      <c r="J8" s="117"/>
      <c r="K8" s="110"/>
    </row>
    <row r="9" spans="1:14" x14ac:dyDescent="0.2">
      <c r="A9" s="43" t="s">
        <v>32</v>
      </c>
      <c r="B9" s="117"/>
      <c r="C9" s="117"/>
      <c r="D9" s="347"/>
      <c r="E9" s="117"/>
      <c r="F9" s="117"/>
      <c r="G9" s="117"/>
      <c r="H9" s="117"/>
      <c r="I9" s="117"/>
      <c r="J9" s="117"/>
      <c r="K9" s="110"/>
    </row>
    <row r="10" spans="1:14" x14ac:dyDescent="0.2">
      <c r="A10" s="43" t="s">
        <v>30</v>
      </c>
      <c r="B10" s="117">
        <f>[3]Frontier!$JJ$27+[3]Frontier!$JJ$37</f>
        <v>100</v>
      </c>
      <c r="C10" s="117">
        <f>'[3]Allegiant '!$JJ$27</f>
        <v>0</v>
      </c>
      <c r="D10" s="347">
        <f>'[3]Aer Lingus'!$JJ$27+'[3]Aer Lingus'!$JJ$37</f>
        <v>0</v>
      </c>
      <c r="E10" s="117">
        <f>'[3]Denver Air'!$JJ$27+'[3]Denver Air'!$JJ$37</f>
        <v>53</v>
      </c>
      <c r="F10" s="117">
        <f>[3]WestJet!$JJ$27+[3]WestJet!$JJ$37</f>
        <v>2</v>
      </c>
      <c r="G10" s="117">
        <f>[3]Icelandair!$JJ$37</f>
        <v>34</v>
      </c>
      <c r="H10" s="117">
        <f>[3]Southwest!$JJ$27</f>
        <v>1509</v>
      </c>
      <c r="I10" s="117">
        <f>'[3]Sun Country'!$JJ$27+'[3]Sun Country'!$JJ$37</f>
        <v>3650</v>
      </c>
      <c r="J10" s="117">
        <f>[3]Alaska!$JJ$27</f>
        <v>413</v>
      </c>
      <c r="K10" s="110">
        <f>SUM(B10:J10)</f>
        <v>5761</v>
      </c>
    </row>
    <row r="11" spans="1:14" x14ac:dyDescent="0.2">
      <c r="A11" s="43" t="s">
        <v>33</v>
      </c>
      <c r="B11" s="120">
        <f>[3]Frontier!$JJ$28+[3]Frontier!$JJ$38</f>
        <v>100</v>
      </c>
      <c r="C11" s="120">
        <f>'[3]Allegiant '!$JJ$28</f>
        <v>0</v>
      </c>
      <c r="D11" s="120">
        <f>'[3]Aer Lingus'!$JJ$28+'[3]Aer Lingus'!$JJ$38</f>
        <v>0</v>
      </c>
      <c r="E11" s="120">
        <f>'[3]Denver Air'!$JJ$28+'[3]Denver Air'!$JJ$38</f>
        <v>44</v>
      </c>
      <c r="F11" s="120">
        <f>[3]WestJet!$JJ$28+[3]WestJet!$JJ$38</f>
        <v>3</v>
      </c>
      <c r="G11" s="120">
        <f>[3]Icelandair!$JJ$38</f>
        <v>19</v>
      </c>
      <c r="H11" s="120">
        <f>[3]Southwest!$JJ$28</f>
        <v>1690</v>
      </c>
      <c r="I11" s="120">
        <f>'[3]Sun Country'!$JJ$28+'[3]Sun Country'!$JJ$38</f>
        <v>3856</v>
      </c>
      <c r="J11" s="120">
        <f>[3]Alaska!$JJ$28</f>
        <v>484</v>
      </c>
      <c r="K11" s="110">
        <f>SUM(B11:J11)</f>
        <v>6196</v>
      </c>
    </row>
    <row r="12" spans="1:14" ht="15.75" thickBot="1" x14ac:dyDescent="0.3">
      <c r="A12" s="44" t="s">
        <v>34</v>
      </c>
      <c r="B12" s="113">
        <f>SUM(B10:B11)</f>
        <v>200</v>
      </c>
      <c r="C12" s="113">
        <f t="shared" ref="C12:F12" si="2">SUM(C10:C11)</f>
        <v>0</v>
      </c>
      <c r="D12" s="113">
        <f>SUM(D10:D11)</f>
        <v>0</v>
      </c>
      <c r="E12" s="113">
        <f>SUM(E10:E11)</f>
        <v>97</v>
      </c>
      <c r="F12" s="113">
        <f t="shared" si="2"/>
        <v>5</v>
      </c>
      <c r="G12" s="113">
        <f t="shared" ref="G12:J12" si="3">SUM(G10:G11)</f>
        <v>53</v>
      </c>
      <c r="H12" s="113">
        <f t="shared" si="3"/>
        <v>3199</v>
      </c>
      <c r="I12" s="113">
        <f>SUM(I10:I11)</f>
        <v>7506</v>
      </c>
      <c r="J12" s="113">
        <f t="shared" si="3"/>
        <v>897</v>
      </c>
      <c r="K12" s="121">
        <f>SUM(B12:J12)</f>
        <v>11957</v>
      </c>
      <c r="N12" s="87"/>
    </row>
    <row r="13" spans="1:14" ht="15" x14ac:dyDescent="0.25">
      <c r="A13" s="40"/>
      <c r="B13" s="205"/>
      <c r="C13" s="205"/>
      <c r="D13" s="348"/>
      <c r="E13" s="205"/>
      <c r="F13" s="205"/>
      <c r="G13" s="205"/>
      <c r="H13" s="205"/>
      <c r="I13" s="205"/>
      <c r="J13" s="205"/>
      <c r="K13" s="206"/>
    </row>
    <row r="14" spans="1:14" ht="13.5" thickBot="1" x14ac:dyDescent="0.25"/>
    <row r="15" spans="1:14" ht="15.75" thickTop="1" x14ac:dyDescent="0.25">
      <c r="A15" s="42" t="s">
        <v>9</v>
      </c>
      <c r="B15" s="108"/>
      <c r="C15" s="108"/>
      <c r="D15" s="108"/>
      <c r="E15" s="108"/>
      <c r="F15" s="108"/>
      <c r="G15" s="108"/>
      <c r="H15" s="108"/>
      <c r="I15" s="108"/>
      <c r="J15" s="108"/>
      <c r="K15" s="109"/>
    </row>
    <row r="16" spans="1:14" x14ac:dyDescent="0.2">
      <c r="A16" s="43" t="s">
        <v>22</v>
      </c>
      <c r="B16" s="87">
        <f>[3]Frontier!$JJ$4+[3]Frontier!$JJ$15</f>
        <v>98</v>
      </c>
      <c r="C16" s="77">
        <f>'[3]Allegiant '!$JJ$4</f>
        <v>49</v>
      </c>
      <c r="D16" s="87">
        <f>'[3]Aer Lingus'!$JJ$4+'[3]Aer Lingus'!$JJ$15</f>
        <v>0</v>
      </c>
      <c r="E16" s="87">
        <f>'[3]Denver Air'!$JJ$4+'[3]Denver Air'!$JJ$15</f>
        <v>78</v>
      </c>
      <c r="F16" s="77">
        <f>[3]WestJet!$JJ$4+[3]WestJet!$JJ$15</f>
        <v>62</v>
      </c>
      <c r="G16" s="87">
        <f>[3]Icelandair!$JJ$15</f>
        <v>19</v>
      </c>
      <c r="H16" s="77">
        <f>[3]Southwest!$JJ$4</f>
        <v>506</v>
      </c>
      <c r="I16" s="87">
        <f>'[3]Sun Country'!$JJ$4+'[3]Sun Country'!$JJ$15</f>
        <v>1372</v>
      </c>
      <c r="J16" s="87">
        <f>[3]Alaska!$JJ$4</f>
        <v>74</v>
      </c>
      <c r="K16" s="110">
        <f>SUM(B16:J16)</f>
        <v>2258</v>
      </c>
    </row>
    <row r="17" spans="1:258" x14ac:dyDescent="0.2">
      <c r="A17" s="43" t="s">
        <v>23</v>
      </c>
      <c r="B17" s="87">
        <f>[3]Frontier!$JJ$5+[3]Frontier!$JJ$16</f>
        <v>98</v>
      </c>
      <c r="C17" s="77">
        <f>'[3]Allegiant '!$JJ$5</f>
        <v>49</v>
      </c>
      <c r="D17" s="87">
        <f>'[3]Aer Lingus'!$JJ$5+'[3]Aer Lingus'!$JJ$16</f>
        <v>0</v>
      </c>
      <c r="E17" s="87">
        <f>'[3]Denver Air'!$JJ$5+'[3]Denver Air'!$JJ$16</f>
        <v>78</v>
      </c>
      <c r="F17" s="77">
        <f>[3]WestJet!$JJ$5+[3]WestJet!$JJ$16</f>
        <v>62</v>
      </c>
      <c r="G17" s="87">
        <f>[3]Icelandair!$JJ$16</f>
        <v>19</v>
      </c>
      <c r="H17" s="77">
        <f>[3]Southwest!$JJ$5</f>
        <v>506</v>
      </c>
      <c r="I17" s="87">
        <f>'[3]Sun Country'!$JJ$5+'[3]Sun Country'!$JJ$16</f>
        <v>1380</v>
      </c>
      <c r="J17" s="87">
        <f>[3]Alaska!$JJ$5</f>
        <v>75</v>
      </c>
      <c r="K17" s="110">
        <f>SUM(B17:J17)</f>
        <v>2267</v>
      </c>
    </row>
    <row r="18" spans="1:258" x14ac:dyDescent="0.2">
      <c r="A18" s="47" t="s">
        <v>24</v>
      </c>
      <c r="B18" s="111">
        <f t="shared" ref="B18" si="4">SUM(B16:B17)</f>
        <v>196</v>
      </c>
      <c r="C18" s="111">
        <f t="shared" ref="C18:F18" si="5">SUM(C16:C17)</f>
        <v>98</v>
      </c>
      <c r="D18" s="111">
        <f t="shared" si="5"/>
        <v>0</v>
      </c>
      <c r="E18" s="111">
        <f t="shared" si="5"/>
        <v>156</v>
      </c>
      <c r="F18" s="111">
        <f t="shared" si="5"/>
        <v>124</v>
      </c>
      <c r="G18" s="111">
        <f t="shared" ref="G18:J18" si="6">SUM(G16:G17)</f>
        <v>38</v>
      </c>
      <c r="H18" s="111">
        <f t="shared" si="6"/>
        <v>1012</v>
      </c>
      <c r="I18" s="111">
        <f t="shared" si="6"/>
        <v>2752</v>
      </c>
      <c r="J18" s="111">
        <f t="shared" si="6"/>
        <v>149</v>
      </c>
      <c r="K18" s="112">
        <f>SUM(B18:J18)</f>
        <v>4525</v>
      </c>
    </row>
    <row r="19" spans="1:258" x14ac:dyDescent="0.2">
      <c r="A19" s="47"/>
      <c r="B19" s="85"/>
      <c r="C19" s="85"/>
      <c r="D19" s="85"/>
      <c r="E19" s="85"/>
      <c r="F19" s="85"/>
      <c r="G19" s="85"/>
      <c r="H19" s="85"/>
      <c r="I19" s="85"/>
      <c r="J19" s="85"/>
      <c r="K19" s="110"/>
    </row>
    <row r="20" spans="1:258" x14ac:dyDescent="0.2">
      <c r="A20" s="43" t="s">
        <v>25</v>
      </c>
      <c r="B20" s="87">
        <f>[3]Frontier!$JJ$8</f>
        <v>0</v>
      </c>
      <c r="C20" s="87">
        <f>'[3]Allegiant '!$JJ$8</f>
        <v>0</v>
      </c>
      <c r="D20" s="87">
        <f>'[3]Aer Lingus'!$JJ$8</f>
        <v>0</v>
      </c>
      <c r="E20" s="87">
        <f>'[3]Denver Air'!$JJ$8</f>
        <v>4</v>
      </c>
      <c r="F20" s="87">
        <f>[3]WestJet!$JJ$8</f>
        <v>0</v>
      </c>
      <c r="G20" s="87">
        <f>[3]Icelandair!$JJ$8</f>
        <v>0</v>
      </c>
      <c r="H20" s="87">
        <f>[3]Southwest!$JJ$8</f>
        <v>0</v>
      </c>
      <c r="I20" s="87">
        <f>'[3]Sun Country'!$JJ$8</f>
        <v>67</v>
      </c>
      <c r="J20" s="87">
        <f>[3]Alaska!$JJ$8</f>
        <v>1</v>
      </c>
      <c r="K20" s="110">
        <f>SUM(B20:J20)</f>
        <v>72</v>
      </c>
    </row>
    <row r="21" spans="1:258" x14ac:dyDescent="0.2">
      <c r="A21" s="43" t="s">
        <v>26</v>
      </c>
      <c r="B21" s="87">
        <f>[3]Frontier!$JJ$9</f>
        <v>0</v>
      </c>
      <c r="C21" s="87">
        <f>'[3]Allegiant '!$JJ$9</f>
        <v>0</v>
      </c>
      <c r="D21" s="87">
        <f>'[3]Aer Lingus'!$JJ$9</f>
        <v>0</v>
      </c>
      <c r="E21" s="87">
        <f>'[3]Denver Air'!$JJ$9</f>
        <v>4</v>
      </c>
      <c r="F21" s="87">
        <f>[3]WestJet!$JJ$9</f>
        <v>0</v>
      </c>
      <c r="G21" s="87">
        <f>[3]Icelandair!$JJ$9</f>
        <v>0</v>
      </c>
      <c r="H21" s="87">
        <f>[3]Southwest!$JJ$9</f>
        <v>0</v>
      </c>
      <c r="I21" s="87">
        <f>'[3]Sun Country'!$JJ$9</f>
        <v>65</v>
      </c>
      <c r="J21" s="87">
        <f>[3]Alaska!$JJ$9</f>
        <v>1</v>
      </c>
      <c r="K21" s="110">
        <f>SUM(B21:J21)</f>
        <v>70</v>
      </c>
    </row>
    <row r="22" spans="1:258" x14ac:dyDescent="0.2">
      <c r="A22" s="47" t="s">
        <v>27</v>
      </c>
      <c r="B22" s="111">
        <f t="shared" ref="B22" si="7">SUM(B20:B21)</f>
        <v>0</v>
      </c>
      <c r="C22" s="111">
        <f t="shared" ref="C22:F22" si="8">SUM(C20:C21)</f>
        <v>0</v>
      </c>
      <c r="D22" s="111">
        <f t="shared" si="8"/>
        <v>0</v>
      </c>
      <c r="E22" s="111">
        <f t="shared" si="8"/>
        <v>8</v>
      </c>
      <c r="F22" s="111">
        <f t="shared" si="8"/>
        <v>0</v>
      </c>
      <c r="G22" s="111">
        <f t="shared" ref="G22:J22" si="9">SUM(G20:G21)</f>
        <v>0</v>
      </c>
      <c r="H22" s="111">
        <f t="shared" si="9"/>
        <v>0</v>
      </c>
      <c r="I22" s="111">
        <f t="shared" si="9"/>
        <v>132</v>
      </c>
      <c r="J22" s="111">
        <f t="shared" si="9"/>
        <v>2</v>
      </c>
      <c r="K22" s="112">
        <f>SUM(B22:J22)</f>
        <v>142</v>
      </c>
    </row>
    <row r="23" spans="1:258" ht="15.75" thickBot="1" x14ac:dyDescent="0.3">
      <c r="A23" s="44" t="s">
        <v>28</v>
      </c>
      <c r="B23" s="113">
        <f t="shared" ref="B23" si="10">B22+B18</f>
        <v>196</v>
      </c>
      <c r="C23" s="113">
        <f t="shared" ref="C23:F23" si="11">C22+C18</f>
        <v>98</v>
      </c>
      <c r="D23" s="113">
        <f t="shared" si="11"/>
        <v>0</v>
      </c>
      <c r="E23" s="113">
        <f t="shared" si="11"/>
        <v>164</v>
      </c>
      <c r="F23" s="113">
        <f t="shared" si="11"/>
        <v>124</v>
      </c>
      <c r="G23" s="113">
        <f t="shared" ref="G23:J23" si="12">G22+G18</f>
        <v>38</v>
      </c>
      <c r="H23" s="113">
        <f t="shared" si="12"/>
        <v>1012</v>
      </c>
      <c r="I23" s="113">
        <f>I22+I18</f>
        <v>2884</v>
      </c>
      <c r="J23" s="113">
        <f t="shared" si="12"/>
        <v>151</v>
      </c>
      <c r="K23" s="114">
        <f>SUM(B23:J23)</f>
        <v>4667</v>
      </c>
      <c r="O23" s="87"/>
    </row>
    <row r="24" spans="1:258" x14ac:dyDescent="0.2">
      <c r="A24" s="11"/>
      <c r="B24" s="11"/>
      <c r="C24" s="11"/>
      <c r="D24" s="349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  <c r="IW24" s="11"/>
      <c r="IX24" s="11"/>
    </row>
    <row r="25" spans="1:258" ht="13.5" thickBot="1" x14ac:dyDescent="0.25">
      <c r="B25" s="299"/>
      <c r="C25" s="299"/>
      <c r="D25" s="299"/>
      <c r="E25" s="299"/>
      <c r="F25" s="299"/>
      <c r="G25" s="299"/>
      <c r="H25" s="299"/>
      <c r="I25" s="299"/>
      <c r="J25" s="299"/>
      <c r="K25" s="87"/>
    </row>
    <row r="26" spans="1:258" ht="15.75" thickTop="1" x14ac:dyDescent="0.25">
      <c r="A26" s="46" t="s">
        <v>35</v>
      </c>
      <c r="B26" s="122"/>
      <c r="C26" s="122"/>
      <c r="D26" s="122"/>
      <c r="E26" s="122"/>
      <c r="F26" s="122"/>
      <c r="G26" s="122"/>
      <c r="H26" s="122"/>
      <c r="I26" s="122"/>
      <c r="J26" s="122"/>
      <c r="K26" s="123"/>
    </row>
    <row r="27" spans="1:258" x14ac:dyDescent="0.2">
      <c r="A27" s="43" t="s">
        <v>36</v>
      </c>
      <c r="B27" s="124"/>
      <c r="C27" s="124"/>
      <c r="D27" s="124"/>
      <c r="E27" s="124"/>
      <c r="F27" s="124"/>
      <c r="G27" s="124"/>
      <c r="H27" s="124"/>
      <c r="I27" s="124"/>
      <c r="J27" s="124"/>
      <c r="K27" s="116"/>
    </row>
    <row r="28" spans="1:258" x14ac:dyDescent="0.2">
      <c r="A28" s="43" t="s">
        <v>37</v>
      </c>
      <c r="B28" s="87">
        <f>[3]Frontier!$JJ$47</f>
        <v>0</v>
      </c>
      <c r="C28" s="87">
        <f>'[3]Allegiant '!$JJ$47</f>
        <v>0</v>
      </c>
      <c r="D28" s="87">
        <f>'[3]Aer Lingus'!$JJ$47</f>
        <v>0</v>
      </c>
      <c r="E28" s="87">
        <f>'[3]Denver Air'!$JJ$47</f>
        <v>0</v>
      </c>
      <c r="F28" s="87">
        <f>[3]WestJet!$JJ$47</f>
        <v>0</v>
      </c>
      <c r="G28" s="87">
        <f>[3]Icelandair!$JJ$47</f>
        <v>0</v>
      </c>
      <c r="H28" s="87">
        <f>[3]Southwest!$JJ$47</f>
        <v>156239</v>
      </c>
      <c r="I28" s="87">
        <f>'[3]Sun Country'!$JJ$47</f>
        <v>0</v>
      </c>
      <c r="J28" s="87">
        <f>[3]Alaska!$JJ$47</f>
        <v>8554</v>
      </c>
      <c r="K28" s="110">
        <f>SUM(B28:J28)</f>
        <v>164793</v>
      </c>
    </row>
    <row r="29" spans="1:258" x14ac:dyDescent="0.2">
      <c r="A29" s="43" t="s">
        <v>38</v>
      </c>
      <c r="B29" s="87">
        <f>[3]Frontier!$JJ$48</f>
        <v>0</v>
      </c>
      <c r="C29" s="87">
        <f>'[3]Allegiant '!$JJ$48</f>
        <v>0</v>
      </c>
      <c r="D29" s="87">
        <f>'[3]Aer Lingus'!$JJ$48</f>
        <v>0</v>
      </c>
      <c r="E29" s="87">
        <f>'[3]Denver Air'!$JJ$48</f>
        <v>0</v>
      </c>
      <c r="F29" s="87">
        <f>[3]WestJet!$JJ$48</f>
        <v>0</v>
      </c>
      <c r="G29" s="87">
        <f>[3]Icelandair!$JJ$48</f>
        <v>0</v>
      </c>
      <c r="H29" s="87">
        <f>[3]Southwest!$JJ$48</f>
        <v>0</v>
      </c>
      <c r="I29" s="87">
        <f>'[3]Sun Country'!$JJ$48</f>
        <v>0</v>
      </c>
      <c r="J29" s="87">
        <f>[3]Alaska!$JJ$48</f>
        <v>829</v>
      </c>
      <c r="K29" s="110">
        <f>SUM(B29:J29)</f>
        <v>829</v>
      </c>
    </row>
    <row r="30" spans="1:258" x14ac:dyDescent="0.2">
      <c r="A30" s="47" t="s">
        <v>39</v>
      </c>
      <c r="B30" s="125">
        <f t="shared" ref="B30" si="13">SUM(B28:B29)</f>
        <v>0</v>
      </c>
      <c r="C30" s="125">
        <f t="shared" ref="C30:F30" si="14">SUM(C28:C29)</f>
        <v>0</v>
      </c>
      <c r="D30" s="125">
        <f t="shared" si="14"/>
        <v>0</v>
      </c>
      <c r="E30" s="125">
        <f t="shared" si="14"/>
        <v>0</v>
      </c>
      <c r="F30" s="125">
        <f t="shared" si="14"/>
        <v>0</v>
      </c>
      <c r="G30" s="125">
        <f t="shared" ref="G30:J30" si="15">SUM(G28:G29)</f>
        <v>0</v>
      </c>
      <c r="H30" s="125">
        <f t="shared" si="15"/>
        <v>156239</v>
      </c>
      <c r="I30" s="125">
        <f t="shared" si="15"/>
        <v>0</v>
      </c>
      <c r="J30" s="125">
        <f t="shared" si="15"/>
        <v>9383</v>
      </c>
      <c r="K30" s="127">
        <f>SUM(B30:J30)</f>
        <v>165622</v>
      </c>
    </row>
    <row r="31" spans="1:258" x14ac:dyDescent="0.2">
      <c r="A31" s="43"/>
      <c r="B31" s="117"/>
      <c r="C31" s="117"/>
      <c r="D31" s="347"/>
      <c r="E31" s="117"/>
      <c r="F31" s="117"/>
      <c r="G31" s="117"/>
      <c r="H31" s="117"/>
      <c r="I31" s="117"/>
      <c r="J31" s="117"/>
      <c r="K31" s="110"/>
    </row>
    <row r="32" spans="1:258" x14ac:dyDescent="0.2">
      <c r="A32" s="43" t="s">
        <v>40</v>
      </c>
      <c r="B32" s="87"/>
      <c r="C32" s="87"/>
      <c r="D32" s="87"/>
      <c r="E32" s="87"/>
      <c r="F32" s="87"/>
      <c r="G32" s="87"/>
      <c r="H32" s="87"/>
      <c r="I32" s="87"/>
      <c r="J32" s="87"/>
      <c r="K32" s="110"/>
    </row>
    <row r="33" spans="1:11" x14ac:dyDescent="0.2">
      <c r="A33" s="43" t="s">
        <v>37</v>
      </c>
      <c r="B33" s="87">
        <f>[3]Frontier!$JJ$52</f>
        <v>0</v>
      </c>
      <c r="C33" s="87">
        <f>'[3]Allegiant '!$JJ$52</f>
        <v>0</v>
      </c>
      <c r="D33" s="87">
        <f>'[3]Aer Lingus'!$JJ$52</f>
        <v>0</v>
      </c>
      <c r="E33" s="87">
        <f>'[3]Denver Air'!$JJ$52</f>
        <v>0</v>
      </c>
      <c r="F33" s="87">
        <f>[3]WestJet!$JJ$52</f>
        <v>0</v>
      </c>
      <c r="G33" s="87">
        <f>[3]Icelandair!$JJ$52</f>
        <v>0</v>
      </c>
      <c r="H33" s="87">
        <f>[3]Southwest!$JJ$52</f>
        <v>36888</v>
      </c>
      <c r="I33" s="87">
        <f>'[3]Sun Country'!$JJ$52</f>
        <v>0</v>
      </c>
      <c r="J33" s="87">
        <f>[3]Alaska!$JJ$52</f>
        <v>13283</v>
      </c>
      <c r="K33" s="110">
        <f>SUM(B33:J33)</f>
        <v>50171</v>
      </c>
    </row>
    <row r="34" spans="1:11" x14ac:dyDescent="0.2">
      <c r="A34" s="43" t="s">
        <v>38</v>
      </c>
      <c r="B34" s="87">
        <f>[3]Frontier!$JJ$53</f>
        <v>0</v>
      </c>
      <c r="C34" s="87">
        <f>'[3]Allegiant '!$JJ$53</f>
        <v>0</v>
      </c>
      <c r="D34" s="87">
        <f>'[3]Aer Lingus'!$JJ$53</f>
        <v>0</v>
      </c>
      <c r="E34" s="87">
        <f>'[3]Denver Air'!$JJ$53</f>
        <v>0</v>
      </c>
      <c r="F34" s="87">
        <f>[3]WestJet!$JJ$53</f>
        <v>0</v>
      </c>
      <c r="G34" s="87">
        <f>[3]Icelandair!$JJ$53</f>
        <v>0</v>
      </c>
      <c r="H34" s="87">
        <f>[3]Southwest!$JJ$53</f>
        <v>0</v>
      </c>
      <c r="I34" s="87">
        <f>'[3]Sun Country'!$JJ$53</f>
        <v>0</v>
      </c>
      <c r="J34" s="87">
        <f>[3]Alaska!$JJ$53</f>
        <v>285</v>
      </c>
      <c r="K34" s="126">
        <f>SUM(B34:J34)</f>
        <v>285</v>
      </c>
    </row>
    <row r="35" spans="1:11" x14ac:dyDescent="0.2">
      <c r="A35" s="47" t="s">
        <v>41</v>
      </c>
      <c r="B35" s="111">
        <f t="shared" ref="B35" si="16">SUM(B33:B34)</f>
        <v>0</v>
      </c>
      <c r="C35" s="111">
        <f t="shared" ref="C35:F35" si="17">SUM(C33:C34)</f>
        <v>0</v>
      </c>
      <c r="D35" s="111">
        <f t="shared" si="17"/>
        <v>0</v>
      </c>
      <c r="E35" s="111">
        <f t="shared" si="17"/>
        <v>0</v>
      </c>
      <c r="F35" s="111">
        <f t="shared" si="17"/>
        <v>0</v>
      </c>
      <c r="G35" s="111">
        <f t="shared" ref="G35:J35" si="18">SUM(G33:G34)</f>
        <v>0</v>
      </c>
      <c r="H35" s="111">
        <f t="shared" si="18"/>
        <v>36888</v>
      </c>
      <c r="I35" s="111">
        <f t="shared" si="18"/>
        <v>0</v>
      </c>
      <c r="J35" s="111">
        <f t="shared" si="18"/>
        <v>13568</v>
      </c>
      <c r="K35" s="127">
        <f>SUM(B35:J35)</f>
        <v>50456</v>
      </c>
    </row>
    <row r="36" spans="1:11" hidden="1" x14ac:dyDescent="0.2">
      <c r="A36" s="43"/>
      <c r="B36" s="117"/>
      <c r="C36" s="117"/>
      <c r="D36" s="347"/>
      <c r="E36" s="117"/>
      <c r="F36" s="117"/>
      <c r="G36" s="117"/>
      <c r="H36" s="117"/>
      <c r="I36" s="117"/>
      <c r="J36" s="117"/>
      <c r="K36" s="110"/>
    </row>
    <row r="37" spans="1:11" hidden="1" x14ac:dyDescent="0.2">
      <c r="A37" s="43" t="s">
        <v>42</v>
      </c>
      <c r="B37" s="117"/>
      <c r="C37" s="117"/>
      <c r="D37" s="347"/>
      <c r="E37" s="117"/>
      <c r="F37" s="117"/>
      <c r="G37" s="117"/>
      <c r="H37" s="117"/>
      <c r="I37" s="117"/>
      <c r="J37" s="117"/>
      <c r="K37" s="110"/>
    </row>
    <row r="38" spans="1:11" hidden="1" x14ac:dyDescent="0.2">
      <c r="A38" s="43" t="s">
        <v>37</v>
      </c>
      <c r="B38" s="117">
        <f>[3]Frontier!$JJ$57</f>
        <v>0</v>
      </c>
      <c r="C38" s="117">
        <f>'[3]Allegiant '!$JJ$57</f>
        <v>0</v>
      </c>
      <c r="D38" s="347">
        <f>'[3]Aer Lingus'!$JJ$57</f>
        <v>0</v>
      </c>
      <c r="E38" s="117">
        <f>'[3]Denver Air'!$JJ$57</f>
        <v>0</v>
      </c>
      <c r="F38" s="117">
        <f>[3]WestJet!$JJ$57</f>
        <v>0</v>
      </c>
      <c r="G38" s="117">
        <f>[3]Icelandair!$JJ$57</f>
        <v>0</v>
      </c>
      <c r="H38" s="117">
        <f>[3]Southwest!$JJ$57</f>
        <v>0</v>
      </c>
      <c r="I38" s="117">
        <f>'[3]Sun Country'!$JJ$57</f>
        <v>0</v>
      </c>
      <c r="J38" s="117">
        <f>[3]Alaska!$JJ$57</f>
        <v>0</v>
      </c>
      <c r="K38" s="110">
        <f>SUM(B38:I38)</f>
        <v>0</v>
      </c>
    </row>
    <row r="39" spans="1:11" hidden="1" x14ac:dyDescent="0.2">
      <c r="A39" s="43" t="s">
        <v>38</v>
      </c>
      <c r="B39" s="120">
        <f>[3]Frontier!$JJ$58</f>
        <v>0</v>
      </c>
      <c r="C39" s="120">
        <f>'[3]Allegiant '!$JJ$58</f>
        <v>0</v>
      </c>
      <c r="D39" s="120">
        <f>'[3]Aer Lingus'!$JJ$58</f>
        <v>0</v>
      </c>
      <c r="E39" s="120">
        <f>'[3]Denver Air'!$JJ$58</f>
        <v>0</v>
      </c>
      <c r="F39" s="120">
        <f>[3]WestJet!$JJ$58</f>
        <v>0</v>
      </c>
      <c r="G39" s="120">
        <f>[3]Icelandair!$JJ$58</f>
        <v>0</v>
      </c>
      <c r="H39" s="120">
        <f>[3]Southwest!$JJ$58</f>
        <v>0</v>
      </c>
      <c r="I39" s="120">
        <f>'[3]Sun Country'!$JJ$58</f>
        <v>0</v>
      </c>
      <c r="J39" s="120">
        <f>[3]Alaska!$JJ$58</f>
        <v>0</v>
      </c>
      <c r="K39" s="126">
        <f>SUM(B39:I39)</f>
        <v>0</v>
      </c>
    </row>
    <row r="40" spans="1:11" hidden="1" x14ac:dyDescent="0.2">
      <c r="A40" s="47" t="s">
        <v>43</v>
      </c>
      <c r="B40" s="128">
        <f t="shared" ref="B40" si="19">SUM(B38:B39)</f>
        <v>0</v>
      </c>
      <c r="C40" s="128">
        <f t="shared" ref="C40:F40" si="20">SUM(C38:C39)</f>
        <v>0</v>
      </c>
      <c r="D40" s="350">
        <f t="shared" si="20"/>
        <v>0</v>
      </c>
      <c r="E40" s="128">
        <f t="shared" si="20"/>
        <v>0</v>
      </c>
      <c r="F40" s="128">
        <f t="shared" si="20"/>
        <v>0</v>
      </c>
      <c r="G40" s="128">
        <f t="shared" ref="G40:J40" si="21">SUM(G38:G39)</f>
        <v>0</v>
      </c>
      <c r="H40" s="128">
        <f t="shared" si="21"/>
        <v>0</v>
      </c>
      <c r="I40" s="128">
        <f t="shared" si="21"/>
        <v>0</v>
      </c>
      <c r="J40" s="128">
        <f t="shared" si="21"/>
        <v>0</v>
      </c>
      <c r="K40" s="110">
        <f>SUM(B40:I40)</f>
        <v>0</v>
      </c>
    </row>
    <row r="41" spans="1:11" x14ac:dyDescent="0.2">
      <c r="A41" s="43"/>
      <c r="B41" s="117"/>
      <c r="C41" s="117"/>
      <c r="D41" s="347"/>
      <c r="E41" s="117"/>
      <c r="F41" s="117"/>
      <c r="G41" s="117"/>
      <c r="H41" s="117"/>
      <c r="I41" s="117"/>
      <c r="J41" s="117"/>
      <c r="K41" s="110"/>
    </row>
    <row r="42" spans="1:11" x14ac:dyDescent="0.2">
      <c r="A42" s="43" t="s">
        <v>44</v>
      </c>
      <c r="B42" s="117"/>
      <c r="C42" s="117"/>
      <c r="D42" s="347"/>
      <c r="E42" s="117"/>
      <c r="F42" s="117"/>
      <c r="G42" s="117"/>
      <c r="H42" s="117"/>
      <c r="I42" s="117"/>
      <c r="J42" s="117"/>
      <c r="K42" s="110"/>
    </row>
    <row r="43" spans="1:11" x14ac:dyDescent="0.2">
      <c r="A43" s="43" t="s">
        <v>45</v>
      </c>
      <c r="B43" s="117">
        <f t="shared" ref="B43" si="22">B28+B33+B38</f>
        <v>0</v>
      </c>
      <c r="C43" s="117">
        <f t="shared" ref="C43:F43" si="23">C28+C33+C38</f>
        <v>0</v>
      </c>
      <c r="D43" s="347">
        <f t="shared" si="23"/>
        <v>0</v>
      </c>
      <c r="E43" s="117">
        <f t="shared" si="23"/>
        <v>0</v>
      </c>
      <c r="F43" s="117">
        <f t="shared" si="23"/>
        <v>0</v>
      </c>
      <c r="G43" s="117">
        <f t="shared" ref="G43:J43" si="24">G28+G33+G38</f>
        <v>0</v>
      </c>
      <c r="H43" s="117">
        <f t="shared" si="24"/>
        <v>193127</v>
      </c>
      <c r="I43" s="117">
        <f t="shared" si="24"/>
        <v>0</v>
      </c>
      <c r="J43" s="117">
        <f t="shared" si="24"/>
        <v>21837</v>
      </c>
      <c r="K43" s="110">
        <f>SUM(B43:J43)</f>
        <v>214964</v>
      </c>
    </row>
    <row r="44" spans="1:11" x14ac:dyDescent="0.2">
      <c r="A44" s="43" t="s">
        <v>38</v>
      </c>
      <c r="B44" s="120">
        <f t="shared" ref="B44" si="25">+B39+B34+B29</f>
        <v>0</v>
      </c>
      <c r="C44" s="120">
        <f t="shared" ref="C44:F44" si="26">+C39+C34+C29</f>
        <v>0</v>
      </c>
      <c r="D44" s="120">
        <f t="shared" si="26"/>
        <v>0</v>
      </c>
      <c r="E44" s="120">
        <f t="shared" si="26"/>
        <v>0</v>
      </c>
      <c r="F44" s="120">
        <f t="shared" si="26"/>
        <v>0</v>
      </c>
      <c r="G44" s="120">
        <f t="shared" ref="G44:J44" si="27">+G39+G34+G29</f>
        <v>0</v>
      </c>
      <c r="H44" s="120">
        <f t="shared" si="27"/>
        <v>0</v>
      </c>
      <c r="I44" s="120">
        <f t="shared" si="27"/>
        <v>0</v>
      </c>
      <c r="J44" s="120">
        <f t="shared" si="27"/>
        <v>1114</v>
      </c>
      <c r="K44" s="110">
        <f>SUM(B44:J44)</f>
        <v>1114</v>
      </c>
    </row>
    <row r="45" spans="1:11" ht="15.75" thickBot="1" x14ac:dyDescent="0.3">
      <c r="A45" s="44" t="s">
        <v>46</v>
      </c>
      <c r="B45" s="129">
        <f t="shared" ref="B45" si="28">B43+B44</f>
        <v>0</v>
      </c>
      <c r="C45" s="129">
        <f t="shared" ref="C45:F45" si="29">C43+C44</f>
        <v>0</v>
      </c>
      <c r="D45" s="129">
        <f t="shared" si="29"/>
        <v>0</v>
      </c>
      <c r="E45" s="129">
        <f t="shared" si="29"/>
        <v>0</v>
      </c>
      <c r="F45" s="129">
        <f t="shared" si="29"/>
        <v>0</v>
      </c>
      <c r="G45" s="129">
        <f t="shared" ref="G45:J45" si="30">G43+G44</f>
        <v>0</v>
      </c>
      <c r="H45" s="129">
        <f t="shared" si="30"/>
        <v>193127</v>
      </c>
      <c r="I45" s="129">
        <f t="shared" si="30"/>
        <v>0</v>
      </c>
      <c r="J45" s="129">
        <f t="shared" si="30"/>
        <v>22951</v>
      </c>
      <c r="K45" s="130">
        <f>SUM(B45:J45)</f>
        <v>216078</v>
      </c>
    </row>
    <row r="48" spans="1:11" x14ac:dyDescent="0.2">
      <c r="A48" s="264" t="s">
        <v>120</v>
      </c>
      <c r="B48" s="275"/>
      <c r="C48" s="275"/>
      <c r="D48" s="275"/>
      <c r="E48" s="275"/>
      <c r="F48" s="275"/>
      <c r="H48" s="231">
        <f>[3]Southwest!$JJ$70+[3]Southwest!$JJ$73</f>
        <v>0</v>
      </c>
      <c r="I48" s="231">
        <f>'[3]Sun Country'!$JJ$70+'[3]Sun Country'!$JJ$73</f>
        <v>0</v>
      </c>
      <c r="J48" s="275"/>
      <c r="K48" s="220">
        <f>SUM(B48:J48)</f>
        <v>0</v>
      </c>
    </row>
    <row r="49" spans="1:11" x14ac:dyDescent="0.2">
      <c r="A49" s="277" t="s">
        <v>121</v>
      </c>
      <c r="B49" s="275"/>
      <c r="C49" s="275"/>
      <c r="D49" s="275"/>
      <c r="E49" s="275"/>
      <c r="F49" s="275"/>
      <c r="H49" s="231">
        <f>[3]Southwest!$JJ$71+[3]Southwest!$JJ$74</f>
        <v>0</v>
      </c>
      <c r="I49" s="231">
        <f>'[3]Sun Country'!$JJ$71+'[3]Sun Country'!$JJ$74</f>
        <v>0</v>
      </c>
      <c r="J49" s="275"/>
      <c r="K49" s="220">
        <f>SUM(B49:J49)</f>
        <v>0</v>
      </c>
    </row>
  </sheetData>
  <phoneticPr fontId="6" type="noConversion"/>
  <printOptions horizontalCentered="1"/>
  <pageMargins left="0.75" right="0.75" top="1" bottom="1" header="0.5" footer="0.5"/>
  <pageSetup scale="80" orientation="landscape" r:id="rId1"/>
  <headerFooter alignWithMargins="0">
    <oddHeader>&amp;L
Schedule 3
&amp;CMinneapolis-St. Paul International Airport
&amp;"Arial,Bold"&amp;A
March 2025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50"/>
  <sheetViews>
    <sheetView zoomScaleNormal="100" zoomScaleSheetLayoutView="115" workbookViewId="0">
      <selection activeCell="K46" sqref="K46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9.28515625" customWidth="1"/>
    <col min="4" max="4" width="10.42578125" bestFit="1" customWidth="1"/>
    <col min="5" max="6" width="10" customWidth="1"/>
    <col min="7" max="7" width="10.140625" bestFit="1" customWidth="1"/>
    <col min="8" max="8" width="9.5703125" bestFit="1" customWidth="1"/>
    <col min="9" max="9" width="9.7109375" bestFit="1" customWidth="1"/>
    <col min="10" max="10" width="9.42578125" bestFit="1" customWidth="1"/>
    <col min="11" max="11" width="10.5703125" bestFit="1" customWidth="1"/>
  </cols>
  <sheetData>
    <row r="1" spans="1:14" x14ac:dyDescent="0.2">
      <c r="A1" s="273"/>
    </row>
    <row r="2" spans="1:14" ht="26.25" thickBot="1" x14ac:dyDescent="0.25">
      <c r="A2" s="384">
        <v>45717</v>
      </c>
      <c r="B2" s="392" t="s">
        <v>154</v>
      </c>
      <c r="C2" s="392" t="s">
        <v>156</v>
      </c>
      <c r="D2" s="392" t="s">
        <v>162</v>
      </c>
      <c r="E2" s="392" t="s">
        <v>161</v>
      </c>
      <c r="F2" s="392" t="s">
        <v>181</v>
      </c>
      <c r="G2" s="392" t="s">
        <v>166</v>
      </c>
      <c r="H2" s="392" t="s">
        <v>169</v>
      </c>
      <c r="I2" s="392" t="s">
        <v>165</v>
      </c>
      <c r="J2" s="392" t="s">
        <v>115</v>
      </c>
      <c r="K2" s="392" t="s">
        <v>21</v>
      </c>
    </row>
    <row r="3" spans="1:14" ht="15.75" thickTop="1" x14ac:dyDescent="0.25">
      <c r="A3" s="193" t="s">
        <v>3</v>
      </c>
      <c r="B3" s="92"/>
      <c r="C3" s="93"/>
      <c r="D3" s="92"/>
      <c r="E3" s="92"/>
      <c r="F3" s="92"/>
      <c r="G3" s="92"/>
      <c r="H3" s="92"/>
      <c r="I3" s="92"/>
      <c r="J3" s="92"/>
      <c r="K3" s="94"/>
    </row>
    <row r="4" spans="1:14" x14ac:dyDescent="0.2">
      <c r="A4" s="43" t="s">
        <v>29</v>
      </c>
      <c r="B4" s="87"/>
      <c r="C4" s="79"/>
      <c r="D4" s="87"/>
      <c r="E4" s="87"/>
      <c r="F4" s="87"/>
      <c r="G4" s="87"/>
      <c r="H4" s="87"/>
      <c r="I4" s="87"/>
      <c r="J4" s="87"/>
      <c r="K4" s="80"/>
    </row>
    <row r="5" spans="1:14" x14ac:dyDescent="0.2">
      <c r="A5" s="43" t="s">
        <v>30</v>
      </c>
      <c r="B5" s="79">
        <f>[3]Pinnacle!$JJ$22+[3]Pinnacle!$JJ$32</f>
        <v>75948</v>
      </c>
      <c r="C5" s="79">
        <f>[3]MESA_UA!$JJ$22</f>
        <v>5933</v>
      </c>
      <c r="D5" s="87">
        <f>'[3]Sky West'!$JJ$22+'[3]Sky West'!$JJ$32</f>
        <v>106653</v>
      </c>
      <c r="E5" s="87">
        <f>'[3]Sky West_UA'!$JJ$22</f>
        <v>2183</v>
      </c>
      <c r="F5" s="87">
        <f>'[3]Sky West_AA'!$JJ$22</f>
        <v>46</v>
      </c>
      <c r="G5" s="87">
        <f>[3]Republic!$JJ$22</f>
        <v>7497</v>
      </c>
      <c r="H5" s="87">
        <f>[3]Republic_UA!$JJ$22</f>
        <v>7476</v>
      </c>
      <c r="I5" s="87">
        <f>'[3]American Eagle'!$JJ$22</f>
        <v>1038</v>
      </c>
      <c r="J5" s="87">
        <f>'Other Regional'!I5</f>
        <v>10818</v>
      </c>
      <c r="K5" s="80">
        <f>SUM(B5:J5)</f>
        <v>217592</v>
      </c>
    </row>
    <row r="6" spans="1:14" s="6" customFormat="1" x14ac:dyDescent="0.2">
      <c r="A6" s="43" t="s">
        <v>31</v>
      </c>
      <c r="B6" s="79">
        <f>[3]Pinnacle!$JJ$23+[3]Pinnacle!$JJ$33</f>
        <v>76816</v>
      </c>
      <c r="C6" s="79">
        <f>[3]MESA_UA!$JJ$23</f>
        <v>6308</v>
      </c>
      <c r="D6" s="87">
        <f>'[3]Sky West'!$JJ$23+'[3]Sky West'!$JJ$33</f>
        <v>110535</v>
      </c>
      <c r="E6" s="87">
        <f>'[3]Sky West_UA'!$JJ$23</f>
        <v>1809</v>
      </c>
      <c r="F6" s="87">
        <f>'[3]Sky West_AA'!$JJ$23</f>
        <v>62</v>
      </c>
      <c r="G6" s="87">
        <f>[3]Republic!$JJ$23</f>
        <v>8114</v>
      </c>
      <c r="H6" s="87">
        <f>[3]Republic_UA!$JJ$23</f>
        <v>7896</v>
      </c>
      <c r="I6" s="87">
        <f>'[3]American Eagle'!$JJ$23</f>
        <v>1068</v>
      </c>
      <c r="J6" s="87">
        <f>'Other Regional'!I6</f>
        <v>11615</v>
      </c>
      <c r="K6" s="84">
        <f>SUM(B6:J6)</f>
        <v>224223</v>
      </c>
    </row>
    <row r="7" spans="1:14" ht="15" thickBot="1" x14ac:dyDescent="0.25">
      <c r="A7" s="52" t="s">
        <v>7</v>
      </c>
      <c r="B7" s="97">
        <f>SUM(B5:B6)</f>
        <v>152764</v>
      </c>
      <c r="C7" s="97">
        <f t="shared" ref="C7:J7" si="0">SUM(C5:C6)</f>
        <v>12241</v>
      </c>
      <c r="D7" s="97">
        <f t="shared" si="0"/>
        <v>217188</v>
      </c>
      <c r="E7" s="97">
        <f t="shared" si="0"/>
        <v>3992</v>
      </c>
      <c r="F7" s="97">
        <f t="shared" ref="F7" si="1">SUM(F5:F6)</f>
        <v>108</v>
      </c>
      <c r="G7" s="97">
        <f t="shared" si="0"/>
        <v>15611</v>
      </c>
      <c r="H7" s="97">
        <f t="shared" si="0"/>
        <v>15372</v>
      </c>
      <c r="I7" s="97">
        <f t="shared" si="0"/>
        <v>2106</v>
      </c>
      <c r="J7" s="97">
        <f t="shared" si="0"/>
        <v>22433</v>
      </c>
      <c r="K7" s="98">
        <f>SUM(B7:J7)</f>
        <v>441815</v>
      </c>
    </row>
    <row r="8" spans="1:14" ht="13.5" thickTop="1" x14ac:dyDescent="0.2">
      <c r="A8" s="43"/>
      <c r="B8" s="87"/>
      <c r="C8" s="79"/>
      <c r="D8" s="87"/>
      <c r="E8" s="87"/>
      <c r="F8" s="87"/>
      <c r="G8" s="87"/>
      <c r="H8" s="87"/>
      <c r="I8" s="87"/>
      <c r="J8" s="87"/>
      <c r="K8" s="99"/>
      <c r="N8" s="87"/>
    </row>
    <row r="9" spans="1:14" s="6" customFormat="1" x14ac:dyDescent="0.2">
      <c r="A9" s="43" t="s">
        <v>32</v>
      </c>
      <c r="B9" s="87"/>
      <c r="C9" s="79"/>
      <c r="D9" s="87"/>
      <c r="E9" s="87"/>
      <c r="F9" s="87"/>
      <c r="G9" s="87"/>
      <c r="H9" s="87"/>
      <c r="I9" s="87"/>
      <c r="J9" s="87"/>
      <c r="K9" s="80"/>
    </row>
    <row r="10" spans="1:14" x14ac:dyDescent="0.2">
      <c r="A10" s="43" t="s">
        <v>30</v>
      </c>
      <c r="B10" s="79">
        <f>[3]Pinnacle!$JJ$27+[3]Pinnacle!$JJ$37</f>
        <v>2397</v>
      </c>
      <c r="C10" s="79">
        <f>[3]MESA_UA!$JJ$27</f>
        <v>214</v>
      </c>
      <c r="D10" s="87">
        <f>'[3]Sky West'!$JJ$27+'[3]Sky West'!$JJ$37</f>
        <v>3680</v>
      </c>
      <c r="E10" s="87">
        <f>'[3]Sky West_UA'!$JJ$27</f>
        <v>129</v>
      </c>
      <c r="F10" s="87">
        <f>'[3]Sky West_AA'!$JJ$27</f>
        <v>4</v>
      </c>
      <c r="G10" s="87">
        <f>[3]Republic!$JJ$27</f>
        <v>283</v>
      </c>
      <c r="H10" s="87">
        <f>[3]Republic_UA!$JJ$27</f>
        <v>216</v>
      </c>
      <c r="I10" s="87">
        <f>'[3]American Eagle'!$JJ$27</f>
        <v>48</v>
      </c>
      <c r="J10" s="87">
        <f>'Other Regional'!I10</f>
        <v>278</v>
      </c>
      <c r="K10" s="80">
        <f>SUM(B10:J10)</f>
        <v>7249</v>
      </c>
    </row>
    <row r="11" spans="1:14" x14ac:dyDescent="0.2">
      <c r="A11" s="43" t="s">
        <v>33</v>
      </c>
      <c r="B11" s="79">
        <f>[3]Pinnacle!$JJ$28+[3]Pinnacle!$JJ$38</f>
        <v>2499</v>
      </c>
      <c r="C11" s="79">
        <f>[3]MESA_UA!$JJ$28</f>
        <v>154</v>
      </c>
      <c r="D11" s="87">
        <f>'[3]Sky West'!$JJ$28+'[3]Sky West'!$JJ$38</f>
        <v>3571</v>
      </c>
      <c r="E11" s="87">
        <f>'[3]Sky West_UA'!$JJ$28</f>
        <v>109</v>
      </c>
      <c r="F11" s="87">
        <f>'[3]Sky West_AA'!$JJ$28</f>
        <v>2</v>
      </c>
      <c r="G11" s="87">
        <f>[3]Republic!$JJ$28</f>
        <v>296</v>
      </c>
      <c r="H11" s="87">
        <f>[3]Republic_UA!$JJ$28</f>
        <v>216</v>
      </c>
      <c r="I11" s="87">
        <f>'[3]American Eagle'!$JJ$28</f>
        <v>53</v>
      </c>
      <c r="J11" s="87">
        <f>'Other Regional'!I11</f>
        <v>286</v>
      </c>
      <c r="K11" s="84">
        <f>SUM(B11:J11)</f>
        <v>7186</v>
      </c>
    </row>
    <row r="12" spans="1:14" ht="15" thickBot="1" x14ac:dyDescent="0.25">
      <c r="A12" s="53" t="s">
        <v>34</v>
      </c>
      <c r="B12" s="100">
        <f t="shared" ref="B12:J12" si="2">SUM(B10:B11)</f>
        <v>4896</v>
      </c>
      <c r="C12" s="100">
        <f t="shared" si="2"/>
        <v>368</v>
      </c>
      <c r="D12" s="100">
        <f t="shared" si="2"/>
        <v>7251</v>
      </c>
      <c r="E12" s="100">
        <f t="shared" si="2"/>
        <v>238</v>
      </c>
      <c r="F12" s="100">
        <f t="shared" ref="F12" si="3">SUM(F10:F11)</f>
        <v>6</v>
      </c>
      <c r="G12" s="100">
        <f t="shared" si="2"/>
        <v>579</v>
      </c>
      <c r="H12" s="100">
        <f t="shared" si="2"/>
        <v>432</v>
      </c>
      <c r="I12" s="100">
        <f t="shared" si="2"/>
        <v>101</v>
      </c>
      <c r="J12" s="100">
        <f t="shared" si="2"/>
        <v>564</v>
      </c>
      <c r="K12" s="101">
        <f>SUM(B12:J12)</f>
        <v>14435</v>
      </c>
    </row>
    <row r="13" spans="1:14" ht="13.5" thickBot="1" x14ac:dyDescent="0.25">
      <c r="B13" s="87"/>
    </row>
    <row r="14" spans="1:14" ht="15.75" thickTop="1" x14ac:dyDescent="0.25">
      <c r="A14" s="42" t="s">
        <v>9</v>
      </c>
      <c r="B14" s="424" t="s">
        <v>215</v>
      </c>
      <c r="C14" s="75"/>
      <c r="D14" s="74"/>
      <c r="E14" s="74"/>
      <c r="F14" s="74"/>
      <c r="G14" s="74"/>
      <c r="H14" s="74"/>
      <c r="I14" s="74"/>
      <c r="J14" s="74"/>
      <c r="K14" s="76">
        <f t="shared" ref="K14:K21" si="4">SUM(B14:J14)</f>
        <v>0</v>
      </c>
    </row>
    <row r="15" spans="1:14" x14ac:dyDescent="0.2">
      <c r="A15" s="43" t="s">
        <v>53</v>
      </c>
      <c r="B15" s="11">
        <f>[3]Pinnacle!$JJ$4+[3]Pinnacle!$JJ$15</f>
        <v>1272</v>
      </c>
      <c r="C15" s="78">
        <f>[3]MESA_UA!$JJ$4</f>
        <v>96</v>
      </c>
      <c r="D15" s="77">
        <f>'[3]Sky West'!$JJ$4+'[3]Sky West'!$JJ$15</f>
        <v>2098</v>
      </c>
      <c r="E15" s="77">
        <f>'[3]Sky West_UA'!$JJ$4</f>
        <v>37</v>
      </c>
      <c r="F15" s="77">
        <f>'[3]Sky West_AA'!$JJ$4</f>
        <v>1</v>
      </c>
      <c r="G15" s="79">
        <f>[3]Republic!$JJ$4</f>
        <v>123</v>
      </c>
      <c r="H15" s="321">
        <f>[3]Republic_UA!$JJ$4</f>
        <v>116</v>
      </c>
      <c r="I15" s="79">
        <f>'[3]American Eagle'!$JJ$4</f>
        <v>18</v>
      </c>
      <c r="J15" s="78">
        <f>'Other Regional'!I15</f>
        <v>200</v>
      </c>
      <c r="K15" s="80">
        <f t="shared" si="4"/>
        <v>3961</v>
      </c>
    </row>
    <row r="16" spans="1:14" x14ac:dyDescent="0.2">
      <c r="A16" s="43" t="s">
        <v>54</v>
      </c>
      <c r="B16" s="7">
        <f>[3]Pinnacle!$JJ$5+[3]Pinnacle!$JJ$16</f>
        <v>1268</v>
      </c>
      <c r="C16" s="82">
        <f>[3]MESA_UA!$JJ$5</f>
        <v>96</v>
      </c>
      <c r="D16" s="81">
        <f>'[3]Sky West'!$JJ$5+'[3]Sky West'!$JJ$16</f>
        <v>2095</v>
      </c>
      <c r="E16" s="81">
        <f>'[3]Sky West_UA'!$JJ$5</f>
        <v>35</v>
      </c>
      <c r="F16" s="81">
        <f>'[3]Sky West_AA'!$JJ$5</f>
        <v>1</v>
      </c>
      <c r="G16" s="83">
        <f>[3]Republic!$JJ$5</f>
        <v>123</v>
      </c>
      <c r="H16" s="208">
        <f>[3]Republic_UA!$JJ$5</f>
        <v>119</v>
      </c>
      <c r="I16" s="83">
        <f>'[3]American Eagle'!$JJ$5</f>
        <v>18</v>
      </c>
      <c r="J16" s="82">
        <f>'Other Regional'!I16</f>
        <v>200</v>
      </c>
      <c r="K16" s="84">
        <f t="shared" si="4"/>
        <v>3955</v>
      </c>
      <c r="M16" s="87"/>
      <c r="N16" s="87"/>
    </row>
    <row r="17" spans="1:11" x14ac:dyDescent="0.2">
      <c r="A17" s="47" t="s">
        <v>55</v>
      </c>
      <c r="B17" s="85">
        <f t="shared" ref="B17:E17" si="5">SUM(B15:B16)</f>
        <v>2540</v>
      </c>
      <c r="C17" s="85">
        <f t="shared" si="5"/>
        <v>192</v>
      </c>
      <c r="D17" s="85">
        <f t="shared" si="5"/>
        <v>4193</v>
      </c>
      <c r="E17" s="85">
        <f t="shared" si="5"/>
        <v>72</v>
      </c>
      <c r="F17" s="85">
        <f t="shared" ref="F17" si="6">SUM(F15:F16)</f>
        <v>2</v>
      </c>
      <c r="G17" s="85">
        <f>SUM(G15:G16)</f>
        <v>246</v>
      </c>
      <c r="H17" s="85">
        <f t="shared" ref="H17" si="7">SUM(H15:H16)</f>
        <v>235</v>
      </c>
      <c r="I17" s="85">
        <f>SUM(I15:I16)</f>
        <v>36</v>
      </c>
      <c r="J17" s="85">
        <f>SUM(J15:J16)</f>
        <v>400</v>
      </c>
      <c r="K17" s="86">
        <f t="shared" si="4"/>
        <v>7916</v>
      </c>
    </row>
    <row r="18" spans="1:11" x14ac:dyDescent="0.2">
      <c r="A18" s="43" t="s">
        <v>56</v>
      </c>
      <c r="B18" s="87">
        <f>[3]Pinnacle!$JJ$8</f>
        <v>0</v>
      </c>
      <c r="C18" s="79">
        <f>[3]MESA_UA!$JJ$8</f>
        <v>1</v>
      </c>
      <c r="D18" s="87">
        <f>'[3]Sky West'!$JJ$8</f>
        <v>0</v>
      </c>
      <c r="E18" s="87">
        <f>'[3]Sky West_UA'!$JJ$8</f>
        <v>1</v>
      </c>
      <c r="F18" s="87">
        <f>'[3]Sky West_AA'!$JJ$8</f>
        <v>0</v>
      </c>
      <c r="G18" s="87">
        <f>[3]Republic!$JJ$8</f>
        <v>0</v>
      </c>
      <c r="H18" s="87">
        <f>[3]Republic_UA!$JJ$8</f>
        <v>1</v>
      </c>
      <c r="I18" s="87">
        <f>'[3]American Eagle'!$JJ$8</f>
        <v>0</v>
      </c>
      <c r="J18" s="87">
        <f>'Other Regional'!I18</f>
        <v>0</v>
      </c>
      <c r="K18" s="80">
        <f t="shared" si="4"/>
        <v>3</v>
      </c>
    </row>
    <row r="19" spans="1:11" x14ac:dyDescent="0.2">
      <c r="A19" s="43" t="s">
        <v>57</v>
      </c>
      <c r="B19" s="88">
        <f>[3]Pinnacle!$JJ$9</f>
        <v>2</v>
      </c>
      <c r="C19" s="83">
        <f>[3]MESA_UA!$JJ$9</f>
        <v>1</v>
      </c>
      <c r="D19" s="88">
        <f>'[3]Sky West'!$JJ$9</f>
        <v>1</v>
      </c>
      <c r="E19" s="88">
        <f>'[3]Sky West_UA'!$JJ$9</f>
        <v>2</v>
      </c>
      <c r="F19" s="88">
        <f>'[3]Sky West_AA'!$JJ$9</f>
        <v>0</v>
      </c>
      <c r="G19" s="88">
        <f>[3]Republic!$JJ$9</f>
        <v>0</v>
      </c>
      <c r="H19" s="88">
        <f>[3]Republic_UA!$JJ$9</f>
        <v>0</v>
      </c>
      <c r="I19" s="88">
        <f>'[3]American Eagle'!$JJ$9</f>
        <v>0</v>
      </c>
      <c r="J19" s="88">
        <f>'Other Regional'!I19</f>
        <v>0</v>
      </c>
      <c r="K19" s="84">
        <f t="shared" si="4"/>
        <v>6</v>
      </c>
    </row>
    <row r="20" spans="1:11" x14ac:dyDescent="0.2">
      <c r="A20" s="47" t="s">
        <v>58</v>
      </c>
      <c r="B20" s="85">
        <f t="shared" ref="B20:J20" si="8">SUM(B18:B19)</f>
        <v>2</v>
      </c>
      <c r="C20" s="85">
        <f t="shared" si="8"/>
        <v>2</v>
      </c>
      <c r="D20" s="85">
        <f t="shared" si="8"/>
        <v>1</v>
      </c>
      <c r="E20" s="85">
        <f t="shared" si="8"/>
        <v>3</v>
      </c>
      <c r="F20" s="85">
        <f t="shared" ref="F20" si="9">SUM(F18:F19)</f>
        <v>0</v>
      </c>
      <c r="G20" s="85">
        <f t="shared" si="8"/>
        <v>0</v>
      </c>
      <c r="H20" s="85">
        <f t="shared" si="8"/>
        <v>1</v>
      </c>
      <c r="I20" s="85">
        <f t="shared" si="8"/>
        <v>0</v>
      </c>
      <c r="J20" s="85">
        <f t="shared" si="8"/>
        <v>0</v>
      </c>
      <c r="K20" s="86">
        <f t="shared" si="4"/>
        <v>9</v>
      </c>
    </row>
    <row r="21" spans="1:11" ht="15.75" thickBot="1" x14ac:dyDescent="0.3">
      <c r="A21" s="51" t="s">
        <v>28</v>
      </c>
      <c r="B21" s="89">
        <f>SUM(B20,B17)</f>
        <v>2542</v>
      </c>
      <c r="C21" s="89">
        <f t="shared" ref="C21:I21" si="10">SUM(C20,C17)</f>
        <v>194</v>
      </c>
      <c r="D21" s="89">
        <f t="shared" si="10"/>
        <v>4194</v>
      </c>
      <c r="E21" s="89">
        <f t="shared" si="10"/>
        <v>75</v>
      </c>
      <c r="F21" s="89">
        <f t="shared" ref="F21" si="11">SUM(F20,F17)</f>
        <v>2</v>
      </c>
      <c r="G21" s="89">
        <f t="shared" si="10"/>
        <v>246</v>
      </c>
      <c r="H21" s="89">
        <f t="shared" si="10"/>
        <v>236</v>
      </c>
      <c r="I21" s="89">
        <f t="shared" si="10"/>
        <v>36</v>
      </c>
      <c r="J21" s="89">
        <f>SUM(J20,J17)</f>
        <v>400</v>
      </c>
      <c r="K21" s="90">
        <f t="shared" si="4"/>
        <v>7925</v>
      </c>
    </row>
    <row r="22" spans="1:11" ht="13.5" thickBot="1" x14ac:dyDescent="0.25"/>
    <row r="23" spans="1:11" ht="15.75" thickTop="1" x14ac:dyDescent="0.25">
      <c r="A23" s="46" t="s">
        <v>114</v>
      </c>
      <c r="B23" s="102"/>
      <c r="C23" s="103"/>
      <c r="D23" s="102"/>
      <c r="E23" s="102"/>
      <c r="F23" s="102"/>
      <c r="G23" s="102"/>
      <c r="H23" s="102"/>
      <c r="I23" s="102"/>
      <c r="J23" s="102"/>
      <c r="K23" s="104"/>
    </row>
    <row r="24" spans="1:11" x14ac:dyDescent="0.2">
      <c r="A24" s="43" t="s">
        <v>36</v>
      </c>
      <c r="B24" s="87"/>
      <c r="C24" s="79"/>
      <c r="D24" s="87"/>
      <c r="E24" s="87"/>
      <c r="F24" s="87"/>
      <c r="G24" s="87"/>
      <c r="H24" s="87"/>
      <c r="I24" s="87"/>
      <c r="J24" s="87"/>
      <c r="K24" s="80"/>
    </row>
    <row r="25" spans="1:11" x14ac:dyDescent="0.2">
      <c r="A25" s="43" t="s">
        <v>37</v>
      </c>
      <c r="B25" s="87">
        <f>[3]Pinnacle!$JJ$47</f>
        <v>0</v>
      </c>
      <c r="C25" s="79">
        <f>[3]MESA_UA!$JJ$47</f>
        <v>0</v>
      </c>
      <c r="D25" s="87">
        <f>'[3]Sky West'!$JJ$47</f>
        <v>0</v>
      </c>
      <c r="E25" s="87">
        <f>'[3]Sky West_UA'!$JJ$47</f>
        <v>0</v>
      </c>
      <c r="F25" s="87">
        <f>'[3]Sky West_AA'!$JJ$47</f>
        <v>0</v>
      </c>
      <c r="G25" s="87">
        <f>[3]Republic!$JJ$47</f>
        <v>1889</v>
      </c>
      <c r="H25" s="87">
        <f>[3]Republic_UA!$JJ$47</f>
        <v>0</v>
      </c>
      <c r="I25" s="87">
        <f>'[3]American Eagle'!$JJ$47</f>
        <v>0</v>
      </c>
      <c r="J25" s="87">
        <f>'Other Regional'!I25</f>
        <v>12003.9</v>
      </c>
      <c r="K25" s="80">
        <f>SUM(B25:J25)</f>
        <v>13892.9</v>
      </c>
    </row>
    <row r="26" spans="1:11" x14ac:dyDescent="0.2">
      <c r="A26" s="43" t="s">
        <v>38</v>
      </c>
      <c r="B26" s="87">
        <f>[3]Pinnacle!$JJ$48</f>
        <v>0</v>
      </c>
      <c r="C26" s="79">
        <f>[3]MESA_UA!$JJ$48</f>
        <v>0</v>
      </c>
      <c r="D26" s="87">
        <f>'[3]Sky West'!$JJ$48</f>
        <v>0</v>
      </c>
      <c r="E26" s="87">
        <f>'[3]Sky West_UA'!$JJ$48</f>
        <v>0</v>
      </c>
      <c r="F26" s="87">
        <f>'[3]Sky West_AA'!$JJ$48</f>
        <v>0</v>
      </c>
      <c r="G26" s="87">
        <f>[3]Republic!$JJ$48</f>
        <v>0</v>
      </c>
      <c r="H26" s="87">
        <f>[3]Republic_UA!$JJ$48</f>
        <v>0</v>
      </c>
      <c r="I26" s="87">
        <f>'[3]American Eagle'!$JJ$48</f>
        <v>0</v>
      </c>
      <c r="J26" s="87">
        <f>'Other Regional'!I26</f>
        <v>0</v>
      </c>
      <c r="K26" s="80">
        <f>SUM(B26:J26)</f>
        <v>0</v>
      </c>
    </row>
    <row r="27" spans="1:11" ht="15" thickBot="1" x14ac:dyDescent="0.25">
      <c r="A27" s="52" t="s">
        <v>39</v>
      </c>
      <c r="B27" s="97">
        <f t="shared" ref="B27:J27" si="12">SUM(B25:B26)</f>
        <v>0</v>
      </c>
      <c r="C27" s="97">
        <f t="shared" si="12"/>
        <v>0</v>
      </c>
      <c r="D27" s="97">
        <f t="shared" si="12"/>
        <v>0</v>
      </c>
      <c r="E27" s="97">
        <f t="shared" si="12"/>
        <v>0</v>
      </c>
      <c r="F27" s="97">
        <f t="shared" ref="F27" si="13">SUM(F25:F26)</f>
        <v>0</v>
      </c>
      <c r="G27" s="97">
        <f t="shared" si="12"/>
        <v>1889</v>
      </c>
      <c r="H27" s="97">
        <f t="shared" si="12"/>
        <v>0</v>
      </c>
      <c r="I27" s="97">
        <f t="shared" si="12"/>
        <v>0</v>
      </c>
      <c r="J27" s="97">
        <f t="shared" si="12"/>
        <v>12003.9</v>
      </c>
      <c r="K27" s="98">
        <f>SUM(B27:J27)</f>
        <v>13892.9</v>
      </c>
    </row>
    <row r="28" spans="1:11" ht="13.5" thickTop="1" x14ac:dyDescent="0.2">
      <c r="A28" s="43"/>
      <c r="B28" s="87"/>
      <c r="C28" s="79"/>
      <c r="D28" s="87"/>
      <c r="E28" s="87"/>
      <c r="F28" s="87"/>
      <c r="G28" s="87"/>
      <c r="H28" s="87"/>
      <c r="I28" s="87"/>
      <c r="J28" s="87"/>
      <c r="K28" s="80"/>
    </row>
    <row r="29" spans="1:11" x14ac:dyDescent="0.2">
      <c r="A29" s="43" t="s">
        <v>40</v>
      </c>
      <c r="B29" s="87"/>
      <c r="C29" s="79"/>
      <c r="D29" s="87"/>
      <c r="E29" s="87"/>
      <c r="F29" s="87"/>
      <c r="G29" s="87"/>
      <c r="H29" s="87"/>
      <c r="I29" s="87"/>
      <c r="K29" s="80"/>
    </row>
    <row r="30" spans="1:11" x14ac:dyDescent="0.2">
      <c r="A30" s="43" t="s">
        <v>59</v>
      </c>
      <c r="B30" s="87">
        <f>[3]Pinnacle!$JJ$52</f>
        <v>0</v>
      </c>
      <c r="C30" s="79">
        <f>[3]MESA_UA!$JJ$52</f>
        <v>0</v>
      </c>
      <c r="D30" s="87">
        <f>'[3]Sky West'!$JJ$52</f>
        <v>0</v>
      </c>
      <c r="E30" s="87">
        <f>'[3]Sky West_UA'!$JJ$52</f>
        <v>0</v>
      </c>
      <c r="F30" s="87">
        <f>'[3]Sky West_AA'!$JJ$52</f>
        <v>0</v>
      </c>
      <c r="G30" s="87">
        <f>[3]Republic!$JJ$52</f>
        <v>152</v>
      </c>
      <c r="H30" s="87">
        <f>[3]Republic_UA!$JJ$52</f>
        <v>0</v>
      </c>
      <c r="I30" s="87">
        <f>'[3]American Eagle'!$JJ$52</f>
        <v>0</v>
      </c>
      <c r="J30" s="87">
        <f>'Other Regional'!I30</f>
        <v>11155.6</v>
      </c>
      <c r="K30" s="80">
        <f t="shared" ref="K30:K37" si="14">SUM(B30:J30)</f>
        <v>11307.6</v>
      </c>
    </row>
    <row r="31" spans="1:11" x14ac:dyDescent="0.2">
      <c r="A31" s="43" t="s">
        <v>60</v>
      </c>
      <c r="B31" s="87">
        <f>[3]Pinnacle!$JJ$53</f>
        <v>0</v>
      </c>
      <c r="C31" s="79">
        <f>[3]MESA_UA!$JJ$53</f>
        <v>0</v>
      </c>
      <c r="D31" s="87">
        <f>'[3]Sky West'!$JJ$53</f>
        <v>0</v>
      </c>
      <c r="E31" s="87">
        <f>'[3]Sky West_UA'!$JJ$53</f>
        <v>0</v>
      </c>
      <c r="F31" s="87">
        <f>'[3]Sky West_AA'!$JJ$53</f>
        <v>0</v>
      </c>
      <c r="G31" s="87">
        <f>[3]Republic!$JJ$53</f>
        <v>0</v>
      </c>
      <c r="H31" s="87">
        <f>[3]Republic_UA!$JJ$53</f>
        <v>0</v>
      </c>
      <c r="I31" s="87">
        <f>'[3]American Eagle'!$JJ$53</f>
        <v>0</v>
      </c>
      <c r="J31" s="87">
        <f>'Other Regional'!I31</f>
        <v>0</v>
      </c>
      <c r="K31" s="80">
        <f t="shared" si="14"/>
        <v>0</v>
      </c>
    </row>
    <row r="32" spans="1:11" ht="15" thickBot="1" x14ac:dyDescent="0.25">
      <c r="A32" s="52" t="s">
        <v>41</v>
      </c>
      <c r="B32" s="97">
        <f t="shared" ref="B32:I32" si="15">SUM(B30:B31)</f>
        <v>0</v>
      </c>
      <c r="C32" s="97">
        <f t="shared" si="15"/>
        <v>0</v>
      </c>
      <c r="D32" s="97">
        <f t="shared" si="15"/>
        <v>0</v>
      </c>
      <c r="E32" s="97">
        <f t="shared" si="15"/>
        <v>0</v>
      </c>
      <c r="F32" s="97">
        <f t="shared" ref="F32" si="16">SUM(F30:F31)</f>
        <v>0</v>
      </c>
      <c r="G32" s="97">
        <f t="shared" si="15"/>
        <v>152</v>
      </c>
      <c r="H32" s="97">
        <f t="shared" si="15"/>
        <v>0</v>
      </c>
      <c r="I32" s="97">
        <f t="shared" si="15"/>
        <v>0</v>
      </c>
      <c r="J32" s="97">
        <f>SUM(J30:J31)</f>
        <v>11155.6</v>
      </c>
      <c r="K32" s="98">
        <f t="shared" si="14"/>
        <v>11307.6</v>
      </c>
    </row>
    <row r="33" spans="1:11" ht="13.5" hidden="1" thickTop="1" x14ac:dyDescent="0.2">
      <c r="A33" s="43"/>
      <c r="B33" s="87"/>
      <c r="C33" s="79"/>
      <c r="D33" s="87"/>
      <c r="E33" s="87"/>
      <c r="F33" s="87"/>
      <c r="G33" s="87"/>
      <c r="H33" s="87"/>
      <c r="I33" s="87"/>
      <c r="J33" s="87"/>
      <c r="K33" s="80">
        <f t="shared" si="14"/>
        <v>0</v>
      </c>
    </row>
    <row r="34" spans="1:11" ht="13.5" hidden="1" thickTop="1" x14ac:dyDescent="0.2">
      <c r="A34" s="43" t="s">
        <v>42</v>
      </c>
      <c r="B34" s="87"/>
      <c r="C34" s="79"/>
      <c r="D34" s="87"/>
      <c r="E34" s="87"/>
      <c r="F34" s="87"/>
      <c r="G34" s="87"/>
      <c r="H34" s="87"/>
      <c r="I34" s="87"/>
      <c r="J34" s="87"/>
      <c r="K34" s="80">
        <f t="shared" si="14"/>
        <v>0</v>
      </c>
    </row>
    <row r="35" spans="1:11" ht="13.5" hidden="1" thickTop="1" x14ac:dyDescent="0.2">
      <c r="A35" s="43" t="s">
        <v>37</v>
      </c>
      <c r="B35" s="87">
        <f>[3]Pinnacle!$JJ$57</f>
        <v>0</v>
      </c>
      <c r="C35" s="79">
        <f>[3]MESA_UA!$JJ$57</f>
        <v>0</v>
      </c>
      <c r="D35" s="87">
        <f>'[3]Sky West'!$JJ$57</f>
        <v>0</v>
      </c>
      <c r="E35" s="87">
        <f>'[3]Sky West_UA'!$JJ$57</f>
        <v>0</v>
      </c>
      <c r="F35" s="87">
        <f>'[3]Sky West_AA'!$JJ$57</f>
        <v>0</v>
      </c>
      <c r="G35" s="87">
        <f>[3]Republic!$JJ$57</f>
        <v>0</v>
      </c>
      <c r="H35" s="87">
        <f>[3]Republic!$JJ$57</f>
        <v>0</v>
      </c>
      <c r="I35" s="87">
        <f>'[3]American Eagle'!$JJ$57</f>
        <v>0</v>
      </c>
      <c r="J35" s="87">
        <f>'Other Regional'!I35</f>
        <v>0</v>
      </c>
      <c r="K35" s="80">
        <f t="shared" si="14"/>
        <v>0</v>
      </c>
    </row>
    <row r="36" spans="1:11" ht="13.5" hidden="1" thickTop="1" x14ac:dyDescent="0.2">
      <c r="A36" s="43" t="s">
        <v>38</v>
      </c>
      <c r="B36" s="87">
        <f>[3]Pinnacle!$JJ$58</f>
        <v>0</v>
      </c>
      <c r="C36" s="79">
        <f>[3]MESA_UA!$JJ$58</f>
        <v>0</v>
      </c>
      <c r="D36" s="87">
        <f>'[3]Sky West'!$JJ$58</f>
        <v>0</v>
      </c>
      <c r="E36" s="87">
        <f>'[3]Sky West_UA'!$JJ$58</f>
        <v>0</v>
      </c>
      <c r="F36" s="87">
        <f>'[3]Sky West_AA'!$JJ$58</f>
        <v>0</v>
      </c>
      <c r="G36" s="87">
        <f>[3]Republic!$JJ$58</f>
        <v>0</v>
      </c>
      <c r="H36" s="87">
        <f>[3]Republic!$JJ$58</f>
        <v>0</v>
      </c>
      <c r="I36" s="87">
        <f>'[3]American Eagle'!$JJ$58</f>
        <v>0</v>
      </c>
      <c r="J36" s="87">
        <f>'Other Regional'!I36</f>
        <v>0</v>
      </c>
      <c r="K36" s="80">
        <f t="shared" si="14"/>
        <v>0</v>
      </c>
    </row>
    <row r="37" spans="1:11" ht="13.5" hidden="1" thickTop="1" x14ac:dyDescent="0.2">
      <c r="A37" s="54" t="s">
        <v>43</v>
      </c>
      <c r="B37" s="105">
        <f t="shared" ref="B37:I37" si="17">SUM(B35:B36)</f>
        <v>0</v>
      </c>
      <c r="C37" s="105">
        <f t="shared" si="17"/>
        <v>0</v>
      </c>
      <c r="D37" s="105">
        <f t="shared" si="17"/>
        <v>0</v>
      </c>
      <c r="E37" s="105">
        <f t="shared" si="17"/>
        <v>0</v>
      </c>
      <c r="F37" s="105">
        <f t="shared" ref="F37" si="18">SUM(F35:F36)</f>
        <v>0</v>
      </c>
      <c r="G37" s="105">
        <f t="shared" si="17"/>
        <v>0</v>
      </c>
      <c r="H37" s="105">
        <f t="shared" si="17"/>
        <v>0</v>
      </c>
      <c r="I37" s="105">
        <f t="shared" si="17"/>
        <v>0</v>
      </c>
      <c r="J37" s="105">
        <f>SUM(J35:J36)</f>
        <v>0</v>
      </c>
      <c r="K37" s="107">
        <f t="shared" si="14"/>
        <v>0</v>
      </c>
    </row>
    <row r="38" spans="1:11" ht="13.5" thickTop="1" x14ac:dyDescent="0.2">
      <c r="A38" s="43"/>
      <c r="B38" s="87"/>
      <c r="C38" s="79"/>
      <c r="D38" s="87"/>
      <c r="E38" s="87"/>
      <c r="F38" s="87"/>
      <c r="G38" s="87"/>
      <c r="H38" s="87"/>
      <c r="I38" s="87"/>
      <c r="J38" s="87"/>
      <c r="K38" s="80"/>
    </row>
    <row r="39" spans="1:11" x14ac:dyDescent="0.2">
      <c r="A39" s="43" t="s">
        <v>44</v>
      </c>
      <c r="B39" s="87"/>
      <c r="C39" s="79"/>
      <c r="D39" s="87"/>
      <c r="E39" s="87"/>
      <c r="F39" s="87"/>
      <c r="G39" s="87"/>
      <c r="H39" s="87"/>
      <c r="I39" s="87"/>
      <c r="J39" s="87"/>
      <c r="K39" s="80"/>
    </row>
    <row r="40" spans="1:11" x14ac:dyDescent="0.2">
      <c r="A40" s="43" t="s">
        <v>45</v>
      </c>
      <c r="B40" s="87">
        <f t="shared" ref="B40:H42" si="19">SUM(B35,B30,B25)</f>
        <v>0</v>
      </c>
      <c r="C40" s="87">
        <f>SUM(C35,C30,C25)</f>
        <v>0</v>
      </c>
      <c r="D40" s="87">
        <f t="shared" si="19"/>
        <v>0</v>
      </c>
      <c r="E40" s="87">
        <f t="shared" ref="E40:E42" si="20">SUM(E35,E30,E25)</f>
        <v>0</v>
      </c>
      <c r="F40" s="87">
        <f t="shared" ref="F40" si="21">SUM(F35,F30,F25)</f>
        <v>0</v>
      </c>
      <c r="G40" s="87">
        <f t="shared" si="19"/>
        <v>2041</v>
      </c>
      <c r="H40" s="87">
        <f t="shared" si="19"/>
        <v>0</v>
      </c>
      <c r="I40" s="87">
        <f>SUM(I35,I30,I25)</f>
        <v>0</v>
      </c>
      <c r="J40" s="87">
        <f>J35+J30+J25</f>
        <v>23159.5</v>
      </c>
      <c r="K40" s="80">
        <f>SUM(B40:J40)</f>
        <v>25200.5</v>
      </c>
    </row>
    <row r="41" spans="1:11" x14ac:dyDescent="0.2">
      <c r="A41" s="43" t="s">
        <v>38</v>
      </c>
      <c r="B41" s="87">
        <f t="shared" si="19"/>
        <v>0</v>
      </c>
      <c r="C41" s="87">
        <f>SUM(C36,C31,C26)</f>
        <v>0</v>
      </c>
      <c r="D41" s="87">
        <f t="shared" si="19"/>
        <v>0</v>
      </c>
      <c r="E41" s="87">
        <f t="shared" si="20"/>
        <v>0</v>
      </c>
      <c r="F41" s="87">
        <f t="shared" ref="F41" si="22">SUM(F36,F31,F26)</f>
        <v>0</v>
      </c>
      <c r="G41" s="87">
        <f t="shared" si="19"/>
        <v>0</v>
      </c>
      <c r="H41" s="87">
        <f t="shared" si="19"/>
        <v>0</v>
      </c>
      <c r="I41" s="87">
        <f>SUM(I36,I31,I26)</f>
        <v>0</v>
      </c>
      <c r="J41" s="87">
        <f>J36+J31+J26</f>
        <v>0</v>
      </c>
      <c r="K41" s="80">
        <f>SUM(B41:J41)</f>
        <v>0</v>
      </c>
    </row>
    <row r="42" spans="1:11" ht="15" thickBot="1" x14ac:dyDescent="0.25">
      <c r="A42" s="53" t="s">
        <v>46</v>
      </c>
      <c r="B42" s="100">
        <f t="shared" si="19"/>
        <v>0</v>
      </c>
      <c r="C42" s="100">
        <f>SUM(C37,C32,C27)</f>
        <v>0</v>
      </c>
      <c r="D42" s="100">
        <f t="shared" si="19"/>
        <v>0</v>
      </c>
      <c r="E42" s="100">
        <f t="shared" si="20"/>
        <v>0</v>
      </c>
      <c r="F42" s="100">
        <f t="shared" ref="F42" si="23">SUM(F37,F32,F27)</f>
        <v>0</v>
      </c>
      <c r="G42" s="100">
        <f t="shared" si="19"/>
        <v>2041</v>
      </c>
      <c r="H42" s="100">
        <f t="shared" si="19"/>
        <v>0</v>
      </c>
      <c r="I42" s="100">
        <f>SUM(I37,I32,I27)</f>
        <v>0</v>
      </c>
      <c r="J42" s="100">
        <f>SUM(J37,J32,J27)</f>
        <v>23159.5</v>
      </c>
      <c r="K42" s="101">
        <f>SUM(B42:J42)</f>
        <v>25200.5</v>
      </c>
    </row>
    <row r="44" spans="1:11" x14ac:dyDescent="0.2">
      <c r="A44" s="264" t="s">
        <v>120</v>
      </c>
      <c r="B44" s="230">
        <f>[3]Pinnacle!$JJ$70+[3]Pinnacle!$JJ$73</f>
        <v>29211</v>
      </c>
      <c r="D44" s="231">
        <f>'[3]Sky West'!$JJ$70+'[3]Sky West'!$JJ$73</f>
        <v>33872</v>
      </c>
      <c r="E44" s="2"/>
      <c r="F44" s="2"/>
      <c r="J44" s="231">
        <f>+'Other Regional'!I46</f>
        <v>0</v>
      </c>
      <c r="K44" s="220">
        <f>SUM(B44:J44)</f>
        <v>63083</v>
      </c>
    </row>
    <row r="45" spans="1:11" x14ac:dyDescent="0.2">
      <c r="A45" s="277" t="s">
        <v>121</v>
      </c>
      <c r="B45" s="230">
        <f>[3]Pinnacle!$JJ$71+[3]Pinnacle!$JJ$74</f>
        <v>47605</v>
      </c>
      <c r="D45" s="231">
        <f>'[3]Sky West'!$JJ$71+'[3]Sky West'!$JJ$74</f>
        <v>76663</v>
      </c>
      <c r="E45" s="2"/>
      <c r="F45" s="2"/>
      <c r="J45" s="231">
        <f>+'Other Regional'!I47</f>
        <v>0</v>
      </c>
      <c r="K45" s="220">
        <f>SUM(B45:J45)</f>
        <v>124268</v>
      </c>
    </row>
    <row r="46" spans="1:11" x14ac:dyDescent="0.2">
      <c r="A46" s="221" t="s">
        <v>122</v>
      </c>
      <c r="B46" s="222">
        <f>SUM(B44:B45)</f>
        <v>76816</v>
      </c>
      <c r="J46" s="2"/>
      <c r="K46" s="207"/>
    </row>
    <row r="47" spans="1:11" x14ac:dyDescent="0.2">
      <c r="A47" s="223"/>
      <c r="B47" s="224" t="b">
        <f>IF(B46=B6,TRUE,FALSE)</f>
        <v>1</v>
      </c>
    </row>
    <row r="50" spans="11:11" x14ac:dyDescent="0.2">
      <c r="K50" s="87"/>
    </row>
  </sheetData>
  <phoneticPr fontId="6" type="noConversion"/>
  <pageMargins left="0.75" right="0.75" top="1" bottom="1" header="0.5" footer="0.5"/>
  <pageSetup scale="84" orientation="landscape" r:id="rId1"/>
  <headerFooter alignWithMargins="0">
    <oddHeader>&amp;L
Schedule 4
&amp;CMinneapolis-St. Paul International Airport
&amp;"Arial,Bold"Regional Major
March 2025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47"/>
  <sheetViews>
    <sheetView zoomScaleNormal="100" zoomScaleSheetLayoutView="100" workbookViewId="0">
      <selection activeCell="J8" sqref="J8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5" width="12.140625" customWidth="1"/>
    <col min="6" max="6" width="10" customWidth="1"/>
    <col min="7" max="7" width="10.140625" customWidth="1"/>
    <col min="8" max="8" width="9.28515625" bestFit="1" customWidth="1"/>
    <col min="9" max="9" width="12.140625" customWidth="1"/>
  </cols>
  <sheetData>
    <row r="1" spans="1:9" ht="12.75" customHeight="1" x14ac:dyDescent="0.2">
      <c r="A1" s="273"/>
    </row>
    <row r="2" spans="1:9" ht="55.5" customHeight="1" thickBot="1" x14ac:dyDescent="0.25">
      <c r="A2" s="384">
        <v>45717</v>
      </c>
      <c r="B2" s="393" t="s">
        <v>164</v>
      </c>
      <c r="C2" s="393" t="s">
        <v>163</v>
      </c>
      <c r="D2" s="393" t="s">
        <v>216</v>
      </c>
      <c r="E2" s="393" t="s">
        <v>206</v>
      </c>
      <c r="F2" s="393" t="s">
        <v>170</v>
      </c>
      <c r="G2" s="393" t="s">
        <v>167</v>
      </c>
      <c r="H2" s="393" t="s">
        <v>158</v>
      </c>
      <c r="I2" s="393" t="s">
        <v>21</v>
      </c>
    </row>
    <row r="3" spans="1:9" ht="15" x14ac:dyDescent="0.25">
      <c r="A3" s="193" t="s">
        <v>3</v>
      </c>
      <c r="B3" s="289"/>
      <c r="C3" s="289"/>
      <c r="D3" s="289"/>
      <c r="E3" s="289"/>
      <c r="F3" s="289"/>
      <c r="G3" s="290"/>
      <c r="H3" s="290"/>
      <c r="I3" s="345"/>
    </row>
    <row r="4" spans="1:9" x14ac:dyDescent="0.2">
      <c r="A4" s="43" t="s">
        <v>29</v>
      </c>
      <c r="B4" s="95"/>
      <c r="C4" s="95"/>
      <c r="D4" s="95"/>
      <c r="E4" s="96"/>
      <c r="F4" s="96"/>
      <c r="G4" s="79"/>
      <c r="H4" s="79"/>
      <c r="I4" s="80"/>
    </row>
    <row r="5" spans="1:9" x14ac:dyDescent="0.2">
      <c r="A5" s="43" t="s">
        <v>30</v>
      </c>
      <c r="B5" s="79">
        <f>'[3]Shuttle America'!$JJ$22</f>
        <v>0</v>
      </c>
      <c r="C5" s="79">
        <f>'[3]Shuttle America_Delta'!$JJ$22</f>
        <v>0</v>
      </c>
      <c r="D5" s="321">
        <f>'[3]Air Wisconsin'!$JJ$22</f>
        <v>0</v>
      </c>
      <c r="E5" s="321">
        <f>[3]Jazz_AC!$JJ$22+[3]Jazz_AC!$JJ$32</f>
        <v>4051</v>
      </c>
      <c r="F5" s="321">
        <f>[3]PSA!$JJ$22</f>
        <v>6767</v>
      </c>
      <c r="G5" s="79">
        <f>'[3]Continental Express'!$JJ$22</f>
        <v>0</v>
      </c>
      <c r="H5" s="11">
        <f>'[3]Go Jet'!$JJ$22+'[3]Go Jet'!$JJ$32</f>
        <v>0</v>
      </c>
      <c r="I5" s="80">
        <f>SUM(B5:H5)</f>
        <v>10818</v>
      </c>
    </row>
    <row r="6" spans="1:9" s="6" customFormat="1" x14ac:dyDescent="0.2">
      <c r="A6" s="43" t="s">
        <v>31</v>
      </c>
      <c r="B6" s="79">
        <f>'[3]Shuttle America'!$JJ$23</f>
        <v>0</v>
      </c>
      <c r="C6" s="79">
        <f>'[3]Shuttle America_Delta'!$JJ$23</f>
        <v>0</v>
      </c>
      <c r="D6" s="321">
        <f>'[3]Air Wisconsin'!$JJ$23</f>
        <v>0</v>
      </c>
      <c r="E6" s="321">
        <f>[3]Jazz_AC!$JJ$23+[3]Jazz_AC!$JJ$33</f>
        <v>4495</v>
      </c>
      <c r="F6" s="321">
        <f>[3]PSA!$JJ$23</f>
        <v>7120</v>
      </c>
      <c r="G6" s="79">
        <f>'[3]Continental Express'!$JJ$23</f>
        <v>0</v>
      </c>
      <c r="H6" s="7">
        <f>'[3]Go Jet'!$JJ$23+'[3]Go Jet'!$JJ$33</f>
        <v>0</v>
      </c>
      <c r="I6" s="84">
        <f>SUM(B6:H6)</f>
        <v>11615</v>
      </c>
    </row>
    <row r="7" spans="1:9" ht="15" thickBot="1" x14ac:dyDescent="0.25">
      <c r="A7" s="52" t="s">
        <v>7</v>
      </c>
      <c r="B7" s="97">
        <f t="shared" ref="B7:G7" si="0">SUM(B5:B6)</f>
        <v>0</v>
      </c>
      <c r="C7" s="97">
        <f t="shared" si="0"/>
        <v>0</v>
      </c>
      <c r="D7" s="97">
        <f t="shared" ref="D7:E7" si="1">SUM(D5:D6)</f>
        <v>0</v>
      </c>
      <c r="E7" s="97">
        <f t="shared" si="1"/>
        <v>8546</v>
      </c>
      <c r="F7" s="97">
        <f t="shared" si="0"/>
        <v>13887</v>
      </c>
      <c r="G7" s="97">
        <f t="shared" si="0"/>
        <v>0</v>
      </c>
      <c r="H7" s="97">
        <f>SUM(H5:H6)</f>
        <v>0</v>
      </c>
      <c r="I7" s="98">
        <f>SUM(B7:H7)</f>
        <v>22433</v>
      </c>
    </row>
    <row r="8" spans="1:9" ht="13.5" thickTop="1" x14ac:dyDescent="0.2">
      <c r="A8" s="43"/>
      <c r="B8" s="79"/>
      <c r="C8" s="79"/>
      <c r="D8" s="321"/>
      <c r="E8" s="321"/>
      <c r="F8" s="321"/>
      <c r="G8" s="79"/>
      <c r="H8" s="238"/>
      <c r="I8" s="99"/>
    </row>
    <row r="9" spans="1:9" s="6" customFormat="1" x14ac:dyDescent="0.2">
      <c r="A9" s="43" t="s">
        <v>32</v>
      </c>
      <c r="B9" s="79"/>
      <c r="C9" s="79"/>
      <c r="D9" s="321"/>
      <c r="E9" s="321"/>
      <c r="F9" s="321"/>
      <c r="G9" s="79"/>
      <c r="H9" s="11"/>
      <c r="I9" s="80"/>
    </row>
    <row r="10" spans="1:9" x14ac:dyDescent="0.2">
      <c r="A10" s="43" t="s">
        <v>30</v>
      </c>
      <c r="B10" s="79">
        <f>'[3]Shuttle America'!$JJ$27</f>
        <v>0</v>
      </c>
      <c r="C10" s="79">
        <f>'[3]Shuttle America_Delta'!$JJ$27</f>
        <v>0</v>
      </c>
      <c r="D10" s="321">
        <f>'[3]Air Wisconsin'!$JJ$27</f>
        <v>0</v>
      </c>
      <c r="E10" s="321">
        <f>[3]Jazz_AC!$JJ$27+[3]Jazz_AC!$JJ$37</f>
        <v>86</v>
      </c>
      <c r="F10" s="321">
        <f>[3]PSA!$JJ$27</f>
        <v>192</v>
      </c>
      <c r="G10" s="79">
        <f>'[3]Continental Express'!$JJ$27</f>
        <v>0</v>
      </c>
      <c r="H10" s="11">
        <f>'[3]Go Jet'!$JJ$27+'[3]Go Jet'!$JJ$37</f>
        <v>0</v>
      </c>
      <c r="I10" s="80">
        <f>SUM(B10:H10)</f>
        <v>278</v>
      </c>
    </row>
    <row r="11" spans="1:9" x14ac:dyDescent="0.2">
      <c r="A11" s="43" t="s">
        <v>33</v>
      </c>
      <c r="B11" s="79">
        <f>'[3]Shuttle America'!$JJ$28</f>
        <v>0</v>
      </c>
      <c r="C11" s="79">
        <f>'[3]Shuttle America_Delta'!$JJ$28</f>
        <v>0</v>
      </c>
      <c r="D11" s="321">
        <f>'[3]Air Wisconsin'!$JJ$28</f>
        <v>0</v>
      </c>
      <c r="E11" s="321">
        <f>[3]Jazz_AC!$JJ$28+[3]Jazz_AC!$JJ$38</f>
        <v>104</v>
      </c>
      <c r="F11" s="321">
        <f>[3]PSA!$JJ$28</f>
        <v>182</v>
      </c>
      <c r="G11" s="79">
        <f>'[3]Continental Express'!$JJ$28</f>
        <v>0</v>
      </c>
      <c r="H11" s="7">
        <f>'[3]Go Jet'!$JJ$28+'[3]Go Jet'!$JJ$38</f>
        <v>0</v>
      </c>
      <c r="I11" s="84">
        <f>SUM(B11:H11)</f>
        <v>286</v>
      </c>
    </row>
    <row r="12" spans="1:9" ht="15" thickBot="1" x14ac:dyDescent="0.25">
      <c r="A12" s="53" t="s">
        <v>34</v>
      </c>
      <c r="B12" s="100">
        <f>SUM(B10:B11)</f>
        <v>0</v>
      </c>
      <c r="C12" s="100">
        <f>SUM(C10:C11)</f>
        <v>0</v>
      </c>
      <c r="D12" s="100">
        <f t="shared" ref="D12:E12" si="2">SUM(D10:D11)</f>
        <v>0</v>
      </c>
      <c r="E12" s="100">
        <f t="shared" si="2"/>
        <v>190</v>
      </c>
      <c r="F12" s="100">
        <f t="shared" ref="F12" si="3">SUM(F10:F11)</f>
        <v>374</v>
      </c>
      <c r="G12" s="100">
        <f t="shared" ref="G12" si="4">SUM(G10:G11)</f>
        <v>0</v>
      </c>
      <c r="H12" s="100">
        <f t="shared" ref="H12" si="5">SUM(H10:H11)</f>
        <v>0</v>
      </c>
      <c r="I12" s="101">
        <f>SUM(B12:H12)</f>
        <v>564</v>
      </c>
    </row>
    <row r="13" spans="1:9" ht="6" customHeight="1" thickBot="1" x14ac:dyDescent="0.25"/>
    <row r="14" spans="1:9" ht="15.75" thickTop="1" x14ac:dyDescent="0.25">
      <c r="A14" s="42" t="s">
        <v>9</v>
      </c>
      <c r="B14" s="74"/>
      <c r="C14" s="74"/>
      <c r="D14" s="74"/>
      <c r="E14" s="74"/>
      <c r="F14" s="74"/>
      <c r="G14" s="75"/>
      <c r="H14" s="74"/>
      <c r="I14" s="76"/>
    </row>
    <row r="15" spans="1:9" x14ac:dyDescent="0.2">
      <c r="A15" s="43" t="s">
        <v>53</v>
      </c>
      <c r="B15" s="77">
        <f>'[3]Shuttle America'!$JJ$4</f>
        <v>0</v>
      </c>
      <c r="C15" s="77">
        <f>'[3]Shuttle America_Delta'!$JJ$4</f>
        <v>0</v>
      </c>
      <c r="D15" s="322">
        <f>'[3]Air Wisconsin'!$JJ$4</f>
        <v>0</v>
      </c>
      <c r="E15" s="322">
        <f>[3]Jazz_AC!$JJ$4+[3]Jazz_AC!$JJ$15</f>
        <v>89</v>
      </c>
      <c r="F15" s="322">
        <f>[3]PSA!$JJ$4</f>
        <v>111</v>
      </c>
      <c r="G15" s="78">
        <f>'[3]Continental Express'!$JJ$4</f>
        <v>0</v>
      </c>
      <c r="H15" s="11">
        <f>'[3]Go Jet'!$JJ$4+'[3]Go Jet'!$JJ$15</f>
        <v>0</v>
      </c>
      <c r="I15" s="80">
        <f t="shared" ref="I15:I21" si="6">SUM(B15:H15)</f>
        <v>200</v>
      </c>
    </row>
    <row r="16" spans="1:9" x14ac:dyDescent="0.2">
      <c r="A16" s="43" t="s">
        <v>54</v>
      </c>
      <c r="B16" s="81">
        <f>'[3]Shuttle America'!$JJ$5</f>
        <v>0</v>
      </c>
      <c r="C16" s="81">
        <f>'[3]Shuttle America_Delta'!$JJ$5</f>
        <v>0</v>
      </c>
      <c r="D16" s="323">
        <f>'[3]Air Wisconsin'!$JJ$5</f>
        <v>0</v>
      </c>
      <c r="E16" s="323">
        <f>[3]Jazz_AC!$JJ$5+[3]Jazz_AC!$JJ$16</f>
        <v>89</v>
      </c>
      <c r="F16" s="323">
        <f>[3]PSA!$JJ$5</f>
        <v>111</v>
      </c>
      <c r="G16" s="82">
        <f>'[3]Continental Express'!$JJ$5</f>
        <v>0</v>
      </c>
      <c r="H16" s="7">
        <f>'[3]Go Jet'!$JJ$5+'[3]Go Jet'!$JJ$16</f>
        <v>0</v>
      </c>
      <c r="I16" s="84">
        <f t="shared" si="6"/>
        <v>200</v>
      </c>
    </row>
    <row r="17" spans="1:12" x14ac:dyDescent="0.2">
      <c r="A17" s="47" t="s">
        <v>55</v>
      </c>
      <c r="B17" s="85">
        <f>SUM(B15:B16)</f>
        <v>0</v>
      </c>
      <c r="C17" s="85">
        <f>SUM(C15:C16)</f>
        <v>0</v>
      </c>
      <c r="D17" s="85">
        <f t="shared" ref="D17:E17" si="7">SUM(D15:D16)</f>
        <v>0</v>
      </c>
      <c r="E17" s="85">
        <f t="shared" si="7"/>
        <v>178</v>
      </c>
      <c r="F17" s="85">
        <f t="shared" ref="F17" si="8">SUM(F15:F16)</f>
        <v>222</v>
      </c>
      <c r="G17" s="85">
        <f t="shared" ref="G17" si="9">SUM(G15:G16)</f>
        <v>0</v>
      </c>
      <c r="H17" s="200">
        <f>SUM(H15:H16)</f>
        <v>0</v>
      </c>
      <c r="I17" s="86">
        <f t="shared" si="6"/>
        <v>400</v>
      </c>
    </row>
    <row r="18" spans="1:12" x14ac:dyDescent="0.2">
      <c r="A18" s="43" t="s">
        <v>56</v>
      </c>
      <c r="B18" s="87">
        <f>'[3]Shuttle America'!$JJ$8</f>
        <v>0</v>
      </c>
      <c r="C18" s="87">
        <f>'[3]Shuttle America_Delta'!$JJ$8</f>
        <v>0</v>
      </c>
      <c r="D18" s="87">
        <f>'[3]Air Wisconsin'!$JJ$8</f>
        <v>0</v>
      </c>
      <c r="E18" s="87">
        <f>[3]Jazz_AC!$JJ$8</f>
        <v>0</v>
      </c>
      <c r="F18" s="87">
        <f>[3]PSA!$JJ$8</f>
        <v>0</v>
      </c>
      <c r="G18" s="79">
        <f>'[3]Continental Express'!$JJ$8</f>
        <v>0</v>
      </c>
      <c r="H18" s="11">
        <f>'[3]Go Jet'!$JJ$8</f>
        <v>0</v>
      </c>
      <c r="I18" s="80">
        <f t="shared" si="6"/>
        <v>0</v>
      </c>
      <c r="L18" s="267"/>
    </row>
    <row r="19" spans="1:12" x14ac:dyDescent="0.2">
      <c r="A19" s="43" t="s">
        <v>57</v>
      </c>
      <c r="B19" s="88">
        <f>'[3]Shuttle America'!$JJ$9</f>
        <v>0</v>
      </c>
      <c r="C19" s="88">
        <f>'[3]Shuttle America_Delta'!$JJ$9</f>
        <v>0</v>
      </c>
      <c r="D19" s="88">
        <f>'[3]Air Wisconsin'!$JJ$9</f>
        <v>0</v>
      </c>
      <c r="E19" s="88">
        <f>[3]Jazz_AC!$JJ$9</f>
        <v>0</v>
      </c>
      <c r="F19" s="88">
        <f>[3]PSA!$JJ$9</f>
        <v>0</v>
      </c>
      <c r="G19" s="83">
        <f>'[3]Continental Express'!$JJ$9</f>
        <v>0</v>
      </c>
      <c r="H19" s="7">
        <f>'[3]Go Jet'!$JJ$9</f>
        <v>0</v>
      </c>
      <c r="I19" s="84">
        <f t="shared" si="6"/>
        <v>0</v>
      </c>
    </row>
    <row r="20" spans="1:12" x14ac:dyDescent="0.2">
      <c r="A20" s="47" t="s">
        <v>58</v>
      </c>
      <c r="B20" s="85">
        <f>SUM(B18:B19)</f>
        <v>0</v>
      </c>
      <c r="C20" s="85">
        <f>SUM(C18:C19)</f>
        <v>0</v>
      </c>
      <c r="D20" s="85">
        <f t="shared" ref="D20:E20" si="10">SUM(D18:D19)</f>
        <v>0</v>
      </c>
      <c r="E20" s="85">
        <f t="shared" si="10"/>
        <v>0</v>
      </c>
      <c r="F20" s="85">
        <f t="shared" ref="F20" si="11">SUM(F18:F19)</f>
        <v>0</v>
      </c>
      <c r="G20" s="85">
        <f t="shared" ref="G20" si="12">SUM(G18:G19)</f>
        <v>0</v>
      </c>
      <c r="H20" s="200">
        <f>SUM(H18:H19)</f>
        <v>0</v>
      </c>
      <c r="I20" s="86">
        <f t="shared" si="6"/>
        <v>0</v>
      </c>
    </row>
    <row r="21" spans="1:12" ht="15.75" thickBot="1" x14ac:dyDescent="0.3">
      <c r="A21" s="51" t="s">
        <v>28</v>
      </c>
      <c r="B21" s="89">
        <f>SUM(B20,B17)</f>
        <v>0</v>
      </c>
      <c r="C21" s="89">
        <f>SUM(C20,C17)</f>
        <v>0</v>
      </c>
      <c r="D21" s="89">
        <f t="shared" ref="D21:E21" si="13">SUM(D20,D17)</f>
        <v>0</v>
      </c>
      <c r="E21" s="89">
        <f t="shared" si="13"/>
        <v>178</v>
      </c>
      <c r="F21" s="89">
        <f t="shared" ref="F21" si="14">SUM(F20,F17)</f>
        <v>222</v>
      </c>
      <c r="G21" s="89">
        <f t="shared" ref="G21" si="15">SUM(G20,G17)</f>
        <v>0</v>
      </c>
      <c r="H21" s="89">
        <f t="shared" ref="H21" si="16">SUM(H20,H17)</f>
        <v>0</v>
      </c>
      <c r="I21" s="90">
        <f t="shared" si="6"/>
        <v>400</v>
      </c>
    </row>
    <row r="22" spans="1:12" ht="3.75" customHeight="1" thickBot="1" x14ac:dyDescent="0.25"/>
    <row r="23" spans="1:12" ht="15.75" thickTop="1" x14ac:dyDescent="0.25">
      <c r="A23" s="46" t="s">
        <v>114</v>
      </c>
      <c r="B23" s="102"/>
      <c r="C23" s="102"/>
      <c r="D23" s="102"/>
      <c r="E23" s="102"/>
      <c r="F23" s="102"/>
      <c r="G23" s="103"/>
      <c r="H23" s="102"/>
      <c r="I23" s="104"/>
    </row>
    <row r="24" spans="1:12" x14ac:dyDescent="0.2">
      <c r="A24" s="43" t="s">
        <v>36</v>
      </c>
      <c r="B24" s="87"/>
      <c r="C24" s="87"/>
      <c r="D24" s="87"/>
      <c r="E24" s="87"/>
      <c r="F24" s="87"/>
      <c r="G24" s="79"/>
      <c r="I24" s="80"/>
    </row>
    <row r="25" spans="1:12" x14ac:dyDescent="0.2">
      <c r="A25" s="43" t="s">
        <v>37</v>
      </c>
      <c r="B25" s="87">
        <f>'[3]Shuttle America'!$JJ$47</f>
        <v>0</v>
      </c>
      <c r="C25" s="87">
        <f>'[3]Shuttle America_Delta'!$JJ$47</f>
        <v>0</v>
      </c>
      <c r="D25" s="87">
        <f>'[3]Air Wisconsin'!$JJ$47</f>
        <v>0</v>
      </c>
      <c r="E25" s="87">
        <f>[3]Jazz_AC!$JJ$47</f>
        <v>11933.9</v>
      </c>
      <c r="F25" s="87">
        <f>[3]PSA!$JJ$47</f>
        <v>70</v>
      </c>
      <c r="G25" s="79">
        <f>'[3]Continental Express'!$JJ$47</f>
        <v>0</v>
      </c>
      <c r="H25" s="87">
        <f>'[3]Go Jet'!$JJ$47</f>
        <v>0</v>
      </c>
      <c r="I25" s="80">
        <f>SUM(B25:H25)</f>
        <v>12003.9</v>
      </c>
    </row>
    <row r="26" spans="1:12" x14ac:dyDescent="0.2">
      <c r="A26" s="43" t="s">
        <v>38</v>
      </c>
      <c r="B26" s="87">
        <f>'[3]Shuttle America'!$JJ$48</f>
        <v>0</v>
      </c>
      <c r="C26" s="87">
        <f>'[3]Shuttle America_Delta'!$JJ$48</f>
        <v>0</v>
      </c>
      <c r="D26" s="87">
        <f>'[3]Air Wisconsin'!$JJ$48</f>
        <v>0</v>
      </c>
      <c r="E26" s="87">
        <f>[3]Jazz_AC!$JJ$48</f>
        <v>0</v>
      </c>
      <c r="F26" s="87">
        <f>[3]PSA!$JJ$48</f>
        <v>0</v>
      </c>
      <c r="G26" s="79">
        <f>'[3]Continental Express'!$JJ$48</f>
        <v>0</v>
      </c>
      <c r="H26" s="87">
        <f>'[3]Go Jet'!$JJ$48</f>
        <v>0</v>
      </c>
      <c r="I26" s="80">
        <f>SUM(B26:H26)</f>
        <v>0</v>
      </c>
    </row>
    <row r="27" spans="1:12" ht="15" thickBot="1" x14ac:dyDescent="0.25">
      <c r="A27" s="52" t="s">
        <v>39</v>
      </c>
      <c r="B27" s="97">
        <f>SUM(B25:B26)</f>
        <v>0</v>
      </c>
      <c r="C27" s="97">
        <f>SUM(C25:C26)</f>
        <v>0</v>
      </c>
      <c r="D27" s="97">
        <f t="shared" ref="D27:E27" si="17">SUM(D25:D26)</f>
        <v>0</v>
      </c>
      <c r="E27" s="97">
        <f t="shared" si="17"/>
        <v>11933.9</v>
      </c>
      <c r="F27" s="97">
        <f t="shared" ref="F27" si="18">SUM(F25:F26)</f>
        <v>70</v>
      </c>
      <c r="G27" s="97">
        <f t="shared" ref="G27" si="19">SUM(G25:G26)</f>
        <v>0</v>
      </c>
      <c r="H27" s="97">
        <f>SUM(H25:H26)</f>
        <v>0</v>
      </c>
      <c r="I27" s="98">
        <f>SUM(B27:H27)</f>
        <v>12003.9</v>
      </c>
    </row>
    <row r="28" spans="1:12" ht="7.5" customHeight="1" thickTop="1" x14ac:dyDescent="0.2">
      <c r="A28" s="43"/>
      <c r="B28" s="87"/>
      <c r="C28" s="87"/>
      <c r="D28" s="87"/>
      <c r="E28" s="87"/>
      <c r="F28" s="87"/>
      <c r="G28" s="79"/>
      <c r="H28" s="87"/>
      <c r="I28" s="80"/>
    </row>
    <row r="29" spans="1:12" x14ac:dyDescent="0.2">
      <c r="A29" s="43" t="s">
        <v>40</v>
      </c>
      <c r="B29" s="87"/>
      <c r="C29" s="87"/>
      <c r="D29" s="87"/>
      <c r="E29" s="87"/>
      <c r="F29" s="87"/>
      <c r="G29" s="79"/>
      <c r="H29" s="87"/>
      <c r="I29" s="80"/>
    </row>
    <row r="30" spans="1:12" x14ac:dyDescent="0.2">
      <c r="A30" s="43" t="s">
        <v>59</v>
      </c>
      <c r="B30" s="87">
        <f>'[3]Shuttle America'!$JJ$52</f>
        <v>0</v>
      </c>
      <c r="C30" s="87">
        <f>'[3]Shuttle America_Delta'!$JJ$52</f>
        <v>0</v>
      </c>
      <c r="D30" s="87">
        <f>'[3]Air Wisconsin'!$JJ$52</f>
        <v>0</v>
      </c>
      <c r="E30" s="87">
        <f>[3]Jazz_AC!$JJ$52</f>
        <v>11155.6</v>
      </c>
      <c r="F30" s="87">
        <f>[3]PSA!$JJ$52</f>
        <v>0</v>
      </c>
      <c r="G30" s="79">
        <f>'[3]Continental Express'!$JJ$52</f>
        <v>0</v>
      </c>
      <c r="H30" s="87">
        <f>'[3]Go Jet'!$JJ$52</f>
        <v>0</v>
      </c>
      <c r="I30" s="80">
        <f>SUM(B30:H30)</f>
        <v>11155.6</v>
      </c>
    </row>
    <row r="31" spans="1:12" x14ac:dyDescent="0.2">
      <c r="A31" s="43" t="s">
        <v>60</v>
      </c>
      <c r="B31" s="87">
        <f>'[3]Shuttle America'!$JJ$53</f>
        <v>0</v>
      </c>
      <c r="C31" s="87">
        <f>'[3]Shuttle America_Delta'!$JJ$53</f>
        <v>0</v>
      </c>
      <c r="D31" s="87">
        <f>'[3]Air Wisconsin'!$JJ$53</f>
        <v>0</v>
      </c>
      <c r="E31" s="87">
        <f>[3]Jazz_AC!$JJ$53</f>
        <v>0</v>
      </c>
      <c r="F31" s="87">
        <f>[3]PSA!$JJ$53</f>
        <v>0</v>
      </c>
      <c r="G31" s="79">
        <f>'[3]Continental Express'!$JJ$53</f>
        <v>0</v>
      </c>
      <c r="H31" s="87">
        <f>'[3]Go Jet'!$JJ$53</f>
        <v>0</v>
      </c>
      <c r="I31" s="80">
        <f>SUM(B31:H31)</f>
        <v>0</v>
      </c>
    </row>
    <row r="32" spans="1:12" ht="15" thickBot="1" x14ac:dyDescent="0.25">
      <c r="A32" s="52" t="s">
        <v>41</v>
      </c>
      <c r="B32" s="97">
        <f t="shared" ref="B32:G32" si="20">SUM(B30:B31)</f>
        <v>0</v>
      </c>
      <c r="C32" s="97">
        <f t="shared" si="20"/>
        <v>0</v>
      </c>
      <c r="D32" s="97">
        <f t="shared" ref="D32:E32" si="21">SUM(D30:D31)</f>
        <v>0</v>
      </c>
      <c r="E32" s="97">
        <f t="shared" si="21"/>
        <v>11155.6</v>
      </c>
      <c r="F32" s="97">
        <f t="shared" si="20"/>
        <v>0</v>
      </c>
      <c r="G32" s="97">
        <f t="shared" si="20"/>
        <v>0</v>
      </c>
      <c r="H32" s="97">
        <f t="shared" ref="H32" si="22">SUM(H30:H31)</f>
        <v>0</v>
      </c>
      <c r="I32" s="98">
        <f>SUM(B32:H32)</f>
        <v>11155.6</v>
      </c>
    </row>
    <row r="33" spans="1:9" ht="13.5" hidden="1" thickTop="1" x14ac:dyDescent="0.2">
      <c r="A33" s="43"/>
      <c r="B33" s="87"/>
      <c r="C33" s="87"/>
      <c r="D33" s="87"/>
      <c r="E33" s="87"/>
      <c r="F33" s="87"/>
      <c r="G33" s="79"/>
      <c r="H33" s="87"/>
      <c r="I33" s="80"/>
    </row>
    <row r="34" spans="1:9" ht="13.5" hidden="1" thickTop="1" x14ac:dyDescent="0.2">
      <c r="A34" s="43" t="s">
        <v>42</v>
      </c>
      <c r="B34" s="87"/>
      <c r="C34" s="87"/>
      <c r="D34" s="87"/>
      <c r="E34" s="87"/>
      <c r="F34" s="87"/>
      <c r="G34" s="79"/>
      <c r="H34" s="87"/>
      <c r="I34" s="80"/>
    </row>
    <row r="35" spans="1:9" ht="13.5" hidden="1" thickTop="1" x14ac:dyDescent="0.2">
      <c r="A35" s="43" t="s">
        <v>37</v>
      </c>
      <c r="B35" s="87">
        <f>'[3]Shuttle America'!$JJ$57</f>
        <v>0</v>
      </c>
      <c r="C35" s="87">
        <f>'[3]Shuttle America_Delta'!$JJ$57</f>
        <v>0</v>
      </c>
      <c r="D35" s="87">
        <f>'[3]Air Wisconsin'!$JJ$57</f>
        <v>0</v>
      </c>
      <c r="E35" s="87">
        <f>[3]Jazz_AC!$JJ$57</f>
        <v>0</v>
      </c>
      <c r="F35" s="87">
        <f>[3]PSA!$JJ$57</f>
        <v>0</v>
      </c>
      <c r="G35" s="79">
        <f>'[3]Continental Express'!$JJ$57</f>
        <v>0</v>
      </c>
      <c r="H35" s="87">
        <f>'[3]Go Jet'!$JJ$57</f>
        <v>0</v>
      </c>
      <c r="I35" s="80">
        <f>SUM(B35:H35)</f>
        <v>0</v>
      </c>
    </row>
    <row r="36" spans="1:9" ht="13.5" hidden="1" thickTop="1" x14ac:dyDescent="0.2">
      <c r="A36" s="43" t="s">
        <v>38</v>
      </c>
      <c r="B36" s="87">
        <f>'[3]Shuttle America'!BG$58</f>
        <v>0</v>
      </c>
      <c r="C36" s="87">
        <f>'[3]Shuttle America_Delta'!BH$58</f>
        <v>0</v>
      </c>
      <c r="D36" s="87">
        <f>'[3]Air Wisconsin'!BG$58</f>
        <v>0</v>
      </c>
      <c r="E36" s="87">
        <f>[3]Jazz_AC!BF$58</f>
        <v>0</v>
      </c>
      <c r="F36" s="87">
        <f>[3]PSA!BG$58</f>
        <v>0</v>
      </c>
      <c r="G36" s="79">
        <f>'[3]Continental Express'!BG$58</f>
        <v>0</v>
      </c>
      <c r="H36" s="87">
        <f>'[3]Go Jet'!BK$58</f>
        <v>0</v>
      </c>
      <c r="I36" s="80">
        <f>SUM(B36:H36)</f>
        <v>0</v>
      </c>
    </row>
    <row r="37" spans="1:9" ht="13.5" hidden="1" thickTop="1" x14ac:dyDescent="0.2">
      <c r="A37" s="54" t="s">
        <v>43</v>
      </c>
      <c r="B37" s="105">
        <f>SUM(B35:B36)</f>
        <v>0</v>
      </c>
      <c r="C37" s="105">
        <f>SUM(C35:C36)</f>
        <v>0</v>
      </c>
      <c r="D37" s="105">
        <f t="shared" ref="D37:E37" si="23">SUM(D35:D36)</f>
        <v>0</v>
      </c>
      <c r="E37" s="105">
        <f t="shared" si="23"/>
        <v>0</v>
      </c>
      <c r="F37" s="105">
        <f t="shared" ref="F37" si="24">SUM(F35:F36)</f>
        <v>0</v>
      </c>
      <c r="G37" s="106">
        <f t="shared" ref="G37" si="25">SUM(G35:G36)</f>
        <v>0</v>
      </c>
      <c r="H37" s="105">
        <f>SUM(H35:H36)</f>
        <v>0</v>
      </c>
      <c r="I37" s="107">
        <f>SUM(B37:H37)</f>
        <v>0</v>
      </c>
    </row>
    <row r="38" spans="1:9" ht="6.75" customHeight="1" thickTop="1" x14ac:dyDescent="0.2">
      <c r="A38" s="43"/>
      <c r="B38" s="87"/>
      <c r="C38" s="87"/>
      <c r="D38" s="87"/>
      <c r="E38" s="87"/>
      <c r="F38" s="87"/>
      <c r="G38" s="79"/>
      <c r="H38" s="87"/>
      <c r="I38" s="80"/>
    </row>
    <row r="39" spans="1:9" x14ac:dyDescent="0.2">
      <c r="A39" s="43" t="s">
        <v>44</v>
      </c>
      <c r="B39" s="87"/>
      <c r="C39" s="87"/>
      <c r="D39" s="87"/>
      <c r="E39" s="87"/>
      <c r="F39" s="87"/>
      <c r="G39" s="79"/>
      <c r="H39" s="87"/>
      <c r="I39" s="80"/>
    </row>
    <row r="40" spans="1:9" x14ac:dyDescent="0.2">
      <c r="A40" s="43" t="s">
        <v>45</v>
      </c>
      <c r="B40" s="87">
        <f t="shared" ref="B40:G40" si="26">SUM(B35,B30,B25)</f>
        <v>0</v>
      </c>
      <c r="C40" s="87">
        <f>SUM(C35,C30,C25)</f>
        <v>0</v>
      </c>
      <c r="D40" s="87">
        <f t="shared" ref="D40:E40" si="27">SUM(D35,D30,D25)</f>
        <v>0</v>
      </c>
      <c r="E40" s="87">
        <f t="shared" si="27"/>
        <v>23089.5</v>
      </c>
      <c r="F40" s="87">
        <f t="shared" ref="F40:F41" si="28">SUM(F35,F30,F25)</f>
        <v>70</v>
      </c>
      <c r="G40" s="87">
        <f t="shared" si="26"/>
        <v>0</v>
      </c>
      <c r="H40" s="87">
        <f t="shared" ref="H40" si="29">SUM(H35,H30,H25)</f>
        <v>0</v>
      </c>
      <c r="I40" s="80">
        <f>SUM(B40:H40)</f>
        <v>23159.5</v>
      </c>
    </row>
    <row r="41" spans="1:9" x14ac:dyDescent="0.2">
      <c r="A41" s="43" t="s">
        <v>38</v>
      </c>
      <c r="B41" s="87">
        <f>SUM(B36,B31,B26)</f>
        <v>0</v>
      </c>
      <c r="C41" s="87">
        <f>SUM(C36,C31,C26)</f>
        <v>0</v>
      </c>
      <c r="D41" s="87">
        <f t="shared" ref="D41:E41" si="30">SUM(D36,D31,D26)</f>
        <v>0</v>
      </c>
      <c r="E41" s="87">
        <f t="shared" si="30"/>
        <v>0</v>
      </c>
      <c r="F41" s="87">
        <f t="shared" si="28"/>
        <v>0</v>
      </c>
      <c r="G41" s="87">
        <f t="shared" ref="G41" si="31">SUM(G36,G31,G26)</f>
        <v>0</v>
      </c>
      <c r="H41" s="87">
        <f t="shared" ref="H41" si="32">SUM(H36,H31,H26)</f>
        <v>0</v>
      </c>
      <c r="I41" s="80">
        <f>SUM(B41:H41)</f>
        <v>0</v>
      </c>
    </row>
    <row r="42" spans="1:9" ht="15" thickBot="1" x14ac:dyDescent="0.25">
      <c r="A42" s="53" t="s">
        <v>46</v>
      </c>
      <c r="B42" s="100">
        <f>SUM(B40:B41)</f>
        <v>0</v>
      </c>
      <c r="C42" s="100">
        <f>SUM(C40:C41)</f>
        <v>0</v>
      </c>
      <c r="D42" s="100">
        <f t="shared" ref="D42:E42" si="33">SUM(D40:D41)</f>
        <v>0</v>
      </c>
      <c r="E42" s="100">
        <f t="shared" si="33"/>
        <v>23089.5</v>
      </c>
      <c r="F42" s="100">
        <f t="shared" ref="F42" si="34">SUM(F40:F41)</f>
        <v>70</v>
      </c>
      <c r="G42" s="100">
        <f t="shared" ref="G42" si="35">SUM(G40:G41)</f>
        <v>0</v>
      </c>
      <c r="H42" s="100">
        <f t="shared" ref="H42" si="36">SUM(H40:H41)</f>
        <v>0</v>
      </c>
      <c r="I42" s="101">
        <f>SUM(B42:H42)</f>
        <v>23159.5</v>
      </c>
    </row>
    <row r="43" spans="1:9" ht="4.5" customHeight="1" x14ac:dyDescent="0.2"/>
    <row r="44" spans="1:9" hidden="1" x14ac:dyDescent="0.2">
      <c r="A44" s="232" t="s">
        <v>123</v>
      </c>
      <c r="H44" s="231">
        <f>'[3]Go Jet'!BK$70+'[3]Go Jet'!BK$73</f>
        <v>0</v>
      </c>
      <c r="I44" s="220" t="e">
        <f>SUM(#REF!)</f>
        <v>#REF!</v>
      </c>
    </row>
    <row r="45" spans="1:9" hidden="1" x14ac:dyDescent="0.2">
      <c r="A45" s="232" t="s">
        <v>124</v>
      </c>
      <c r="H45" s="231">
        <f>'[3]Go Jet'!BK$71+'[3]Go Jet'!BK$74</f>
        <v>0</v>
      </c>
      <c r="I45" s="220" t="e">
        <f>SUM(#REF!)</f>
        <v>#REF!</v>
      </c>
    </row>
    <row r="46" spans="1:9" x14ac:dyDescent="0.2">
      <c r="A46" s="264" t="s">
        <v>120</v>
      </c>
      <c r="C46" s="231">
        <f>'[3]Shuttle America_Delta'!$JJ$70+'[3]Shuttle America_Delta'!$JJ$73</f>
        <v>0</v>
      </c>
      <c r="D46" s="2"/>
      <c r="H46" s="231">
        <f>'[3]Go Jet'!$JJ$70+'[3]Go Jet'!$JJ$73</f>
        <v>0</v>
      </c>
      <c r="I46" s="276">
        <f>SUM(B46:H46)</f>
        <v>0</v>
      </c>
    </row>
    <row r="47" spans="1:9" x14ac:dyDescent="0.2">
      <c r="A47" s="277" t="s">
        <v>121</v>
      </c>
      <c r="C47" s="231">
        <f>'[3]Shuttle America_Delta'!$JJ$71+'[3]Shuttle America_Delta'!$JJ$74</f>
        <v>0</v>
      </c>
      <c r="D47" s="2"/>
      <c r="H47" s="231">
        <f>'[3]Go Jet'!$JJ$71+'[3]Go Jet'!$JJ$74</f>
        <v>0</v>
      </c>
      <c r="I47" s="276">
        <f>SUM(B47:H47)</f>
        <v>0</v>
      </c>
    </row>
  </sheetData>
  <phoneticPr fontId="6" type="noConversion"/>
  <printOptions horizontalCentered="1"/>
  <pageMargins left="0.75" right="0.75" top="0.92" bottom="1" header="0.5" footer="0.5"/>
  <pageSetup scale="86" orientation="landscape" r:id="rId1"/>
  <headerFooter alignWithMargins="0">
    <oddHeader>&amp;L
Schedule 5
&amp;CMinneapolis-St. Paul International Airport
&amp;"Arial,Bold"Other Regional
March 2025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S37"/>
  <sheetViews>
    <sheetView zoomScale="115" zoomScaleNormal="115" workbookViewId="0">
      <selection activeCell="B9" sqref="B9"/>
    </sheetView>
  </sheetViews>
  <sheetFormatPr defaultColWidth="9.7109375" defaultRowHeight="12.75" x14ac:dyDescent="0.2"/>
  <cols>
    <col min="1" max="1" width="21.140625" bestFit="1" customWidth="1"/>
    <col min="2" max="2" width="10.5703125" bestFit="1" customWidth="1"/>
    <col min="3" max="3" width="10.140625" bestFit="1" customWidth="1"/>
    <col min="4" max="4" width="10.28515625" bestFit="1" customWidth="1"/>
    <col min="5" max="5" width="11.5703125" customWidth="1"/>
    <col min="6" max="6" width="11.28515625" customWidth="1"/>
    <col min="7" max="8" width="11.140625" bestFit="1" customWidth="1"/>
    <col min="9" max="9" width="12" customWidth="1"/>
    <col min="10" max="10" width="11.140625" bestFit="1" customWidth="1"/>
    <col min="11" max="11" width="9.7109375" customWidth="1"/>
    <col min="12" max="13" width="11.140625" bestFit="1" customWidth="1"/>
    <col min="14" max="14" width="11.42578125" bestFit="1" customWidth="1"/>
    <col min="15" max="15" width="12.28515625" bestFit="1" customWidth="1"/>
    <col min="16" max="16" width="8.85546875" bestFit="1" customWidth="1"/>
    <col min="19" max="19" width="16" bestFit="1" customWidth="1"/>
  </cols>
  <sheetData>
    <row r="2" spans="1:18" ht="26.25" thickBot="1" x14ac:dyDescent="0.25">
      <c r="A2" s="384">
        <v>45717</v>
      </c>
      <c r="B2" s="139" t="s">
        <v>116</v>
      </c>
      <c r="C2" s="139" t="s">
        <v>150</v>
      </c>
      <c r="D2" s="73" t="s">
        <v>77</v>
      </c>
      <c r="E2" s="73" t="s">
        <v>151</v>
      </c>
      <c r="F2" s="73" t="s">
        <v>214</v>
      </c>
      <c r="G2" s="139" t="s">
        <v>129</v>
      </c>
      <c r="H2" s="136" t="s">
        <v>78</v>
      </c>
    </row>
    <row r="3" spans="1:18" x14ac:dyDescent="0.2">
      <c r="A3" s="192" t="s">
        <v>3</v>
      </c>
      <c r="B3" s="145"/>
      <c r="C3" s="144"/>
      <c r="D3" s="144"/>
      <c r="E3" s="144"/>
      <c r="F3" s="144"/>
      <c r="G3" s="144"/>
      <c r="H3" s="184"/>
    </row>
    <row r="4" spans="1:18" x14ac:dyDescent="0.2">
      <c r="A4" s="43" t="s">
        <v>29</v>
      </c>
      <c r="B4" s="301"/>
      <c r="C4" s="143"/>
      <c r="D4" s="143"/>
      <c r="E4" s="143"/>
      <c r="F4" s="143"/>
      <c r="G4" s="143"/>
      <c r="H4" s="176"/>
    </row>
    <row r="5" spans="1:18" x14ac:dyDescent="0.2">
      <c r="A5" s="43" t="s">
        <v>30</v>
      </c>
      <c r="B5" s="301">
        <f>'[3]Charter Misc'!$JJ$22</f>
        <v>0</v>
      </c>
      <c r="C5" s="143">
        <f>[3]Ryan!$JJ$22</f>
        <v>0</v>
      </c>
      <c r="D5" s="143">
        <f>'[3]Charter Misc'!$JJ$32</f>
        <v>322</v>
      </c>
      <c r="E5" s="143">
        <f>[3]Omni!$JJ$32+[3]Omni!$JJ$22</f>
        <v>0</v>
      </c>
      <c r="F5" s="143">
        <f>'[3]Red Way'!$JJ$32+'[3]Red Way'!$JJ$22</f>
        <v>0</v>
      </c>
      <c r="G5" s="143">
        <f>[3]Xtra!$JJ$32+[3]Xtra!$JJ$22</f>
        <v>0</v>
      </c>
      <c r="H5" s="237">
        <f>SUM(B5:G5)</f>
        <v>322</v>
      </c>
    </row>
    <row r="6" spans="1:18" x14ac:dyDescent="0.2">
      <c r="A6" s="43" t="s">
        <v>31</v>
      </c>
      <c r="B6" s="302">
        <f>'[3]Charter Misc'!$JJ$23+'[3]Charter Misc'!$JJ$28+'[3]Charter Misc'!$JJ$38</f>
        <v>0</v>
      </c>
      <c r="C6" s="146">
        <f>[3]Ryan!$JJ$23</f>
        <v>0</v>
      </c>
      <c r="D6" s="146">
        <f>'[3]Charter Misc'!$JJ$33</f>
        <v>431</v>
      </c>
      <c r="E6" s="146">
        <f>[3]Omni!$JJ$23+[3]Omni!$JJ$33+[3]Omni!$JJ$28+[3]Omni!$JJ$38</f>
        <v>0</v>
      </c>
      <c r="F6" s="146">
        <f>'[3]Red Way'!$JJ$33+'[3]Red Way'!$JJ$23</f>
        <v>0</v>
      </c>
      <c r="G6" s="146">
        <f>[3]Xtra!$JJ$33+[3]Xtra!$JJ$23</f>
        <v>0</v>
      </c>
      <c r="H6" s="237">
        <f>SUM(B6:G6)</f>
        <v>431</v>
      </c>
    </row>
    <row r="7" spans="1:18" ht="15.75" thickBot="1" x14ac:dyDescent="0.3">
      <c r="A7" s="142" t="s">
        <v>7</v>
      </c>
      <c r="B7" s="303">
        <f t="shared" ref="B7:G7" si="0">SUM(B5:B6)</f>
        <v>0</v>
      </c>
      <c r="C7" s="209">
        <f t="shared" si="0"/>
        <v>0</v>
      </c>
      <c r="D7" s="209">
        <f t="shared" si="0"/>
        <v>753</v>
      </c>
      <c r="E7" s="209">
        <f t="shared" si="0"/>
        <v>0</v>
      </c>
      <c r="F7" s="209">
        <f t="shared" si="0"/>
        <v>0</v>
      </c>
      <c r="G7" s="209">
        <f t="shared" si="0"/>
        <v>0</v>
      </c>
      <c r="H7" s="210">
        <f>SUM(B7:G7)</f>
        <v>753</v>
      </c>
    </row>
    <row r="8" spans="1:18" ht="13.5" thickBot="1" x14ac:dyDescent="0.25"/>
    <row r="9" spans="1:18" x14ac:dyDescent="0.2">
      <c r="A9" s="140" t="s">
        <v>9</v>
      </c>
      <c r="B9" s="304"/>
      <c r="C9" s="28"/>
      <c r="D9" s="28"/>
      <c r="E9" s="28"/>
      <c r="F9" s="28"/>
      <c r="G9" s="28"/>
      <c r="H9" s="38"/>
    </row>
    <row r="10" spans="1:18" x14ac:dyDescent="0.2">
      <c r="A10" s="141" t="s">
        <v>79</v>
      </c>
      <c r="B10" s="301">
        <f>'[3]Charter Misc'!$JJ$4+'[3]Charter Misc'!$JJ$8</f>
        <v>0</v>
      </c>
      <c r="C10" s="143">
        <f>[3]Ryan!$JJ$4</f>
        <v>0</v>
      </c>
      <c r="D10" s="143">
        <f>'[3]Charter Misc'!$JJ$15</f>
        <v>7</v>
      </c>
      <c r="E10" s="143">
        <f>[3]Omni!$JJ$15+[3]Omni!$JJ$4</f>
        <v>0</v>
      </c>
      <c r="F10" s="143">
        <f>'[3]Red Way'!$JJ$15+'[3]Red Way'!$JJ$4</f>
        <v>0</v>
      </c>
      <c r="G10" s="143">
        <f>[3]Xtra!$JJ$15+[3]Xtra!$JJ$4</f>
        <v>0</v>
      </c>
      <c r="H10" s="236">
        <f>SUM(B10:G10)</f>
        <v>7</v>
      </c>
    </row>
    <row r="11" spans="1:18" x14ac:dyDescent="0.2">
      <c r="A11" s="141" t="s">
        <v>80</v>
      </c>
      <c r="B11" s="301">
        <f>'[3]Charter Misc'!$JJ$5+'[3]Charter Misc'!$JJ$9</f>
        <v>0</v>
      </c>
      <c r="C11" s="143">
        <f>[3]Ryan!$JJ$5</f>
        <v>0</v>
      </c>
      <c r="D11" s="143">
        <f>'[3]Charter Misc'!$JJ$16</f>
        <v>6</v>
      </c>
      <c r="E11" s="143">
        <f>[3]Omni!$JJ$16+[3]Omni!$JJ$5</f>
        <v>0</v>
      </c>
      <c r="F11" s="143">
        <f>'[3]Red Way'!$JJ$16+'[3]Red Way'!$JJ$5</f>
        <v>0</v>
      </c>
      <c r="G11" s="143">
        <f>[3]Xtra!$JJ$16+[3]Xtra!$JJ$5</f>
        <v>0</v>
      </c>
      <c r="H11" s="236">
        <f>SUM(B11:G11)</f>
        <v>6</v>
      </c>
    </row>
    <row r="12" spans="1:18" ht="15.75" thickBot="1" x14ac:dyDescent="0.3">
      <c r="A12" s="191" t="s">
        <v>28</v>
      </c>
      <c r="B12" s="305">
        <f t="shared" ref="B12:G12" si="1">SUM(B10:B11)</f>
        <v>0</v>
      </c>
      <c r="C12" s="211">
        <f t="shared" si="1"/>
        <v>0</v>
      </c>
      <c r="D12" s="211">
        <f t="shared" si="1"/>
        <v>13</v>
      </c>
      <c r="E12" s="211">
        <f t="shared" si="1"/>
        <v>0</v>
      </c>
      <c r="F12" s="211">
        <f t="shared" si="1"/>
        <v>0</v>
      </c>
      <c r="G12" s="211">
        <f t="shared" si="1"/>
        <v>0</v>
      </c>
      <c r="H12" s="212">
        <f>SUM(B12:G12)</f>
        <v>13</v>
      </c>
      <c r="R12" s="87"/>
    </row>
    <row r="17" spans="1:19" x14ac:dyDescent="0.2">
      <c r="B17" s="459" t="s">
        <v>148</v>
      </c>
      <c r="C17" s="460"/>
      <c r="D17" s="460"/>
      <c r="E17" s="460"/>
      <c r="F17" s="460"/>
      <c r="G17" s="460"/>
      <c r="H17" s="460"/>
      <c r="I17" s="460"/>
      <c r="J17" s="460"/>
      <c r="K17" s="460"/>
      <c r="L17" s="460"/>
      <c r="M17" s="460"/>
      <c r="N17" s="460"/>
      <c r="O17" s="460"/>
      <c r="P17" s="461"/>
    </row>
    <row r="18" spans="1:19" ht="13.5" thickBot="1" x14ac:dyDescent="0.25">
      <c r="A18" s="226"/>
      <c r="E18" s="161"/>
      <c r="G18" s="161"/>
      <c r="H18" s="161"/>
      <c r="L18" s="165"/>
      <c r="N18" s="4"/>
    </row>
    <row r="19" spans="1:19" ht="13.5" customHeight="1" thickBot="1" x14ac:dyDescent="0.25">
      <c r="A19" s="291"/>
      <c r="B19" s="462" t="s">
        <v>117</v>
      </c>
      <c r="C19" s="463"/>
      <c r="D19" s="463"/>
      <c r="E19" s="464"/>
      <c r="G19" s="462" t="s">
        <v>118</v>
      </c>
      <c r="H19" s="465"/>
      <c r="I19" s="465"/>
      <c r="J19" s="466"/>
      <c r="L19" s="467" t="s">
        <v>119</v>
      </c>
      <c r="M19" s="468"/>
      <c r="N19" s="468"/>
      <c r="O19" s="469"/>
      <c r="S19" s="379"/>
    </row>
    <row r="20" spans="1:19" ht="13.5" thickBot="1" x14ac:dyDescent="0.25">
      <c r="A20" s="167" t="s">
        <v>99</v>
      </c>
      <c r="B20" s="421" t="s">
        <v>100</v>
      </c>
      <c r="C20" s="421" t="s">
        <v>101</v>
      </c>
      <c r="D20" s="421" t="s">
        <v>235</v>
      </c>
      <c r="E20" s="421" t="s">
        <v>220</v>
      </c>
      <c r="F20" s="421" t="s">
        <v>96</v>
      </c>
      <c r="G20" s="421" t="s">
        <v>100</v>
      </c>
      <c r="H20" s="421" t="s">
        <v>101</v>
      </c>
      <c r="I20" s="421" t="s">
        <v>235</v>
      </c>
      <c r="J20" s="421" t="s">
        <v>220</v>
      </c>
      <c r="K20" s="421" t="s">
        <v>96</v>
      </c>
      <c r="L20" s="421" t="s">
        <v>100</v>
      </c>
      <c r="M20" s="421" t="s">
        <v>101</v>
      </c>
      <c r="N20" s="421" t="s">
        <v>235</v>
      </c>
      <c r="O20" s="421" t="s">
        <v>220</v>
      </c>
      <c r="P20" s="421" t="s">
        <v>96</v>
      </c>
      <c r="S20" s="379"/>
    </row>
    <row r="21" spans="1:19" ht="14.1" customHeight="1" x14ac:dyDescent="0.2">
      <c r="A21" s="172" t="s">
        <v>102</v>
      </c>
      <c r="B21" s="411">
        <f>+[4]Charter!B21</f>
        <v>174577</v>
      </c>
      <c r="C21" s="411">
        <f>+[4]Charter!C21</f>
        <v>137213</v>
      </c>
      <c r="D21" s="411">
        <f t="shared" ref="D21" si="2">SUM(B21:C21)</f>
        <v>311790</v>
      </c>
      <c r="E21" s="420">
        <f>[5]Charter!$D$21</f>
        <v>308897</v>
      </c>
      <c r="F21" s="412">
        <f t="shared" ref="F21:F32" si="3">(D21-E21)/E21</f>
        <v>9.3655814073946974E-3</v>
      </c>
      <c r="G21" s="411">
        <f t="shared" ref="G21" si="4">L21-B21</f>
        <v>1105482</v>
      </c>
      <c r="H21" s="411">
        <f t="shared" ref="H21" si="5">M21-C21</f>
        <v>1139036</v>
      </c>
      <c r="I21" s="411">
        <f t="shared" ref="I21" si="6">SUM(G21:H21)</f>
        <v>2244518</v>
      </c>
      <c r="J21" s="420">
        <f>[5]Charter!I21</f>
        <v>2234831</v>
      </c>
      <c r="K21" s="417">
        <f t="shared" ref="K21:K32" si="7">(I21-J21)/J21</f>
        <v>4.3345559462885557E-3</v>
      </c>
      <c r="L21" s="411">
        <f>+[4]Charter!L21</f>
        <v>1280059</v>
      </c>
      <c r="M21" s="411">
        <f>+[4]Charter!M21</f>
        <v>1276249</v>
      </c>
      <c r="N21" s="420">
        <f t="shared" ref="N21" si="8">SUM(L21:M21)</f>
        <v>2556308</v>
      </c>
      <c r="O21" s="420">
        <f>[5]Charter!N21</f>
        <v>2543728</v>
      </c>
      <c r="P21" s="416">
        <f>(N21-O21)/O21</f>
        <v>4.9454973173232355E-3</v>
      </c>
      <c r="S21" s="379"/>
    </row>
    <row r="22" spans="1:19" ht="14.1" customHeight="1" x14ac:dyDescent="0.2">
      <c r="A22" s="173" t="s">
        <v>103</v>
      </c>
      <c r="B22" s="411">
        <f>+[2]Charter!B22</f>
        <v>163197</v>
      </c>
      <c r="C22" s="411">
        <f>+[2]Charter!C22</f>
        <v>167591</v>
      </c>
      <c r="D22" s="411">
        <f t="shared" ref="D22" si="9">SUM(B22:C22)</f>
        <v>330788</v>
      </c>
      <c r="E22" s="411">
        <f>[6]Charter!D22</f>
        <v>330142</v>
      </c>
      <c r="F22" s="445">
        <f t="shared" si="3"/>
        <v>1.9567337691054152E-3</v>
      </c>
      <c r="G22" s="411">
        <f t="shared" ref="G22" si="10">L22-B22</f>
        <v>1069832</v>
      </c>
      <c r="H22" s="411">
        <f t="shared" ref="H22" si="11">M22-C22</f>
        <v>1086960</v>
      </c>
      <c r="I22" s="411">
        <f t="shared" ref="I22" si="12">SUM(G22:H22)</f>
        <v>2156792</v>
      </c>
      <c r="J22" s="411">
        <f>[6]Charter!I22</f>
        <v>2253669</v>
      </c>
      <c r="K22" s="418">
        <f t="shared" si="7"/>
        <v>-4.298634803957458E-2</v>
      </c>
      <c r="L22" s="411">
        <f>+[2]Charter!L22</f>
        <v>1233029</v>
      </c>
      <c r="M22" s="411">
        <f>+[2]Charter!M22</f>
        <v>1254551</v>
      </c>
      <c r="N22" s="420">
        <f t="shared" ref="N22" si="13">SUM(L22:M22)</f>
        <v>2487580</v>
      </c>
      <c r="O22" s="411">
        <f>[6]Charter!N22</f>
        <v>2583811</v>
      </c>
      <c r="P22" s="446">
        <f t="shared" ref="P22:P32" si="14">(N22-O22)/O22</f>
        <v>-3.7243823174373046E-2</v>
      </c>
      <c r="S22" s="379"/>
    </row>
    <row r="23" spans="1:19" ht="14.1" customHeight="1" x14ac:dyDescent="0.2">
      <c r="A23" s="173" t="s">
        <v>104</v>
      </c>
      <c r="B23" s="411">
        <f>+'Intl Detail'!$R$4+'Intl Detail'!$R$9</f>
        <v>217078</v>
      </c>
      <c r="C23" s="411">
        <f>+'Intl Detail'!$R$5+'Intl Detail'!$R$10</f>
        <v>228957</v>
      </c>
      <c r="D23" s="411">
        <f t="shared" ref="D23" si="15">SUM(B23:C23)</f>
        <v>446035</v>
      </c>
      <c r="E23" s="411">
        <f>[1]Charter!D23</f>
        <v>413424</v>
      </c>
      <c r="F23" s="418">
        <f t="shared" si="3"/>
        <v>7.8880277874530752E-2</v>
      </c>
      <c r="G23" s="411">
        <f t="shared" ref="G23" si="16">L23-B23</f>
        <v>1370831</v>
      </c>
      <c r="H23" s="411">
        <f t="shared" ref="H23" si="17">M23-C23</f>
        <v>1411284</v>
      </c>
      <c r="I23" s="411">
        <f t="shared" ref="I23" si="18">SUM(G23:H23)</f>
        <v>2782115</v>
      </c>
      <c r="J23" s="411">
        <f>[1]Charter!I23</f>
        <v>2834638</v>
      </c>
      <c r="K23" s="418">
        <f t="shared" si="7"/>
        <v>-1.8528997353453952E-2</v>
      </c>
      <c r="L23" s="411">
        <f>+'Monthly Summary'!$B$11</f>
        <v>1587909</v>
      </c>
      <c r="M23" s="411">
        <f>+'Monthly Summary'!$C$11</f>
        <v>1640241</v>
      </c>
      <c r="N23" s="420">
        <f t="shared" ref="N23" si="19">SUM(L23:M23)</f>
        <v>3228150</v>
      </c>
      <c r="O23" s="411">
        <f>[1]Charter!N23</f>
        <v>3248062</v>
      </c>
      <c r="P23" s="446">
        <f t="shared" si="14"/>
        <v>-6.1304248502645582E-3</v>
      </c>
      <c r="S23" s="379"/>
    </row>
    <row r="24" spans="1:19" ht="14.1" customHeight="1" x14ac:dyDescent="0.2">
      <c r="A24" s="173" t="s">
        <v>105</v>
      </c>
      <c r="B24" s="411"/>
      <c r="C24" s="411"/>
      <c r="D24" s="411">
        <f t="shared" ref="D24" si="20">SUM(B24:C24)</f>
        <v>0</v>
      </c>
      <c r="E24" s="411">
        <f>[7]Charter!D24</f>
        <v>275719</v>
      </c>
      <c r="F24" s="418">
        <f t="shared" si="3"/>
        <v>-1</v>
      </c>
      <c r="G24" s="411"/>
      <c r="H24" s="411"/>
      <c r="I24" s="411">
        <f t="shared" ref="I24" si="21">SUM(G24:H24)</f>
        <v>0</v>
      </c>
      <c r="J24" s="411">
        <f>[7]Charter!I24</f>
        <v>2728070</v>
      </c>
      <c r="K24" s="418">
        <f t="shared" si="7"/>
        <v>-1</v>
      </c>
      <c r="L24" s="411"/>
      <c r="M24" s="411"/>
      <c r="N24" s="420">
        <f t="shared" ref="N24" si="22">SUM(L24:M24)</f>
        <v>0</v>
      </c>
      <c r="O24" s="411">
        <f>[7]Charter!N24</f>
        <v>3003789</v>
      </c>
      <c r="P24" s="446">
        <f t="shared" si="14"/>
        <v>-1</v>
      </c>
    </row>
    <row r="25" spans="1:19" ht="14.1" customHeight="1" x14ac:dyDescent="0.2">
      <c r="A25" s="166" t="s">
        <v>75</v>
      </c>
      <c r="B25" s="411"/>
      <c r="C25" s="411"/>
      <c r="D25" s="411">
        <f t="shared" ref="D25" si="23">SUM(B25:C25)</f>
        <v>0</v>
      </c>
      <c r="E25" s="411">
        <f>[8]Charter!D25</f>
        <v>257969</v>
      </c>
      <c r="F25" s="419">
        <f t="shared" si="3"/>
        <v>-1</v>
      </c>
      <c r="G25" s="411"/>
      <c r="H25" s="411"/>
      <c r="I25" s="411">
        <f t="shared" ref="I25" si="24">SUM(G25:H25)</f>
        <v>0</v>
      </c>
      <c r="J25" s="411">
        <f>[8]Charter!I25</f>
        <v>2943570</v>
      </c>
      <c r="K25" s="419">
        <f>(I25-J25)/J25</f>
        <v>-1</v>
      </c>
      <c r="L25" s="411"/>
      <c r="M25" s="411"/>
      <c r="N25" s="420">
        <f t="shared" ref="N25" si="25">SUM(L25:M25)</f>
        <v>0</v>
      </c>
      <c r="O25" s="411">
        <f>[8]Charter!N25</f>
        <v>3201539</v>
      </c>
      <c r="P25" s="447">
        <f t="shared" si="14"/>
        <v>-1</v>
      </c>
    </row>
    <row r="26" spans="1:19" ht="14.1" customHeight="1" x14ac:dyDescent="0.2">
      <c r="A26" s="173" t="s">
        <v>106</v>
      </c>
      <c r="B26" s="411"/>
      <c r="C26" s="411"/>
      <c r="D26" s="411">
        <f t="shared" ref="D26" si="26">SUM(B26:C26)</f>
        <v>0</v>
      </c>
      <c r="E26" s="411">
        <f>[9]Charter!D26</f>
        <v>312797</v>
      </c>
      <c r="F26" s="413">
        <f t="shared" si="3"/>
        <v>-1</v>
      </c>
      <c r="G26" s="411"/>
      <c r="H26" s="411"/>
      <c r="I26" s="411">
        <f t="shared" ref="I26" si="27">SUM(G26:H26)</f>
        <v>0</v>
      </c>
      <c r="J26" s="411">
        <f>[9]Charter!I26</f>
        <v>3224478</v>
      </c>
      <c r="K26" s="418">
        <f t="shared" si="7"/>
        <v>-1</v>
      </c>
      <c r="L26" s="411"/>
      <c r="M26" s="411"/>
      <c r="N26" s="420">
        <f t="shared" ref="N26" si="28">SUM(L26:M26)</f>
        <v>0</v>
      </c>
      <c r="O26" s="411">
        <f>[9]Charter!N26</f>
        <v>3537275</v>
      </c>
      <c r="P26" s="408">
        <f t="shared" si="14"/>
        <v>-1</v>
      </c>
    </row>
    <row r="27" spans="1:19" ht="14.1" customHeight="1" x14ac:dyDescent="0.2">
      <c r="A27" s="166" t="s">
        <v>107</v>
      </c>
      <c r="B27" s="411"/>
      <c r="C27" s="411"/>
      <c r="D27" s="411">
        <f t="shared" ref="D27" si="29">SUM(B27:C27)</f>
        <v>0</v>
      </c>
      <c r="E27" s="411">
        <f>[10]Charter!D27</f>
        <v>324356</v>
      </c>
      <c r="F27" s="414">
        <f t="shared" si="3"/>
        <v>-1</v>
      </c>
      <c r="G27" s="411"/>
      <c r="H27" s="411"/>
      <c r="I27" s="411">
        <f t="shared" ref="I27" si="30">SUM(G27:H27)</f>
        <v>0</v>
      </c>
      <c r="J27" s="411">
        <f>[10]Charter!I27</f>
        <v>3285779</v>
      </c>
      <c r="K27" s="419">
        <f t="shared" si="7"/>
        <v>-1</v>
      </c>
      <c r="L27" s="411"/>
      <c r="M27" s="411"/>
      <c r="N27" s="420">
        <f t="shared" ref="N27" si="31">SUM(L27:M27)</f>
        <v>0</v>
      </c>
      <c r="O27" s="411">
        <f>[10]Charter!N27</f>
        <v>3610135</v>
      </c>
      <c r="P27" s="409">
        <f t="shared" si="14"/>
        <v>-1</v>
      </c>
    </row>
    <row r="28" spans="1:19" ht="14.1" customHeight="1" x14ac:dyDescent="0.2">
      <c r="A28" s="173" t="s">
        <v>108</v>
      </c>
      <c r="B28" s="411"/>
      <c r="C28" s="411"/>
      <c r="D28" s="411">
        <f t="shared" ref="D28" si="32">SUM(B28:C28)</f>
        <v>0</v>
      </c>
      <c r="E28" s="411">
        <f>[11]Charter!D28</f>
        <v>330774</v>
      </c>
      <c r="F28" s="413">
        <f t="shared" si="3"/>
        <v>-1</v>
      </c>
      <c r="G28" s="411"/>
      <c r="H28" s="411"/>
      <c r="I28" s="411">
        <f t="shared" ref="I28" si="33">SUM(G28:H28)</f>
        <v>0</v>
      </c>
      <c r="J28" s="411">
        <f>[11]Charter!I28</f>
        <v>3289710</v>
      </c>
      <c r="K28" s="418">
        <f t="shared" si="7"/>
        <v>-1</v>
      </c>
      <c r="L28" s="411"/>
      <c r="M28" s="411"/>
      <c r="N28" s="420">
        <f t="shared" ref="N28" si="34">SUM(L28:M28)</f>
        <v>0</v>
      </c>
      <c r="O28" s="411">
        <f>[11]Charter!N28</f>
        <v>3620484</v>
      </c>
      <c r="P28" s="408">
        <f t="shared" si="14"/>
        <v>-1</v>
      </c>
    </row>
    <row r="29" spans="1:19" ht="14.1" customHeight="1" x14ac:dyDescent="0.2">
      <c r="A29" s="166" t="s">
        <v>109</v>
      </c>
      <c r="B29" s="411"/>
      <c r="C29" s="411"/>
      <c r="D29" s="411">
        <f t="shared" ref="D29" si="35">SUM(B29:C29)</f>
        <v>0</v>
      </c>
      <c r="E29" s="411">
        <f>[12]Charter!D29</f>
        <v>268454</v>
      </c>
      <c r="F29" s="414">
        <f t="shared" si="3"/>
        <v>-1</v>
      </c>
      <c r="G29" s="411"/>
      <c r="H29" s="411"/>
      <c r="I29" s="411">
        <f t="shared" ref="I29" si="36">SUM(G29:H29)</f>
        <v>0</v>
      </c>
      <c r="J29" s="411">
        <f>[12]Charter!I29</f>
        <v>2679340</v>
      </c>
      <c r="K29" s="419">
        <f t="shared" si="7"/>
        <v>-1</v>
      </c>
      <c r="L29" s="411"/>
      <c r="M29" s="411"/>
      <c r="N29" s="420">
        <f t="shared" ref="N29" si="37">SUM(L29:M29)</f>
        <v>0</v>
      </c>
      <c r="O29" s="411">
        <f>[12]Charter!N29</f>
        <v>2947794</v>
      </c>
      <c r="P29" s="409">
        <f t="shared" si="14"/>
        <v>-1</v>
      </c>
    </row>
    <row r="30" spans="1:19" ht="14.1" customHeight="1" x14ac:dyDescent="0.2">
      <c r="A30" s="173" t="s">
        <v>110</v>
      </c>
      <c r="B30" s="411"/>
      <c r="C30" s="411"/>
      <c r="D30" s="411">
        <f t="shared" ref="D30" si="38">SUM(B30:C30)</f>
        <v>0</v>
      </c>
      <c r="E30" s="411">
        <f>[13]Charter!D30</f>
        <v>253799</v>
      </c>
      <c r="F30" s="413">
        <f t="shared" si="3"/>
        <v>-1</v>
      </c>
      <c r="G30" s="411"/>
      <c r="H30" s="411"/>
      <c r="I30" s="411">
        <f t="shared" ref="I30" si="39">SUM(G30:H30)</f>
        <v>0</v>
      </c>
      <c r="J30" s="411">
        <f>[13]Charter!I30</f>
        <v>2857152</v>
      </c>
      <c r="K30" s="418">
        <f t="shared" si="7"/>
        <v>-1</v>
      </c>
      <c r="L30" s="411"/>
      <c r="M30" s="411"/>
      <c r="N30" s="420">
        <f t="shared" ref="N30" si="40">SUM(L30:M30)</f>
        <v>0</v>
      </c>
      <c r="O30" s="411">
        <f>[13]Charter!N30</f>
        <v>3110951</v>
      </c>
      <c r="P30" s="408">
        <f t="shared" si="14"/>
        <v>-1</v>
      </c>
    </row>
    <row r="31" spans="1:19" ht="14.1" customHeight="1" x14ac:dyDescent="0.2">
      <c r="A31" s="166" t="s">
        <v>111</v>
      </c>
      <c r="B31" s="411"/>
      <c r="C31" s="411"/>
      <c r="D31" s="411">
        <f t="shared" ref="D31" si="41">SUM(B31:C31)</f>
        <v>0</v>
      </c>
      <c r="E31" s="411">
        <f>[14]Charter!D31</f>
        <v>204393</v>
      </c>
      <c r="F31" s="414">
        <f t="shared" si="3"/>
        <v>-1</v>
      </c>
      <c r="G31" s="411"/>
      <c r="H31" s="411"/>
      <c r="I31" s="411">
        <f t="shared" ref="I31" si="42">SUM(G31:H31)</f>
        <v>0</v>
      </c>
      <c r="J31" s="411">
        <f>[14]Charter!I31</f>
        <v>2514974</v>
      </c>
      <c r="K31" s="419">
        <f t="shared" si="7"/>
        <v>-1</v>
      </c>
      <c r="L31" s="411"/>
      <c r="M31" s="411"/>
      <c r="N31" s="420">
        <f t="shared" ref="N31" si="43">SUM(L31:M31)</f>
        <v>0</v>
      </c>
      <c r="O31" s="411">
        <f>[14]Charter!N31</f>
        <v>2719367</v>
      </c>
      <c r="P31" s="409">
        <f t="shared" si="14"/>
        <v>-1</v>
      </c>
    </row>
    <row r="32" spans="1:19" ht="14.1" customHeight="1" x14ac:dyDescent="0.2">
      <c r="A32" s="174" t="s">
        <v>112</v>
      </c>
      <c r="B32" s="411"/>
      <c r="C32" s="411"/>
      <c r="D32" s="411">
        <f t="shared" ref="D32" si="44">SUM(B32:C32)</f>
        <v>0</v>
      </c>
      <c r="E32" s="411">
        <f>[15]Charter!D32</f>
        <v>288997</v>
      </c>
      <c r="F32" s="415">
        <f t="shared" si="3"/>
        <v>-1</v>
      </c>
      <c r="G32" s="411"/>
      <c r="H32" s="411"/>
      <c r="I32" s="411">
        <f t="shared" ref="I32" si="45">SUM(G32:H32)</f>
        <v>0</v>
      </c>
      <c r="J32" s="411">
        <f>[15]Charter!I32</f>
        <v>2752325</v>
      </c>
      <c r="K32" s="415">
        <f t="shared" si="7"/>
        <v>-1</v>
      </c>
      <c r="L32" s="411"/>
      <c r="M32" s="411"/>
      <c r="N32" s="420">
        <f t="shared" ref="N32" si="46">SUM(L32:M32)</f>
        <v>0</v>
      </c>
      <c r="O32" s="411">
        <f>[15]Charter!N32</f>
        <v>3041322</v>
      </c>
      <c r="P32" s="410">
        <f t="shared" si="14"/>
        <v>-1</v>
      </c>
    </row>
    <row r="33" spans="1:16" ht="13.5" thickBot="1" x14ac:dyDescent="0.25">
      <c r="A33" s="171" t="s">
        <v>76</v>
      </c>
      <c r="B33" s="177">
        <f>SUM(B21:B32)</f>
        <v>554852</v>
      </c>
      <c r="C33" s="178">
        <f>SUM(C21:C32)</f>
        <v>533761</v>
      </c>
      <c r="D33" s="178">
        <f>SUM(D21:D32)</f>
        <v>1088613</v>
      </c>
      <c r="E33" s="179">
        <f>SUM(E21:E32)</f>
        <v>3569721</v>
      </c>
      <c r="F33" s="169">
        <f>(D33-E33)/E33</f>
        <v>-0.69504255374579693</v>
      </c>
      <c r="G33" s="180">
        <f>SUM(G21:G32)</f>
        <v>3546145</v>
      </c>
      <c r="H33" s="178">
        <f>SUM(H21:H32)</f>
        <v>3637280</v>
      </c>
      <c r="I33" s="178">
        <f>SUM(I21:I32)</f>
        <v>7183425</v>
      </c>
      <c r="J33" s="181">
        <f>SUM(J21:J32)</f>
        <v>33598536</v>
      </c>
      <c r="K33" s="170">
        <f>(I33-J33)/J33</f>
        <v>-0.78619827363906569</v>
      </c>
      <c r="L33" s="180">
        <f>SUM(L21:L32)</f>
        <v>4100997</v>
      </c>
      <c r="M33" s="178">
        <f>SUM(M21:M32)</f>
        <v>4171041</v>
      </c>
      <c r="N33" s="178">
        <f>SUM(N21:N32)</f>
        <v>8272038</v>
      </c>
      <c r="O33" s="179">
        <f>SUM(O21:O32)</f>
        <v>37168257</v>
      </c>
      <c r="P33" s="168">
        <f>(N33-O33)/O33</f>
        <v>-0.77744347818085735</v>
      </c>
    </row>
    <row r="35" spans="1:16" x14ac:dyDescent="0.2">
      <c r="N35" s="87"/>
      <c r="O35" s="87"/>
    </row>
    <row r="36" spans="1:16" x14ac:dyDescent="0.2">
      <c r="D36" s="87"/>
      <c r="O36" s="87"/>
    </row>
    <row r="37" spans="1:16" x14ac:dyDescent="0.2">
      <c r="N37" s="87"/>
      <c r="O37" s="87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5" orientation="landscape" r:id="rId1"/>
  <headerFooter alignWithMargins="0">
    <oddHeader xml:space="preserve">&amp;L
Schedule 6
&amp;CMinneapolis-St. Paul International Airport
&amp;"Arial,Bold"Charters and Passenger Summary
March 2025
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38"/>
  <sheetViews>
    <sheetView topLeftCell="B1" zoomScaleNormal="100" workbookViewId="0">
      <selection activeCell="I8" sqref="I8"/>
    </sheetView>
  </sheetViews>
  <sheetFormatPr defaultRowHeight="12.75" x14ac:dyDescent="0.2"/>
  <cols>
    <col min="1" max="1" width="24.85546875" bestFit="1" customWidth="1"/>
    <col min="2" max="2" width="10" customWidth="1"/>
    <col min="3" max="3" width="10.28515625" bestFit="1" customWidth="1"/>
    <col min="4" max="9" width="10.28515625" customWidth="1"/>
    <col min="10" max="10" width="11.28515625" bestFit="1" customWidth="1"/>
    <col min="11" max="15" width="10.28515625" customWidth="1"/>
    <col min="16" max="16" width="10.7109375" bestFit="1" customWidth="1"/>
    <col min="17" max="17" width="11.28515625" bestFit="1" customWidth="1"/>
    <col min="18" max="18" width="10.28515625" bestFit="1" customWidth="1"/>
    <col min="19" max="19" width="11.28515625" bestFit="1" customWidth="1"/>
    <col min="22" max="22" width="9.42578125" customWidth="1"/>
    <col min="23" max="23" width="10.140625" bestFit="1" customWidth="1"/>
  </cols>
  <sheetData>
    <row r="1" spans="1:23" s="40" customFormat="1" ht="16.5" thickBot="1" x14ac:dyDescent="0.3">
      <c r="B1" s="473" t="s">
        <v>187</v>
      </c>
      <c r="C1" s="474"/>
      <c r="D1" s="474"/>
      <c r="E1" s="474"/>
      <c r="F1" s="474"/>
      <c r="G1" s="474"/>
      <c r="H1" s="474"/>
      <c r="I1" s="474"/>
      <c r="J1" s="474"/>
      <c r="K1" s="474"/>
      <c r="L1" s="474"/>
      <c r="M1" s="474"/>
      <c r="N1" s="474"/>
      <c r="O1" s="474"/>
      <c r="P1" s="474"/>
      <c r="Q1" s="474"/>
      <c r="R1" s="474"/>
      <c r="S1" s="475"/>
    </row>
    <row r="2" spans="1:23" s="26" customFormat="1" ht="43.5" customHeight="1" thickBot="1" x14ac:dyDescent="0.25">
      <c r="A2" s="384">
        <v>45717</v>
      </c>
      <c r="B2" s="313" t="s">
        <v>183</v>
      </c>
      <c r="C2" s="313" t="s">
        <v>212</v>
      </c>
      <c r="D2" s="313" t="s">
        <v>203</v>
      </c>
      <c r="E2" s="346" t="s">
        <v>205</v>
      </c>
      <c r="F2" s="346" t="s">
        <v>204</v>
      </c>
      <c r="G2" s="313" t="s">
        <v>188</v>
      </c>
      <c r="H2" s="346" t="s">
        <v>211</v>
      </c>
      <c r="I2" s="346" t="s">
        <v>185</v>
      </c>
      <c r="J2" s="314" t="s">
        <v>81</v>
      </c>
      <c r="K2" s="346" t="s">
        <v>168</v>
      </c>
      <c r="L2" s="313" t="s">
        <v>189</v>
      </c>
      <c r="M2" s="346" t="s">
        <v>85</v>
      </c>
      <c r="N2" s="313" t="s">
        <v>209</v>
      </c>
      <c r="O2" s="313" t="s">
        <v>190</v>
      </c>
      <c r="P2" s="313" t="s">
        <v>191</v>
      </c>
      <c r="Q2" s="314" t="s">
        <v>82</v>
      </c>
      <c r="R2" s="346" t="s">
        <v>126</v>
      </c>
      <c r="S2" s="346" t="s">
        <v>21</v>
      </c>
    </row>
    <row r="3" spans="1:23" ht="15" x14ac:dyDescent="0.25">
      <c r="A3" s="149" t="s">
        <v>9</v>
      </c>
      <c r="B3" s="354"/>
      <c r="C3" s="150"/>
      <c r="D3" s="150"/>
      <c r="E3" s="150"/>
      <c r="F3" s="28"/>
      <c r="G3" s="150"/>
      <c r="H3" s="150"/>
      <c r="I3" s="28"/>
      <c r="J3" s="150"/>
      <c r="K3" s="28"/>
      <c r="L3" s="150"/>
      <c r="M3" s="28"/>
      <c r="N3" s="150"/>
      <c r="O3" s="150"/>
      <c r="P3" s="150"/>
      <c r="Q3" s="150"/>
      <c r="R3" s="28"/>
      <c r="S3" s="355"/>
      <c r="U3" s="328"/>
      <c r="V3" s="328"/>
      <c r="W3" s="328"/>
    </row>
    <row r="4" spans="1:23" x14ac:dyDescent="0.2">
      <c r="A4" s="36" t="s">
        <v>53</v>
      </c>
      <c r="B4" s="175">
        <f>'[3]Atlas Air'!$JJ$4</f>
        <v>0</v>
      </c>
      <c r="C4" s="124">
        <f>[3]DHL!$JJ$8+[3]DHL!$JJ$4</f>
        <v>1</v>
      </c>
      <c r="D4" s="124">
        <f>[3]Airborne!$JJ$4+[3]Airborne!$JJ$15</f>
        <v>3</v>
      </c>
      <c r="E4" s="87">
        <f>[3]DHL_Bemidji!$JJ$4</f>
        <v>41</v>
      </c>
      <c r="F4" s="87">
        <f>[3]Bemidji!$JJ$4</f>
        <v>139</v>
      </c>
      <c r="G4" s="124">
        <f>[3]DHL_Encore!$JJ$4+[3]DHL_Encore!$JJ$15</f>
        <v>0</v>
      </c>
      <c r="H4" s="124">
        <f>[3]DHL_Mesa!$JJ$4+[3]DHL_Mesa!$JJ$15</f>
        <v>0</v>
      </c>
      <c r="I4" s="124">
        <f>[3]Encore!$JJ$4+[3]Encore!$JJ$15</f>
        <v>0</v>
      </c>
      <c r="J4" s="124">
        <f>[3]FedEx!$JJ$4+[3]FedEx!$JJ$15</f>
        <v>65</v>
      </c>
      <c r="K4" s="124">
        <f>[3]IFL!$JJ$4+[3]IFL!$JJ$15</f>
        <v>17</v>
      </c>
      <c r="L4" s="124">
        <f>[3]DHL_Kalitta!$JJ$4+[3]DHL_Kalitta!$JJ$15</f>
        <v>18</v>
      </c>
      <c r="M4" s="87">
        <f>'[3]Mountain Cargo'!$JJ$4</f>
        <v>19</v>
      </c>
      <c r="N4" s="124">
        <f>[3]DHL_Amerijet!$JJ$4+[3]DHL_Amerijet!$JJ$15</f>
        <v>0</v>
      </c>
      <c r="O4" s="124">
        <f>[3]DHL_Swift!$JJ$4+[3]DHL_Swift!$JJ$15</f>
        <v>0</v>
      </c>
      <c r="P4" s="124">
        <f>+'[3]Sun Country Cargo'!$JJ$4+'[3]Sun Country Cargo'!$JJ$8+'[3]Sun Country Cargo'!$JJ$15</f>
        <v>86</v>
      </c>
      <c r="Q4" s="124">
        <f>[3]UPS!$JJ$4+[3]UPS!$JJ$15</f>
        <v>108</v>
      </c>
      <c r="R4" s="87">
        <f>'[3]Misc Cargo'!$JJ$4</f>
        <v>0</v>
      </c>
      <c r="S4" s="356">
        <f>SUM(B4:R4)</f>
        <v>497</v>
      </c>
      <c r="U4" s="328"/>
      <c r="V4" s="328"/>
      <c r="W4" s="207"/>
    </row>
    <row r="5" spans="1:23" x14ac:dyDescent="0.2">
      <c r="A5" s="36" t="s">
        <v>54</v>
      </c>
      <c r="B5" s="357">
        <f>'[3]Atlas Air'!$JJ$5</f>
        <v>0</v>
      </c>
      <c r="C5" s="148">
        <f>[3]DHL!$JJ$9+[3]DHL!$JJ$5</f>
        <v>1</v>
      </c>
      <c r="D5" s="148">
        <f>[3]Airborne!$JJ$5</f>
        <v>3</v>
      </c>
      <c r="E5" s="88">
        <f>[3]DHL_Bemidji!$JJ$5</f>
        <v>41</v>
      </c>
      <c r="F5" s="88">
        <f>[3]Bemidji!$JJ$5</f>
        <v>139</v>
      </c>
      <c r="G5" s="148">
        <f>[3]DHL_Encore!$JJ$5</f>
        <v>0</v>
      </c>
      <c r="H5" s="148">
        <f>[3]DHL_Mesa!$JJ$5</f>
        <v>0</v>
      </c>
      <c r="I5" s="148">
        <f>[3]Encore!$JJ$5</f>
        <v>0</v>
      </c>
      <c r="J5" s="148">
        <f>[3]FedEx!$JJ$5</f>
        <v>65</v>
      </c>
      <c r="K5" s="148">
        <f>[3]IFL!$JJ$5</f>
        <v>17</v>
      </c>
      <c r="L5" s="148">
        <f>[3]DHL_Kalitta!$JJ$5+[3]DHL_Kalitta!$JJ$16</f>
        <v>18</v>
      </c>
      <c r="M5" s="88">
        <f>'[3]Mountain Cargo'!$JJ$5</f>
        <v>19</v>
      </c>
      <c r="N5" s="148">
        <f>[3]DHL_Amerijet!$JJ$5</f>
        <v>0</v>
      </c>
      <c r="O5" s="148">
        <f>[3]DHL_Swift!$JJ$5</f>
        <v>0</v>
      </c>
      <c r="P5" s="148">
        <f>+'[3]Sun Country Cargo'!$JJ$5+'[3]Sun Country Cargo'!$JJ$9+'[3]Sun Country Cargo'!$JJ$16</f>
        <v>86</v>
      </c>
      <c r="Q5" s="148">
        <f>[3]UPS!$JJ$5+[3]UPS!$JJ$16</f>
        <v>108</v>
      </c>
      <c r="R5" s="88">
        <f>'[3]Misc Cargo'!$JJ$5</f>
        <v>0</v>
      </c>
      <c r="S5" s="356">
        <f>SUM(B5:R5)</f>
        <v>497</v>
      </c>
      <c r="U5" s="328"/>
      <c r="V5" s="328"/>
      <c r="W5" s="207"/>
    </row>
    <row r="6" spans="1:23" s="147" customFormat="1" x14ac:dyDescent="0.2">
      <c r="A6" s="151" t="s">
        <v>55</v>
      </c>
      <c r="B6" s="358">
        <f t="shared" ref="B6:R6" si="0">SUM(B4:B5)</f>
        <v>0</v>
      </c>
      <c r="C6" s="359">
        <f t="shared" si="0"/>
        <v>2</v>
      </c>
      <c r="D6" s="359">
        <f t="shared" ref="D6:E6" si="1">SUM(D4:D5)</f>
        <v>6</v>
      </c>
      <c r="E6" s="85">
        <f t="shared" si="1"/>
        <v>82</v>
      </c>
      <c r="F6" s="85">
        <f t="shared" si="0"/>
        <v>278</v>
      </c>
      <c r="G6" s="359">
        <f t="shared" si="0"/>
        <v>0</v>
      </c>
      <c r="H6" s="359">
        <f t="shared" ref="H6" si="2">SUM(H4:H5)</f>
        <v>0</v>
      </c>
      <c r="I6" s="359">
        <f t="shared" si="0"/>
        <v>0</v>
      </c>
      <c r="J6" s="359">
        <f t="shared" si="0"/>
        <v>130</v>
      </c>
      <c r="K6" s="359">
        <f t="shared" si="0"/>
        <v>34</v>
      </c>
      <c r="L6" s="359">
        <f t="shared" si="0"/>
        <v>36</v>
      </c>
      <c r="M6" s="85">
        <f t="shared" si="0"/>
        <v>38</v>
      </c>
      <c r="N6" s="359">
        <f t="shared" si="0"/>
        <v>0</v>
      </c>
      <c r="O6" s="359">
        <f t="shared" si="0"/>
        <v>0</v>
      </c>
      <c r="P6" s="359">
        <f t="shared" si="0"/>
        <v>172</v>
      </c>
      <c r="Q6" s="359">
        <f t="shared" si="0"/>
        <v>216</v>
      </c>
      <c r="R6" s="85">
        <f t="shared" si="0"/>
        <v>0</v>
      </c>
      <c r="S6" s="356">
        <f t="shared" ref="S6:S10" si="3">SUM(B6:R6)</f>
        <v>994</v>
      </c>
      <c r="W6" s="275"/>
    </row>
    <row r="7" spans="1:23" x14ac:dyDescent="0.2">
      <c r="A7" s="36"/>
      <c r="B7" s="175"/>
      <c r="C7" s="124"/>
      <c r="D7" s="124"/>
      <c r="E7" s="87"/>
      <c r="F7" s="87"/>
      <c r="G7" s="124"/>
      <c r="H7" s="124"/>
      <c r="I7" s="124"/>
      <c r="J7" s="124"/>
      <c r="K7" s="124"/>
      <c r="L7" s="124"/>
      <c r="M7" s="87"/>
      <c r="N7" s="124"/>
      <c r="O7" s="124"/>
      <c r="P7" s="124"/>
      <c r="Q7" s="124"/>
      <c r="R7" s="87"/>
      <c r="S7" s="356"/>
      <c r="U7" s="311"/>
      <c r="V7" s="328"/>
      <c r="W7" s="207"/>
    </row>
    <row r="8" spans="1:23" x14ac:dyDescent="0.2">
      <c r="A8" s="36" t="s">
        <v>56</v>
      </c>
      <c r="B8" s="175"/>
      <c r="C8" s="124"/>
      <c r="D8" s="124"/>
      <c r="E8" s="87"/>
      <c r="F8" s="87"/>
      <c r="G8" s="124"/>
      <c r="H8" s="124"/>
      <c r="I8" s="124"/>
      <c r="J8" s="124"/>
      <c r="K8" s="124"/>
      <c r="L8" s="124"/>
      <c r="M8" s="87"/>
      <c r="N8" s="124"/>
      <c r="O8" s="124"/>
      <c r="P8" s="124"/>
      <c r="Q8" s="124"/>
      <c r="R8" s="87">
        <f>'[3]Misc Cargo'!$JJ$8</f>
        <v>0</v>
      </c>
      <c r="S8" s="356">
        <f t="shared" si="3"/>
        <v>0</v>
      </c>
      <c r="U8" s="328"/>
      <c r="V8" s="328"/>
      <c r="W8" s="207"/>
    </row>
    <row r="9" spans="1:23" ht="15" x14ac:dyDescent="0.25">
      <c r="A9" s="36" t="s">
        <v>57</v>
      </c>
      <c r="B9" s="357"/>
      <c r="C9" s="148"/>
      <c r="D9" s="148"/>
      <c r="E9" s="88"/>
      <c r="F9" s="88"/>
      <c r="G9" s="148"/>
      <c r="H9" s="148"/>
      <c r="I9" s="148"/>
      <c r="J9" s="148"/>
      <c r="K9" s="148"/>
      <c r="L9" s="148"/>
      <c r="M9" s="88"/>
      <c r="N9" s="148"/>
      <c r="O9" s="148"/>
      <c r="P9" s="148"/>
      <c r="Q9" s="148"/>
      <c r="R9" s="88">
        <f>'[3]Misc Cargo'!$JJ$9</f>
        <v>0</v>
      </c>
      <c r="S9" s="356">
        <f t="shared" si="3"/>
        <v>0</v>
      </c>
      <c r="U9" s="328"/>
      <c r="V9" s="8"/>
      <c r="W9" s="207"/>
    </row>
    <row r="10" spans="1:23" s="147" customFormat="1" x14ac:dyDescent="0.2">
      <c r="A10" s="151" t="s">
        <v>58</v>
      </c>
      <c r="B10" s="358">
        <f t="shared" ref="B10:R10" si="4">SUM(B8:B9)</f>
        <v>0</v>
      </c>
      <c r="C10" s="359">
        <f t="shared" si="4"/>
        <v>0</v>
      </c>
      <c r="D10" s="359">
        <f t="shared" ref="D10:E10" si="5">SUM(D8:D9)</f>
        <v>0</v>
      </c>
      <c r="E10" s="85">
        <f t="shared" si="5"/>
        <v>0</v>
      </c>
      <c r="F10" s="85">
        <f t="shared" si="4"/>
        <v>0</v>
      </c>
      <c r="G10" s="359">
        <f t="shared" si="4"/>
        <v>0</v>
      </c>
      <c r="H10" s="359">
        <f t="shared" ref="H10" si="6">SUM(H8:H9)</f>
        <v>0</v>
      </c>
      <c r="I10" s="359">
        <f t="shared" si="4"/>
        <v>0</v>
      </c>
      <c r="J10" s="359">
        <f t="shared" si="4"/>
        <v>0</v>
      </c>
      <c r="K10" s="359">
        <f t="shared" si="4"/>
        <v>0</v>
      </c>
      <c r="L10" s="359">
        <f t="shared" si="4"/>
        <v>0</v>
      </c>
      <c r="M10" s="85">
        <f t="shared" si="4"/>
        <v>0</v>
      </c>
      <c r="N10" s="359">
        <f t="shared" si="4"/>
        <v>0</v>
      </c>
      <c r="O10" s="359">
        <f t="shared" si="4"/>
        <v>0</v>
      </c>
      <c r="P10" s="359">
        <f t="shared" si="4"/>
        <v>0</v>
      </c>
      <c r="Q10" s="359">
        <f t="shared" si="4"/>
        <v>0</v>
      </c>
      <c r="R10" s="85">
        <f t="shared" si="4"/>
        <v>0</v>
      </c>
      <c r="S10" s="356">
        <f t="shared" si="3"/>
        <v>0</v>
      </c>
      <c r="W10" s="275"/>
    </row>
    <row r="11" spans="1:23" x14ac:dyDescent="0.2">
      <c r="A11" s="36"/>
      <c r="B11" s="175"/>
      <c r="C11" s="124"/>
      <c r="D11" s="124"/>
      <c r="E11" s="87"/>
      <c r="F11" s="87"/>
      <c r="G11" s="124"/>
      <c r="H11" s="124"/>
      <c r="I11" s="124"/>
      <c r="J11" s="124"/>
      <c r="K11" s="124"/>
      <c r="L11" s="124"/>
      <c r="M11" s="87"/>
      <c r="N11" s="124"/>
      <c r="O11" s="124"/>
      <c r="P11" s="124"/>
      <c r="Q11" s="124"/>
      <c r="R11" s="87"/>
      <c r="S11" s="360"/>
      <c r="U11" s="328"/>
      <c r="V11" s="328"/>
      <c r="W11" s="207"/>
    </row>
    <row r="12" spans="1:23" ht="18" customHeight="1" thickBot="1" x14ac:dyDescent="0.25">
      <c r="A12" s="152" t="s">
        <v>28</v>
      </c>
      <c r="B12" s="361">
        <f t="shared" ref="B12:R12" si="7">B6+B10</f>
        <v>0</v>
      </c>
      <c r="C12" s="153">
        <f t="shared" si="7"/>
        <v>2</v>
      </c>
      <c r="D12" s="153">
        <f t="shared" ref="D12:E12" si="8">D6+D10</f>
        <v>6</v>
      </c>
      <c r="E12" s="154">
        <f t="shared" si="8"/>
        <v>82</v>
      </c>
      <c r="F12" s="154">
        <f t="shared" si="7"/>
        <v>278</v>
      </c>
      <c r="G12" s="153">
        <f t="shared" si="7"/>
        <v>0</v>
      </c>
      <c r="H12" s="153">
        <f t="shared" ref="H12" si="9">H6+H10</f>
        <v>0</v>
      </c>
      <c r="I12" s="153">
        <f t="shared" si="7"/>
        <v>0</v>
      </c>
      <c r="J12" s="153">
        <f t="shared" si="7"/>
        <v>130</v>
      </c>
      <c r="K12" s="153">
        <f t="shared" si="7"/>
        <v>34</v>
      </c>
      <c r="L12" s="153">
        <f t="shared" si="7"/>
        <v>36</v>
      </c>
      <c r="M12" s="154">
        <f t="shared" si="7"/>
        <v>38</v>
      </c>
      <c r="N12" s="153">
        <f t="shared" si="7"/>
        <v>0</v>
      </c>
      <c r="O12" s="153">
        <f t="shared" si="7"/>
        <v>0</v>
      </c>
      <c r="P12" s="153">
        <f t="shared" si="7"/>
        <v>172</v>
      </c>
      <c r="Q12" s="153">
        <f t="shared" si="7"/>
        <v>216</v>
      </c>
      <c r="R12" s="154">
        <f t="shared" si="7"/>
        <v>0</v>
      </c>
      <c r="S12" s="362">
        <f>SUM(B12:R12)</f>
        <v>994</v>
      </c>
      <c r="U12" s="328"/>
      <c r="V12" s="328"/>
      <c r="W12" s="207"/>
    </row>
    <row r="13" spans="1:23" ht="18" customHeight="1" thickBot="1" x14ac:dyDescent="0.25">
      <c r="A13" s="138"/>
      <c r="B13" s="363"/>
      <c r="C13" s="364"/>
      <c r="D13" s="364"/>
      <c r="E13" s="249"/>
      <c r="F13" s="249"/>
      <c r="G13" s="364"/>
      <c r="H13" s="364"/>
      <c r="I13" s="364"/>
      <c r="J13" s="364"/>
      <c r="K13" s="364"/>
      <c r="L13" s="364"/>
      <c r="M13" s="249"/>
      <c r="N13" s="364"/>
      <c r="O13" s="364"/>
      <c r="P13" s="364"/>
      <c r="Q13" s="364"/>
      <c r="R13" s="249"/>
      <c r="S13" s="2"/>
      <c r="U13" s="328"/>
      <c r="V13" s="328"/>
      <c r="W13" s="207"/>
    </row>
    <row r="14" spans="1:23" ht="15" x14ac:dyDescent="0.25">
      <c r="A14" s="155" t="s">
        <v>92</v>
      </c>
      <c r="B14" s="365"/>
      <c r="C14" s="156"/>
      <c r="D14" s="156"/>
      <c r="E14" s="59"/>
      <c r="F14" s="59"/>
      <c r="G14" s="156"/>
      <c r="H14" s="156"/>
      <c r="I14" s="156"/>
      <c r="J14" s="156"/>
      <c r="K14" s="156"/>
      <c r="L14" s="156"/>
      <c r="M14" s="59"/>
      <c r="N14" s="156"/>
      <c r="O14" s="156"/>
      <c r="P14" s="156"/>
      <c r="Q14" s="156"/>
      <c r="R14" s="59"/>
      <c r="S14" s="366"/>
      <c r="U14" s="328"/>
      <c r="V14" s="328"/>
      <c r="W14" s="207"/>
    </row>
    <row r="15" spans="1:23" x14ac:dyDescent="0.2">
      <c r="A15" s="157" t="s">
        <v>93</v>
      </c>
      <c r="B15" s="175"/>
      <c r="C15" s="124"/>
      <c r="D15" s="124"/>
      <c r="E15" s="2"/>
      <c r="F15" s="2"/>
      <c r="G15" s="124"/>
      <c r="H15" s="124"/>
      <c r="I15" s="124"/>
      <c r="J15" s="124"/>
      <c r="K15" s="124"/>
      <c r="L15" s="124"/>
      <c r="M15" s="2"/>
      <c r="N15" s="124"/>
      <c r="O15" s="124"/>
      <c r="P15" s="124"/>
      <c r="Q15" s="124"/>
      <c r="R15" s="2"/>
      <c r="S15" s="141"/>
      <c r="U15" s="328"/>
      <c r="V15" s="328"/>
      <c r="W15" s="207"/>
    </row>
    <row r="16" spans="1:23" ht="12.75" customHeight="1" x14ac:dyDescent="0.2">
      <c r="A16" s="36" t="s">
        <v>37</v>
      </c>
      <c r="B16" s="175">
        <f>'[3]Atlas Air'!$JJ$47</f>
        <v>0</v>
      </c>
      <c r="C16" s="124">
        <f>[3]DHL!$JJ$47</f>
        <v>40097</v>
      </c>
      <c r="D16" s="124">
        <f>[3]Airborne!$JJ$47</f>
        <v>92965</v>
      </c>
      <c r="E16" s="124">
        <f>[3]DHL_Bemidji!$JJ$47</f>
        <v>48392</v>
      </c>
      <c r="F16" s="470" t="s">
        <v>86</v>
      </c>
      <c r="G16" s="124">
        <f>[3]DHL_Encore!$JJ$47</f>
        <v>0</v>
      </c>
      <c r="H16" s="124">
        <f>[3]DHL_Mesa!$JJ$47</f>
        <v>0</v>
      </c>
      <c r="I16" s="124">
        <f>[3]Encore!$JJ$47</f>
        <v>0</v>
      </c>
      <c r="J16" s="124">
        <f>[3]FedEx!$JJ$47</f>
        <v>5208884</v>
      </c>
      <c r="K16" s="124">
        <f>[3]IFL!$JJ$47</f>
        <v>65036</v>
      </c>
      <c r="L16" s="124">
        <f>[3]DHL_Kalitta!$JJ$47</f>
        <v>461820</v>
      </c>
      <c r="M16" s="87">
        <f>'[3]Mountain Cargo'!$JJ$47</f>
        <v>0</v>
      </c>
      <c r="N16" s="124">
        <f>[3]DHL_Amerijet!$JJ$47</f>
        <v>0</v>
      </c>
      <c r="O16" s="124">
        <f>[3]DHL_Swift!$JJ$47</f>
        <v>0</v>
      </c>
      <c r="P16" s="124">
        <f>+'[3]Sun Country Cargo'!$JJ$47</f>
        <v>2077039</v>
      </c>
      <c r="Q16" s="124">
        <f>[3]UPS!$JJ$47</f>
        <v>4946123</v>
      </c>
      <c r="R16" s="87">
        <f>'[3]Misc Cargo'!$JJ$47</f>
        <v>0</v>
      </c>
      <c r="S16" s="356">
        <f>SUM(B16:E16)+SUM(G16:R16)</f>
        <v>12940356</v>
      </c>
      <c r="U16" s="328"/>
      <c r="V16" s="328"/>
      <c r="W16" s="207"/>
    </row>
    <row r="17" spans="1:23" x14ac:dyDescent="0.2">
      <c r="A17" s="36" t="s">
        <v>38</v>
      </c>
      <c r="B17" s="175">
        <f>'[3]Atlas Air'!$JJ$48</f>
        <v>0</v>
      </c>
      <c r="C17" s="124">
        <f>[3]DHL!$JJ$48</f>
        <v>0</v>
      </c>
      <c r="D17" s="124">
        <f>[3]Airborne!$JJ$48</f>
        <v>0</v>
      </c>
      <c r="E17" s="124">
        <f>[3]DHL_Bemidji!$JJ$48</f>
        <v>0</v>
      </c>
      <c r="F17" s="471"/>
      <c r="G17" s="124">
        <f>[3]DHL_Encore!$JJ$48</f>
        <v>0</v>
      </c>
      <c r="H17" s="124">
        <f>[3]DHL_Mesa!$JJ$48</f>
        <v>0</v>
      </c>
      <c r="I17" s="124">
        <f>[3]Encore!$JJ$48</f>
        <v>0</v>
      </c>
      <c r="J17" s="124">
        <f>[3]FedEx!$JJ$48</f>
        <v>0</v>
      </c>
      <c r="K17" s="124">
        <f>[3]IFL!$JJ$48</f>
        <v>0</v>
      </c>
      <c r="L17" s="124">
        <f>[3]DHL_Kalitta!$JJ$48</f>
        <v>0</v>
      </c>
      <c r="M17" s="87">
        <f>'[3]Mountain Cargo'!$JJ$48</f>
        <v>65804</v>
      </c>
      <c r="N17" s="124">
        <f>[3]DHL_Amerijet!$JJ$48</f>
        <v>0</v>
      </c>
      <c r="O17" s="124">
        <f>[3]DHL_Swift!$JJ$48</f>
        <v>0</v>
      </c>
      <c r="P17" s="124">
        <f>+'[3]Sun Country Cargo'!$JJ$48</f>
        <v>0</v>
      </c>
      <c r="Q17" s="124">
        <f>[3]UPS!$JJ$48</f>
        <v>2268441</v>
      </c>
      <c r="R17" s="87">
        <f>'[3]Misc Cargo'!$JJ$48</f>
        <v>0</v>
      </c>
      <c r="S17" s="356">
        <f>SUM(B17:E17)+SUM(G17:R17)</f>
        <v>2334245</v>
      </c>
      <c r="U17" s="328"/>
      <c r="V17" s="328"/>
      <c r="W17" s="207"/>
    </row>
    <row r="18" spans="1:23" ht="18" customHeight="1" x14ac:dyDescent="0.2">
      <c r="A18" s="158" t="s">
        <v>39</v>
      </c>
      <c r="B18" s="367">
        <f>SUM(B16:B17)</f>
        <v>0</v>
      </c>
      <c r="C18" s="213">
        <f>SUM(C16:C17)</f>
        <v>40097</v>
      </c>
      <c r="D18" s="213">
        <f>SUM(D16:D17)</f>
        <v>92965</v>
      </c>
      <c r="E18" s="213">
        <f>SUM(E16:E17)</f>
        <v>48392</v>
      </c>
      <c r="F18" s="471"/>
      <c r="G18" s="213">
        <f>SUM(G16:G17)</f>
        <v>0</v>
      </c>
      <c r="H18" s="213">
        <f>SUM(H16:H17)</f>
        <v>0</v>
      </c>
      <c r="I18" s="213">
        <f>SUM(I16:I17)</f>
        <v>0</v>
      </c>
      <c r="J18" s="213">
        <f>SUM(J16:J17)</f>
        <v>5208884</v>
      </c>
      <c r="K18" s="213">
        <f>SUM(K16:K17)</f>
        <v>65036</v>
      </c>
      <c r="L18" s="213">
        <f t="shared" ref="L18:R18" si="10">SUM(L16:L17)</f>
        <v>461820</v>
      </c>
      <c r="M18" s="214">
        <f t="shared" si="10"/>
        <v>65804</v>
      </c>
      <c r="N18" s="213">
        <f t="shared" si="10"/>
        <v>0</v>
      </c>
      <c r="O18" s="213">
        <f t="shared" si="10"/>
        <v>0</v>
      </c>
      <c r="P18" s="213">
        <f t="shared" si="10"/>
        <v>2077039</v>
      </c>
      <c r="Q18" s="213">
        <f t="shared" si="10"/>
        <v>7214564</v>
      </c>
      <c r="R18" s="214">
        <f t="shared" si="10"/>
        <v>0</v>
      </c>
      <c r="S18" s="368">
        <f>SUM(B18:D18)+SUM(G18:R18)</f>
        <v>15226209</v>
      </c>
      <c r="U18" s="328"/>
      <c r="V18" s="328"/>
      <c r="W18" s="207"/>
    </row>
    <row r="19" spans="1:23" x14ac:dyDescent="0.2">
      <c r="A19" s="36"/>
      <c r="B19" s="175"/>
      <c r="C19" s="124"/>
      <c r="D19" s="124"/>
      <c r="E19" s="124"/>
      <c r="F19" s="471"/>
      <c r="G19" s="124"/>
      <c r="H19" s="124"/>
      <c r="I19" s="124"/>
      <c r="J19" s="124"/>
      <c r="K19" s="124"/>
      <c r="L19" s="124"/>
      <c r="M19" s="87"/>
      <c r="N19" s="124"/>
      <c r="O19" s="124"/>
      <c r="P19" s="124"/>
      <c r="Q19" s="124"/>
      <c r="R19" s="87"/>
      <c r="S19" s="356"/>
      <c r="U19" s="311"/>
      <c r="V19" s="328"/>
      <c r="W19" s="207"/>
    </row>
    <row r="20" spans="1:23" x14ac:dyDescent="0.2">
      <c r="A20" s="157" t="s">
        <v>87</v>
      </c>
      <c r="B20" s="175"/>
      <c r="C20" s="124"/>
      <c r="D20" s="124"/>
      <c r="E20" s="124"/>
      <c r="F20" s="471"/>
      <c r="G20" s="124"/>
      <c r="H20" s="124"/>
      <c r="I20" s="124"/>
      <c r="J20" s="124"/>
      <c r="K20" s="124"/>
      <c r="L20" s="124"/>
      <c r="M20" s="87"/>
      <c r="N20" s="124"/>
      <c r="O20" s="124"/>
      <c r="P20" s="124"/>
      <c r="Q20" s="124"/>
      <c r="R20" s="87"/>
      <c r="S20" s="356"/>
      <c r="U20" s="311"/>
      <c r="V20" s="328"/>
      <c r="W20" s="207"/>
    </row>
    <row r="21" spans="1:23" x14ac:dyDescent="0.2">
      <c r="A21" s="36" t="s">
        <v>59</v>
      </c>
      <c r="B21" s="175">
        <f>'[3]Atlas Air'!$JJ$52</f>
        <v>0</v>
      </c>
      <c r="C21" s="124">
        <f>[3]DHL!$JJ$52</f>
        <v>29509</v>
      </c>
      <c r="D21" s="124">
        <f>[3]Airborne!$JJ$52</f>
        <v>133700</v>
      </c>
      <c r="E21" s="124">
        <f>[3]DHL_Bemidji!$JJ$52</f>
        <v>38979</v>
      </c>
      <c r="F21" s="471"/>
      <c r="G21" s="124">
        <f>[3]DHL_Encore!$JJ$52</f>
        <v>0</v>
      </c>
      <c r="H21" s="124">
        <f>[3]DHL_Mesa!$JJ$52</f>
        <v>0</v>
      </c>
      <c r="I21" s="124">
        <f>[3]Encore!$JJ$52</f>
        <v>0</v>
      </c>
      <c r="J21" s="124">
        <f>[3]FedEx!$JJ$52</f>
        <v>4745207</v>
      </c>
      <c r="K21" s="124">
        <f>[3]IFL!$JJ$52</f>
        <v>1608</v>
      </c>
      <c r="L21" s="124">
        <f>[3]DHL_Kalitta!$JJ$52</f>
        <v>439463</v>
      </c>
      <c r="M21" s="87">
        <f>'[3]Mountain Cargo'!$JJ$52</f>
        <v>0</v>
      </c>
      <c r="N21" s="124">
        <f>[3]DHL_Amerijet!$JJ$52</f>
        <v>0</v>
      </c>
      <c r="O21" s="124">
        <f>[3]DHL_Swift!$JJ$52</f>
        <v>0</v>
      </c>
      <c r="P21" s="124">
        <f>+'[3]Sun Country Cargo'!$JJ$52</f>
        <v>2224428</v>
      </c>
      <c r="Q21" s="124">
        <f>[3]UPS!$JJ$52</f>
        <v>3631352</v>
      </c>
      <c r="R21" s="87">
        <f>'[3]Misc Cargo'!$JJ$52</f>
        <v>0</v>
      </c>
      <c r="S21" s="356">
        <f>SUM(B21:E21)+SUM(G21:R21)</f>
        <v>11244246</v>
      </c>
      <c r="U21" s="328"/>
      <c r="V21" s="328"/>
      <c r="W21" s="207"/>
    </row>
    <row r="22" spans="1:23" x14ac:dyDescent="0.2">
      <c r="A22" s="36" t="s">
        <v>60</v>
      </c>
      <c r="B22" s="175">
        <f>'[3]Atlas Air'!$JJ$53</f>
        <v>0</v>
      </c>
      <c r="C22" s="124">
        <f>[3]DHL!$JJ$53</f>
        <v>0</v>
      </c>
      <c r="D22" s="124">
        <f>[3]Airborne!$JJ$53</f>
        <v>0</v>
      </c>
      <c r="E22" s="124">
        <f>[3]DHL_Bemidji!$JJ$53</f>
        <v>0</v>
      </c>
      <c r="F22" s="471"/>
      <c r="G22" s="124">
        <f>[3]DHL_Encore!$JJ$53</f>
        <v>0</v>
      </c>
      <c r="H22" s="124">
        <f>[3]DHL_Mesa!$JJ$53</f>
        <v>0</v>
      </c>
      <c r="I22" s="124">
        <f>[3]Encore!$JJ$53</f>
        <v>0</v>
      </c>
      <c r="J22" s="124">
        <f>[3]FedEx!$JJ$53</f>
        <v>0</v>
      </c>
      <c r="K22" s="124">
        <f>[3]IFL!$JJ$53</f>
        <v>0</v>
      </c>
      <c r="L22" s="124">
        <f>[3]DHL_Kalitta!$JJ$53</f>
        <v>0</v>
      </c>
      <c r="M22" s="87">
        <f>'[3]Mountain Cargo'!$JJ$53</f>
        <v>74664</v>
      </c>
      <c r="N22" s="124">
        <f>[3]DHL_Amerijet!$JJ$53</f>
        <v>0</v>
      </c>
      <c r="O22" s="124">
        <f>[3]DHL_Swift!$JJ$53</f>
        <v>0</v>
      </c>
      <c r="P22" s="124">
        <f>+'[3]Sun Country Cargo'!$JJ$53</f>
        <v>0</v>
      </c>
      <c r="Q22" s="124">
        <f>[3]UPS!$JJ$53</f>
        <v>2304850</v>
      </c>
      <c r="R22" s="87">
        <f>'[3]Misc Cargo'!$JJ$53</f>
        <v>0</v>
      </c>
      <c r="S22" s="356">
        <f>SUM(B22:E22)+SUM(G22:R22)</f>
        <v>2379514</v>
      </c>
      <c r="U22" s="328"/>
      <c r="V22" s="328"/>
      <c r="W22" s="207"/>
    </row>
    <row r="23" spans="1:23" ht="18" customHeight="1" x14ac:dyDescent="0.2">
      <c r="A23" s="158" t="s">
        <v>41</v>
      </c>
      <c r="B23" s="367">
        <f>SUM(B21:B22)</f>
        <v>0</v>
      </c>
      <c r="C23" s="213">
        <f>SUM(C21:C22)</f>
        <v>29509</v>
      </c>
      <c r="D23" s="213">
        <f t="shared" ref="D23:E23" si="11">SUM(D21:D22)</f>
        <v>133700</v>
      </c>
      <c r="E23" s="213">
        <f t="shared" si="11"/>
        <v>38979</v>
      </c>
      <c r="F23" s="471"/>
      <c r="G23" s="213">
        <f t="shared" ref="G23:R23" si="12">SUM(G21:G22)</f>
        <v>0</v>
      </c>
      <c r="H23" s="213">
        <f t="shared" ref="H23" si="13">SUM(H21:H22)</f>
        <v>0</v>
      </c>
      <c r="I23" s="213">
        <f t="shared" si="12"/>
        <v>0</v>
      </c>
      <c r="J23" s="213">
        <f t="shared" si="12"/>
        <v>4745207</v>
      </c>
      <c r="K23" s="213">
        <f t="shared" si="12"/>
        <v>1608</v>
      </c>
      <c r="L23" s="213">
        <f t="shared" si="12"/>
        <v>439463</v>
      </c>
      <c r="M23" s="214">
        <f t="shared" si="12"/>
        <v>74664</v>
      </c>
      <c r="N23" s="213">
        <f t="shared" si="12"/>
        <v>0</v>
      </c>
      <c r="O23" s="213">
        <f t="shared" si="12"/>
        <v>0</v>
      </c>
      <c r="P23" s="213">
        <f t="shared" si="12"/>
        <v>2224428</v>
      </c>
      <c r="Q23" s="213">
        <f t="shared" si="12"/>
        <v>5936202</v>
      </c>
      <c r="R23" s="214">
        <f t="shared" si="12"/>
        <v>0</v>
      </c>
      <c r="S23" s="368">
        <f>SUM(B23:D23)+SUM(G23:R23)</f>
        <v>13584781</v>
      </c>
      <c r="U23" s="328"/>
      <c r="V23" s="328"/>
      <c r="W23" s="207"/>
    </row>
    <row r="24" spans="1:23" x14ac:dyDescent="0.2">
      <c r="A24" s="36"/>
      <c r="B24" s="175"/>
      <c r="C24" s="124"/>
      <c r="D24" s="124"/>
      <c r="E24" s="124"/>
      <c r="F24" s="471"/>
      <c r="G24" s="124"/>
      <c r="H24" s="124"/>
      <c r="I24" s="124"/>
      <c r="J24" s="124"/>
      <c r="K24" s="124"/>
      <c r="L24" s="124"/>
      <c r="M24" s="87"/>
      <c r="N24" s="124"/>
      <c r="O24" s="124"/>
      <c r="P24" s="124"/>
      <c r="Q24" s="124"/>
      <c r="R24" s="87"/>
      <c r="S24" s="356"/>
      <c r="U24" s="328"/>
      <c r="V24" s="328"/>
      <c r="W24" s="207"/>
    </row>
    <row r="25" spans="1:23" x14ac:dyDescent="0.2">
      <c r="A25" s="157" t="s">
        <v>94</v>
      </c>
      <c r="B25" s="175"/>
      <c r="C25" s="124"/>
      <c r="D25" s="124"/>
      <c r="E25" s="124"/>
      <c r="F25" s="471"/>
      <c r="G25" s="124"/>
      <c r="H25" s="124"/>
      <c r="I25" s="124"/>
      <c r="J25" s="124"/>
      <c r="K25" s="124"/>
      <c r="L25" s="124"/>
      <c r="M25" s="87"/>
      <c r="N25" s="124"/>
      <c r="O25" s="124"/>
      <c r="P25" s="124"/>
      <c r="Q25" s="124"/>
      <c r="R25" s="87"/>
      <c r="S25" s="356"/>
      <c r="U25" s="328"/>
      <c r="V25" s="328"/>
      <c r="W25" s="207"/>
    </row>
    <row r="26" spans="1:23" x14ac:dyDescent="0.2">
      <c r="A26" s="36" t="s">
        <v>59</v>
      </c>
      <c r="B26" s="175">
        <f>'[3]Atlas Air'!$JJ$57</f>
        <v>0</v>
      </c>
      <c r="C26" s="124">
        <f>[3]DHL!$JJ$57</f>
        <v>0</v>
      </c>
      <c r="D26" s="124">
        <f>[3]Airborne!$JJ$57</f>
        <v>0</v>
      </c>
      <c r="E26" s="124">
        <f>[3]DHL_Bemidji!$JJ$57</f>
        <v>0</v>
      </c>
      <c r="F26" s="471"/>
      <c r="G26" s="124">
        <f>[3]DHL_Encore!$JJ$57</f>
        <v>0</v>
      </c>
      <c r="H26" s="124">
        <f>[3]DHL_Mesa!$JJ$57</f>
        <v>0</v>
      </c>
      <c r="I26" s="124">
        <f>[3]Encore!$JJ$57</f>
        <v>0</v>
      </c>
      <c r="J26" s="124">
        <f>[3]FedEx!$JJ$57</f>
        <v>0</v>
      </c>
      <c r="K26" s="124">
        <f>[3]IFL!$JJ$57</f>
        <v>0</v>
      </c>
      <c r="L26" s="124">
        <f>[3]DHL_Kalitta!$JJ$57</f>
        <v>0</v>
      </c>
      <c r="M26" s="87">
        <f>'[3]Mountain Cargo'!$JJ$57</f>
        <v>0</v>
      </c>
      <c r="N26" s="124">
        <f>[3]DHL_Amerijet!$JJ$57</f>
        <v>0</v>
      </c>
      <c r="O26" s="124">
        <f>[3]DHL_Swift!$JJ$57</f>
        <v>0</v>
      </c>
      <c r="P26" s="124">
        <f>+'[3]Sun Country Cargo'!$JJ$57</f>
        <v>0</v>
      </c>
      <c r="Q26" s="124">
        <f>[3]UPS!$JJ$57</f>
        <v>0</v>
      </c>
      <c r="R26" s="87">
        <f>'[3]Misc Cargo'!$JJ$57</f>
        <v>0</v>
      </c>
      <c r="S26" s="356">
        <f>SUM(B26:D26)+SUM(G26:R26)</f>
        <v>0</v>
      </c>
      <c r="U26" s="328"/>
      <c r="V26" s="328"/>
      <c r="W26" s="328"/>
    </row>
    <row r="27" spans="1:23" x14ac:dyDescent="0.2">
      <c r="A27" s="36" t="s">
        <v>60</v>
      </c>
      <c r="B27" s="175">
        <f>'[3]Atlas Air'!$JJ$58</f>
        <v>0</v>
      </c>
      <c r="C27" s="124">
        <f>[3]DHL!$JJ$58</f>
        <v>0</v>
      </c>
      <c r="D27" s="124">
        <f>[3]Airborne!$JJ$58</f>
        <v>0</v>
      </c>
      <c r="E27" s="124">
        <f>[3]DHL_Bemidji!$JJ$58</f>
        <v>0</v>
      </c>
      <c r="F27" s="471"/>
      <c r="G27" s="124">
        <f>[3]DHL_Encore!$JJ$58</f>
        <v>0</v>
      </c>
      <c r="H27" s="124">
        <f>[3]DHL_Mesa!$JJ$58</f>
        <v>0</v>
      </c>
      <c r="I27" s="124">
        <f>[3]Encore!$JJ$58</f>
        <v>0</v>
      </c>
      <c r="J27" s="124">
        <f>[3]FedEx!$JJ$58</f>
        <v>0</v>
      </c>
      <c r="K27" s="124">
        <f>[3]IFL!$JJ$58</f>
        <v>0</v>
      </c>
      <c r="L27" s="124">
        <f>[3]DHL_Kalitta!$JJ$58</f>
        <v>0</v>
      </c>
      <c r="M27" s="87">
        <f>'[3]Mountain Cargo'!$JJ$58</f>
        <v>0</v>
      </c>
      <c r="N27" s="124">
        <f>[3]DHL_Amerijet!$JJ$58</f>
        <v>0</v>
      </c>
      <c r="O27" s="124">
        <f>[3]DHL_Swift!$JJ$58</f>
        <v>0</v>
      </c>
      <c r="P27" s="124">
        <f>+'[3]Sun Country Cargo'!$JJ$58</f>
        <v>0</v>
      </c>
      <c r="Q27" s="124">
        <f>[3]UPS!$JJ$58</f>
        <v>0</v>
      </c>
      <c r="R27" s="87">
        <f>'[3]Misc Cargo'!$JJ$58</f>
        <v>0</v>
      </c>
      <c r="S27" s="356">
        <f>SUM(B27:D27)+SUM(G27:R27)</f>
        <v>0</v>
      </c>
      <c r="U27" s="328"/>
      <c r="V27" s="328"/>
      <c r="W27" s="207"/>
    </row>
    <row r="28" spans="1:23" ht="18" customHeight="1" x14ac:dyDescent="0.2">
      <c r="A28" s="158" t="s">
        <v>43</v>
      </c>
      <c r="B28" s="367">
        <f>SUM(B26:B27)</f>
        <v>0</v>
      </c>
      <c r="C28" s="213">
        <f>SUM(C26:C27)</f>
        <v>0</v>
      </c>
      <c r="D28" s="213">
        <f t="shared" ref="D28:E28" si="14">SUM(D26:D27)</f>
        <v>0</v>
      </c>
      <c r="E28" s="213">
        <f t="shared" si="14"/>
        <v>0</v>
      </c>
      <c r="F28" s="471"/>
      <c r="G28" s="213">
        <f t="shared" ref="G28:R28" si="15">SUM(G26:G27)</f>
        <v>0</v>
      </c>
      <c r="H28" s="213">
        <f t="shared" ref="H28" si="16">SUM(H26:H27)</f>
        <v>0</v>
      </c>
      <c r="I28" s="213">
        <f t="shared" si="15"/>
        <v>0</v>
      </c>
      <c r="J28" s="213">
        <f t="shared" si="15"/>
        <v>0</v>
      </c>
      <c r="K28" s="213">
        <f t="shared" si="15"/>
        <v>0</v>
      </c>
      <c r="L28" s="213">
        <f t="shared" si="15"/>
        <v>0</v>
      </c>
      <c r="M28" s="214">
        <f t="shared" si="15"/>
        <v>0</v>
      </c>
      <c r="N28" s="213">
        <f t="shared" si="15"/>
        <v>0</v>
      </c>
      <c r="O28" s="213">
        <f t="shared" si="15"/>
        <v>0</v>
      </c>
      <c r="P28" s="213">
        <f t="shared" si="15"/>
        <v>0</v>
      </c>
      <c r="Q28" s="213">
        <f t="shared" si="15"/>
        <v>0</v>
      </c>
      <c r="R28" s="214">
        <f t="shared" si="15"/>
        <v>0</v>
      </c>
      <c r="S28" s="368">
        <f>SUM(B28:D28)+SUM(G28:R28)</f>
        <v>0</v>
      </c>
      <c r="U28" s="328"/>
      <c r="V28" s="328"/>
      <c r="W28" s="328"/>
    </row>
    <row r="29" spans="1:23" x14ac:dyDescent="0.2">
      <c r="A29" s="36"/>
      <c r="B29" s="175"/>
      <c r="C29" s="124"/>
      <c r="D29" s="124"/>
      <c r="E29" s="124"/>
      <c r="F29" s="471"/>
      <c r="G29" s="124"/>
      <c r="H29" s="124"/>
      <c r="I29" s="124"/>
      <c r="J29" s="124"/>
      <c r="K29" s="124"/>
      <c r="L29" s="124"/>
      <c r="M29" s="87"/>
      <c r="N29" s="124"/>
      <c r="O29" s="124"/>
      <c r="P29" s="124"/>
      <c r="Q29" s="124"/>
      <c r="R29" s="87"/>
      <c r="S29" s="356"/>
      <c r="U29" s="328"/>
      <c r="V29" s="328"/>
      <c r="W29" s="328"/>
    </row>
    <row r="30" spans="1:23" x14ac:dyDescent="0.2">
      <c r="A30" s="159" t="s">
        <v>44</v>
      </c>
      <c r="B30" s="175"/>
      <c r="C30" s="124"/>
      <c r="D30" s="124"/>
      <c r="E30" s="124"/>
      <c r="F30" s="471"/>
      <c r="G30" s="124"/>
      <c r="H30" s="124"/>
      <c r="I30" s="124"/>
      <c r="J30" s="124"/>
      <c r="K30" s="124"/>
      <c r="L30" s="124"/>
      <c r="M30" s="87"/>
      <c r="N30" s="124"/>
      <c r="O30" s="124"/>
      <c r="P30" s="124"/>
      <c r="Q30" s="124"/>
      <c r="R30" s="87"/>
      <c r="S30" s="356"/>
      <c r="U30" s="328"/>
      <c r="V30" s="328"/>
      <c r="W30" s="328"/>
    </row>
    <row r="31" spans="1:23" x14ac:dyDescent="0.2">
      <c r="A31" s="36" t="s">
        <v>88</v>
      </c>
      <c r="B31" s="175">
        <f>B26+B21+B16</f>
        <v>0</v>
      </c>
      <c r="C31" s="124">
        <f t="shared" ref="C31:R33" si="17">C26+C21+C16</f>
        <v>69606</v>
      </c>
      <c r="D31" s="124">
        <f t="shared" si="17"/>
        <v>226665</v>
      </c>
      <c r="E31" s="124">
        <f t="shared" si="17"/>
        <v>87371</v>
      </c>
      <c r="F31" s="471"/>
      <c r="G31" s="124">
        <f t="shared" ref="G31:P33" si="18">G26+G21+G16</f>
        <v>0</v>
      </c>
      <c r="H31" s="124">
        <f t="shared" ref="H31" si="19">H26+H21+H16</f>
        <v>0</v>
      </c>
      <c r="I31" s="124">
        <f t="shared" si="18"/>
        <v>0</v>
      </c>
      <c r="J31" s="124">
        <f t="shared" si="18"/>
        <v>9954091</v>
      </c>
      <c r="K31" s="124">
        <f t="shared" si="18"/>
        <v>66644</v>
      </c>
      <c r="L31" s="124">
        <f t="shared" si="18"/>
        <v>901283</v>
      </c>
      <c r="M31" s="87">
        <f>M26+M21+M16</f>
        <v>0</v>
      </c>
      <c r="N31" s="124">
        <f t="shared" si="18"/>
        <v>0</v>
      </c>
      <c r="O31" s="124">
        <f t="shared" si="18"/>
        <v>0</v>
      </c>
      <c r="P31" s="124">
        <f t="shared" si="18"/>
        <v>4301467</v>
      </c>
      <c r="Q31" s="124">
        <f t="shared" si="17"/>
        <v>8577475</v>
      </c>
      <c r="R31" s="87">
        <f>R26+R21+R16</f>
        <v>0</v>
      </c>
      <c r="S31" s="356">
        <f>SUM(B31:E31)+SUM(G31:R31)</f>
        <v>24184602</v>
      </c>
    </row>
    <row r="32" spans="1:23" x14ac:dyDescent="0.2">
      <c r="A32" s="36" t="s">
        <v>60</v>
      </c>
      <c r="B32" s="175">
        <f>B27+B22+B17</f>
        <v>0</v>
      </c>
      <c r="C32" s="124">
        <f t="shared" si="17"/>
        <v>0</v>
      </c>
      <c r="D32" s="124">
        <f t="shared" si="17"/>
        <v>0</v>
      </c>
      <c r="E32" s="124">
        <f t="shared" si="17"/>
        <v>0</v>
      </c>
      <c r="F32" s="472"/>
      <c r="G32" s="124">
        <f t="shared" si="18"/>
        <v>0</v>
      </c>
      <c r="H32" s="124">
        <f t="shared" ref="H32" si="20">H27+H22+H17</f>
        <v>0</v>
      </c>
      <c r="I32" s="124">
        <f t="shared" si="18"/>
        <v>0</v>
      </c>
      <c r="J32" s="124">
        <f t="shared" si="18"/>
        <v>0</v>
      </c>
      <c r="K32" s="124">
        <f t="shared" si="18"/>
        <v>0</v>
      </c>
      <c r="L32" s="124">
        <f t="shared" si="18"/>
        <v>0</v>
      </c>
      <c r="M32" s="87">
        <f>M27+M22+M17</f>
        <v>140468</v>
      </c>
      <c r="N32" s="124">
        <f t="shared" si="18"/>
        <v>0</v>
      </c>
      <c r="O32" s="124">
        <f t="shared" si="18"/>
        <v>0</v>
      </c>
      <c r="P32" s="124">
        <f t="shared" si="18"/>
        <v>0</v>
      </c>
      <c r="Q32" s="124">
        <f t="shared" si="17"/>
        <v>4573291</v>
      </c>
      <c r="R32" s="87">
        <f>R27+R22+R17</f>
        <v>0</v>
      </c>
      <c r="S32" s="356">
        <f>SUM(B32:E32)+SUM(G32:R32)</f>
        <v>4713759</v>
      </c>
    </row>
    <row r="33" spans="1:19" ht="18" customHeight="1" thickBot="1" x14ac:dyDescent="0.25">
      <c r="A33" s="152" t="s">
        <v>46</v>
      </c>
      <c r="B33" s="361">
        <f>B28+B23+B18</f>
        <v>0</v>
      </c>
      <c r="C33" s="153">
        <f t="shared" ref="C33:I33" si="21">C28+C23+C18</f>
        <v>69606</v>
      </c>
      <c r="D33" s="153">
        <f t="shared" si="21"/>
        <v>226665</v>
      </c>
      <c r="E33" s="153">
        <f t="shared" si="21"/>
        <v>87371</v>
      </c>
      <c r="F33" s="215">
        <f t="shared" si="21"/>
        <v>0</v>
      </c>
      <c r="G33" s="153">
        <f t="shared" si="21"/>
        <v>0</v>
      </c>
      <c r="H33" s="153">
        <f t="shared" ref="H33" si="22">H28+H23+H18</f>
        <v>0</v>
      </c>
      <c r="I33" s="153">
        <f t="shared" si="21"/>
        <v>0</v>
      </c>
      <c r="J33" s="153">
        <f t="shared" si="18"/>
        <v>9954091</v>
      </c>
      <c r="K33" s="153">
        <f t="shared" si="18"/>
        <v>66644</v>
      </c>
      <c r="L33" s="153">
        <f t="shared" si="18"/>
        <v>901283</v>
      </c>
      <c r="M33" s="154">
        <f>M28+M23+M18</f>
        <v>140468</v>
      </c>
      <c r="N33" s="153">
        <f t="shared" si="18"/>
        <v>0</v>
      </c>
      <c r="O33" s="153">
        <f t="shared" si="18"/>
        <v>0</v>
      </c>
      <c r="P33" s="153">
        <f t="shared" si="17"/>
        <v>4301467</v>
      </c>
      <c r="Q33" s="153">
        <f t="shared" si="17"/>
        <v>13150766</v>
      </c>
      <c r="R33" s="154">
        <f t="shared" si="17"/>
        <v>0</v>
      </c>
      <c r="S33" s="362">
        <f>SUM(B33:E33)+SUM(G33:R33)</f>
        <v>28898361</v>
      </c>
    </row>
    <row r="34" spans="1:19" x14ac:dyDescent="0.2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2">
      <c r="A35" t="s">
        <v>89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S35" s="87"/>
    </row>
    <row r="36" spans="1:19" x14ac:dyDescent="0.2">
      <c r="A36" t="s">
        <v>90</v>
      </c>
    </row>
    <row r="37" spans="1:19" x14ac:dyDescent="0.2">
      <c r="A37" t="s">
        <v>91</v>
      </c>
    </row>
    <row r="38" spans="1:19" x14ac:dyDescent="0.2">
      <c r="S38" s="2"/>
    </row>
  </sheetData>
  <mergeCells count="2">
    <mergeCell ref="F16:F32"/>
    <mergeCell ref="B1:S1"/>
  </mergeCells>
  <phoneticPr fontId="6" type="noConversion"/>
  <pageMargins left="0.75" right="0.75" top="1" bottom="1" header="0.5" footer="0.5"/>
  <pageSetup scale="56" orientation="landscape" r:id="rId1"/>
  <headerFooter alignWithMargins="0">
    <oddHeader>&amp;L
Schedule 7
&amp;CMinneapolis-St. Paul International Airport
&amp;"Arial,Bold"Cargo
March 2025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6"/>
  <sheetViews>
    <sheetView zoomScale="115" zoomScaleNormal="115" workbookViewId="0">
      <selection activeCell="F25" sqref="F25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5" width="15.28515625" style="2" bestFit="1" customWidth="1"/>
    <col min="6" max="6" width="11.85546875" style="24" customWidth="1"/>
    <col min="7" max="7" width="12.28515625" style="24" customWidth="1"/>
    <col min="8" max="8" width="11.42578125" style="3" customWidth="1"/>
    <col min="9" max="9" width="11.5703125" style="24" customWidth="1"/>
    <col min="10" max="10" width="12" style="24" bestFit="1" customWidth="1"/>
    <col min="11" max="11" width="13.140625" style="3" bestFit="1" customWidth="1"/>
    <col min="13" max="13" width="4.7109375" style="379" bestFit="1" customWidth="1"/>
    <col min="15" max="15" width="13.7109375" customWidth="1"/>
  </cols>
  <sheetData>
    <row r="1" spans="1:18" s="26" customFormat="1" ht="12" customHeight="1" x14ac:dyDescent="0.2">
      <c r="A1" s="13"/>
      <c r="L1" s="9"/>
      <c r="M1" s="389"/>
      <c r="N1" s="9"/>
      <c r="O1" s="9"/>
      <c r="P1" s="9"/>
      <c r="Q1" s="9"/>
      <c r="R1" s="9"/>
    </row>
    <row r="2" spans="1:18" s="9" customFormat="1" ht="30" customHeight="1" thickBot="1" x14ac:dyDescent="0.25">
      <c r="A2" s="384">
        <v>45717</v>
      </c>
      <c r="B2" s="55" t="s">
        <v>202</v>
      </c>
      <c r="C2" s="55" t="s">
        <v>63</v>
      </c>
      <c r="D2" s="55" t="s">
        <v>64</v>
      </c>
      <c r="E2" s="225" t="s">
        <v>74</v>
      </c>
      <c r="F2" s="56" t="s">
        <v>236</v>
      </c>
      <c r="G2" s="56" t="s">
        <v>221</v>
      </c>
      <c r="H2" s="57" t="s">
        <v>65</v>
      </c>
      <c r="I2" s="58" t="s">
        <v>233</v>
      </c>
      <c r="J2" s="58" t="s">
        <v>219</v>
      </c>
      <c r="K2" s="67" t="s">
        <v>2</v>
      </c>
      <c r="M2" s="389"/>
    </row>
    <row r="3" spans="1:18" ht="20.25" customHeight="1" x14ac:dyDescent="0.2">
      <c r="A3" s="64" t="s">
        <v>66</v>
      </c>
      <c r="B3" s="66"/>
      <c r="C3" s="59"/>
      <c r="D3" s="59"/>
      <c r="E3" s="59"/>
      <c r="F3" s="60"/>
      <c r="G3" s="60"/>
      <c r="H3" s="61"/>
      <c r="I3" s="60"/>
      <c r="J3" s="60"/>
      <c r="K3" s="62"/>
    </row>
    <row r="4" spans="1:18" x14ac:dyDescent="0.2">
      <c r="A4" s="43" t="s">
        <v>67</v>
      </c>
      <c r="B4" s="131"/>
      <c r="C4" s="87"/>
      <c r="D4" s="87"/>
      <c r="E4" s="87"/>
      <c r="F4" s="87"/>
      <c r="G4" s="87"/>
      <c r="H4" s="87"/>
      <c r="I4" s="87"/>
      <c r="J4" s="87"/>
      <c r="K4" s="132"/>
    </row>
    <row r="5" spans="1:18" x14ac:dyDescent="0.2">
      <c r="A5" s="43" t="s">
        <v>68</v>
      </c>
      <c r="B5" s="131">
        <f>'Major Airline Stats'!L28</f>
        <v>4433506</v>
      </c>
      <c r="C5" s="87">
        <f>'Regional Major'!K25</f>
        <v>13892.9</v>
      </c>
      <c r="D5" s="87">
        <f>Cargo!S16</f>
        <v>12940356</v>
      </c>
      <c r="E5" s="87">
        <f>SUM(B5:D5)</f>
        <v>17387754.899999999</v>
      </c>
      <c r="F5" s="87">
        <f>E5*0.00045359237</f>
        <v>7886.9529540701124</v>
      </c>
      <c r="G5" s="87">
        <f>'[1]Cargo Summary'!F5</f>
        <v>9064.1717552740974</v>
      </c>
      <c r="H5" s="71">
        <f>(F5-G5)/G5</f>
        <v>-0.12987604747438797</v>
      </c>
      <c r="I5" s="87">
        <f>+F5+'[2]Cargo Summary'!I5</f>
        <v>22531.696312879136</v>
      </c>
      <c r="J5" s="87">
        <f>+'[1]Cargo Summary'!I5</f>
        <v>25767.687964827885</v>
      </c>
      <c r="K5" s="63">
        <f>(I5-J5)/J5</f>
        <v>-0.1255833141244872</v>
      </c>
      <c r="M5" s="12"/>
      <c r="O5" s="388"/>
    </row>
    <row r="6" spans="1:18" x14ac:dyDescent="0.2">
      <c r="A6" s="43" t="s">
        <v>16</v>
      </c>
      <c r="B6" s="131">
        <f>'Major Airline Stats'!L29</f>
        <v>54284</v>
      </c>
      <c r="C6" s="87">
        <f>'Regional Major'!K26</f>
        <v>0</v>
      </c>
      <c r="D6" s="87">
        <f>Cargo!S17</f>
        <v>2334245</v>
      </c>
      <c r="E6" s="87">
        <f>SUM(B6:D6)</f>
        <v>2388529</v>
      </c>
      <c r="F6" s="87">
        <f>E6*0.00045359237</f>
        <v>1083.4185299237299</v>
      </c>
      <c r="G6" s="87">
        <f>'[1]Cargo Summary'!F6</f>
        <v>106.31343327297</v>
      </c>
      <c r="H6" s="3">
        <f>(F6-G6)/G6</f>
        <v>9.1907961822843998</v>
      </c>
      <c r="I6" s="87">
        <f>+F6+'[2]Cargo Summary'!I6</f>
        <v>2910.9299416597396</v>
      </c>
      <c r="J6" s="87">
        <f>+'[1]Cargo Summary'!I6</f>
        <v>435.05178187624995</v>
      </c>
      <c r="K6" s="63">
        <f>(I6-J6)/J6</f>
        <v>5.6909964811677307</v>
      </c>
      <c r="M6" s="12"/>
    </row>
    <row r="7" spans="1:18" ht="18" customHeight="1" thickBot="1" x14ac:dyDescent="0.25">
      <c r="A7" s="52" t="s">
        <v>71</v>
      </c>
      <c r="B7" s="133">
        <f>SUM(B5:B6)</f>
        <v>4487790</v>
      </c>
      <c r="C7" s="97">
        <f t="shared" ref="C7:J7" si="0">SUM(C5:C6)</f>
        <v>13892.9</v>
      </c>
      <c r="D7" s="97">
        <f t="shared" si="0"/>
        <v>15274601</v>
      </c>
      <c r="E7" s="97">
        <f t="shared" si="0"/>
        <v>19776283.899999999</v>
      </c>
      <c r="F7" s="97">
        <f t="shared" si="0"/>
        <v>8970.371483993842</v>
      </c>
      <c r="G7" s="97">
        <f t="shared" si="0"/>
        <v>9170.4851885470671</v>
      </c>
      <c r="H7" s="27">
        <f>(F7-G7)/G7</f>
        <v>-2.1821495857508734E-2</v>
      </c>
      <c r="I7" s="97">
        <f t="shared" si="0"/>
        <v>25442.626254538874</v>
      </c>
      <c r="J7" s="97">
        <f t="shared" si="0"/>
        <v>26202.739746704134</v>
      </c>
      <c r="K7" s="227">
        <f>(I7-J7)/J7</f>
        <v>-2.9008931871747069E-2</v>
      </c>
      <c r="M7" s="12"/>
    </row>
    <row r="8" spans="1:18" ht="13.5" thickTop="1" x14ac:dyDescent="0.2">
      <c r="A8" s="43"/>
      <c r="B8" s="131"/>
      <c r="C8" s="87"/>
      <c r="D8" s="87"/>
      <c r="E8" s="87"/>
      <c r="F8" s="87"/>
      <c r="G8" s="87"/>
      <c r="I8" s="87"/>
      <c r="J8" s="87"/>
      <c r="K8" s="63"/>
      <c r="M8" s="12"/>
    </row>
    <row r="9" spans="1:18" x14ac:dyDescent="0.2">
      <c r="A9" s="43" t="s">
        <v>69</v>
      </c>
      <c r="B9" s="131"/>
      <c r="C9" s="87"/>
      <c r="D9" s="87"/>
      <c r="E9" s="87"/>
      <c r="F9" s="87"/>
      <c r="G9" s="87"/>
      <c r="I9" s="87"/>
      <c r="J9" s="87"/>
      <c r="K9" s="63"/>
      <c r="M9" s="12"/>
    </row>
    <row r="10" spans="1:18" x14ac:dyDescent="0.2">
      <c r="A10" s="43" t="s">
        <v>68</v>
      </c>
      <c r="B10" s="131">
        <f>'Major Airline Stats'!L33</f>
        <v>2638782</v>
      </c>
      <c r="C10" s="87">
        <f>'Regional Major'!K30</f>
        <v>11307.6</v>
      </c>
      <c r="D10" s="87">
        <f>Cargo!S21</f>
        <v>11244246</v>
      </c>
      <c r="E10" s="87">
        <f>SUM(B10:D10)</f>
        <v>13894335.6</v>
      </c>
      <c r="F10" s="87">
        <f>E10*0.00045359237</f>
        <v>6302.3646143793712</v>
      </c>
      <c r="G10" s="87">
        <f>'[1]Cargo Summary'!F10</f>
        <v>6739.8195286318814</v>
      </c>
      <c r="H10" s="3">
        <f>(F10-G10)/G10</f>
        <v>-6.4906027883110007E-2</v>
      </c>
      <c r="I10" s="87">
        <f>+F10+'[2]Cargo Summary'!I10</f>
        <v>18104.701414398289</v>
      </c>
      <c r="J10" s="87">
        <f>+'[1]Cargo Summary'!I10</f>
        <v>20351.542824310927</v>
      </c>
      <c r="K10" s="63">
        <f>(I10-J10)/J10</f>
        <v>-0.11040152726056106</v>
      </c>
      <c r="M10" s="12"/>
      <c r="O10" s="388"/>
    </row>
    <row r="11" spans="1:18" x14ac:dyDescent="0.2">
      <c r="A11" s="43" t="s">
        <v>16</v>
      </c>
      <c r="B11" s="131">
        <f>'Major Airline Stats'!L34</f>
        <v>41821</v>
      </c>
      <c r="C11" s="87">
        <f>'Regional Major'!K31</f>
        <v>0</v>
      </c>
      <c r="D11" s="87">
        <f>Cargo!S22</f>
        <v>2379514</v>
      </c>
      <c r="E11" s="87">
        <f>SUM(B11:D11)</f>
        <v>2421335</v>
      </c>
      <c r="F11" s="87">
        <f>E11*0.00045359237</f>
        <v>1098.2990812139499</v>
      </c>
      <c r="G11" s="87">
        <f>'[1]Cargo Summary'!F11</f>
        <v>127.33834680721</v>
      </c>
      <c r="H11" s="24">
        <f>(F11-G11)/G11</f>
        <v>7.6250458620824757</v>
      </c>
      <c r="I11" s="87">
        <f>+F11+'[2]Cargo Summary'!I11</f>
        <v>3131.5277869236897</v>
      </c>
      <c r="J11" s="87">
        <f>+'[1]Cargo Summary'!I11</f>
        <v>498.45446976248002</v>
      </c>
      <c r="K11" s="63">
        <f>(I11-J11)/J11</f>
        <v>5.2824750842657764</v>
      </c>
      <c r="M11" s="12"/>
    </row>
    <row r="12" spans="1:18" ht="18" customHeight="1" thickBot="1" x14ac:dyDescent="0.25">
      <c r="A12" s="52" t="s">
        <v>72</v>
      </c>
      <c r="B12" s="133">
        <f>SUM(B10:B11)</f>
        <v>2680603</v>
      </c>
      <c r="C12" s="97">
        <f t="shared" ref="C12:J12" si="1">SUM(C10:C11)</f>
        <v>11307.6</v>
      </c>
      <c r="D12" s="97">
        <f t="shared" si="1"/>
        <v>13623760</v>
      </c>
      <c r="E12" s="97">
        <f t="shared" si="1"/>
        <v>16315670.6</v>
      </c>
      <c r="F12" s="97">
        <f t="shared" si="1"/>
        <v>7400.6636955933209</v>
      </c>
      <c r="G12" s="97">
        <f t="shared" si="1"/>
        <v>6867.1578754390912</v>
      </c>
      <c r="H12" s="27">
        <f>(F12-G12)/G12</f>
        <v>7.7689464816638854E-2</v>
      </c>
      <c r="I12" s="97">
        <f>SUM(I10:I11)</f>
        <v>21236.229201321978</v>
      </c>
      <c r="J12" s="97">
        <f t="shared" si="1"/>
        <v>20849.997294073408</v>
      </c>
      <c r="K12" s="227">
        <f>(I12-J12)/J12</f>
        <v>1.8524314502350359E-2</v>
      </c>
      <c r="M12" s="12"/>
    </row>
    <row r="13" spans="1:18" ht="13.5" thickTop="1" x14ac:dyDescent="0.2">
      <c r="A13" s="43"/>
      <c r="B13" s="131"/>
      <c r="C13" s="87"/>
      <c r="D13" s="87"/>
      <c r="E13" s="87"/>
      <c r="F13" s="87"/>
      <c r="G13" s="87"/>
      <c r="I13" s="87"/>
      <c r="J13" s="87"/>
      <c r="K13" s="63"/>
      <c r="M13" s="12"/>
    </row>
    <row r="14" spans="1:18" x14ac:dyDescent="0.2">
      <c r="A14" s="43" t="s">
        <v>70</v>
      </c>
      <c r="B14" s="131"/>
      <c r="C14" s="87"/>
      <c r="D14" s="87"/>
      <c r="E14" s="87"/>
      <c r="F14" s="87"/>
      <c r="G14" s="87"/>
      <c r="I14" s="87"/>
      <c r="J14" s="87"/>
      <c r="K14" s="63"/>
      <c r="M14" s="12"/>
    </row>
    <row r="15" spans="1:18" x14ac:dyDescent="0.2">
      <c r="A15" s="43" t="s">
        <v>68</v>
      </c>
      <c r="B15" s="131">
        <f>'Major Airline Stats'!L38</f>
        <v>0</v>
      </c>
      <c r="C15" s="87">
        <f>'Regional Major'!K35</f>
        <v>0</v>
      </c>
      <c r="D15" s="87">
        <f>Cargo!S26</f>
        <v>0</v>
      </c>
      <c r="E15" s="87">
        <f>SUM(B15:D15)</f>
        <v>0</v>
      </c>
      <c r="F15" s="87">
        <f>E15*0.00045359237</f>
        <v>0</v>
      </c>
      <c r="G15" s="87">
        <f>'[1]Cargo Summary'!F15</f>
        <v>0</v>
      </c>
      <c r="H15" s="423">
        <v>0</v>
      </c>
      <c r="I15" s="87">
        <f>+F15+'[2]Cargo Summary'!I15</f>
        <v>0</v>
      </c>
      <c r="J15" s="87">
        <f>+'[1]Cargo Summary'!I15</f>
        <v>0</v>
      </c>
      <c r="K15" s="63">
        <v>0</v>
      </c>
      <c r="M15" s="12"/>
    </row>
    <row r="16" spans="1:18" ht="15" customHeight="1" x14ac:dyDescent="0.2">
      <c r="A16" s="43" t="s">
        <v>16</v>
      </c>
      <c r="B16" s="131">
        <f>'Major Airline Stats'!L39</f>
        <v>0</v>
      </c>
      <c r="C16" s="87">
        <f>'Regional Major'!K36</f>
        <v>0</v>
      </c>
      <c r="D16" s="87">
        <f>Cargo!S27</f>
        <v>0</v>
      </c>
      <c r="E16" s="87">
        <f>SUM(B16:D16)</f>
        <v>0</v>
      </c>
      <c r="F16" s="87">
        <f>E16*0.00045359237</f>
        <v>0</v>
      </c>
      <c r="G16" s="87">
        <f>'[1]Cargo Summary'!F16</f>
        <v>0</v>
      </c>
      <c r="H16" s="3">
        <v>0</v>
      </c>
      <c r="I16" s="87">
        <f>+F16+'[2]Cargo Summary'!I16</f>
        <v>0</v>
      </c>
      <c r="J16" s="87">
        <f>+'[1]Cargo Summary'!I16</f>
        <v>0</v>
      </c>
      <c r="K16" s="63">
        <v>0</v>
      </c>
      <c r="M16" s="12"/>
    </row>
    <row r="17" spans="1:13" ht="18" customHeight="1" thickBot="1" x14ac:dyDescent="0.25">
      <c r="A17" s="52" t="s">
        <v>73</v>
      </c>
      <c r="B17" s="133">
        <f>SUM(B15:B16)</f>
        <v>0</v>
      </c>
      <c r="C17" s="97">
        <f t="shared" ref="C17:J17" si="2">SUM(C15:C16)</f>
        <v>0</v>
      </c>
      <c r="D17" s="97">
        <f t="shared" si="2"/>
        <v>0</v>
      </c>
      <c r="E17" s="97">
        <f t="shared" si="2"/>
        <v>0</v>
      </c>
      <c r="F17" s="97">
        <f t="shared" si="2"/>
        <v>0</v>
      </c>
      <c r="G17" s="97">
        <f t="shared" si="2"/>
        <v>0</v>
      </c>
      <c r="H17" s="27"/>
      <c r="I17" s="97">
        <f>SUM(I15:I16)</f>
        <v>0</v>
      </c>
      <c r="J17" s="97">
        <f t="shared" si="2"/>
        <v>0</v>
      </c>
      <c r="K17" s="227"/>
      <c r="M17" s="12"/>
    </row>
    <row r="18" spans="1:13" ht="13.5" thickTop="1" x14ac:dyDescent="0.2">
      <c r="A18" s="43"/>
      <c r="B18" s="131"/>
      <c r="C18" s="87"/>
      <c r="D18" s="87"/>
      <c r="E18" s="87"/>
      <c r="F18" s="87"/>
      <c r="G18" s="87"/>
      <c r="I18" s="87"/>
      <c r="J18" s="87"/>
      <c r="K18" s="63"/>
      <c r="M18" s="12"/>
    </row>
    <row r="19" spans="1:13" x14ac:dyDescent="0.2">
      <c r="A19" s="43" t="s">
        <v>14</v>
      </c>
      <c r="B19" s="131"/>
      <c r="C19" s="87"/>
      <c r="D19" s="87"/>
      <c r="E19" s="87"/>
      <c r="F19" s="87"/>
      <c r="G19" s="87"/>
      <c r="I19" s="87"/>
      <c r="J19" s="87"/>
      <c r="K19" s="63"/>
      <c r="M19" s="12"/>
    </row>
    <row r="20" spans="1:13" x14ac:dyDescent="0.2">
      <c r="A20" s="43" t="s">
        <v>68</v>
      </c>
      <c r="B20" s="131">
        <f t="shared" ref="B20:D21" si="3">B15+B10+B5</f>
        <v>7072288</v>
      </c>
      <c r="C20" s="87">
        <f>C15+C10+C5</f>
        <v>25200.5</v>
      </c>
      <c r="D20" s="87">
        <f t="shared" si="3"/>
        <v>24184602</v>
      </c>
      <c r="E20" s="87">
        <f>SUM(B20:D20)</f>
        <v>31282090.5</v>
      </c>
      <c r="F20" s="87">
        <f>E20*0.00045359237</f>
        <v>14189.317568449485</v>
      </c>
      <c r="G20" s="87">
        <f>'[1]Cargo Summary'!F20</f>
        <v>15803.99128390598</v>
      </c>
      <c r="H20" s="3">
        <f>(F20-G20)/G20</f>
        <v>-0.10216872981325927</v>
      </c>
      <c r="I20" s="87">
        <f>+F20+'[2]Cargo Summary'!I20</f>
        <v>40636.397727277428</v>
      </c>
      <c r="J20" s="87">
        <f>+'[1]Cargo Summary'!I20</f>
        <v>46119.230789138819</v>
      </c>
      <c r="K20" s="63">
        <f>(I20-J20)/J20</f>
        <v>-0.11888387919844948</v>
      </c>
      <c r="M20" s="12"/>
    </row>
    <row r="21" spans="1:13" x14ac:dyDescent="0.2">
      <c r="A21" s="43" t="s">
        <v>16</v>
      </c>
      <c r="B21" s="131">
        <f t="shared" si="3"/>
        <v>96105</v>
      </c>
      <c r="C21" s="88">
        <f t="shared" si="3"/>
        <v>0</v>
      </c>
      <c r="D21" s="88">
        <f t="shared" si="3"/>
        <v>4713759</v>
      </c>
      <c r="E21" s="87">
        <f>SUM(B21:D21)</f>
        <v>4809864</v>
      </c>
      <c r="F21" s="87">
        <f>E21*0.00045359237</f>
        <v>2181.7176111376798</v>
      </c>
      <c r="G21" s="87">
        <f>'[1]Cargo Summary'!F21</f>
        <v>233.65178008018</v>
      </c>
      <c r="H21" s="3">
        <f>(F21-G21)/G21</f>
        <v>8.3374748114009698</v>
      </c>
      <c r="I21" s="87">
        <f>+F21+'[2]Cargo Summary'!I21</f>
        <v>6042.4577285834293</v>
      </c>
      <c r="J21" s="87">
        <f>+'[1]Cargo Summary'!I21</f>
        <v>933.50625163872996</v>
      </c>
      <c r="K21" s="63">
        <f>(I21-J21)/J21</f>
        <v>5.4728626273001986</v>
      </c>
      <c r="M21" s="12"/>
    </row>
    <row r="22" spans="1:13" ht="18" customHeight="1" thickBot="1" x14ac:dyDescent="0.25">
      <c r="A22" s="65" t="s">
        <v>62</v>
      </c>
      <c r="B22" s="134">
        <f>SUM(B20:B21)</f>
        <v>7168393</v>
      </c>
      <c r="C22" s="135">
        <f t="shared" ref="C22:J22" si="4">SUM(C20:C21)</f>
        <v>25200.5</v>
      </c>
      <c r="D22" s="135">
        <f t="shared" si="4"/>
        <v>28898361</v>
      </c>
      <c r="E22" s="135">
        <f t="shared" si="4"/>
        <v>36091954.5</v>
      </c>
      <c r="F22" s="135">
        <f t="shared" si="4"/>
        <v>16371.035179587165</v>
      </c>
      <c r="G22" s="135">
        <f t="shared" si="4"/>
        <v>16037.643063986159</v>
      </c>
      <c r="H22" s="233">
        <f>(F22-G22)/G22</f>
        <v>2.0788099240696089E-2</v>
      </c>
      <c r="I22" s="135">
        <f>SUM(I20:I21)</f>
        <v>46678.855455860859</v>
      </c>
      <c r="J22" s="135">
        <f t="shared" si="4"/>
        <v>47052.737040777552</v>
      </c>
      <c r="K22" s="234">
        <f>(I22-J22)/J22</f>
        <v>-7.9460113997762601E-3</v>
      </c>
      <c r="M22" s="12"/>
    </row>
    <row r="23" spans="1:13" x14ac:dyDescent="0.2">
      <c r="G23" s="2"/>
    </row>
    <row r="26" spans="1:13" x14ac:dyDescent="0.2">
      <c r="A26" s="25"/>
    </row>
  </sheetData>
  <phoneticPr fontId="6" type="noConversion"/>
  <pageMargins left="0.75" right="0.75" top="1" bottom="1" header="0.5" footer="0.5"/>
  <pageSetup scale="79" orientation="landscape" r:id="rId1"/>
  <headerFooter alignWithMargins="0">
    <oddHeader>&amp;L
Schedule 8
&amp;CMinneapolis-St. Paul International Airport
&amp;"Arial,Bold"Cargo Summary
March 2025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7"/>
  <sheetViews>
    <sheetView zoomScale="115" zoomScaleNormal="115" workbookViewId="0">
      <selection activeCell="J13" sqref="J13"/>
    </sheetView>
  </sheetViews>
  <sheetFormatPr defaultRowHeight="12.75" x14ac:dyDescent="0.2"/>
  <cols>
    <col min="1" max="1" width="12" bestFit="1" customWidth="1"/>
    <col min="2" max="2" width="11.42578125" bestFit="1" customWidth="1"/>
    <col min="3" max="4" width="9.140625" bestFit="1" customWidth="1"/>
    <col min="5" max="5" width="10.85546875" bestFit="1" customWidth="1"/>
    <col min="6" max="7" width="8.7109375" bestFit="1" customWidth="1"/>
    <col min="8" max="8" width="10.85546875" bestFit="1" customWidth="1"/>
    <col min="9" max="9" width="9.85546875" bestFit="1" customWidth="1"/>
    <col min="10" max="10" width="12" bestFit="1" customWidth="1"/>
    <col min="11" max="11" width="11.42578125" bestFit="1" customWidth="1"/>
    <col min="12" max="12" width="13" bestFit="1" customWidth="1"/>
    <col min="13" max="13" width="14.42578125" bestFit="1" customWidth="1"/>
    <col min="14" max="14" width="10.85546875" bestFit="1" customWidth="1"/>
    <col min="15" max="15" width="14.42578125" bestFit="1" customWidth="1"/>
    <col min="16" max="16" width="14" bestFit="1" customWidth="1"/>
    <col min="17" max="17" width="10.85546875" bestFit="1" customWidth="1"/>
    <col min="18" max="18" width="9.42578125" bestFit="1" customWidth="1"/>
    <col min="19" max="19" width="11" customWidth="1"/>
    <col min="20" max="20" width="4.7109375" bestFit="1" customWidth="1"/>
  </cols>
  <sheetData>
    <row r="1" spans="1:20" ht="13.5" thickBot="1" x14ac:dyDescent="0.25">
      <c r="C1" s="2"/>
      <c r="D1" s="2"/>
      <c r="E1" s="3"/>
      <c r="F1" s="163"/>
      <c r="G1" s="2"/>
      <c r="H1" s="3"/>
      <c r="I1" s="3"/>
      <c r="J1" s="3"/>
      <c r="L1" s="2"/>
      <c r="M1" s="2"/>
      <c r="N1" s="3"/>
      <c r="T1" s="379"/>
    </row>
    <row r="2" spans="1:20" s="9" customFormat="1" ht="26.25" thickBot="1" x14ac:dyDescent="0.25">
      <c r="A2" s="482" t="s">
        <v>176</v>
      </c>
      <c r="B2" s="483"/>
      <c r="C2" s="324" t="s">
        <v>237</v>
      </c>
      <c r="D2" s="325" t="s">
        <v>222</v>
      </c>
      <c r="E2" s="382" t="s">
        <v>95</v>
      </c>
      <c r="F2" s="327" t="s">
        <v>238</v>
      </c>
      <c r="G2" s="325" t="s">
        <v>223</v>
      </c>
      <c r="H2" s="383" t="s">
        <v>96</v>
      </c>
      <c r="I2" s="326" t="s">
        <v>135</v>
      </c>
      <c r="J2" s="482" t="s">
        <v>172</v>
      </c>
      <c r="K2" s="483"/>
      <c r="L2" s="324" t="s">
        <v>242</v>
      </c>
      <c r="M2" s="325" t="s">
        <v>224</v>
      </c>
      <c r="N2" s="382" t="s">
        <v>95</v>
      </c>
      <c r="O2" s="327" t="s">
        <v>243</v>
      </c>
      <c r="P2" s="325" t="s">
        <v>225</v>
      </c>
      <c r="Q2" s="383" t="s">
        <v>96</v>
      </c>
      <c r="R2" s="326" t="s">
        <v>135</v>
      </c>
      <c r="T2" s="380"/>
    </row>
    <row r="3" spans="1:20" s="9" customFormat="1" ht="13.5" customHeight="1" thickBot="1" x14ac:dyDescent="0.25">
      <c r="A3" s="484">
        <v>45717</v>
      </c>
      <c r="B3" s="485"/>
      <c r="C3" s="486" t="s">
        <v>9</v>
      </c>
      <c r="D3" s="487"/>
      <c r="E3" s="487"/>
      <c r="F3" s="487"/>
      <c r="G3" s="487"/>
      <c r="H3" s="488"/>
      <c r="I3" s="353"/>
      <c r="J3" s="484">
        <f>+A3</f>
        <v>45717</v>
      </c>
      <c r="K3" s="485"/>
      <c r="L3" s="479" t="s">
        <v>173</v>
      </c>
      <c r="M3" s="480"/>
      <c r="N3" s="480"/>
      <c r="O3" s="480"/>
      <c r="P3" s="480"/>
      <c r="Q3" s="480"/>
      <c r="R3" s="481"/>
      <c r="T3" s="380"/>
    </row>
    <row r="4" spans="1:20" x14ac:dyDescent="0.2">
      <c r="A4" s="239"/>
      <c r="B4" s="240"/>
      <c r="C4" s="241"/>
      <c r="D4" s="242"/>
      <c r="E4" s="243"/>
      <c r="F4" s="369"/>
      <c r="G4" s="242"/>
      <c r="H4" s="336"/>
      <c r="I4" s="243"/>
      <c r="J4" s="244"/>
      <c r="K4" s="240"/>
      <c r="L4" s="251"/>
      <c r="M4" s="2"/>
      <c r="N4" s="63"/>
      <c r="O4" s="36"/>
      <c r="R4" s="37"/>
      <c r="T4" s="379"/>
    </row>
    <row r="5" spans="1:20" ht="14.1" customHeight="1" x14ac:dyDescent="0.2">
      <c r="A5" s="246" t="s">
        <v>192</v>
      </c>
      <c r="B5" s="37"/>
      <c r="C5" s="370">
        <f>SUM(C6:C7)</f>
        <v>172</v>
      </c>
      <c r="D5" s="370">
        <f>SUM(D6:D7)</f>
        <v>246</v>
      </c>
      <c r="E5" s="371">
        <f>(C5-D5)/D5</f>
        <v>-0.30081300813008133</v>
      </c>
      <c r="F5" s="370">
        <f>SUM(F6:F7)</f>
        <v>564</v>
      </c>
      <c r="G5" s="370">
        <f>SUM(G6:G7)</f>
        <v>714</v>
      </c>
      <c r="H5" s="372">
        <f>(F5-G5)/G5</f>
        <v>-0.21008403361344538</v>
      </c>
      <c r="I5" s="371">
        <f>+F5/$F$34</f>
        <v>0.18516086671043991</v>
      </c>
      <c r="J5" s="246" t="s">
        <v>192</v>
      </c>
      <c r="K5" s="37"/>
      <c r="L5" s="370">
        <f>SUM(L6:L7)</f>
        <v>4301467</v>
      </c>
      <c r="M5" s="370">
        <f>SUM(M6:M7)</f>
        <v>6084169</v>
      </c>
      <c r="N5" s="371">
        <f>(L5-M5)/M5</f>
        <v>-0.29300665382569091</v>
      </c>
      <c r="O5" s="370">
        <f>SUM(O6:O7)</f>
        <v>13911483</v>
      </c>
      <c r="P5" s="370">
        <f>SUM(P6:P7)</f>
        <v>16601955</v>
      </c>
      <c r="Q5" s="372">
        <f>(O5-P5)/P5</f>
        <v>-0.16205754081371743</v>
      </c>
      <c r="R5" s="371">
        <f>O5/$O$34</f>
        <v>0.16670544262089676</v>
      </c>
      <c r="T5" s="379"/>
    </row>
    <row r="6" spans="1:20" ht="14.1" customHeight="1" x14ac:dyDescent="0.2">
      <c r="A6" s="36"/>
      <c r="B6" s="306" t="s">
        <v>193</v>
      </c>
      <c r="C6" s="310">
        <f>+'[3]Atlas Air'!$JJ$19</f>
        <v>0</v>
      </c>
      <c r="D6" s="207">
        <f>+'[3]Atlas Air'!$IV$19</f>
        <v>8</v>
      </c>
      <c r="E6" s="312">
        <f>IFERROR((C6-D6)/D6,0)</f>
        <v>-1</v>
      </c>
      <c r="F6" s="310">
        <f>+SUM('[3]Atlas Air'!$JH$19:$JJ$19)</f>
        <v>8</v>
      </c>
      <c r="G6" s="207">
        <f>+SUM('[3]Atlas Air'!$IT$19:$IV$19)</f>
        <v>16</v>
      </c>
      <c r="H6" s="311">
        <f>IFERROR((F6-G6)/G6,0)</f>
        <v>-0.5</v>
      </c>
      <c r="I6" s="312">
        <f>+F6/$F$34</f>
        <v>2.6263952724885093E-3</v>
      </c>
      <c r="J6" s="36"/>
      <c r="K6" s="306" t="s">
        <v>193</v>
      </c>
      <c r="L6" s="310">
        <f>+'[3]Atlas Air'!$JJ$64</f>
        <v>0</v>
      </c>
      <c r="M6" s="207">
        <f>+'[3]Atlas Air'!$IV$64</f>
        <v>400221</v>
      </c>
      <c r="N6" s="312">
        <f>IFERROR((L6-M6)/M6,0)</f>
        <v>-1</v>
      </c>
      <c r="O6" s="207">
        <f>+SUM('[3]Atlas Air'!$JH$64:$JJ$64)</f>
        <v>108656</v>
      </c>
      <c r="P6" s="207">
        <f>+SUM('[3]Atlas Air'!$IT$64:$IV$64)</f>
        <v>491973</v>
      </c>
      <c r="Q6" s="311">
        <f>IFERROR((O6-P6)/P6,0)</f>
        <v>-0.779142351307897</v>
      </c>
      <c r="R6" s="312">
        <f>O6/$O$34</f>
        <v>1.3020571978858155E-3</v>
      </c>
      <c r="T6" s="379"/>
    </row>
    <row r="7" spans="1:20" ht="14.1" customHeight="1" x14ac:dyDescent="0.2">
      <c r="A7" s="36"/>
      <c r="B7" s="306" t="s">
        <v>49</v>
      </c>
      <c r="C7" s="310">
        <f>+'[3]Sun Country Cargo'!$JJ$19</f>
        <v>172</v>
      </c>
      <c r="D7" s="207">
        <f>+'[3]Sun Country Cargo'!$IV$19</f>
        <v>238</v>
      </c>
      <c r="E7" s="312">
        <f>(C7-D7)/D7</f>
        <v>-0.27731092436974791</v>
      </c>
      <c r="F7" s="310">
        <f>+SUM('[3]Sun Country Cargo'!$JH$19:$JJ$19)</f>
        <v>556</v>
      </c>
      <c r="G7" s="207">
        <f>+SUM('[3]Sun Country Cargo'!$IT$19:$IV$19)</f>
        <v>698</v>
      </c>
      <c r="H7" s="311">
        <f>(F7-G7)/G7</f>
        <v>-0.20343839541547279</v>
      </c>
      <c r="I7" s="312">
        <f>+F7/$F$34</f>
        <v>0.1825344714379514</v>
      </c>
      <c r="J7" s="36"/>
      <c r="K7" s="306" t="s">
        <v>49</v>
      </c>
      <c r="L7" s="310">
        <f>+'[3]Sun Country Cargo'!$JJ$64</f>
        <v>4301467</v>
      </c>
      <c r="M7" s="207">
        <f>+'[3]Sun Country Cargo'!$IV$64</f>
        <v>5683948</v>
      </c>
      <c r="N7" s="312">
        <f>(L7-M7)/M7</f>
        <v>-0.24322548341399322</v>
      </c>
      <c r="O7" s="207">
        <f>+SUM('[3]Sun Country Cargo'!$JH$64:$JJ$64)</f>
        <v>13802827</v>
      </c>
      <c r="P7" s="207">
        <f>+SUM('[3]Sun Country Cargo'!$IT$64:$IV$64)</f>
        <v>16109982</v>
      </c>
      <c r="Q7" s="311">
        <f>(O7-P7)/P7</f>
        <v>-0.14321276088328341</v>
      </c>
      <c r="R7" s="312">
        <f>O7/$O$34</f>
        <v>0.16540338542301095</v>
      </c>
      <c r="T7" s="379"/>
    </row>
    <row r="8" spans="1:20" ht="14.1" customHeight="1" x14ac:dyDescent="0.2">
      <c r="A8" s="36"/>
      <c r="B8" s="37"/>
      <c r="C8" s="2"/>
      <c r="D8" s="2"/>
      <c r="E8" s="3"/>
      <c r="F8" s="373"/>
      <c r="G8" s="2"/>
      <c r="H8" s="3"/>
      <c r="I8" s="63"/>
      <c r="J8" s="351"/>
      <c r="K8" s="37"/>
      <c r="L8" s="2"/>
      <c r="M8" s="2"/>
      <c r="N8" s="63"/>
      <c r="R8" s="37"/>
      <c r="T8" s="379"/>
    </row>
    <row r="9" spans="1:20" ht="14.1" customHeight="1" x14ac:dyDescent="0.2">
      <c r="A9" s="246" t="s">
        <v>194</v>
      </c>
      <c r="B9" s="37"/>
      <c r="C9" s="370">
        <f>SUM(C10:C18)</f>
        <v>126</v>
      </c>
      <c r="D9" s="370">
        <f>SUM(D10:D18)</f>
        <v>120</v>
      </c>
      <c r="E9" s="371">
        <f>(C9-D9)/D9</f>
        <v>0.05</v>
      </c>
      <c r="F9" s="370">
        <f>SUM(F10:F18)</f>
        <v>364</v>
      </c>
      <c r="G9" s="370">
        <f>SUM(G10:G18)</f>
        <v>352</v>
      </c>
      <c r="H9" s="372">
        <f>(F9-G9)/G9</f>
        <v>3.4090909090909088E-2</v>
      </c>
      <c r="I9" s="371">
        <f t="shared" ref="I9:I18" si="0">+F9/$F$34</f>
        <v>0.11950098489822718</v>
      </c>
      <c r="J9" s="246" t="s">
        <v>194</v>
      </c>
      <c r="K9" s="37"/>
      <c r="L9" s="370">
        <f>SUM(L10:L18)</f>
        <v>1284925</v>
      </c>
      <c r="M9" s="370">
        <f>SUM(M10:M18)</f>
        <v>1504468</v>
      </c>
      <c r="N9" s="371">
        <f t="shared" ref="N9:N18" si="1">(L9-M9)/M9</f>
        <v>-0.14592733112302822</v>
      </c>
      <c r="O9" s="370">
        <f>SUM(O10:O18)</f>
        <v>3528752</v>
      </c>
      <c r="P9" s="370">
        <f>SUM(P10:P18)</f>
        <v>4237710</v>
      </c>
      <c r="Q9" s="372">
        <f t="shared" ref="Q9:Q18" si="2">(O9-P9)/P9</f>
        <v>-0.16729743186768326</v>
      </c>
      <c r="R9" s="371">
        <f t="shared" ref="R9:R18" si="3">O9/$O$34</f>
        <v>4.2286085822724633E-2</v>
      </c>
      <c r="T9" s="379"/>
    </row>
    <row r="10" spans="1:20" ht="14.1" customHeight="1" x14ac:dyDescent="0.2">
      <c r="A10" s="246"/>
      <c r="B10" s="306" t="s">
        <v>195</v>
      </c>
      <c r="C10" s="310">
        <f>+[3]Airborne!$JJ$19</f>
        <v>6</v>
      </c>
      <c r="D10" s="207">
        <f>+[3]Airborne!$IV$19</f>
        <v>6</v>
      </c>
      <c r="E10" s="312">
        <f>(C10-D10)/D10</f>
        <v>0</v>
      </c>
      <c r="F10" s="310">
        <f>+SUM([3]Airborne!$JH$19:$JJ$19)</f>
        <v>16</v>
      </c>
      <c r="G10" s="207">
        <f>+SUM([3]Airborne!$IT$19:$IV$19)</f>
        <v>26</v>
      </c>
      <c r="H10" s="311">
        <f>(F10-G10)/G10</f>
        <v>-0.38461538461538464</v>
      </c>
      <c r="I10" s="312">
        <f t="shared" si="0"/>
        <v>5.2527905449770186E-3</v>
      </c>
      <c r="J10" s="246"/>
      <c r="K10" s="306" t="s">
        <v>195</v>
      </c>
      <c r="L10" s="310">
        <f>+[3]Airborne!$JJ$64</f>
        <v>226665</v>
      </c>
      <c r="M10" s="207">
        <f>+[3]Airborne!$IV$64</f>
        <v>302741</v>
      </c>
      <c r="N10" s="312">
        <f t="shared" si="1"/>
        <v>-0.25129070723820029</v>
      </c>
      <c r="O10" s="310">
        <f>+SUM([3]Airborne!$JH$64:$JJ$64)</f>
        <v>600695</v>
      </c>
      <c r="P10" s="207">
        <f>+SUM([3]Airborne!$IT$64:$IV$64)</f>
        <v>1069184</v>
      </c>
      <c r="Q10" s="311">
        <f t="shared" si="2"/>
        <v>-0.43817434604333771</v>
      </c>
      <c r="R10" s="312">
        <f t="shared" si="3"/>
        <v>7.1983070284569652E-3</v>
      </c>
      <c r="T10" s="379"/>
    </row>
    <row r="11" spans="1:20" ht="14.1" customHeight="1" x14ac:dyDescent="0.2">
      <c r="A11" s="246"/>
      <c r="B11" s="37" t="s">
        <v>193</v>
      </c>
      <c r="C11" s="310">
        <f>+[3]DHL_Atlas!$JJ$19</f>
        <v>0</v>
      </c>
      <c r="D11" s="207">
        <f>+[3]DHL_Atlas!$IV$19</f>
        <v>0</v>
      </c>
      <c r="E11" s="312">
        <f>IFERROR((C11-D11)/D11,0)</f>
        <v>0</v>
      </c>
      <c r="F11" s="310">
        <f>+SUM([3]DHL_Atlas!$JH$19:$JJ$19)</f>
        <v>0</v>
      </c>
      <c r="G11" s="207">
        <f>+SUM([3]DHL_Atlas!$IT$19:$IV$19)</f>
        <v>0</v>
      </c>
      <c r="H11" s="311">
        <f>IFERROR((F11-G11)/G11,0)</f>
        <v>0</v>
      </c>
      <c r="I11" s="312">
        <f t="shared" si="0"/>
        <v>0</v>
      </c>
      <c r="J11" s="246"/>
      <c r="K11" s="37" t="s">
        <v>193</v>
      </c>
      <c r="L11" s="310">
        <f>+[3]DHL_Atlas!$JJ$64</f>
        <v>0</v>
      </c>
      <c r="M11" s="207">
        <f>+[3]DHL_Atlas!$IV$64</f>
        <v>0</v>
      </c>
      <c r="N11" s="312">
        <f>IFERROR((L11-M11)/M11,0)</f>
        <v>0</v>
      </c>
      <c r="O11" s="310">
        <f>+SUM([3]DHL_Atlas!$JH$64:$JJ$64)</f>
        <v>0</v>
      </c>
      <c r="P11" s="207">
        <f>+SUM([3]DHL_Atlas!$IT$64:$IV$64)</f>
        <v>0</v>
      </c>
      <c r="Q11" s="311">
        <f>IFERROR((O11-P11)/P11,0)</f>
        <v>0</v>
      </c>
      <c r="R11" s="312">
        <f t="shared" si="3"/>
        <v>0</v>
      </c>
      <c r="T11" s="379"/>
    </row>
    <row r="12" spans="1:20" ht="14.1" customHeight="1" x14ac:dyDescent="0.2">
      <c r="A12" s="246"/>
      <c r="B12" s="37" t="s">
        <v>231</v>
      </c>
      <c r="C12" s="310">
        <f>+[3]DHL!$JJ$19</f>
        <v>2</v>
      </c>
      <c r="D12" s="207">
        <f>+[3]DHL!$IV$19</f>
        <v>6</v>
      </c>
      <c r="E12" s="312">
        <f>IFERROR((C12-D12)/D12,0)</f>
        <v>-0.66666666666666663</v>
      </c>
      <c r="F12" s="310">
        <f>+SUM([3]DHL!$JH$19:$JJ$19)</f>
        <v>10</v>
      </c>
      <c r="G12" s="207">
        <f>+SUM([3]DHL!$IT$19:$IV$19)</f>
        <v>6</v>
      </c>
      <c r="H12" s="311">
        <f>IFERROR((F12-G12)/G12,0)</f>
        <v>0.66666666666666663</v>
      </c>
      <c r="I12" s="312">
        <f t="shared" si="0"/>
        <v>3.2829940906106371E-3</v>
      </c>
      <c r="J12" s="246"/>
      <c r="K12" s="37" t="s">
        <v>231</v>
      </c>
      <c r="L12" s="310">
        <f>+[3]DHL!$JJ$64</f>
        <v>69606</v>
      </c>
      <c r="M12" s="207">
        <f>+[3]DHL!$IV$64</f>
        <v>207911</v>
      </c>
      <c r="N12" s="312">
        <f>IFERROR((L12-M12)/M12,0)</f>
        <v>-0.66521251881814814</v>
      </c>
      <c r="O12" s="310">
        <f>+SUM([3]DHL!$JH$64:$JJ$64)</f>
        <v>274607</v>
      </c>
      <c r="P12" s="207">
        <f>+SUM([3]DHL!$IT$64:$IV$64)</f>
        <v>207911</v>
      </c>
      <c r="Q12" s="311">
        <f>IFERROR((O12-P12)/P12,0)</f>
        <v>0.32079110773359754</v>
      </c>
      <c r="R12" s="312">
        <f t="shared" si="3"/>
        <v>3.2906974390722109E-3</v>
      </c>
      <c r="T12" s="379"/>
    </row>
    <row r="13" spans="1:20" ht="14.1" customHeight="1" x14ac:dyDescent="0.2">
      <c r="A13" s="246"/>
      <c r="B13" s="306" t="s">
        <v>83</v>
      </c>
      <c r="C13" s="310">
        <f>+[3]DHL_Bemidji!$JJ$19</f>
        <v>82</v>
      </c>
      <c r="D13" s="207">
        <f>+[3]DHL_Bemidji!$IV$19</f>
        <v>78</v>
      </c>
      <c r="E13" s="312">
        <f>(C13-D13)/D13</f>
        <v>5.128205128205128E-2</v>
      </c>
      <c r="F13" s="310">
        <f>+SUM([3]DHL_Bemidji!$JH$19:$JJ$19)</f>
        <v>238</v>
      </c>
      <c r="G13" s="207">
        <f>+SUM([3]DHL_Bemidji!$IT$19:$IV$19)</f>
        <v>220</v>
      </c>
      <c r="H13" s="311">
        <f t="shared" ref="H13:H18" si="4">(F13-G13)/G13</f>
        <v>8.1818181818181818E-2</v>
      </c>
      <c r="I13" s="312">
        <f t="shared" si="0"/>
        <v>7.8135259356533163E-2</v>
      </c>
      <c r="J13" s="246"/>
      <c r="K13" s="306" t="s">
        <v>83</v>
      </c>
      <c r="L13" s="310">
        <f>+[3]DHL_Bemidji!$JJ$64</f>
        <v>87371</v>
      </c>
      <c r="M13" s="207">
        <f>+[3]DHL_Bemidji!$IV$64</f>
        <v>98806</v>
      </c>
      <c r="N13" s="312">
        <f t="shared" ref="N13" si="5">(L13-M13)/M13</f>
        <v>-0.11573183814748092</v>
      </c>
      <c r="O13" s="310">
        <f>+SUM([3]DHL_Bemidji!$JH$64:$JJ$64)</f>
        <v>247945</v>
      </c>
      <c r="P13" s="207">
        <f>+SUM([3]DHL_Bemidji!$IT$64:$IV$64)</f>
        <v>280665</v>
      </c>
      <c r="Q13" s="311">
        <f t="shared" ref="Q13" si="6">(O13-P13)/P13</f>
        <v>-0.11658026472841287</v>
      </c>
      <c r="R13" s="312">
        <f t="shared" si="3"/>
        <v>2.9711987550599924E-3</v>
      </c>
      <c r="T13" s="379"/>
    </row>
    <row r="14" spans="1:20" ht="14.1" customHeight="1" x14ac:dyDescent="0.2">
      <c r="A14" s="246"/>
      <c r="B14" s="37" t="s">
        <v>184</v>
      </c>
      <c r="C14" s="310">
        <f>+[3]Encore!$JJ$19+[3]DHL_Encore!$JJ$12</f>
        <v>0</v>
      </c>
      <c r="D14" s="207">
        <f>+[3]Encore!$IV$19+[3]DHL_Encore!$IV$19</f>
        <v>0</v>
      </c>
      <c r="E14" s="312">
        <f>IFERROR((C14-D14)/D14,0)</f>
        <v>0</v>
      </c>
      <c r="F14" s="310">
        <f>+SUM([3]Encore!$JH$19:$JJ$19)+SUM([3]DHL_Encore!$JH$19:$JJ$19)</f>
        <v>0</v>
      </c>
      <c r="G14" s="207">
        <f>+SUM([3]Encore!$IT$19:$IV$19)+SUM([3]DHL_Encore!$IT$19:$IV$19)</f>
        <v>0</v>
      </c>
      <c r="H14" s="311">
        <f>IFERROR((F14-G14)/G14,0)</f>
        <v>0</v>
      </c>
      <c r="I14" s="312">
        <f t="shared" si="0"/>
        <v>0</v>
      </c>
      <c r="J14" s="246"/>
      <c r="K14" s="37" t="s">
        <v>184</v>
      </c>
      <c r="L14" s="310">
        <f>+[3]Encore!$JJ$64+[3]DHL_Encore!$JJ$64</f>
        <v>0</v>
      </c>
      <c r="M14" s="207">
        <f>+[3]Encore!$IV$64+[3]DHL_Encore!$IV$64</f>
        <v>0</v>
      </c>
      <c r="N14" s="312">
        <f>IFERROR((L14-M14)/M14,0)</f>
        <v>0</v>
      </c>
      <c r="O14" s="310">
        <f>+SUM([3]Encore!$JH$64:$JJ$64)+SUM([3]DHL_Encore!$JH$64:$JJ$64)</f>
        <v>0</v>
      </c>
      <c r="P14" s="207">
        <f>+SUM([3]Encore!$IT$64:$IV$64)+SUM([3]DHL_Encore!$IT$64:$IV$64)</f>
        <v>0</v>
      </c>
      <c r="Q14" s="311">
        <f>IFERROR((O14-P14)/P14,0)</f>
        <v>0</v>
      </c>
      <c r="R14" s="312">
        <f t="shared" si="3"/>
        <v>0</v>
      </c>
      <c r="T14" s="379"/>
    </row>
    <row r="15" spans="1:20" ht="14.1" customHeight="1" x14ac:dyDescent="0.2">
      <c r="A15" s="246"/>
      <c r="B15" s="37" t="s">
        <v>196</v>
      </c>
      <c r="C15" s="310">
        <f>+[3]DHL_Kalitta!$JJ$19</f>
        <v>36</v>
      </c>
      <c r="D15" s="207">
        <f>+[3]DHL_Kalitta!$IV$19</f>
        <v>30</v>
      </c>
      <c r="E15" s="312">
        <f t="shared" ref="E15:E18" si="7">(C15-D15)/D15</f>
        <v>0.2</v>
      </c>
      <c r="F15" s="310">
        <f>+SUM([3]DHL_Kalitta!$JH$19:$JJ$19)</f>
        <v>100</v>
      </c>
      <c r="G15" s="207">
        <f>+SUM([3]DHL_Kalitta!$IT$19:$IV$19)</f>
        <v>96</v>
      </c>
      <c r="H15" s="311">
        <f t="shared" si="4"/>
        <v>4.1666666666666664E-2</v>
      </c>
      <c r="I15" s="312">
        <f t="shared" si="0"/>
        <v>3.2829940906106372E-2</v>
      </c>
      <c r="J15" s="246"/>
      <c r="K15" s="37" t="s">
        <v>196</v>
      </c>
      <c r="L15" s="310">
        <f>+[3]DHL_Kalitta!$JJ$64</f>
        <v>901283</v>
      </c>
      <c r="M15" s="207">
        <f>+[3]DHL_Kalitta!$IV$64</f>
        <v>895010</v>
      </c>
      <c r="N15" s="312">
        <f t="shared" si="1"/>
        <v>7.0088602361984779E-3</v>
      </c>
      <c r="O15" s="310">
        <f>+SUM([3]DHL_Kalitta!$JH$64:$JJ$64)</f>
        <v>2405505</v>
      </c>
      <c r="P15" s="207">
        <f>+SUM([3]DHL_Kalitta!$IT$64:$IV$64)</f>
        <v>2603803</v>
      </c>
      <c r="Q15" s="311">
        <f t="shared" si="2"/>
        <v>-7.6157067182117844E-2</v>
      </c>
      <c r="R15" s="312">
        <f t="shared" si="3"/>
        <v>2.8825882600135463E-2</v>
      </c>
      <c r="T15" s="379"/>
    </row>
    <row r="16" spans="1:20" ht="14.1" customHeight="1" x14ac:dyDescent="0.2">
      <c r="A16" s="246"/>
      <c r="B16" s="37" t="s">
        <v>51</v>
      </c>
      <c r="C16" s="310">
        <f>+[3]DHL_Mesa!$JJ$19</f>
        <v>0</v>
      </c>
      <c r="D16" s="207">
        <f>+[3]DHL_Mesa!$IV$19</f>
        <v>0</v>
      </c>
      <c r="E16" s="312" t="e">
        <f t="shared" ref="E16" si="8">(C16-D16)/D16</f>
        <v>#DIV/0!</v>
      </c>
      <c r="F16" s="310">
        <f>+SUM([3]DHL_Mesa!$JH$19:$JJ$19)</f>
        <v>0</v>
      </c>
      <c r="G16" s="207">
        <f>+SUM([3]DHL_Mesa!$IT$19:$IV$19)</f>
        <v>2</v>
      </c>
      <c r="H16" s="311">
        <f t="shared" ref="H16" si="9">(F16-G16)/G16</f>
        <v>-1</v>
      </c>
      <c r="I16" s="312">
        <f t="shared" ref="I16" si="10">+F16/$F$34</f>
        <v>0</v>
      </c>
      <c r="J16" s="246"/>
      <c r="K16" s="37" t="s">
        <v>51</v>
      </c>
      <c r="L16" s="310">
        <f>+[3]DHL_Mesa!$JJ$64</f>
        <v>0</v>
      </c>
      <c r="M16" s="207">
        <f>+[3]DHL_Mesa!$IV$64</f>
        <v>0</v>
      </c>
      <c r="N16" s="312" t="e">
        <f t="shared" ref="N16" si="11">(L16-M16)/M16</f>
        <v>#DIV/0!</v>
      </c>
      <c r="O16" s="310">
        <f>+SUM([3]DHL_Mesa!$JH$64:$JJ$64)</f>
        <v>0</v>
      </c>
      <c r="P16" s="207">
        <f>+SUM([3]DHL_Mesa!$IT$64:$IV$64)</f>
        <v>22802</v>
      </c>
      <c r="Q16" s="311">
        <f t="shared" ref="Q16" si="12">(O16-P16)/P16</f>
        <v>-1</v>
      </c>
      <c r="R16" s="312">
        <f t="shared" ref="R16" si="13">O16/$O$34</f>
        <v>0</v>
      </c>
      <c r="T16" s="379"/>
    </row>
    <row r="17" spans="1:20" x14ac:dyDescent="0.2">
      <c r="A17" s="246"/>
      <c r="B17" s="37" t="s">
        <v>210</v>
      </c>
      <c r="C17" s="310">
        <f>+[3]DHL_Amerijet!$JJ$19</f>
        <v>0</v>
      </c>
      <c r="D17" s="207">
        <f>+[3]DHL_Amerijet!$IV$19</f>
        <v>0</v>
      </c>
      <c r="E17" s="312">
        <f>IFERROR((C17-D17)/D17,0)</f>
        <v>0</v>
      </c>
      <c r="F17" s="310">
        <f>+SUM([3]DHL_Amerijet!$JH$19:$JJ$19)</f>
        <v>0</v>
      </c>
      <c r="G17" s="207">
        <f>+SUM([3]DHL_Amerijet!$IT$19:$IV$19)</f>
        <v>0</v>
      </c>
      <c r="H17" s="311">
        <f>IFERROR((F17-G17)/G17,0)</f>
        <v>0</v>
      </c>
      <c r="I17" s="312">
        <f t="shared" si="0"/>
        <v>0</v>
      </c>
      <c r="J17" s="246"/>
      <c r="K17" s="37" t="s">
        <v>210</v>
      </c>
      <c r="L17" s="310">
        <f>+[3]DHL_Amerijet!$JJ$64</f>
        <v>0</v>
      </c>
      <c r="M17" s="207">
        <f>+[3]DHL_Amerijet!$IV$64</f>
        <v>0</v>
      </c>
      <c r="N17" s="312">
        <f>IFERROR((L17-M17)/M17,0)</f>
        <v>0</v>
      </c>
      <c r="O17" s="310">
        <f>+SUM([3]DHL_Amerijet!$JH$64:$JJ$64)</f>
        <v>0</v>
      </c>
      <c r="P17" s="207">
        <f>+SUM([3]DHL_Amerijet!$IT$64:$IV$64)</f>
        <v>0</v>
      </c>
      <c r="Q17" s="311">
        <f>IFERROR((O17-P17)/P17,0)</f>
        <v>0</v>
      </c>
      <c r="R17" s="312">
        <f t="shared" si="3"/>
        <v>0</v>
      </c>
      <c r="T17" s="379"/>
    </row>
    <row r="18" spans="1:20" ht="14.1" customHeight="1" x14ac:dyDescent="0.2">
      <c r="A18" s="246"/>
      <c r="B18" s="37" t="s">
        <v>197</v>
      </c>
      <c r="C18" s="310">
        <f>+[3]DHL_Swift!$JJ$19</f>
        <v>0</v>
      </c>
      <c r="D18" s="207">
        <f>+[3]DHL_Swift!$IV$19</f>
        <v>0</v>
      </c>
      <c r="E18" s="312" t="e">
        <f t="shared" si="7"/>
        <v>#DIV/0!</v>
      </c>
      <c r="F18" s="310">
        <f>+SUM([3]DHL_Swift!$JH$19:$JJ$19)</f>
        <v>0</v>
      </c>
      <c r="G18" s="207">
        <f>+SUM([3]DHL_Swift!$IT$19:$IV$19)</f>
        <v>2</v>
      </c>
      <c r="H18" s="311">
        <f t="shared" si="4"/>
        <v>-1</v>
      </c>
      <c r="I18" s="312">
        <f t="shared" si="0"/>
        <v>0</v>
      </c>
      <c r="J18" s="246"/>
      <c r="K18" s="37" t="s">
        <v>197</v>
      </c>
      <c r="L18" s="310">
        <f>+[3]DHL_Swift!$JJ$64</f>
        <v>0</v>
      </c>
      <c r="M18" s="207">
        <f>+[3]DHL_Swift!$IV$64</f>
        <v>0</v>
      </c>
      <c r="N18" s="312" t="e">
        <f t="shared" si="1"/>
        <v>#DIV/0!</v>
      </c>
      <c r="O18" s="310">
        <f>+SUM([3]DHL_Swift!$JH$64:$JJ$64)</f>
        <v>0</v>
      </c>
      <c r="P18" s="207">
        <f>+SUM([3]DHL_Swift!$IT$64:$IV$64)</f>
        <v>53345</v>
      </c>
      <c r="Q18" s="311">
        <f t="shared" si="2"/>
        <v>-1</v>
      </c>
      <c r="R18" s="312">
        <f t="shared" si="3"/>
        <v>0</v>
      </c>
      <c r="T18" s="379"/>
    </row>
    <row r="19" spans="1:20" ht="14.1" customHeight="1" x14ac:dyDescent="0.2">
      <c r="A19" s="246"/>
      <c r="B19" s="37"/>
      <c r="C19" s="247"/>
      <c r="D19" s="249"/>
      <c r="E19" s="250"/>
      <c r="F19" s="247"/>
      <c r="G19" s="249"/>
      <c r="H19" s="248"/>
      <c r="I19" s="250"/>
      <c r="J19" s="246"/>
      <c r="K19" s="37"/>
      <c r="L19" s="251"/>
      <c r="M19" s="2"/>
      <c r="N19" s="63"/>
      <c r="O19" s="251"/>
      <c r="P19" s="249"/>
      <c r="Q19" s="3"/>
      <c r="R19" s="63"/>
      <c r="T19" s="379"/>
    </row>
    <row r="20" spans="1:20" ht="14.1" customHeight="1" x14ac:dyDescent="0.2">
      <c r="A20" s="246" t="s">
        <v>174</v>
      </c>
      <c r="B20" s="37"/>
      <c r="C20" s="374">
        <f>SUM(C21:C24)</f>
        <v>202</v>
      </c>
      <c r="D20" s="370">
        <f>SUM(D21:D24)</f>
        <v>254</v>
      </c>
      <c r="E20" s="371">
        <f>(C20-D20)/D20</f>
        <v>-0.20472440944881889</v>
      </c>
      <c r="F20" s="374">
        <f>SUM(F21:F24)</f>
        <v>596</v>
      </c>
      <c r="G20" s="370">
        <f>SUM(G21:G24)</f>
        <v>766</v>
      </c>
      <c r="H20" s="372">
        <f t="shared" ref="H20:H21" si="14">(F20-G20)/G20</f>
        <v>-0.22193211488250653</v>
      </c>
      <c r="I20" s="371">
        <f>+F20/$F$34</f>
        <v>0.19566644780039397</v>
      </c>
      <c r="J20" s="246" t="s">
        <v>174</v>
      </c>
      <c r="K20" s="37"/>
      <c r="L20" s="374">
        <f>SUM(L21:L24)</f>
        <v>10161203</v>
      </c>
      <c r="M20" s="370">
        <f>SUM(M21:M24)</f>
        <v>13535125</v>
      </c>
      <c r="N20" s="371">
        <f>(L20-M20)/M20</f>
        <v>-0.2492715804250053</v>
      </c>
      <c r="O20" s="374">
        <f>SUM(O21:O24)</f>
        <v>29071635</v>
      </c>
      <c r="P20" s="370">
        <f>SUM(P21:P24)</f>
        <v>38227463</v>
      </c>
      <c r="Q20" s="372">
        <f t="shared" ref="Q20:Q22" si="15">(O20-P20)/P20</f>
        <v>-0.23950917171772554</v>
      </c>
      <c r="R20" s="371">
        <f>O20/$O$34</f>
        <v>0.34837405763196877</v>
      </c>
      <c r="T20" s="379"/>
    </row>
    <row r="21" spans="1:20" ht="14.1" customHeight="1" x14ac:dyDescent="0.2">
      <c r="A21" s="36"/>
      <c r="B21" s="306" t="s">
        <v>174</v>
      </c>
      <c r="C21" s="310">
        <f>+[3]FedEx!$JJ$19</f>
        <v>130</v>
      </c>
      <c r="D21" s="207">
        <f>+[3]FedEx!$IV$19</f>
        <v>180</v>
      </c>
      <c r="E21" s="312">
        <f>(C21-D21)/D21</f>
        <v>-0.27777777777777779</v>
      </c>
      <c r="F21" s="310">
        <f>+SUM([3]FedEx!$JH$19:$JJ$19)</f>
        <v>380</v>
      </c>
      <c r="G21" s="207">
        <f>+SUM([3]FedEx!$IT$19:$IV$19)</f>
        <v>546</v>
      </c>
      <c r="H21" s="311">
        <f t="shared" si="14"/>
        <v>-0.304029304029304</v>
      </c>
      <c r="I21" s="312">
        <f>+F21/$F$34</f>
        <v>0.12475377544320421</v>
      </c>
      <c r="J21" s="246"/>
      <c r="K21" s="306" t="s">
        <v>174</v>
      </c>
      <c r="L21" s="310">
        <f>+[3]FedEx!$JJ$64</f>
        <v>9954091</v>
      </c>
      <c r="M21" s="207">
        <f>+[3]FedEx!$IV$64</f>
        <v>13347405</v>
      </c>
      <c r="N21" s="312">
        <f>(L21-M21)/M21</f>
        <v>-0.25423024175860404</v>
      </c>
      <c r="O21" s="310">
        <f>+SUM([3]FedEx!$JH$64:$JJ$64)</f>
        <v>28494392</v>
      </c>
      <c r="P21" s="207">
        <f>+SUM([3]FedEx!$IT$64:$IV$64)</f>
        <v>37702564</v>
      </c>
      <c r="Q21" s="311">
        <f t="shared" si="15"/>
        <v>-0.24423198379823716</v>
      </c>
      <c r="R21" s="312">
        <f>O21/$O$34</f>
        <v>0.34145678290181858</v>
      </c>
      <c r="T21" s="379"/>
    </row>
    <row r="22" spans="1:20" ht="14.1" customHeight="1" x14ac:dyDescent="0.2">
      <c r="A22" s="36"/>
      <c r="B22" s="306" t="s">
        <v>198</v>
      </c>
      <c r="C22" s="310">
        <f>+'[3]Mountain Cargo'!$JJ$19</f>
        <v>38</v>
      </c>
      <c r="D22" s="207">
        <f>+'[3]Mountain Cargo'!$IV$19</f>
        <v>42</v>
      </c>
      <c r="E22" s="312">
        <f>(C22-D22)/D22</f>
        <v>-9.5238095238095233E-2</v>
      </c>
      <c r="F22" s="310">
        <f>+SUM('[3]Mountain Cargo'!$JH$19:$JJ$19)</f>
        <v>120</v>
      </c>
      <c r="G22" s="207">
        <f>+SUM('[3]Mountain Cargo'!$IT$19:$IV$19)</f>
        <v>126</v>
      </c>
      <c r="H22" s="311">
        <f>(F22-G22)/G22</f>
        <v>-4.7619047619047616E-2</v>
      </c>
      <c r="I22" s="312">
        <f>+F22/$F$34</f>
        <v>3.9395929087327641E-2</v>
      </c>
      <c r="J22" s="351"/>
      <c r="K22" s="306" t="s">
        <v>198</v>
      </c>
      <c r="L22" s="310">
        <f>+'[3]Mountain Cargo'!$JJ$64</f>
        <v>140468</v>
      </c>
      <c r="M22" s="207">
        <f>+'[3]Mountain Cargo'!$IV$64</f>
        <v>131157</v>
      </c>
      <c r="N22" s="312">
        <f>(L22-M22)/M22</f>
        <v>7.0991254755750743E-2</v>
      </c>
      <c r="O22" s="310">
        <f>+SUM('[3]Mountain Cargo'!$JH$64:$JJ$64)</f>
        <v>402856</v>
      </c>
      <c r="P22" s="207">
        <f>+SUM('[3]Mountain Cargo'!$IT$64:$IV$64)</f>
        <v>353189</v>
      </c>
      <c r="Q22" s="311">
        <f t="shared" si="15"/>
        <v>0.14062442488299465</v>
      </c>
      <c r="R22" s="312">
        <f>O22/$O$34</f>
        <v>4.8275433893341197E-3</v>
      </c>
      <c r="T22" s="379"/>
    </row>
    <row r="23" spans="1:20" ht="14.1" customHeight="1" x14ac:dyDescent="0.2">
      <c r="A23" s="36"/>
      <c r="B23" s="306" t="s">
        <v>168</v>
      </c>
      <c r="C23" s="310">
        <f>+[3]IFL!$JJ$19</f>
        <v>34</v>
      </c>
      <c r="D23" s="207">
        <f>+[3]IFL!$IV$19</f>
        <v>32</v>
      </c>
      <c r="E23" s="312">
        <f>(C23-D23)/D23</f>
        <v>6.25E-2</v>
      </c>
      <c r="F23" s="310">
        <f>+SUM([3]IFL!$JH$19:$JJ$19)</f>
        <v>96</v>
      </c>
      <c r="G23" s="207">
        <f>+SUM([3]IFL!$IT$19:$IV$19)</f>
        <v>94</v>
      </c>
      <c r="H23" s="311">
        <f>(F23-G23)/G23</f>
        <v>2.1276595744680851E-2</v>
      </c>
      <c r="I23" s="312">
        <f>+F23/$F$34</f>
        <v>3.1516743269862112E-2</v>
      </c>
      <c r="J23" s="351"/>
      <c r="K23" s="306" t="s">
        <v>168</v>
      </c>
      <c r="L23" s="310">
        <f>+[3]IFL!$JJ$64</f>
        <v>66644</v>
      </c>
      <c r="M23" s="207">
        <f>+[3]IFL!$IV$64</f>
        <v>56563</v>
      </c>
      <c r="N23" s="312">
        <f>(L23-M23)/M23</f>
        <v>0.17822604883050758</v>
      </c>
      <c r="O23" s="310">
        <f>+SUM([3]IFL!$JH$64:$JJ$64)</f>
        <v>174387</v>
      </c>
      <c r="P23" s="207">
        <f>+SUM([3]IFL!$IT$64:$IV$64)</f>
        <v>171710</v>
      </c>
      <c r="Q23" s="311">
        <f>(O23-P23)/P23</f>
        <v>1.55902393570555E-2</v>
      </c>
      <c r="R23" s="312">
        <f>O23/$O$34</f>
        <v>2.0897313408160959E-3</v>
      </c>
      <c r="T23" s="379"/>
    </row>
    <row r="24" spans="1:20" ht="14.1" customHeight="1" x14ac:dyDescent="0.2">
      <c r="A24" s="246"/>
      <c r="B24" s="306" t="s">
        <v>84</v>
      </c>
      <c r="C24" s="310">
        <f>+'[3]CSA Air'!$JJ$19</f>
        <v>0</v>
      </c>
      <c r="D24" s="207">
        <f>+'[3]CSA Air'!$IV$19</f>
        <v>0</v>
      </c>
      <c r="E24" s="312">
        <f>IFERROR((C24-D24)/D24,)</f>
        <v>0</v>
      </c>
      <c r="F24" s="310">
        <f>+SUM('[3]CSA Air'!$JH$19:$JJ$19)</f>
        <v>0</v>
      </c>
      <c r="G24" s="207">
        <f>+SUM('[3]CSA Air'!$IT$19:$IV$19)</f>
        <v>0</v>
      </c>
      <c r="H24" s="311">
        <f>IFERROR((F24-G24)/G24,0)</f>
        <v>0</v>
      </c>
      <c r="I24" s="312">
        <f>+F24/$F$34</f>
        <v>0</v>
      </c>
      <c r="J24" s="246"/>
      <c r="K24" s="306" t="s">
        <v>84</v>
      </c>
      <c r="L24" s="310">
        <f>+'[3]CSA Air'!$JJ$64</f>
        <v>0</v>
      </c>
      <c r="M24" s="207">
        <f>+'[3]CSA Air'!$IV$64</f>
        <v>0</v>
      </c>
      <c r="N24" s="312">
        <f>IFERROR((L24-M24)/M24,0)</f>
        <v>0</v>
      </c>
      <c r="O24" s="310">
        <f>+SUM('[3]CSA Air'!$JH$64:$JJ$64)</f>
        <v>0</v>
      </c>
      <c r="P24" s="207">
        <f>+SUM('[3]CSA Air'!$IT$64:$IV$64)</f>
        <v>0</v>
      </c>
      <c r="Q24" s="311">
        <f>IFERROR((O24-P24)/P24,0)</f>
        <v>0</v>
      </c>
      <c r="R24" s="312">
        <f>O24/$O$34</f>
        <v>0</v>
      </c>
      <c r="T24" s="379"/>
    </row>
    <row r="25" spans="1:20" ht="14.1" customHeight="1" x14ac:dyDescent="0.2">
      <c r="A25" s="246"/>
      <c r="B25" s="37"/>
      <c r="C25" s="247"/>
      <c r="D25" s="249"/>
      <c r="E25" s="250"/>
      <c r="F25" s="247"/>
      <c r="G25" s="249"/>
      <c r="H25" s="248"/>
      <c r="I25" s="250"/>
      <c r="J25" s="246"/>
      <c r="K25" s="37"/>
      <c r="L25" s="251"/>
      <c r="M25" s="2"/>
      <c r="N25" s="63"/>
      <c r="O25" s="251"/>
      <c r="P25" s="2"/>
      <c r="Q25" s="3"/>
      <c r="R25" s="63"/>
      <c r="S25" s="235"/>
      <c r="T25" s="379"/>
    </row>
    <row r="26" spans="1:20" ht="14.1" customHeight="1" x14ac:dyDescent="0.2">
      <c r="A26" s="246" t="s">
        <v>82</v>
      </c>
      <c r="B26" s="37"/>
      <c r="C26" s="370">
        <f>SUM(C27:C28)</f>
        <v>494</v>
      </c>
      <c r="D26" s="370">
        <f>SUM(D27:D28)</f>
        <v>502</v>
      </c>
      <c r="E26" s="371">
        <f>(C26-D26)/D26</f>
        <v>-1.5936254980079681E-2</v>
      </c>
      <c r="F26" s="370">
        <f>SUM(F27:F28)</f>
        <v>1520</v>
      </c>
      <c r="G26" s="370">
        <f>SUM(G27:G28)</f>
        <v>1534</v>
      </c>
      <c r="H26" s="372">
        <f>(F26-G26)/G26</f>
        <v>-9.126466753585397E-3</v>
      </c>
      <c r="I26" s="371">
        <f>+F26/$F$34</f>
        <v>0.49901510177281683</v>
      </c>
      <c r="J26" s="246" t="s">
        <v>82</v>
      </c>
      <c r="K26" s="37"/>
      <c r="L26" s="370">
        <f>SUM(L27:L28)</f>
        <v>13150766</v>
      </c>
      <c r="M26" s="370">
        <f>SUM(M27:M28)</f>
        <v>8728559</v>
      </c>
      <c r="N26" s="371">
        <f>(L26-M26)/M26</f>
        <v>0.50663654791128754</v>
      </c>
      <c r="O26" s="370">
        <f>SUM(O27:O28)</f>
        <v>36899578</v>
      </c>
      <c r="P26" s="370">
        <f>SUM(P27:P28)</f>
        <v>25657825</v>
      </c>
      <c r="Q26" s="372">
        <f>(O26-P26)/P26</f>
        <v>0.43814130776868265</v>
      </c>
      <c r="R26" s="371">
        <f>O26/$O$34</f>
        <v>0.44217862919534207</v>
      </c>
      <c r="S26" s="328"/>
      <c r="T26" s="381"/>
    </row>
    <row r="27" spans="1:20" ht="14.1" customHeight="1" x14ac:dyDescent="0.2">
      <c r="A27" s="246"/>
      <c r="B27" s="306" t="s">
        <v>82</v>
      </c>
      <c r="C27" s="310">
        <f>+[3]UPS!$JJ$19</f>
        <v>216</v>
      </c>
      <c r="D27" s="207">
        <f>+[3]UPS!$IV$19</f>
        <v>176</v>
      </c>
      <c r="E27" s="312">
        <f>(C27-D27)/D27</f>
        <v>0.22727272727272727</v>
      </c>
      <c r="F27" s="310">
        <f>+SUM([3]UPS!$JH$19:$JJ$19)</f>
        <v>648</v>
      </c>
      <c r="G27" s="207">
        <f>+SUM([3]UPS!$IT$19:$IV$19)</f>
        <v>520</v>
      </c>
      <c r="H27" s="311">
        <f>(F27-G27)/G27</f>
        <v>0.24615384615384617</v>
      </c>
      <c r="I27" s="312">
        <f>+F27/$F$34</f>
        <v>0.21273801707156928</v>
      </c>
      <c r="J27" s="246"/>
      <c r="K27" s="306" t="s">
        <v>82</v>
      </c>
      <c r="L27" s="310">
        <f>+[3]UPS!$JJ$64</f>
        <v>13150766</v>
      </c>
      <c r="M27" s="207">
        <f>+[3]UPS!$IV$64</f>
        <v>8728559</v>
      </c>
      <c r="N27" s="312">
        <f>(L27-M27)/M27</f>
        <v>0.50663654791128754</v>
      </c>
      <c r="O27" s="310">
        <f>+SUM([3]UPS!$JH$64:$JJ$64)</f>
        <v>36899578</v>
      </c>
      <c r="P27" s="207">
        <f>+SUM([3]UPS!$IT$64:$IV$64)</f>
        <v>25657825</v>
      </c>
      <c r="Q27" s="311">
        <f>(O27-P27)/P27</f>
        <v>0.43814130776868265</v>
      </c>
      <c r="R27" s="312">
        <f>O27/$O$34</f>
        <v>0.44217862919534207</v>
      </c>
      <c r="S27" s="328"/>
      <c r="T27" s="381"/>
    </row>
    <row r="28" spans="1:20" x14ac:dyDescent="0.2">
      <c r="A28" s="246"/>
      <c r="B28" s="306" t="s">
        <v>83</v>
      </c>
      <c r="C28" s="310">
        <f>+[3]Bemidji!$JJ$19</f>
        <v>278</v>
      </c>
      <c r="D28" s="207">
        <f>+[3]Bemidji!$IV$19</f>
        <v>326</v>
      </c>
      <c r="E28" s="312">
        <f>(C28-D28)/D28</f>
        <v>-0.14723926380368099</v>
      </c>
      <c r="F28" s="310">
        <f>+SUM([3]Bemidji!$JH$19:$JJ$19)</f>
        <v>872</v>
      </c>
      <c r="G28" s="207">
        <f>+SUM([3]Bemidji!$IT$19:$IV$19)</f>
        <v>1014</v>
      </c>
      <c r="H28" s="311">
        <f t="shared" ref="H28" si="16">(F28-G28)/G28</f>
        <v>-0.14003944773175542</v>
      </c>
      <c r="I28" s="312">
        <f>+F28/$F$34</f>
        <v>0.28627708470124752</v>
      </c>
      <c r="J28" s="246"/>
      <c r="K28" s="306" t="s">
        <v>83</v>
      </c>
      <c r="L28" s="476" t="s">
        <v>177</v>
      </c>
      <c r="M28" s="477"/>
      <c r="N28" s="477"/>
      <c r="O28" s="477"/>
      <c r="P28" s="477"/>
      <c r="Q28" s="477"/>
      <c r="R28" s="478"/>
      <c r="T28" s="379"/>
    </row>
    <row r="29" spans="1:20" x14ac:dyDescent="0.2">
      <c r="A29" s="36"/>
      <c r="B29" s="37"/>
      <c r="C29" s="247"/>
      <c r="D29" s="2"/>
      <c r="E29" s="63"/>
      <c r="F29" s="251"/>
      <c r="G29" s="2"/>
      <c r="H29" s="3"/>
      <c r="I29" s="63"/>
      <c r="J29" s="36"/>
      <c r="K29" s="37"/>
      <c r="L29" s="251"/>
      <c r="M29" s="2"/>
      <c r="N29" s="63"/>
      <c r="O29" s="251"/>
      <c r="P29" s="2"/>
      <c r="Q29" s="3"/>
      <c r="R29" s="63"/>
      <c r="T29" s="379"/>
    </row>
    <row r="30" spans="1:20" x14ac:dyDescent="0.2">
      <c r="A30" s="246" t="s">
        <v>126</v>
      </c>
      <c r="B30" s="37"/>
      <c r="C30" s="374">
        <f>+'[3]Misc Cargo'!$JJ$19</f>
        <v>0</v>
      </c>
      <c r="D30" s="370">
        <f>+'[3]Misc Cargo'!$IV$19</f>
        <v>0</v>
      </c>
      <c r="E30" s="371">
        <f>IFERROR((C30-D30)/D30,0)</f>
        <v>0</v>
      </c>
      <c r="F30" s="374">
        <f>+SUM('[3]Misc Cargo'!$JH$19:$JJ$19)</f>
        <v>2</v>
      </c>
      <c r="G30" s="370">
        <f>+SUM('[3]Misc Cargo'!$IT$19:$IV$19)</f>
        <v>0</v>
      </c>
      <c r="H30" s="372">
        <f>IFERROR((F30-G30)/G30,0)</f>
        <v>0</v>
      </c>
      <c r="I30" s="371">
        <f>+F30/$F$34</f>
        <v>6.5659881812212733E-4</v>
      </c>
      <c r="J30" s="246" t="s">
        <v>126</v>
      </c>
      <c r="K30" s="37"/>
      <c r="L30" s="374">
        <f>+'[3]Misc Cargo'!$JJ$64</f>
        <v>0</v>
      </c>
      <c r="M30" s="370">
        <f>+'[3]Misc Cargo'!$IV$64</f>
        <v>0</v>
      </c>
      <c r="N30" s="371">
        <f>IFERROR((L30-M30)/M30,0)</f>
        <v>0</v>
      </c>
      <c r="O30" s="374">
        <f>+SUM('[3]Misc Cargo'!$JH$64:$JJ$64)</f>
        <v>38035</v>
      </c>
      <c r="P30" s="370">
        <f>+SUM('[3]Misc Cargo'!$IT$64:$IV$64)</f>
        <v>0</v>
      </c>
      <c r="Q30" s="372">
        <f>IFERROR((O30-P30)/P30,0)</f>
        <v>0</v>
      </c>
      <c r="R30" s="371">
        <f>O30/$O$34</f>
        <v>4.5578472906776426E-4</v>
      </c>
      <c r="T30" s="379"/>
    </row>
    <row r="31" spans="1:20" x14ac:dyDescent="0.2">
      <c r="A31" s="36"/>
      <c r="B31" s="37"/>
      <c r="C31" s="247"/>
      <c r="D31" s="2"/>
      <c r="E31" s="63"/>
      <c r="F31" s="251"/>
      <c r="G31" s="2"/>
      <c r="H31" s="3"/>
      <c r="I31" s="63"/>
      <c r="J31" s="36"/>
      <c r="K31" s="37"/>
      <c r="L31" s="251"/>
      <c r="M31" s="2"/>
      <c r="N31" s="63"/>
      <c r="O31" s="251"/>
      <c r="P31" s="2"/>
      <c r="Q31" s="3"/>
      <c r="R31" s="63"/>
      <c r="T31" s="379"/>
    </row>
    <row r="32" spans="1:20" ht="13.5" thickBot="1" x14ac:dyDescent="0.25">
      <c r="A32" s="329"/>
      <c r="B32" s="330"/>
      <c r="C32" s="375"/>
      <c r="D32" s="376"/>
      <c r="E32" s="377"/>
      <c r="F32" s="375"/>
      <c r="G32" s="376"/>
      <c r="H32" s="378"/>
      <c r="I32" s="377"/>
      <c r="J32" s="246"/>
      <c r="K32" s="37"/>
      <c r="L32" s="255"/>
      <c r="M32" s="257"/>
      <c r="N32" s="258"/>
      <c r="O32" s="255"/>
      <c r="P32" s="257"/>
      <c r="Q32" s="256"/>
      <c r="R32" s="330"/>
      <c r="T32" s="379"/>
    </row>
    <row r="33" spans="2:20" ht="13.5" thickBot="1" x14ac:dyDescent="0.25">
      <c r="C33" s="2"/>
      <c r="D33" s="3"/>
      <c r="E33" s="3"/>
      <c r="F33" s="2"/>
      <c r="L33" s="2"/>
      <c r="T33" s="379"/>
    </row>
    <row r="34" spans="2:20" ht="15.75" thickBot="1" x14ac:dyDescent="0.3">
      <c r="B34" s="331" t="s">
        <v>175</v>
      </c>
      <c r="C34" s="332">
        <f>+C30+C26+C20+C9+C5</f>
        <v>994</v>
      </c>
      <c r="D34" s="332">
        <f>+D30+D26+D20+D9+D5</f>
        <v>1122</v>
      </c>
      <c r="E34" s="333">
        <f>(C34-D34)/D34</f>
        <v>-0.1140819964349376</v>
      </c>
      <c r="F34" s="332">
        <f>+F30+F26+F20+F9+F5</f>
        <v>3046</v>
      </c>
      <c r="G34" s="332">
        <f>+G30+G26+G20+G9+G5</f>
        <v>3366</v>
      </c>
      <c r="H34" s="334">
        <f>(F34-G34)/G34</f>
        <v>-9.5068330362448009E-2</v>
      </c>
      <c r="I34" s="340"/>
      <c r="K34" s="331" t="s">
        <v>175</v>
      </c>
      <c r="L34" s="332">
        <f>+L30+L26+L20+L9+L5</f>
        <v>28898361</v>
      </c>
      <c r="M34" s="332">
        <f>+M30+M26+M20+M9+M5</f>
        <v>29852321</v>
      </c>
      <c r="N34" s="335">
        <f>(L34-M34)/M34</f>
        <v>-3.1955974210514486E-2</v>
      </c>
      <c r="O34" s="332">
        <f>+O30+O26+O20+O9+O5</f>
        <v>83449483</v>
      </c>
      <c r="P34" s="332">
        <f>+P30+P26+P20+P9+P5</f>
        <v>84724953</v>
      </c>
      <c r="Q34" s="334">
        <f t="shared" ref="Q34" si="17">(O34-P34)/P34</f>
        <v>-1.5054242638529407E-2</v>
      </c>
      <c r="R34" s="340"/>
      <c r="T34" s="379"/>
    </row>
    <row r="35" spans="2:20" x14ac:dyDescent="0.2">
      <c r="C35" s="2"/>
      <c r="D35" s="3"/>
      <c r="E35" s="3"/>
      <c r="T35" s="379"/>
    </row>
    <row r="36" spans="2:20" x14ac:dyDescent="0.2">
      <c r="C36" s="2"/>
      <c r="D36" s="2"/>
      <c r="F36" s="2"/>
      <c r="G36" s="2"/>
      <c r="I36" s="2"/>
      <c r="J36" s="2"/>
      <c r="L36" s="2"/>
      <c r="M36" s="2"/>
      <c r="O36" s="2"/>
      <c r="T36" s="379"/>
    </row>
    <row r="47" spans="2:20" ht="12" customHeight="1" x14ac:dyDescent="0.2"/>
  </sheetData>
  <mergeCells count="7">
    <mergeCell ref="L28:R28"/>
    <mergeCell ref="L3:R3"/>
    <mergeCell ref="A2:B2"/>
    <mergeCell ref="J2:K2"/>
    <mergeCell ref="A3:B3"/>
    <mergeCell ref="C3:H3"/>
    <mergeCell ref="J3:K3"/>
  </mergeCells>
  <pageMargins left="0.7" right="0.7" top="0.75" bottom="0.75" header="0.3" footer="0.3"/>
  <pageSetup scale="61" fitToHeight="0" orientation="landscape" r:id="rId1"/>
  <headerFooter>
    <oddHeader>&amp;CMinneapolis-St. Paul International Airport&amp;"Arial,Bold"
Cargo YTD
March 2025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YTD</vt:lpstr>
      <vt:lpstr>Intl Detail</vt:lpstr>
      <vt:lpstr>Ops+Rev Pax Activity</vt:lpstr>
      <vt:lpstr>Cargo!Print_Area</vt:lpstr>
      <vt:lpstr>'Cargo Summary'!Print_Area</vt:lpstr>
      <vt:lpstr>'Cargo YTD'!Print_Area</vt:lpstr>
      <vt:lpstr>Charter!Print_Area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2025-01-15T16:38:58Z</cp:lastPrinted>
  <dcterms:created xsi:type="dcterms:W3CDTF">2007-09-24T12:26:24Z</dcterms:created>
  <dcterms:modified xsi:type="dcterms:W3CDTF">2025-04-24T20:41:50Z</dcterms:modified>
</cp:coreProperties>
</file>