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367A965E-9303-49DA-836E-DCEB997C4051}" xr6:coauthVersionLast="47" xr6:coauthVersionMax="47" xr10:uidLastSave="{00000000-0000-0000-0000-000000000000}"/>
  <bookViews>
    <workbookView xWindow="-1366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Activity'!$A$1:$AJ$65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29" i="16"/>
  <c r="F28" i="16"/>
  <c r="F23" i="16"/>
  <c r="F22" i="16"/>
  <c r="F18" i="16"/>
  <c r="F17" i="16"/>
  <c r="F10" i="16"/>
  <c r="F9" i="16"/>
  <c r="F5" i="16"/>
  <c r="F4" i="16"/>
  <c r="AH11" i="9"/>
  <c r="AG11" i="9"/>
  <c r="AE11" i="9"/>
  <c r="AD11" i="9"/>
  <c r="Y11" i="9"/>
  <c r="X11" i="9"/>
  <c r="V11" i="9"/>
  <c r="U11" i="9"/>
  <c r="P11" i="9"/>
  <c r="O11" i="9"/>
  <c r="M11" i="9"/>
  <c r="L11" i="9"/>
  <c r="G11" i="9"/>
  <c r="F11" i="9"/>
  <c r="D11" i="9"/>
  <c r="C11" i="9"/>
  <c r="W11" i="9" l="1"/>
  <c r="E11" i="9"/>
  <c r="AF11" i="9"/>
  <c r="N11" i="9"/>
  <c r="AI11" i="9"/>
  <c r="Z11" i="9"/>
  <c r="Q11" i="9"/>
  <c r="H11" i="9"/>
  <c r="AH59" i="9" l="1"/>
  <c r="AE59" i="9"/>
  <c r="Y59" i="9"/>
  <c r="V59" i="9"/>
  <c r="P59" i="9"/>
  <c r="M59" i="9"/>
  <c r="G59" i="9"/>
  <c r="D59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9" i="9"/>
  <c r="AD59" i="9"/>
  <c r="X59" i="9"/>
  <c r="U59" i="9"/>
  <c r="O59" i="9"/>
  <c r="L59" i="9"/>
  <c r="F59" i="9"/>
  <c r="C59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5" i="7"/>
  <c r="J25" i="7"/>
  <c r="E25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G63" i="9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6" i="9"/>
  <c r="AF50" i="9"/>
  <c r="AF54" i="9"/>
  <c r="AF56" i="9"/>
  <c r="AF59" i="9"/>
  <c r="AH20" i="9"/>
  <c r="AF18" i="9"/>
  <c r="AF26" i="9"/>
  <c r="AF55" i="9"/>
  <c r="AI44" i="9"/>
  <c r="AI5" i="9"/>
  <c r="AI21" i="9"/>
  <c r="AI56" i="9"/>
  <c r="AH4" i="9"/>
  <c r="AI6" i="9"/>
  <c r="AE4" i="9"/>
  <c r="AE20" i="9"/>
  <c r="AE32" i="9"/>
  <c r="AE63" i="9"/>
  <c r="AI55" i="9"/>
  <c r="AD63" i="9"/>
  <c r="AI28" i="9"/>
  <c r="AF6" i="9"/>
  <c r="AF9" i="9"/>
  <c r="AF16" i="9"/>
  <c r="AF22" i="9"/>
  <c r="AF24" i="9"/>
  <c r="AF30" i="9"/>
  <c r="AF34" i="9"/>
  <c r="AF40" i="9"/>
  <c r="AF44" i="9"/>
  <c r="AF48" i="9"/>
  <c r="AF57" i="9"/>
  <c r="AI35" i="9"/>
  <c r="AI42" i="9"/>
  <c r="AF53" i="9"/>
  <c r="AI59" i="9"/>
  <c r="AI57" i="9"/>
  <c r="AH15" i="9"/>
  <c r="AH32" i="9"/>
  <c r="AH63" i="9"/>
  <c r="AH52" i="9"/>
  <c r="AI13" i="9"/>
  <c r="AI46" i="9"/>
  <c r="AD4" i="9"/>
  <c r="AD15" i="9"/>
  <c r="AD52" i="9"/>
  <c r="AI23" i="9"/>
  <c r="AG32" i="9"/>
  <c r="AI34" i="9"/>
  <c r="AI48" i="9"/>
  <c r="AI50" i="9"/>
  <c r="AI9" i="9"/>
  <c r="AG20" i="9"/>
  <c r="AI7" i="9"/>
  <c r="AG4" i="9"/>
  <c r="AF36" i="9"/>
  <c r="AE52" i="9"/>
  <c r="AG15" i="9"/>
  <c r="AI17" i="9"/>
  <c r="AI26" i="9"/>
  <c r="AD32" i="9"/>
  <c r="AI38" i="9"/>
  <c r="AG52" i="9"/>
  <c r="AI54" i="9"/>
  <c r="AI16" i="9"/>
  <c r="AD20" i="9"/>
  <c r="AI25" i="9"/>
  <c r="AI36" i="9"/>
  <c r="AI53" i="9"/>
  <c r="AD64" i="9" l="1"/>
  <c r="AH64" i="9"/>
  <c r="AH62" i="9" s="1"/>
  <c r="AG64" i="9"/>
  <c r="AJ52" i="9" s="1"/>
  <c r="AE64" i="9"/>
  <c r="AE62" i="9" s="1"/>
  <c r="H22" i="1"/>
  <c r="AF15" i="9"/>
  <c r="AF32" i="9"/>
  <c r="AF4" i="9"/>
  <c r="AF20" i="9"/>
  <c r="AF63" i="9"/>
  <c r="AI15" i="9"/>
  <c r="AI63" i="9"/>
  <c r="AF52" i="9"/>
  <c r="AI32" i="9"/>
  <c r="AI52" i="9"/>
  <c r="AI4" i="9"/>
  <c r="AI20" i="9"/>
  <c r="AJ11" i="9" l="1"/>
  <c r="AJ63" i="9"/>
  <c r="AJ4" i="9"/>
  <c r="AJ15" i="9"/>
  <c r="AJ20" i="9"/>
  <c r="AG62" i="9"/>
  <c r="AJ26" i="9"/>
  <c r="AJ5" i="9"/>
  <c r="AJ6" i="9"/>
  <c r="AJ50" i="9"/>
  <c r="AJ13" i="9"/>
  <c r="AJ21" i="9"/>
  <c r="AJ22" i="9"/>
  <c r="AJ9" i="9"/>
  <c r="AJ25" i="9"/>
  <c r="AJ30" i="9"/>
  <c r="AJ48" i="9"/>
  <c r="AJ56" i="9"/>
  <c r="AJ17" i="9"/>
  <c r="AJ35" i="9"/>
  <c r="AJ28" i="9"/>
  <c r="AJ18" i="9"/>
  <c r="AJ33" i="9"/>
  <c r="AJ34" i="9"/>
  <c r="AJ24" i="9"/>
  <c r="AJ38" i="9"/>
  <c r="AJ54" i="9"/>
  <c r="AJ59" i="9"/>
  <c r="AJ40" i="9"/>
  <c r="AJ23" i="9"/>
  <c r="AJ55" i="9"/>
  <c r="AJ44" i="9"/>
  <c r="AJ46" i="9"/>
  <c r="AJ42" i="9"/>
  <c r="AJ36" i="9"/>
  <c r="AJ57" i="9"/>
  <c r="AJ7" i="9"/>
  <c r="AJ53" i="9"/>
  <c r="AJ16" i="9"/>
  <c r="AJ32" i="9"/>
  <c r="AF64" i="9"/>
  <c r="AD62" i="9"/>
  <c r="AF62" i="9" s="1"/>
  <c r="AI64" i="9"/>
  <c r="AJ64" i="9" s="1"/>
  <c r="AJ62" i="9" l="1"/>
  <c r="AI62" i="9"/>
  <c r="H6" i="7" l="1"/>
  <c r="H5" i="7"/>
  <c r="L5" i="15"/>
  <c r="W59" i="9"/>
  <c r="N59" i="9"/>
  <c r="Q59" i="9"/>
  <c r="Z59" i="9"/>
  <c r="F12" i="7"/>
  <c r="F7" i="7"/>
  <c r="E59" i="9"/>
  <c r="H59" i="9"/>
  <c r="K16" i="3" l="1"/>
  <c r="K17" i="3"/>
  <c r="K20" i="3"/>
  <c r="C63" i="9"/>
  <c r="D63" i="9"/>
  <c r="F63" i="9"/>
  <c r="G63" i="9"/>
  <c r="L63" i="9"/>
  <c r="M63" i="9"/>
  <c r="O63" i="9"/>
  <c r="P63" i="9"/>
  <c r="U63" i="9"/>
  <c r="V63" i="9"/>
  <c r="X63" i="9"/>
  <c r="Y63" i="9"/>
  <c r="E63" i="9" l="1"/>
  <c r="G9" i="17"/>
  <c r="N57" i="9" l="1"/>
  <c r="N55" i="9"/>
  <c r="W54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L38" i="16"/>
  <c r="D38" i="16"/>
  <c r="G32" i="9" l="1"/>
  <c r="Q13" i="9"/>
  <c r="Z55" i="9"/>
  <c r="Q55" i="9"/>
  <c r="N5" i="9"/>
  <c r="N13" i="9"/>
  <c r="E16" i="9"/>
  <c r="L4" i="9"/>
  <c r="H6" i="9"/>
  <c r="Q23" i="9"/>
  <c r="Z50" i="9"/>
  <c r="P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K38" i="16"/>
  <c r="W6" i="9"/>
  <c r="D15" i="9"/>
  <c r="N25" i="9"/>
  <c r="W38" i="9"/>
  <c r="N40" i="9"/>
  <c r="E42" i="9"/>
  <c r="W46" i="9"/>
  <c r="E55" i="9"/>
  <c r="W55" i="9"/>
  <c r="Z48" i="9"/>
  <c r="E6" i="9"/>
  <c r="X4" i="9"/>
  <c r="V4" i="9"/>
  <c r="E9" i="9"/>
  <c r="N30" i="9"/>
  <c r="Z57" i="9"/>
  <c r="Q48" i="9"/>
  <c r="O38" i="16"/>
  <c r="D4" i="9"/>
  <c r="N46" i="9"/>
  <c r="H50" i="9"/>
  <c r="N54" i="9"/>
  <c r="G38" i="16"/>
  <c r="Z16" i="9"/>
  <c r="N17" i="9"/>
  <c r="W18" i="9"/>
  <c r="P20" i="9"/>
  <c r="N34" i="9"/>
  <c r="H44" i="9"/>
  <c r="N50" i="9"/>
  <c r="E53" i="9"/>
  <c r="N38" i="16"/>
  <c r="M20" i="9"/>
  <c r="J38" i="16"/>
  <c r="Q50" i="9"/>
  <c r="V52" i="9"/>
  <c r="F38" i="16"/>
  <c r="F20" i="9"/>
  <c r="Q35" i="9"/>
  <c r="G52" i="9"/>
  <c r="Y52" i="9"/>
  <c r="G4" i="9"/>
  <c r="L52" i="9"/>
  <c r="W17" i="9"/>
  <c r="N18" i="9"/>
  <c r="W34" i="9"/>
  <c r="Q44" i="9"/>
  <c r="H46" i="9"/>
  <c r="E50" i="9"/>
  <c r="H56" i="9"/>
  <c r="E38" i="16"/>
  <c r="M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48" i="9"/>
  <c r="N53" i="9"/>
  <c r="E56" i="9"/>
  <c r="W56" i="9"/>
  <c r="W9" i="9"/>
  <c r="Z13" i="9"/>
  <c r="W16" i="9"/>
  <c r="E24" i="9"/>
  <c r="P32" i="9"/>
  <c r="Z38" i="9"/>
  <c r="N44" i="9"/>
  <c r="E46" i="9"/>
  <c r="Y4" i="9"/>
  <c r="C20" i="9"/>
  <c r="E28" i="9"/>
  <c r="W28" i="9"/>
  <c r="M32" i="9"/>
  <c r="H35" i="9"/>
  <c r="W36" i="9"/>
  <c r="N38" i="9"/>
  <c r="N48" i="9"/>
  <c r="Q53" i="9"/>
  <c r="U52" i="9"/>
  <c r="Z56" i="9"/>
  <c r="U4" i="9"/>
  <c r="P52" i="9"/>
  <c r="I38" i="16"/>
  <c r="Q36" i="16"/>
  <c r="G15" i="9"/>
  <c r="Y15" i="9"/>
  <c r="H21" i="9"/>
  <c r="E23" i="9"/>
  <c r="H28" i="9"/>
  <c r="N35" i="9"/>
  <c r="Z36" i="9"/>
  <c r="W40" i="9"/>
  <c r="N42" i="9"/>
  <c r="E44" i="9"/>
  <c r="W53" i="9"/>
  <c r="N56" i="9"/>
  <c r="Q35" i="16"/>
  <c r="P4" i="9"/>
  <c r="E13" i="9"/>
  <c r="U15" i="9"/>
  <c r="N16" i="9"/>
  <c r="Q17" i="9"/>
  <c r="W23" i="9"/>
  <c r="C32" i="9"/>
  <c r="Q34" i="9"/>
  <c r="W44" i="9"/>
  <c r="W50" i="9"/>
  <c r="H55" i="9"/>
  <c r="D52" i="9"/>
  <c r="W57" i="9"/>
  <c r="N21" i="9"/>
  <c r="W25" i="9"/>
  <c r="N28" i="9"/>
  <c r="D32" i="9"/>
  <c r="E34" i="9"/>
  <c r="E38" i="9"/>
  <c r="Q42" i="9"/>
  <c r="E48" i="9"/>
  <c r="W48" i="9"/>
  <c r="E54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2" i="9"/>
  <c r="M52" i="9"/>
  <c r="Z53" i="9"/>
  <c r="E57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6" i="9"/>
  <c r="O52" i="9"/>
  <c r="H53" i="9"/>
  <c r="Z54" i="9"/>
  <c r="Q57" i="9"/>
  <c r="X52" i="9"/>
  <c r="Q7" i="9"/>
  <c r="H9" i="9"/>
  <c r="F15" i="9"/>
  <c r="Q18" i="9"/>
  <c r="E21" i="9"/>
  <c r="H22" i="9"/>
  <c r="Z24" i="9"/>
  <c r="Q26" i="9"/>
  <c r="H30" i="9"/>
  <c r="Z33" i="9"/>
  <c r="H36" i="9"/>
  <c r="Z40" i="9"/>
  <c r="Q46" i="9"/>
  <c r="F52" i="9"/>
  <c r="Q54" i="9"/>
  <c r="H57" i="9"/>
  <c r="H7" i="9"/>
  <c r="H18" i="9"/>
  <c r="Q24" i="9"/>
  <c r="H26" i="9"/>
  <c r="X32" i="9"/>
  <c r="Q33" i="9"/>
  <c r="Q40" i="9"/>
  <c r="H54" i="9"/>
  <c r="Z6" i="9"/>
  <c r="Z17" i="9"/>
  <c r="Q21" i="9"/>
  <c r="H24" i="9"/>
  <c r="Q28" i="9"/>
  <c r="O32" i="9"/>
  <c r="H33" i="9"/>
  <c r="Z34" i="9"/>
  <c r="H40" i="9"/>
  <c r="Z44" i="9"/>
  <c r="Q56" i="9"/>
  <c r="O20" i="9"/>
  <c r="F32" i="9"/>
  <c r="B38" i="16"/>
  <c r="M64" i="9" l="1"/>
  <c r="M62" i="9" s="1"/>
  <c r="C64" i="9"/>
  <c r="F64" i="9"/>
  <c r="I11" i="9" s="1"/>
  <c r="D64" i="9"/>
  <c r="D62" i="9" s="1"/>
  <c r="V64" i="9"/>
  <c r="V62" i="9" s="1"/>
  <c r="O64" i="9"/>
  <c r="R11" i="9" s="1"/>
  <c r="L64" i="9"/>
  <c r="L62" i="9" s="1"/>
  <c r="P64" i="9"/>
  <c r="P62" i="9" s="1"/>
  <c r="Y64" i="9"/>
  <c r="Y62" i="9" s="1"/>
  <c r="G64" i="9"/>
  <c r="X64" i="9"/>
  <c r="AA11" i="9" s="1"/>
  <c r="U64" i="9"/>
  <c r="U62" i="9" s="1"/>
  <c r="C62" i="9"/>
  <c r="G62" i="9"/>
  <c r="W4" i="9"/>
  <c r="W15" i="9"/>
  <c r="N32" i="9"/>
  <c r="N4" i="9"/>
  <c r="Z15" i="9"/>
  <c r="E4" i="9"/>
  <c r="Z4" i="9"/>
  <c r="N20" i="9"/>
  <c r="E15" i="9"/>
  <c r="E32" i="9"/>
  <c r="E20" i="9"/>
  <c r="W52" i="9"/>
  <c r="N52" i="9"/>
  <c r="W63" i="9"/>
  <c r="Q38" i="16"/>
  <c r="N63" i="9"/>
  <c r="W20" i="9"/>
  <c r="Q63" i="9"/>
  <c r="H20" i="9"/>
  <c r="Z52" i="9"/>
  <c r="Q52" i="9"/>
  <c r="Q4" i="9"/>
  <c r="H52" i="9"/>
  <c r="Z63" i="9"/>
  <c r="Q32" i="9"/>
  <c r="E52" i="9"/>
  <c r="Z20" i="9"/>
  <c r="Z32" i="9"/>
  <c r="H32" i="9"/>
  <c r="Q15" i="9"/>
  <c r="H63" i="9"/>
  <c r="Q20" i="9"/>
  <c r="H4" i="9"/>
  <c r="H15" i="9"/>
  <c r="W32" i="9"/>
  <c r="O62" i="9" l="1"/>
  <c r="F62" i="9"/>
  <c r="AA5" i="9"/>
  <c r="X62" i="9"/>
  <c r="E62" i="9"/>
  <c r="E64" i="9"/>
  <c r="Z64" i="9"/>
  <c r="AA64" i="9" s="1"/>
  <c r="W64" i="9"/>
  <c r="AA63" i="9"/>
  <c r="AA59" i="9"/>
  <c r="I52" i="9"/>
  <c r="I59" i="9"/>
  <c r="R4" i="9"/>
  <c r="R59" i="9"/>
  <c r="R32" i="9"/>
  <c r="R52" i="9"/>
  <c r="R15" i="9"/>
  <c r="R20" i="9"/>
  <c r="R63" i="9"/>
  <c r="AA56" i="9"/>
  <c r="AA28" i="9"/>
  <c r="AA53" i="9"/>
  <c r="AA42" i="9"/>
  <c r="AA25" i="9"/>
  <c r="AA16" i="9"/>
  <c r="AA55" i="9"/>
  <c r="AA48" i="9"/>
  <c r="AA35" i="9"/>
  <c r="AA50" i="9"/>
  <c r="AA38" i="9"/>
  <c r="AA23" i="9"/>
  <c r="AA13" i="9"/>
  <c r="AA54" i="9"/>
  <c r="AA9" i="9"/>
  <c r="AA40" i="9"/>
  <c r="AA18" i="9"/>
  <c r="AA21" i="9"/>
  <c r="AA7" i="9"/>
  <c r="AA4" i="9"/>
  <c r="AA22" i="9"/>
  <c r="AA34" i="9"/>
  <c r="AA33" i="9"/>
  <c r="AA26" i="9"/>
  <c r="AA17" i="9"/>
  <c r="AA46" i="9"/>
  <c r="AA44" i="9"/>
  <c r="AA57" i="9"/>
  <c r="AA6" i="9"/>
  <c r="AA24" i="9"/>
  <c r="AA15" i="9"/>
  <c r="AA36" i="9"/>
  <c r="AA20" i="9"/>
  <c r="I4" i="9"/>
  <c r="AA52" i="9"/>
  <c r="I46" i="9"/>
  <c r="I50" i="9"/>
  <c r="I13" i="9"/>
  <c r="I5" i="9"/>
  <c r="I23" i="9"/>
  <c r="I38" i="9"/>
  <c r="I44" i="9"/>
  <c r="I34" i="9"/>
  <c r="H64" i="9"/>
  <c r="I64" i="9" s="1"/>
  <c r="I56" i="9"/>
  <c r="I28" i="9"/>
  <c r="I21" i="9"/>
  <c r="I33" i="9"/>
  <c r="I57" i="9"/>
  <c r="I9" i="9"/>
  <c r="I53" i="9"/>
  <c r="I54" i="9"/>
  <c r="I36" i="9"/>
  <c r="I55" i="9"/>
  <c r="I48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2" i="9"/>
  <c r="AA32" i="9"/>
  <c r="I63" i="9"/>
  <c r="Q64" i="9"/>
  <c r="R64" i="9" s="1"/>
  <c r="R48" i="9"/>
  <c r="R35" i="9"/>
  <c r="R55" i="9"/>
  <c r="R49" i="9"/>
  <c r="R50" i="9"/>
  <c r="R38" i="9"/>
  <c r="R23" i="9"/>
  <c r="R44" i="9"/>
  <c r="R34" i="9"/>
  <c r="R17" i="9"/>
  <c r="R6" i="9"/>
  <c r="R33" i="9"/>
  <c r="R30" i="9"/>
  <c r="R16" i="9"/>
  <c r="R46" i="9"/>
  <c r="R42" i="9"/>
  <c r="R21" i="9"/>
  <c r="R25" i="9"/>
  <c r="R22" i="9"/>
  <c r="R13" i="9"/>
  <c r="R5" i="9"/>
  <c r="R18" i="9"/>
  <c r="R57" i="9"/>
  <c r="R24" i="9"/>
  <c r="R53" i="9"/>
  <c r="R56" i="9"/>
  <c r="R28" i="9"/>
  <c r="R36" i="9"/>
  <c r="R7" i="9"/>
  <c r="R54" i="9"/>
  <c r="R9" i="9"/>
  <c r="R40" i="9"/>
  <c r="R26" i="9"/>
  <c r="N64" i="9"/>
  <c r="N62" i="9" l="1"/>
  <c r="I62" i="9"/>
  <c r="H62" i="9"/>
  <c r="R62" i="9"/>
  <c r="Q62" i="9"/>
  <c r="AA62" i="9"/>
  <c r="Z62" i="9"/>
  <c r="AA30" i="9"/>
  <c r="H16" i="17" l="1"/>
  <c r="N16" i="17"/>
  <c r="E16" i="17"/>
  <c r="Q16" i="17"/>
  <c r="Q10" i="16" l="1"/>
  <c r="Q9" i="16"/>
  <c r="Q4" i="16"/>
  <c r="Q5" i="16"/>
  <c r="C25" i="7" s="1"/>
  <c r="H23" i="8"/>
  <c r="H6" i="8"/>
  <c r="H12" i="8" s="1"/>
  <c r="H10" i="8"/>
  <c r="B25" i="7" l="1"/>
  <c r="H18" i="8"/>
  <c r="H31" i="8"/>
  <c r="H32" i="8"/>
  <c r="H28" i="8"/>
  <c r="D25" i="7" l="1"/>
  <c r="H33" i="8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F31" i="7"/>
  <c r="K22" i="3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F18" i="1" l="1"/>
  <c r="F7" i="1"/>
  <c r="D16" i="1"/>
  <c r="C22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D6" i="1"/>
  <c r="C8" i="1"/>
  <c r="C11" i="1" s="1"/>
  <c r="M25" i="7" s="1"/>
  <c r="B10" i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7" i="5"/>
  <c r="E5" i="5"/>
  <c r="F5" i="5" s="1"/>
  <c r="H25" i="7" l="1"/>
  <c r="B11" i="1"/>
  <c r="L25" i="7" s="1"/>
  <c r="D27" i="1"/>
  <c r="D22" i="1"/>
  <c r="B22" i="1"/>
  <c r="C33" i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G22" i="7"/>
  <c r="D28" i="1"/>
  <c r="B29" i="1"/>
  <c r="C12" i="5"/>
  <c r="C21" i="5"/>
  <c r="E11" i="5"/>
  <c r="F11" i="5" s="1"/>
  <c r="C29" i="1"/>
  <c r="F16" i="1"/>
  <c r="D22" i="5"/>
  <c r="F15" i="5"/>
  <c r="E17" i="5"/>
  <c r="F17" i="1"/>
  <c r="N25" i="7" l="1"/>
  <c r="G25" i="7"/>
  <c r="I25" i="7" s="1"/>
  <c r="K25" i="7" s="1"/>
  <c r="D11" i="1"/>
  <c r="F11" i="1" s="1"/>
  <c r="F22" i="1"/>
  <c r="H22" i="7"/>
  <c r="I22" i="7" s="1"/>
  <c r="P29" i="7"/>
  <c r="P27" i="7"/>
  <c r="P31" i="7"/>
  <c r="B22" i="5"/>
  <c r="C32" i="1"/>
  <c r="H6" i="5"/>
  <c r="F28" i="1"/>
  <c r="F10" i="1"/>
  <c r="E7" i="5"/>
  <c r="E21" i="5"/>
  <c r="F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P32" i="7" l="1"/>
  <c r="K31" i="7"/>
  <c r="K30" i="7"/>
  <c r="K29" i="7"/>
  <c r="K28" i="7"/>
  <c r="K27" i="7"/>
  <c r="K26" i="7"/>
  <c r="P26" i="7"/>
  <c r="P25" i="7"/>
  <c r="K22" i="7"/>
  <c r="P30" i="7"/>
  <c r="P28" i="7"/>
  <c r="P22" i="7"/>
  <c r="H21" i="5"/>
  <c r="E22" i="5"/>
  <c r="F22" i="5"/>
  <c r="H22" i="5" s="1"/>
  <c r="H20" i="5"/>
  <c r="K32" i="7" l="1"/>
  <c r="C21" i="7" l="1"/>
  <c r="B21" i="7"/>
  <c r="D21" i="7" l="1"/>
  <c r="F21" i="7" l="1"/>
  <c r="L21" i="7" l="1"/>
  <c r="H21" i="7" l="1"/>
  <c r="M21" i="7"/>
  <c r="G21" i="7"/>
  <c r="N21" i="7" l="1"/>
  <c r="I21" i="7"/>
  <c r="P21" i="7" l="1"/>
  <c r="K21" i="7"/>
  <c r="B24" i="7" l="1"/>
  <c r="C24" i="7" l="1"/>
  <c r="D24" i="7" l="1"/>
  <c r="F24" i="7" l="1"/>
  <c r="D33" i="1" l="1"/>
  <c r="L24" i="7" l="1"/>
  <c r="D32" i="1"/>
  <c r="D34" i="1" l="1"/>
  <c r="E33" i="1" s="1"/>
  <c r="G24" i="7"/>
  <c r="M24" i="7"/>
  <c r="E32" i="1" l="1"/>
  <c r="H24" i="7"/>
  <c r="N24" i="7"/>
  <c r="I24" i="7"/>
  <c r="P24" i="7" l="1"/>
  <c r="K24" i="7"/>
  <c r="G21" i="1" l="1"/>
  <c r="I21" i="1" l="1"/>
  <c r="G20" i="1"/>
  <c r="G7" i="1"/>
  <c r="G19" i="1"/>
  <c r="I16" i="5"/>
  <c r="I19" i="1" l="1"/>
  <c r="I18" i="1"/>
  <c r="I7" i="1"/>
  <c r="I20" i="1"/>
  <c r="G16" i="1"/>
  <c r="G5" i="1"/>
  <c r="G6" i="1"/>
  <c r="I5" i="5"/>
  <c r="I6" i="1" l="1"/>
  <c r="K5" i="5"/>
  <c r="G17" i="1"/>
  <c r="I5" i="1"/>
  <c r="G8" i="1"/>
  <c r="G22" i="1"/>
  <c r="I22" i="1" s="1"/>
  <c r="I16" i="1"/>
  <c r="G27" i="1"/>
  <c r="G10" i="1"/>
  <c r="I10" i="5"/>
  <c r="I15" i="5"/>
  <c r="I10" i="1" l="1"/>
  <c r="I17" i="1"/>
  <c r="G11" i="1"/>
  <c r="I11" i="1" s="1"/>
  <c r="I8" i="1"/>
  <c r="I6" i="5"/>
  <c r="I17" i="5"/>
  <c r="K17" i="5" s="1"/>
  <c r="K15" i="5"/>
  <c r="I11" i="5"/>
  <c r="G28" i="1"/>
  <c r="K10" i="5"/>
  <c r="I27" i="1"/>
  <c r="I20" i="5"/>
  <c r="I28" i="1" l="1"/>
  <c r="K11" i="5"/>
  <c r="G29" i="1"/>
  <c r="I29" i="1" s="1"/>
  <c r="I21" i="5"/>
  <c r="I12" i="5"/>
  <c r="K12" i="5" s="1"/>
  <c r="K6" i="5"/>
  <c r="I7" i="5"/>
  <c r="K7" i="5" s="1"/>
  <c r="K20" i="5"/>
  <c r="K21" i="5" l="1"/>
  <c r="I22" i="5"/>
  <c r="K22" i="5" s="1"/>
  <c r="C23" i="7" l="1"/>
  <c r="C33" i="7" s="1"/>
  <c r="B23" i="7" l="1"/>
  <c r="D23" i="7" l="1"/>
  <c r="B33" i="7"/>
  <c r="F23" i="7" l="1"/>
  <c r="D33" i="7"/>
  <c r="F33" i="7" s="1"/>
  <c r="M23" i="7" l="1"/>
  <c r="H23" i="7" l="1"/>
  <c r="H33" i="7" s="1"/>
  <c r="M33" i="7"/>
  <c r="L23" i="7"/>
  <c r="N23" i="7" l="1"/>
  <c r="G23" i="7"/>
  <c r="L33" i="7"/>
  <c r="I23" i="7" l="1"/>
  <c r="G33" i="7"/>
  <c r="P23" i="7"/>
  <c r="N33" i="7"/>
  <c r="P33" i="7" s="1"/>
  <c r="K23" i="7" l="1"/>
  <c r="I33" i="7"/>
  <c r="K33" i="7" s="1"/>
</calcChain>
</file>

<file path=xl/sharedStrings.xml><?xml version="1.0" encoding="utf-8"?>
<sst xmlns="http://schemas.openxmlformats.org/spreadsheetml/2006/main" count="730" uniqueCount="252">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</sst>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64" fontId="0" fillId="0" borderId="17" xfId="3" applyNumberFormat="1" applyFont="1" applyBorder="1" applyAlignment="1">
      <alignment horizontal="center"/>
    </xf>
    <xf numFmtId="164" fontId="0" fillId="0" borderId="18" xfId="3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2424663</v>
          </cell>
          <cell r="G5">
            <v>11329924</v>
          </cell>
        </row>
        <row r="6">
          <cell r="D6">
            <v>355713</v>
          </cell>
          <cell r="G6">
            <v>1613854</v>
          </cell>
        </row>
        <row r="7">
          <cell r="D7">
            <v>551</v>
          </cell>
          <cell r="G7">
            <v>1279</v>
          </cell>
        </row>
        <row r="10">
          <cell r="D10">
            <v>82027</v>
          </cell>
          <cell r="G10">
            <v>389125</v>
          </cell>
        </row>
        <row r="16">
          <cell r="D16">
            <v>17588</v>
          </cell>
          <cell r="G16">
            <v>83434</v>
          </cell>
        </row>
        <row r="17">
          <cell r="D17">
            <v>6396</v>
          </cell>
          <cell r="G17">
            <v>30739</v>
          </cell>
        </row>
        <row r="18">
          <cell r="D18">
            <v>4</v>
          </cell>
          <cell r="G18">
            <v>17</v>
          </cell>
        </row>
        <row r="19">
          <cell r="D19">
            <v>1218</v>
          </cell>
          <cell r="G19">
            <v>5854</v>
          </cell>
        </row>
        <row r="20">
          <cell r="D20">
            <v>1519</v>
          </cell>
          <cell r="G20">
            <v>6739</v>
          </cell>
        </row>
        <row r="21">
          <cell r="D21">
            <v>39</v>
          </cell>
          <cell r="G21">
            <v>272</v>
          </cell>
        </row>
        <row r="27">
          <cell r="D27">
            <v>16345.82564964349</v>
          </cell>
          <cell r="G27">
            <v>78399.162009440653</v>
          </cell>
        </row>
        <row r="28">
          <cell r="D28">
            <v>908.65664724065005</v>
          </cell>
          <cell r="G28">
            <v>5976.4904294372209</v>
          </cell>
        </row>
        <row r="32">
          <cell r="B32">
            <v>886142</v>
          </cell>
          <cell r="D32">
            <v>4511259</v>
          </cell>
        </row>
        <row r="33">
          <cell r="B33">
            <v>481639</v>
          </cell>
          <cell r="D33">
            <v>1926422</v>
          </cell>
        </row>
      </sheetData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>
        <row r="5">
          <cell r="F5">
            <v>9049.1712288020117</v>
          </cell>
          <cell r="I5">
            <v>42732.358847428251</v>
          </cell>
        </row>
        <row r="6">
          <cell r="F6">
            <v>524.36366593688001</v>
          </cell>
          <cell r="I6">
            <v>3097.2357501593201</v>
          </cell>
        </row>
        <row r="10">
          <cell r="F10">
            <v>7296.654420841478</v>
          </cell>
          <cell r="I10">
            <v>35666.803162012402</v>
          </cell>
        </row>
        <row r="11">
          <cell r="F11">
            <v>384.29298130376998</v>
          </cell>
          <cell r="I11">
            <v>2879.2546792778999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16345.82564964349</v>
          </cell>
          <cell r="I20">
            <v>78399.162009440653</v>
          </cell>
        </row>
        <row r="21">
          <cell r="F21">
            <v>908.65664724064993</v>
          </cell>
          <cell r="I21">
            <v>5976.4904294372209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9583408</v>
          </cell>
        </row>
        <row r="6">
          <cell r="G6">
            <v>1468141</v>
          </cell>
        </row>
        <row r="7">
          <cell r="G7">
            <v>501</v>
          </cell>
        </row>
        <row r="10">
          <cell r="G10">
            <v>327340</v>
          </cell>
        </row>
        <row r="16">
          <cell r="G16">
            <v>70099</v>
          </cell>
        </row>
        <row r="17">
          <cell r="G17">
            <v>26143</v>
          </cell>
        </row>
        <row r="18">
          <cell r="G18">
            <v>5</v>
          </cell>
        </row>
        <row r="19">
          <cell r="G19">
            <v>4460</v>
          </cell>
        </row>
        <row r="20">
          <cell r="G20">
            <v>5011</v>
          </cell>
        </row>
        <row r="21">
          <cell r="G21">
            <v>318</v>
          </cell>
        </row>
        <row r="27">
          <cell r="G27">
            <v>60835.909271187673</v>
          </cell>
        </row>
        <row r="28">
          <cell r="G28">
            <v>1261.7061860988199</v>
          </cell>
        </row>
        <row r="32">
          <cell r="D32">
            <v>3915404</v>
          </cell>
        </row>
        <row r="33">
          <cell r="D33">
            <v>1597102</v>
          </cell>
        </row>
      </sheetData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>
        <row r="5">
          <cell r="I5">
            <v>33872.128163766196</v>
          </cell>
        </row>
        <row r="6">
          <cell r="I6">
            <v>619.60763101236989</v>
          </cell>
        </row>
        <row r="10">
          <cell r="I10">
            <v>26963.781107421462</v>
          </cell>
        </row>
        <row r="11">
          <cell r="I11">
            <v>642.09855508645001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60835.909271187673</v>
          </cell>
        </row>
        <row r="21">
          <cell r="I21">
            <v>1261.7061860988199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5">
          <cell r="IX15">
            <v>17</v>
          </cell>
        </row>
        <row r="16">
          <cell r="IX16">
            <v>17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</row>
        <row r="32">
          <cell r="IX32">
            <v>3631</v>
          </cell>
        </row>
        <row r="33">
          <cell r="IX33">
            <v>4305</v>
          </cell>
        </row>
        <row r="37">
          <cell r="IX37">
            <v>19</v>
          </cell>
        </row>
        <row r="38">
          <cell r="IX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</row>
        <row r="47">
          <cell r="IX47">
            <v>104678</v>
          </cell>
        </row>
        <row r="52">
          <cell r="IX52">
            <v>324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</row>
      </sheetData>
      <sheetData sheetId="5">
        <row r="4">
          <cell r="IX4">
            <v>14</v>
          </cell>
        </row>
        <row r="5">
          <cell r="IX5">
            <v>14</v>
          </cell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</row>
        <row r="22">
          <cell r="IX22">
            <v>1976</v>
          </cell>
        </row>
        <row r="23">
          <cell r="IX23">
            <v>1693</v>
          </cell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6">
        <row r="15">
          <cell r="IW15">
            <v>1</v>
          </cell>
          <cell r="IX15">
            <v>18</v>
          </cell>
        </row>
        <row r="16">
          <cell r="IW16">
            <v>1</v>
          </cell>
          <cell r="IX16">
            <v>18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</row>
        <row r="32">
          <cell r="IW32">
            <v>104</v>
          </cell>
          <cell r="IX32">
            <v>3189</v>
          </cell>
        </row>
        <row r="33">
          <cell r="IW33">
            <v>156</v>
          </cell>
          <cell r="IX33">
            <v>4062</v>
          </cell>
        </row>
        <row r="37">
          <cell r="IW37">
            <v>1</v>
          </cell>
          <cell r="IX37">
            <v>28</v>
          </cell>
        </row>
        <row r="38">
          <cell r="IW38">
            <v>2</v>
          </cell>
          <cell r="IX38">
            <v>33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7">
        <row r="4">
          <cell r="IX4">
            <v>93</v>
          </cell>
        </row>
        <row r="5">
          <cell r="IX5">
            <v>93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</row>
        <row r="22">
          <cell r="IX22">
            <v>12652</v>
          </cell>
        </row>
        <row r="23">
          <cell r="IX23">
            <v>13003</v>
          </cell>
        </row>
        <row r="27">
          <cell r="IX27">
            <v>413</v>
          </cell>
        </row>
        <row r="28">
          <cell r="IX28">
            <v>497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</row>
        <row r="47">
          <cell r="IX47">
            <v>26170</v>
          </cell>
        </row>
        <row r="48">
          <cell r="IX48">
            <v>177</v>
          </cell>
        </row>
        <row r="52">
          <cell r="IX52">
            <v>13415</v>
          </cell>
        </row>
        <row r="53">
          <cell r="IX53">
            <v>144</v>
          </cell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</row>
      </sheetData>
      <sheetData sheetId="8"/>
      <sheetData sheetId="9">
        <row r="4">
          <cell r="IX4">
            <v>352</v>
          </cell>
        </row>
        <row r="5">
          <cell r="IX5">
            <v>353</v>
          </cell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</row>
        <row r="22">
          <cell r="IX22">
            <v>51925</v>
          </cell>
        </row>
        <row r="23">
          <cell r="IX23">
            <v>47447</v>
          </cell>
        </row>
        <row r="27">
          <cell r="IX27">
            <v>1600</v>
          </cell>
        </row>
        <row r="28">
          <cell r="IX28">
            <v>1828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</row>
        <row r="47">
          <cell r="IX47">
            <v>37942</v>
          </cell>
        </row>
        <row r="48">
          <cell r="IX48">
            <v>1700</v>
          </cell>
        </row>
        <row r="52">
          <cell r="IX52">
            <v>4356</v>
          </cell>
        </row>
        <row r="53">
          <cell r="IX53">
            <v>429</v>
          </cell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</row>
      </sheetData>
      <sheetData sheetId="10"/>
      <sheetData sheetId="11"/>
      <sheetData sheetId="12">
        <row r="15">
          <cell r="IX15">
            <v>7</v>
          </cell>
        </row>
        <row r="16">
          <cell r="IX16">
            <v>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</row>
        <row r="32">
          <cell r="IX32">
            <v>1434</v>
          </cell>
        </row>
        <row r="33">
          <cell r="IX33">
            <v>1625</v>
          </cell>
        </row>
        <row r="37">
          <cell r="IX37">
            <v>7</v>
          </cell>
        </row>
        <row r="38">
          <cell r="IX38">
            <v>5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</row>
        <row r="47">
          <cell r="IX47">
            <v>95142</v>
          </cell>
        </row>
        <row r="52">
          <cell r="IX52">
            <v>5499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</row>
      </sheetData>
      <sheetData sheetId="13">
        <row r="4">
          <cell r="IX4">
            <v>6044</v>
          </cell>
        </row>
        <row r="5">
          <cell r="IX5">
            <v>6023</v>
          </cell>
        </row>
        <row r="8">
          <cell r="IX8">
            <v>3</v>
          </cell>
        </row>
        <row r="9">
          <cell r="IX9">
            <v>24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</row>
        <row r="22">
          <cell r="IX22">
            <v>870856</v>
          </cell>
        </row>
        <row r="23">
          <cell r="IX23">
            <v>848225</v>
          </cell>
        </row>
        <row r="27">
          <cell r="IX27">
            <v>24399</v>
          </cell>
        </row>
        <row r="28">
          <cell r="IX28">
            <v>24189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</row>
        <row r="47">
          <cell r="IX47">
            <v>3555838</v>
          </cell>
        </row>
        <row r="48">
          <cell r="IX48">
            <v>226830</v>
          </cell>
        </row>
        <row r="52">
          <cell r="IX52">
            <v>1900988</v>
          </cell>
        </row>
        <row r="53">
          <cell r="IX53">
            <v>131283</v>
          </cell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</row>
        <row r="70">
          <cell r="IX70">
            <v>487474</v>
          </cell>
        </row>
        <row r="71">
          <cell r="IX71">
            <v>360751</v>
          </cell>
        </row>
        <row r="73">
          <cell r="IX73">
            <v>47979</v>
          </cell>
        </row>
        <row r="74">
          <cell r="IX74">
            <v>35507</v>
          </cell>
        </row>
      </sheetData>
      <sheetData sheetId="14">
        <row r="4">
          <cell r="IX4">
            <v>95</v>
          </cell>
        </row>
        <row r="5">
          <cell r="IX5">
            <v>95</v>
          </cell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</row>
        <row r="22">
          <cell r="IX22">
            <v>918</v>
          </cell>
        </row>
        <row r="23">
          <cell r="IX23">
            <v>975</v>
          </cell>
        </row>
        <row r="27">
          <cell r="IX27">
            <v>36</v>
          </cell>
        </row>
        <row r="28">
          <cell r="IX28">
            <v>36</v>
          </cell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15">
        <row r="4">
          <cell r="IX4">
            <v>165</v>
          </cell>
        </row>
        <row r="5">
          <cell r="IX5">
            <v>166</v>
          </cell>
        </row>
        <row r="15">
          <cell r="IT15">
            <v>31</v>
          </cell>
          <cell r="IU15">
            <v>29</v>
          </cell>
          <cell r="IV15">
            <v>6</v>
          </cell>
        </row>
        <row r="16">
          <cell r="IT16">
            <v>31</v>
          </cell>
          <cell r="IU16">
            <v>29</v>
          </cell>
          <cell r="IV16">
            <v>6</v>
          </cell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</row>
        <row r="22">
          <cell r="IX22">
            <v>25053</v>
          </cell>
        </row>
        <row r="23">
          <cell r="IX23">
            <v>25238</v>
          </cell>
        </row>
        <row r="27">
          <cell r="IX27">
            <v>185</v>
          </cell>
        </row>
        <row r="28">
          <cell r="IX28">
            <v>146</v>
          </cell>
        </row>
        <row r="32">
          <cell r="IT32">
            <v>4420</v>
          </cell>
          <cell r="IU32">
            <v>4650</v>
          </cell>
          <cell r="IV32">
            <v>1187</v>
          </cell>
        </row>
        <row r="33">
          <cell r="IT33">
            <v>3981</v>
          </cell>
          <cell r="IU33">
            <v>5072</v>
          </cell>
          <cell r="IV33">
            <v>1230</v>
          </cell>
        </row>
        <row r="37">
          <cell r="IT37">
            <v>4</v>
          </cell>
          <cell r="IU37">
            <v>5</v>
          </cell>
          <cell r="IV37">
            <v>1</v>
          </cell>
        </row>
        <row r="38">
          <cell r="IT38">
            <v>4</v>
          </cell>
          <cell r="IU38">
            <v>2</v>
          </cell>
          <cell r="IV38">
            <v>0</v>
          </cell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16">
        <row r="15">
          <cell r="IT15">
            <v>5</v>
          </cell>
          <cell r="IV15">
            <v>4</v>
          </cell>
          <cell r="IW15">
            <v>16</v>
          </cell>
          <cell r="IX15">
            <v>29</v>
          </cell>
        </row>
        <row r="16">
          <cell r="IT16">
            <v>5</v>
          </cell>
          <cell r="IV16">
            <v>4</v>
          </cell>
          <cell r="IW16">
            <v>16</v>
          </cell>
          <cell r="IX16">
            <v>29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</row>
        <row r="32">
          <cell r="IT32">
            <v>718</v>
          </cell>
          <cell r="IV32">
            <v>393</v>
          </cell>
          <cell r="IW32">
            <v>2156</v>
          </cell>
          <cell r="IX32">
            <v>4032</v>
          </cell>
        </row>
        <row r="33">
          <cell r="IT33">
            <v>430</v>
          </cell>
          <cell r="IV33">
            <v>576</v>
          </cell>
          <cell r="IW33">
            <v>2385</v>
          </cell>
          <cell r="IX33">
            <v>4111</v>
          </cell>
        </row>
        <row r="37">
          <cell r="IT37">
            <v>14</v>
          </cell>
          <cell r="IV37">
            <v>26</v>
          </cell>
          <cell r="IW37">
            <v>25</v>
          </cell>
          <cell r="IX37">
            <v>26</v>
          </cell>
        </row>
        <row r="38">
          <cell r="IT38">
            <v>12</v>
          </cell>
          <cell r="IV38">
            <v>10</v>
          </cell>
          <cell r="IW38">
            <v>20</v>
          </cell>
          <cell r="IX38">
            <v>42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</row>
        <row r="47">
          <cell r="IX47">
            <v>718</v>
          </cell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</row>
      </sheetData>
      <sheetData sheetId="17">
        <row r="4">
          <cell r="IX4">
            <v>49</v>
          </cell>
        </row>
        <row r="5">
          <cell r="IX5">
            <v>49</v>
          </cell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</row>
        <row r="22">
          <cell r="IX22">
            <v>4389</v>
          </cell>
        </row>
        <row r="23">
          <cell r="IX23">
            <v>4585</v>
          </cell>
        </row>
        <row r="27">
          <cell r="IX27">
            <v>89</v>
          </cell>
        </row>
        <row r="28">
          <cell r="IX28">
            <v>109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18"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</row>
        <row r="38">
          <cell r="IU38">
            <v>0</v>
          </cell>
          <cell r="IV38">
            <v>0</v>
          </cell>
          <cell r="IX38">
            <v>2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</row>
        <row r="47">
          <cell r="IX47">
            <v>191504</v>
          </cell>
        </row>
        <row r="52">
          <cell r="IX52">
            <v>14890</v>
          </cell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</row>
      </sheetData>
      <sheetData sheetId="19"/>
      <sheetData sheetId="20"/>
      <sheetData sheetId="21"/>
      <sheetData sheetId="22"/>
      <sheetData sheetId="23">
        <row r="4">
          <cell r="IX4">
            <v>618</v>
          </cell>
        </row>
        <row r="5">
          <cell r="IX5">
            <v>617</v>
          </cell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</row>
        <row r="22">
          <cell r="IX22">
            <v>76450</v>
          </cell>
        </row>
        <row r="23">
          <cell r="IX23">
            <v>70377</v>
          </cell>
        </row>
        <row r="27">
          <cell r="IX27">
            <v>1850</v>
          </cell>
        </row>
        <row r="28">
          <cell r="IX28">
            <v>1923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</row>
        <row r="47">
          <cell r="IX47">
            <v>216707</v>
          </cell>
        </row>
        <row r="52">
          <cell r="IX52">
            <v>45812</v>
          </cell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</row>
        <row r="70">
          <cell r="IX70">
            <v>69067</v>
          </cell>
        </row>
        <row r="71">
          <cell r="IX71">
            <v>1310</v>
          </cell>
        </row>
      </sheetData>
      <sheetData sheetId="24">
        <row r="4">
          <cell r="IX4">
            <v>84</v>
          </cell>
        </row>
        <row r="5">
          <cell r="IX5">
            <v>84</v>
          </cell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</row>
        <row r="22">
          <cell r="IX22">
            <v>13095</v>
          </cell>
        </row>
        <row r="23">
          <cell r="IX23">
            <v>12700</v>
          </cell>
        </row>
        <row r="27">
          <cell r="IX27">
            <v>81</v>
          </cell>
        </row>
        <row r="28">
          <cell r="IX28">
            <v>97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25">
        <row r="4">
          <cell r="IX4">
            <v>1007</v>
          </cell>
        </row>
        <row r="5">
          <cell r="IX5">
            <v>1014</v>
          </cell>
        </row>
        <row r="8">
          <cell r="IX8">
            <v>63</v>
          </cell>
        </row>
        <row r="9">
          <cell r="IX9">
            <v>63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</row>
        <row r="22">
          <cell r="IX22">
            <v>153709</v>
          </cell>
        </row>
        <row r="23">
          <cell r="IX23">
            <v>151524</v>
          </cell>
        </row>
        <row r="27">
          <cell r="IX27">
            <v>2606</v>
          </cell>
        </row>
        <row r="28">
          <cell r="IX28">
            <v>2674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  <row r="70">
          <cell r="IX70">
            <v>151524</v>
          </cell>
        </row>
        <row r="73">
          <cell r="IX73">
            <v>2774</v>
          </cell>
        </row>
      </sheetData>
      <sheetData sheetId="26"/>
      <sheetData sheetId="27"/>
      <sheetData sheetId="28">
        <row r="4">
          <cell r="IX4">
            <v>464</v>
          </cell>
        </row>
        <row r="5">
          <cell r="IX5">
            <v>464</v>
          </cell>
        </row>
        <row r="8">
          <cell r="IX8">
            <v>2</v>
          </cell>
        </row>
        <row r="9">
          <cell r="IX9">
            <v>3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</row>
        <row r="22">
          <cell r="IX22">
            <v>57358</v>
          </cell>
        </row>
        <row r="23">
          <cell r="IX23">
            <v>54962</v>
          </cell>
        </row>
        <row r="27">
          <cell r="IX27">
            <v>2487</v>
          </cell>
        </row>
        <row r="28">
          <cell r="IX28">
            <v>2377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</row>
        <row r="47">
          <cell r="IX47">
            <v>33116</v>
          </cell>
        </row>
        <row r="52">
          <cell r="IX52">
            <v>19789</v>
          </cell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</row>
      </sheetData>
      <sheetData sheetId="29"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1">
        <row r="4">
          <cell r="IX4">
            <v>66</v>
          </cell>
        </row>
        <row r="5">
          <cell r="IX5">
            <v>66</v>
          </cell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</row>
        <row r="22">
          <cell r="IX22">
            <v>3901</v>
          </cell>
        </row>
        <row r="23">
          <cell r="IX23">
            <v>3943</v>
          </cell>
        </row>
        <row r="27">
          <cell r="IX27">
            <v>213</v>
          </cell>
        </row>
        <row r="28">
          <cell r="IX28">
            <v>160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</row>
        <row r="47">
          <cell r="IX47">
            <v>1003</v>
          </cell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</row>
      </sheetData>
      <sheetData sheetId="32"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44">
        <row r="4">
          <cell r="IX4">
            <v>48</v>
          </cell>
        </row>
        <row r="5">
          <cell r="IX5">
            <v>49</v>
          </cell>
        </row>
        <row r="8">
          <cell r="IX8">
            <v>2</v>
          </cell>
        </row>
        <row r="9">
          <cell r="IX9">
            <v>1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</row>
        <row r="22">
          <cell r="IX22">
            <v>2974</v>
          </cell>
        </row>
        <row r="23">
          <cell r="IX23">
            <v>2993</v>
          </cell>
        </row>
        <row r="27">
          <cell r="IX27">
            <v>123</v>
          </cell>
        </row>
        <row r="28">
          <cell r="IX28">
            <v>118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45"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</row>
        <row r="47">
          <cell r="IX47">
            <v>1715.8</v>
          </cell>
        </row>
        <row r="52">
          <cell r="IX52">
            <v>2657.5</v>
          </cell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</row>
      </sheetData>
      <sheetData sheetId="46">
        <row r="4">
          <cell r="IX4">
            <v>71</v>
          </cell>
        </row>
        <row r="5">
          <cell r="IX5">
            <v>68</v>
          </cell>
        </row>
        <row r="9">
          <cell r="IX9">
            <v>1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</row>
        <row r="22">
          <cell r="IX22">
            <v>4816</v>
          </cell>
        </row>
        <row r="23">
          <cell r="IX23">
            <v>4207</v>
          </cell>
        </row>
        <row r="27">
          <cell r="IX27">
            <v>104</v>
          </cell>
        </row>
        <row r="28">
          <cell r="IX28">
            <v>141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47"/>
      <sheetData sheetId="48"/>
      <sheetData sheetId="49">
        <row r="4">
          <cell r="IX4">
            <v>674</v>
          </cell>
        </row>
        <row r="5">
          <cell r="IX5">
            <v>672</v>
          </cell>
        </row>
        <row r="8">
          <cell r="IX8">
            <v>1</v>
          </cell>
        </row>
        <row r="9">
          <cell r="IX9">
            <v>2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</row>
        <row r="22">
          <cell r="IX22">
            <v>46032</v>
          </cell>
        </row>
        <row r="23">
          <cell r="IX23">
            <v>44823</v>
          </cell>
        </row>
        <row r="27">
          <cell r="IX27">
            <v>1061</v>
          </cell>
        </row>
        <row r="28">
          <cell r="IX28">
            <v>1089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  <row r="70">
          <cell r="IX70">
            <v>15624</v>
          </cell>
        </row>
        <row r="71">
          <cell r="IX71">
            <v>29199</v>
          </cell>
        </row>
        <row r="73">
          <cell r="IX73">
            <v>1814</v>
          </cell>
        </row>
        <row r="74">
          <cell r="IX74">
            <v>3389</v>
          </cell>
        </row>
      </sheetData>
      <sheetData sheetId="50">
        <row r="4">
          <cell r="IX4">
            <v>64</v>
          </cell>
        </row>
        <row r="5">
          <cell r="IX5">
            <v>65</v>
          </cell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</row>
        <row r="22">
          <cell r="IX22">
            <v>4224</v>
          </cell>
        </row>
        <row r="23">
          <cell r="IX23">
            <v>4111</v>
          </cell>
        </row>
        <row r="27">
          <cell r="IX27">
            <v>76</v>
          </cell>
        </row>
        <row r="28">
          <cell r="IX28">
            <v>66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</row>
      </sheetData>
      <sheetData sheetId="51">
        <row r="4">
          <cell r="IX4">
            <v>101</v>
          </cell>
        </row>
        <row r="5">
          <cell r="IX5">
            <v>101</v>
          </cell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</row>
        <row r="22">
          <cell r="IX22">
            <v>6651</v>
          </cell>
        </row>
        <row r="23">
          <cell r="IX23">
            <v>6815</v>
          </cell>
        </row>
        <row r="27">
          <cell r="IX27">
            <v>231</v>
          </cell>
        </row>
        <row r="28">
          <cell r="IX28">
            <v>164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</row>
        <row r="47">
          <cell r="IX47">
            <v>2620</v>
          </cell>
        </row>
        <row r="52">
          <cell r="IX52">
            <v>200</v>
          </cell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</row>
      </sheetData>
      <sheetData sheetId="52">
        <row r="4">
          <cell r="IX4">
            <v>35</v>
          </cell>
        </row>
        <row r="5">
          <cell r="IX5">
            <v>35</v>
          </cell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</row>
        <row r="22">
          <cell r="IX22">
            <v>2316</v>
          </cell>
        </row>
        <row r="23">
          <cell r="IX23">
            <v>2201</v>
          </cell>
        </row>
        <row r="27">
          <cell r="IX27">
            <v>87</v>
          </cell>
        </row>
        <row r="28">
          <cell r="IX28">
            <v>86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53"/>
      <sheetData sheetId="54">
        <row r="4">
          <cell r="IX4">
            <v>1999</v>
          </cell>
        </row>
        <row r="5">
          <cell r="IX5">
            <v>1997</v>
          </cell>
        </row>
        <row r="9">
          <cell r="IX9">
            <v>1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</row>
        <row r="22">
          <cell r="IX22">
            <v>111725</v>
          </cell>
        </row>
        <row r="23">
          <cell r="IX23">
            <v>111069</v>
          </cell>
        </row>
        <row r="27">
          <cell r="IX27">
            <v>3514</v>
          </cell>
        </row>
        <row r="28">
          <cell r="IX28">
            <v>3446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  <row r="70">
          <cell r="IX70">
            <v>33613</v>
          </cell>
        </row>
        <row r="71">
          <cell r="IX71">
            <v>77456</v>
          </cell>
        </row>
        <row r="73">
          <cell r="IX73">
            <v>1945</v>
          </cell>
        </row>
        <row r="74">
          <cell r="IX74">
            <v>4483</v>
          </cell>
        </row>
      </sheetData>
      <sheetData sheetId="55"/>
      <sheetData sheetId="56">
        <row r="4">
          <cell r="IX4">
            <v>26</v>
          </cell>
        </row>
        <row r="5">
          <cell r="IX5">
            <v>26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</row>
        <row r="22">
          <cell r="IX22">
            <v>1530</v>
          </cell>
        </row>
        <row r="23">
          <cell r="IX23">
            <v>1534</v>
          </cell>
        </row>
        <row r="27">
          <cell r="IX27">
            <v>84</v>
          </cell>
        </row>
        <row r="28">
          <cell r="IX28">
            <v>65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</row>
        <row r="47">
          <cell r="IX47">
            <v>2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</row>
      </sheetData>
      <sheetData sheetId="57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2">
          <cell r="IV32">
            <v>0</v>
          </cell>
        </row>
        <row r="33">
          <cell r="IV33">
            <v>201</v>
          </cell>
        </row>
      </sheetData>
      <sheetData sheetId="67">
        <row r="4">
          <cell r="IX4">
            <v>1</v>
          </cell>
        </row>
        <row r="5">
          <cell r="IX5">
            <v>1</v>
          </cell>
        </row>
        <row r="15">
          <cell r="IU15">
            <v>2</v>
          </cell>
          <cell r="IV15">
            <v>1</v>
          </cell>
        </row>
        <row r="22">
          <cell r="IX22">
            <v>46</v>
          </cell>
        </row>
        <row r="23">
          <cell r="IX23">
            <v>99</v>
          </cell>
        </row>
        <row r="32">
          <cell r="IU32">
            <v>240</v>
          </cell>
        </row>
      </sheetData>
      <sheetData sheetId="68">
        <row r="4">
          <cell r="IX4">
            <v>1</v>
          </cell>
        </row>
        <row r="5">
          <cell r="IX5">
            <v>1</v>
          </cell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</row>
        <row r="47">
          <cell r="IX47">
            <v>33674</v>
          </cell>
        </row>
        <row r="52">
          <cell r="IX52">
            <v>39189</v>
          </cell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</row>
      </sheetData>
      <sheetData sheetId="69">
        <row r="4">
          <cell r="IX4">
            <v>94</v>
          </cell>
        </row>
        <row r="5">
          <cell r="IX5">
            <v>94</v>
          </cell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</row>
        <row r="47">
          <cell r="IX47">
            <v>1785273</v>
          </cell>
        </row>
        <row r="52">
          <cell r="IX52">
            <v>2246608</v>
          </cell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</row>
      </sheetData>
      <sheetData sheetId="70">
        <row r="4">
          <cell r="IX4">
            <v>5</v>
          </cell>
        </row>
        <row r="5">
          <cell r="IX5">
            <v>5</v>
          </cell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</row>
        <row r="47">
          <cell r="IX47">
            <v>249462</v>
          </cell>
        </row>
        <row r="52">
          <cell r="IX52">
            <v>172482</v>
          </cell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</row>
      </sheetData>
      <sheetData sheetId="71">
        <row r="4">
          <cell r="IX4">
            <v>20</v>
          </cell>
        </row>
        <row r="5">
          <cell r="IX5">
            <v>20</v>
          </cell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</row>
        <row r="47">
          <cell r="IX47">
            <v>742785</v>
          </cell>
        </row>
        <row r="52">
          <cell r="IX52">
            <v>511324</v>
          </cell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73"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74">
        <row r="4">
          <cell r="IX4">
            <v>41</v>
          </cell>
        </row>
        <row r="5">
          <cell r="IX5">
            <v>41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</row>
        <row r="47">
          <cell r="IX47">
            <v>48219</v>
          </cell>
        </row>
        <row r="52">
          <cell r="IX52">
            <v>44888</v>
          </cell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</row>
      </sheetData>
      <sheetData sheetId="75">
        <row r="12">
          <cell r="IX12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76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</row>
      </sheetData>
      <sheetData sheetId="77"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78"/>
      <sheetData sheetId="79"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81"/>
      <sheetData sheetId="82">
        <row r="4">
          <cell r="IX4">
            <v>98</v>
          </cell>
        </row>
        <row r="5">
          <cell r="IX5">
            <v>98</v>
          </cell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</row>
        <row r="47">
          <cell r="IX47">
            <v>7668881</v>
          </cell>
        </row>
        <row r="52">
          <cell r="IX52">
            <v>6136160</v>
          </cell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</row>
      </sheetData>
      <sheetData sheetId="83">
        <row r="4">
          <cell r="IX4">
            <v>23</v>
          </cell>
        </row>
        <row r="5">
          <cell r="IX5">
            <v>23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</row>
        <row r="48">
          <cell r="IX48">
            <v>68459</v>
          </cell>
        </row>
        <row r="53">
          <cell r="IX53">
            <v>114167</v>
          </cell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</row>
      </sheetData>
      <sheetData sheetId="84">
        <row r="4">
          <cell r="IX4">
            <v>18</v>
          </cell>
        </row>
        <row r="5">
          <cell r="IX5">
            <v>18</v>
          </cell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</row>
        <row r="47">
          <cell r="IX47">
            <v>55915</v>
          </cell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</row>
      </sheetData>
      <sheetData sheetId="85">
        <row r="4">
          <cell r="IX4">
            <v>95</v>
          </cell>
        </row>
        <row r="5">
          <cell r="IX5">
            <v>78</v>
          </cell>
        </row>
        <row r="16">
          <cell r="IX16">
            <v>18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</row>
        <row r="47">
          <cell r="IX47">
            <v>5466508</v>
          </cell>
        </row>
        <row r="48">
          <cell r="IX48">
            <v>275344</v>
          </cell>
        </row>
        <row r="52">
          <cell r="IX52">
            <v>4215885</v>
          </cell>
        </row>
        <row r="53">
          <cell r="IX53">
            <v>124665</v>
          </cell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</row>
      </sheetData>
      <sheetData sheetId="86"/>
      <sheetData sheetId="87"/>
      <sheetData sheetId="88"/>
      <sheetData sheetId="89">
        <row r="4">
          <cell r="IX4">
            <v>175</v>
          </cell>
        </row>
        <row r="5">
          <cell r="IX5">
            <v>175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</row>
      </sheetData>
      <sheetData sheetId="91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</row>
      </sheetData>
      <sheetData sheetId="92">
        <row r="4">
          <cell r="IX4">
            <v>41</v>
          </cell>
        </row>
        <row r="5">
          <cell r="IX5">
            <v>41</v>
          </cell>
        </row>
      </sheetData>
      <sheetData sheetId="93">
        <row r="4">
          <cell r="IX4">
            <v>830</v>
          </cell>
        </row>
        <row r="5">
          <cell r="IX5">
            <v>830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G21">
            <v>1099558</v>
          </cell>
          <cell r="H21">
            <v>1135273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J18" sqref="J18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10.14062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83" bestFit="1" customWidth="1"/>
  </cols>
  <sheetData>
    <row r="1" spans="1:18" hidden="1" x14ac:dyDescent="0.2"/>
    <row r="2" spans="1:18" ht="12.75" customHeight="1" x14ac:dyDescent="0.2">
      <c r="A2" s="388">
        <v>45413</v>
      </c>
      <c r="B2" s="10"/>
      <c r="C2" s="10"/>
      <c r="D2" s="460" t="s">
        <v>237</v>
      </c>
      <c r="E2" s="460" t="s">
        <v>218</v>
      </c>
      <c r="F2" s="5"/>
      <c r="G2" s="5"/>
      <c r="H2" s="5"/>
      <c r="I2" s="5"/>
      <c r="J2" s="5"/>
    </row>
    <row r="3" spans="1:18" ht="13.5" thickBot="1" x14ac:dyDescent="0.25">
      <c r="A3" s="277"/>
      <c r="B3" s="5" t="s">
        <v>0</v>
      </c>
      <c r="C3" s="5" t="s">
        <v>1</v>
      </c>
      <c r="D3" s="461"/>
      <c r="E3" s="462"/>
      <c r="F3" s="5" t="s">
        <v>2</v>
      </c>
      <c r="G3" s="5" t="s">
        <v>238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Stats'!K4</f>
        <v>1370756</v>
      </c>
      <c r="C5" s="10">
        <f>'Major Airline Stats'!K5</f>
        <v>1345174</v>
      </c>
      <c r="D5" s="2">
        <f>'Major Airline Stats'!K6</f>
        <v>2715930</v>
      </c>
      <c r="E5" s="2">
        <f>'[1]Monthly Summary'!D5</f>
        <v>2424663</v>
      </c>
      <c r="F5" s="3">
        <f>(D5-E5)/E5</f>
        <v>0.12012679700230507</v>
      </c>
      <c r="G5" s="2">
        <f>'[2]Monthly Summary'!G5+D5</f>
        <v>12299338</v>
      </c>
      <c r="H5" s="2">
        <f>'[1]Monthly Summary'!G5</f>
        <v>11329924</v>
      </c>
      <c r="I5" s="63">
        <f>(G5-H5)/H5</f>
        <v>8.5562268555376006E-2</v>
      </c>
      <c r="J5" s="2"/>
    </row>
    <row r="6" spans="1:18" x14ac:dyDescent="0.2">
      <c r="A6" s="48" t="s">
        <v>5</v>
      </c>
      <c r="B6" s="209">
        <f>'Regional Major'!M5</f>
        <v>201311</v>
      </c>
      <c r="C6" s="209">
        <f>'Regional Major'!M6</f>
        <v>200319</v>
      </c>
      <c r="D6" s="2">
        <f>B6+C6</f>
        <v>401630</v>
      </c>
      <c r="E6" s="2">
        <f>'[1]Monthly Summary'!D6</f>
        <v>355713</v>
      </c>
      <c r="F6" s="3">
        <f>(D6-E6)/E6</f>
        <v>0.12908440231310073</v>
      </c>
      <c r="G6" s="2">
        <f>'[2]Monthly Summary'!G6+D6</f>
        <v>1869771</v>
      </c>
      <c r="H6" s="2">
        <f>'[1]Monthly Summary'!G6</f>
        <v>1613854</v>
      </c>
      <c r="I6" s="63">
        <f>(G6-H6)/H6</f>
        <v>0.15857506317176151</v>
      </c>
      <c r="K6" s="2"/>
    </row>
    <row r="7" spans="1:18" x14ac:dyDescent="0.2">
      <c r="A7" s="48" t="s">
        <v>6</v>
      </c>
      <c r="B7" s="2">
        <f>Charter!H5</f>
        <v>46</v>
      </c>
      <c r="C7" s="209">
        <f>Charter!H6</f>
        <v>99</v>
      </c>
      <c r="D7" s="2">
        <f>B7+C7</f>
        <v>145</v>
      </c>
      <c r="E7" s="2">
        <f>'[1]Monthly Summary'!D7</f>
        <v>551</v>
      </c>
      <c r="F7" s="3">
        <f>(D7-E7)/E7</f>
        <v>-0.73684210526315785</v>
      </c>
      <c r="G7" s="2">
        <f>'[2]Monthly Summary'!G7+D7</f>
        <v>646</v>
      </c>
      <c r="H7" s="2">
        <f>'[1]Monthly Summary'!G7</f>
        <v>1279</v>
      </c>
      <c r="I7" s="63">
        <f>(G7-H7)/H7</f>
        <v>-0.49491790461297891</v>
      </c>
      <c r="K7" s="2"/>
    </row>
    <row r="8" spans="1:18" x14ac:dyDescent="0.2">
      <c r="A8" s="50" t="s">
        <v>7</v>
      </c>
      <c r="B8" s="113">
        <f>SUM(B5:B7)</f>
        <v>1572113</v>
      </c>
      <c r="C8" s="113">
        <f>SUM(C5:C7)</f>
        <v>1545592</v>
      </c>
      <c r="D8" s="113">
        <f>SUM(D5:D7)</f>
        <v>3117705</v>
      </c>
      <c r="E8" s="113">
        <f>SUM(E5:E7)</f>
        <v>2780927</v>
      </c>
      <c r="F8" s="69">
        <f>(D8-E8)/E8</f>
        <v>0.12110278335245765</v>
      </c>
      <c r="G8" s="113">
        <f>SUM(G5:G7)</f>
        <v>14169755</v>
      </c>
      <c r="H8" s="113">
        <f>SUM(H5:H7)</f>
        <v>12945057</v>
      </c>
      <c r="I8" s="68">
        <f>(G8-H8)/H8</f>
        <v>9.4607385660797017E-2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x14ac:dyDescent="0.2">
      <c r="A10" s="48" t="s">
        <v>8</v>
      </c>
      <c r="B10" s="436">
        <f>'Major Airline Stats'!K9+'Regional Major'!M10</f>
        <v>41815</v>
      </c>
      <c r="C10" s="437">
        <f>'Major Airline Stats'!K10+'Regional Major'!M11</f>
        <v>42019</v>
      </c>
      <c r="D10" s="438">
        <f>SUM(B10:C10)</f>
        <v>83834</v>
      </c>
      <c r="E10" s="394">
        <f>'[1]Monthly Summary'!D10</f>
        <v>82027</v>
      </c>
      <c r="F10" s="439">
        <f>(D10-E10)/E10</f>
        <v>2.2029331805381153E-2</v>
      </c>
      <c r="G10" s="394">
        <f>'[2]Monthly Summary'!G10+D10</f>
        <v>411174</v>
      </c>
      <c r="H10" s="394">
        <f>'[1]Monthly Summary'!G10</f>
        <v>389125</v>
      </c>
      <c r="I10" s="440">
        <f>(G10-H10)/H10</f>
        <v>5.6663026019916476E-2</v>
      </c>
      <c r="J10" s="163"/>
    </row>
    <row r="11" spans="1:18" ht="15.75" thickBot="1" x14ac:dyDescent="0.3">
      <c r="A11" s="49" t="s">
        <v>13</v>
      </c>
      <c r="B11" s="189">
        <f>B10+B8</f>
        <v>1613928</v>
      </c>
      <c r="C11" s="189">
        <f>C10+C8</f>
        <v>1587611</v>
      </c>
      <c r="D11" s="189">
        <f>D10+D8</f>
        <v>3201539</v>
      </c>
      <c r="E11" s="189">
        <f>E10+E8</f>
        <v>2862954</v>
      </c>
      <c r="F11" s="70">
        <f>(D11-E11)/E11</f>
        <v>0.1182642124183623</v>
      </c>
      <c r="G11" s="189">
        <f>G8+G10</f>
        <v>14580929</v>
      </c>
      <c r="H11" s="189">
        <f>H8+H10</f>
        <v>13334182</v>
      </c>
      <c r="I11" s="72">
        <f>(G11-H11)/H11</f>
        <v>9.3500073720307705E-2</v>
      </c>
      <c r="N11" s="427"/>
      <c r="Q11" s="427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 x14ac:dyDescent="0.2">
      <c r="B13" s="10"/>
      <c r="C13" s="10"/>
      <c r="D13" s="460" t="s">
        <v>237</v>
      </c>
      <c r="E13" s="460" t="s">
        <v>218</v>
      </c>
      <c r="F13" s="5"/>
      <c r="G13" s="5"/>
      <c r="H13" s="5"/>
      <c r="I13" s="5"/>
      <c r="Q13" s="427"/>
    </row>
    <row r="14" spans="1:18" ht="13.5" thickBot="1" x14ac:dyDescent="0.25">
      <c r="A14" s="9"/>
      <c r="B14" s="5" t="s">
        <v>249</v>
      </c>
      <c r="C14" s="5" t="s">
        <v>250</v>
      </c>
      <c r="D14" s="461"/>
      <c r="E14" s="462"/>
      <c r="F14" s="5" t="s">
        <v>2</v>
      </c>
      <c r="G14" s="5" t="s">
        <v>238</v>
      </c>
      <c r="H14" s="5" t="s">
        <v>219</v>
      </c>
      <c r="I14" s="5" t="s">
        <v>2</v>
      </c>
      <c r="N14" s="332"/>
      <c r="Q14" s="427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 x14ac:dyDescent="0.2">
      <c r="A16" s="48" t="s">
        <v>4</v>
      </c>
      <c r="B16" s="218">
        <f>'Major Airline Stats'!K15+'Major Airline Stats'!K19</f>
        <v>9690</v>
      </c>
      <c r="C16" s="218">
        <f>'Major Airline Stats'!K16+'Major Airline Stats'!K20</f>
        <v>9698</v>
      </c>
      <c r="D16" s="30">
        <f>SUM(B16:C16)</f>
        <v>19388</v>
      </c>
      <c r="E16" s="2">
        <f>'[1]Monthly Summary'!D16</f>
        <v>17588</v>
      </c>
      <c r="F16" s="71">
        <f t="shared" ref="F16:F22" si="0">(D16-E16)/E16</f>
        <v>0.10234250625426428</v>
      </c>
      <c r="G16" s="2">
        <f>'[2]Monthly Summary'!G16+D16</f>
        <v>89487</v>
      </c>
      <c r="H16" s="2">
        <f>'[1]Monthly Summary'!G16</f>
        <v>83434</v>
      </c>
      <c r="I16" s="185">
        <f t="shared" ref="I16:I22" si="1">(G16-H16)/H16</f>
        <v>7.2548361579212309E-2</v>
      </c>
      <c r="N16" s="332"/>
      <c r="Q16" s="427"/>
    </row>
    <row r="17" spans="1:17" x14ac:dyDescent="0.2">
      <c r="A17" s="48" t="s">
        <v>5</v>
      </c>
      <c r="B17" s="30">
        <f>'Regional Major'!M15+'Regional Major'!M18</f>
        <v>3381</v>
      </c>
      <c r="C17" s="30">
        <f>'Regional Major'!M16+'Regional Major'!M19</f>
        <v>3378</v>
      </c>
      <c r="D17" s="30">
        <f>SUM(B17:C17)</f>
        <v>6759</v>
      </c>
      <c r="E17" s="2">
        <f>'[1]Monthly Summary'!D17</f>
        <v>6396</v>
      </c>
      <c r="F17" s="71">
        <f t="shared" si="0"/>
        <v>5.6754221388367727E-2</v>
      </c>
      <c r="G17" s="2">
        <f>'[2]Monthly Summary'!G17+D17</f>
        <v>32902</v>
      </c>
      <c r="H17" s="2">
        <f>'[1]Monthly Summary'!G17</f>
        <v>30739</v>
      </c>
      <c r="I17" s="185">
        <f t="shared" si="1"/>
        <v>7.0366635219102774E-2</v>
      </c>
      <c r="L17" s="2"/>
      <c r="M17" s="2"/>
      <c r="N17" s="332"/>
      <c r="Q17" s="427"/>
    </row>
    <row r="18" spans="1:17" x14ac:dyDescent="0.2">
      <c r="A18" s="48" t="s">
        <v>10</v>
      </c>
      <c r="B18" s="30">
        <f>Charter!H10</f>
        <v>1</v>
      </c>
      <c r="C18" s="30">
        <f>Charter!H11</f>
        <v>1</v>
      </c>
      <c r="D18" s="30">
        <f t="shared" ref="D18:D21" si="2">SUM(B18:C18)</f>
        <v>2</v>
      </c>
      <c r="E18" s="2">
        <f>'[1]Monthly Summary'!D18</f>
        <v>4</v>
      </c>
      <c r="F18" s="71">
        <f t="shared" si="0"/>
        <v>-0.5</v>
      </c>
      <c r="G18" s="2">
        <f>'[2]Monthly Summary'!G18+D18</f>
        <v>7</v>
      </c>
      <c r="H18" s="2">
        <f>'[1]Monthly Summary'!G18</f>
        <v>17</v>
      </c>
      <c r="I18" s="185">
        <f t="shared" si="1"/>
        <v>-0.58823529411764708</v>
      </c>
      <c r="N18" s="332"/>
      <c r="Q18" s="427"/>
    </row>
    <row r="19" spans="1:17" x14ac:dyDescent="0.2">
      <c r="A19" s="48" t="s">
        <v>11</v>
      </c>
      <c r="B19" s="30">
        <f>Cargo!S4+Cargo!S8</f>
        <v>570</v>
      </c>
      <c r="C19" s="30">
        <f>Cargo!S5+Cargo!S9</f>
        <v>571</v>
      </c>
      <c r="D19" s="30">
        <f t="shared" si="2"/>
        <v>1141</v>
      </c>
      <c r="E19" s="2">
        <f>'[1]Monthly Summary'!D19</f>
        <v>1218</v>
      </c>
      <c r="F19" s="71">
        <f t="shared" si="0"/>
        <v>-6.3218390804597707E-2</v>
      </c>
      <c r="G19" s="2">
        <f>'[2]Monthly Summary'!G19+D19</f>
        <v>5601</v>
      </c>
      <c r="H19" s="2">
        <f>'[1]Monthly Summary'!G19</f>
        <v>5854</v>
      </c>
      <c r="I19" s="185">
        <f t="shared" si="1"/>
        <v>-4.3218312265117867E-2</v>
      </c>
      <c r="M19" s="427"/>
      <c r="N19" s="332"/>
      <c r="Q19" s="427"/>
    </row>
    <row r="20" spans="1:17" x14ac:dyDescent="0.2">
      <c r="A20" s="48" t="s">
        <v>146</v>
      </c>
      <c r="B20" s="30">
        <f>'[3]General Avation'!$IX$4</f>
        <v>830</v>
      </c>
      <c r="C20" s="30">
        <f>'[3]General Avation'!$IX$5</f>
        <v>830</v>
      </c>
      <c r="D20" s="30">
        <f t="shared" si="2"/>
        <v>1660</v>
      </c>
      <c r="E20" s="2">
        <f>'[1]Monthly Summary'!D20</f>
        <v>1519</v>
      </c>
      <c r="F20" s="71">
        <f t="shared" si="0"/>
        <v>9.2824226464779461E-2</v>
      </c>
      <c r="G20" s="2">
        <f>'[2]Monthly Summary'!G20+D20</f>
        <v>6671</v>
      </c>
      <c r="H20" s="2">
        <f>'[1]Monthly Summary'!G20</f>
        <v>6739</v>
      </c>
      <c r="I20" s="185">
        <f t="shared" si="1"/>
        <v>-1.0090517880991245E-2</v>
      </c>
      <c r="M20" s="2"/>
      <c r="N20" s="332"/>
      <c r="Q20" s="427"/>
    </row>
    <row r="21" spans="1:17" ht="12.75" customHeight="1" x14ac:dyDescent="0.2">
      <c r="A21" s="48" t="s">
        <v>12</v>
      </c>
      <c r="B21" s="441">
        <f>'[3]Military '!$IX$4</f>
        <v>41</v>
      </c>
      <c r="C21" s="442">
        <f>'[3]Military '!$IX$5</f>
        <v>41</v>
      </c>
      <c r="D21" s="442">
        <f t="shared" si="2"/>
        <v>82</v>
      </c>
      <c r="E21" s="394">
        <f>'[1]Monthly Summary'!D21</f>
        <v>39</v>
      </c>
      <c r="F21" s="443">
        <f t="shared" si="0"/>
        <v>1.1025641025641026</v>
      </c>
      <c r="G21" s="394">
        <f>'[2]Monthly Summary'!G21+D21</f>
        <v>400</v>
      </c>
      <c r="H21" s="394">
        <f>'[1]Monthly Summary'!G21</f>
        <v>272</v>
      </c>
      <c r="I21" s="444">
        <f t="shared" si="1"/>
        <v>0.47058823529411764</v>
      </c>
      <c r="K21" s="89"/>
      <c r="N21" s="332"/>
      <c r="Q21" s="427"/>
    </row>
    <row r="22" spans="1:17" ht="15.75" thickBot="1" x14ac:dyDescent="0.3">
      <c r="A22" s="49" t="s">
        <v>28</v>
      </c>
      <c r="B22" s="190">
        <f>SUM(B16:B21)</f>
        <v>14513</v>
      </c>
      <c r="C22" s="190">
        <f>SUM(C16:C21)</f>
        <v>14519</v>
      </c>
      <c r="D22" s="190">
        <f>SUM(D16:D21)</f>
        <v>29032</v>
      </c>
      <c r="E22" s="190">
        <f>SUM(E16:E21)</f>
        <v>26764</v>
      </c>
      <c r="F22" s="187">
        <f t="shared" si="0"/>
        <v>8.474069645792856E-2</v>
      </c>
      <c r="G22" s="190">
        <f>SUM(G16:G21)</f>
        <v>135068</v>
      </c>
      <c r="H22" s="190">
        <f>SUM(H16:H21)</f>
        <v>127055</v>
      </c>
      <c r="I22" s="188">
        <f t="shared" si="1"/>
        <v>6.3067175632600059E-2</v>
      </c>
      <c r="N22" s="325"/>
      <c r="Q22" s="427"/>
    </row>
    <row r="23" spans="1:17" x14ac:dyDescent="0.2">
      <c r="B23" s="89"/>
      <c r="C23" s="89"/>
      <c r="L23" s="2"/>
      <c r="N23" s="332"/>
      <c r="Q23" s="427"/>
    </row>
    <row r="24" spans="1:17" ht="12.75" customHeight="1" x14ac:dyDescent="0.2">
      <c r="B24" s="10"/>
      <c r="C24" s="10"/>
      <c r="D24" s="460" t="s">
        <v>237</v>
      </c>
      <c r="E24" s="460" t="s">
        <v>218</v>
      </c>
      <c r="F24" s="5"/>
      <c r="G24" s="5"/>
      <c r="H24" s="5"/>
      <c r="I24" s="5"/>
      <c r="N24" s="332"/>
      <c r="Q24" s="427"/>
    </row>
    <row r="25" spans="1:17" ht="13.5" thickBot="1" x14ac:dyDescent="0.25">
      <c r="B25" s="5" t="s">
        <v>0</v>
      </c>
      <c r="C25" s="5" t="s">
        <v>1</v>
      </c>
      <c r="D25" s="461"/>
      <c r="E25" s="462"/>
      <c r="F25" s="5" t="s">
        <v>2</v>
      </c>
      <c r="G25" s="5" t="s">
        <v>238</v>
      </c>
      <c r="H25" s="5" t="s">
        <v>219</v>
      </c>
      <c r="I25" s="5" t="s">
        <v>2</v>
      </c>
      <c r="N25" s="332"/>
      <c r="Q25" s="427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Stats'!K28+'Regional Major'!M25)*0.00045359237</f>
        <v>9216.0320767105368</v>
      </c>
      <c r="C27" s="12">
        <f>(Cargo!S21+'Major Airline Stats'!K33+'Regional Major'!M30)*0.00045359237</f>
        <v>6973.7406972206045</v>
      </c>
      <c r="D27" s="12">
        <f>SUM(B27:C27)</f>
        <v>16189.772773931141</v>
      </c>
      <c r="E27" s="2">
        <f>'[1]Monthly Summary'!D27</f>
        <v>16345.82564964349</v>
      </c>
      <c r="F27" s="73">
        <f>(D27-E27)/E27</f>
        <v>-9.5469558440905052E-3</v>
      </c>
      <c r="G27" s="2">
        <f>'[2]Monthly Summary'!G27+D27</f>
        <v>77025.68204511881</v>
      </c>
      <c r="H27" s="2">
        <f>'[1]Monthly Summary'!G27</f>
        <v>78399.162009440653</v>
      </c>
      <c r="I27" s="74">
        <f>(G27-H27)/H27</f>
        <v>-1.7519064351178289E-2</v>
      </c>
      <c r="N27" s="89"/>
    </row>
    <row r="28" spans="1:17" x14ac:dyDescent="0.2">
      <c r="A28" s="43" t="s">
        <v>16</v>
      </c>
      <c r="B28" s="447">
        <f>(Cargo!S17+'Major Airline Stats'!K29+'Regional Major'!M26)*0.00045359237</f>
        <v>259.68616774869997</v>
      </c>
      <c r="C28" s="448">
        <f>(Cargo!S22+'Major Airline Stats'!K34+'Regional Major'!M31)*0.00045359237</f>
        <v>168.14124845056</v>
      </c>
      <c r="D28" s="448">
        <f>SUM(B28:C28)</f>
        <v>427.82741619925997</v>
      </c>
      <c r="E28" s="394">
        <f>'[1]Monthly Summary'!D28</f>
        <v>908.65664724065005</v>
      </c>
      <c r="F28" s="449">
        <f>(D28-E28)/E28</f>
        <v>-0.52916492990123531</v>
      </c>
      <c r="G28" s="394">
        <f>'[2]Monthly Summary'!G28+D28</f>
        <v>1689.5336022980798</v>
      </c>
      <c r="H28" s="394">
        <f>'[1]Monthly Summary'!G28</f>
        <v>5976.4904294372209</v>
      </c>
      <c r="I28" s="450">
        <f>(G28-H28)/H28</f>
        <v>-0.71730338695494644</v>
      </c>
    </row>
    <row r="29" spans="1:17" ht="15.75" thickBot="1" x14ac:dyDescent="0.3">
      <c r="A29" s="44" t="s">
        <v>62</v>
      </c>
      <c r="B29" s="445">
        <f>SUM(B27:B28)</f>
        <v>9475.7182444592363</v>
      </c>
      <c r="C29" s="445">
        <f>SUM(C27:C28)</f>
        <v>7141.8819456711644</v>
      </c>
      <c r="D29" s="445">
        <f>SUM(D27:D28)</f>
        <v>16617.600190130401</v>
      </c>
      <c r="E29" s="445">
        <f>SUM(E27:E28)</f>
        <v>17254.48229688414</v>
      </c>
      <c r="F29" s="70">
        <f>(D29-E29)/E29</f>
        <v>-3.6911110736063582E-2</v>
      </c>
      <c r="G29" s="445">
        <f>SUM(G27:G28)</f>
        <v>78715.215647416888</v>
      </c>
      <c r="H29" s="445">
        <f>SUM(H27:H28)</f>
        <v>84375.652438877878</v>
      </c>
      <c r="I29" s="446">
        <f>(G29-H29)/H29</f>
        <v>-6.7086139518286236E-2</v>
      </c>
    </row>
    <row r="30" spans="1:17" ht="4.5" customHeight="1" thickBot="1" x14ac:dyDescent="0.3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 x14ac:dyDescent="0.25">
      <c r="B31" s="459" t="s">
        <v>142</v>
      </c>
      <c r="C31" s="458"/>
      <c r="D31" s="459" t="s">
        <v>149</v>
      </c>
      <c r="E31" s="458"/>
      <c r="F31" s="300"/>
      <c r="G31" s="301"/>
    </row>
    <row r="32" spans="1:17" x14ac:dyDescent="0.2">
      <c r="A32" s="282" t="s">
        <v>143</v>
      </c>
      <c r="B32" s="283">
        <f>C8-B33</f>
        <v>1033497</v>
      </c>
      <c r="C32" s="284">
        <f>B32/C8</f>
        <v>0.66867388029958752</v>
      </c>
      <c r="D32" s="285">
        <f>+'[2]Monthly Summary'!D32+B32</f>
        <v>4948901</v>
      </c>
      <c r="E32" s="451">
        <f>+D32/D34</f>
        <v>0.70116637655073644</v>
      </c>
      <c r="G32" s="2"/>
      <c r="H32" s="392"/>
      <c r="I32" s="299"/>
    </row>
    <row r="33" spans="1:14" ht="13.5" thickBot="1" x14ac:dyDescent="0.25">
      <c r="A33" s="287" t="s">
        <v>144</v>
      </c>
      <c r="B33" s="288">
        <f>'Major Airline Stats'!K51+'Regional Major'!M45</f>
        <v>512095</v>
      </c>
      <c r="C33" s="289">
        <f>+B33/C8</f>
        <v>0.33132611970041254</v>
      </c>
      <c r="D33" s="290">
        <f>+'[2]Monthly Summary'!D33+B33</f>
        <v>2109197</v>
      </c>
      <c r="E33" s="452">
        <f>+D33/D34</f>
        <v>0.29883362344926351</v>
      </c>
      <c r="G33" s="222"/>
      <c r="H33" s="427"/>
      <c r="I33" s="299"/>
    </row>
    <row r="34" spans="1:14" ht="13.5" thickBot="1" x14ac:dyDescent="0.25">
      <c r="B34" s="222"/>
      <c r="D34" s="292">
        <f>SUM(D32:D33)</f>
        <v>7058098</v>
      </c>
      <c r="H34" s="392"/>
    </row>
    <row r="35" spans="1:14" ht="13.5" thickBot="1" x14ac:dyDescent="0.25">
      <c r="B35" s="457" t="s">
        <v>251</v>
      </c>
      <c r="C35" s="458"/>
      <c r="D35" s="459" t="s">
        <v>239</v>
      </c>
      <c r="E35" s="458"/>
    </row>
    <row r="36" spans="1:14" x14ac:dyDescent="0.2">
      <c r="A36" s="282" t="s">
        <v>143</v>
      </c>
      <c r="B36" s="283">
        <f>'[1]Monthly Summary'!$B$32</f>
        <v>886142</v>
      </c>
      <c r="C36" s="284">
        <f>+B36/B38</f>
        <v>0.64786833564730029</v>
      </c>
      <c r="D36" s="285">
        <f>+'[1]Monthly Summary'!D32</f>
        <v>4511259</v>
      </c>
      <c r="E36" s="286">
        <f>+D36/D38</f>
        <v>0.70075839421058606</v>
      </c>
    </row>
    <row r="37" spans="1:14" ht="13.5" thickBot="1" x14ac:dyDescent="0.25">
      <c r="A37" s="287" t="s">
        <v>144</v>
      </c>
      <c r="B37" s="288">
        <f>'[1]Monthly Summary'!$B$33</f>
        <v>481639</v>
      </c>
      <c r="C37" s="291">
        <f>+B37/B38</f>
        <v>0.35213166435269971</v>
      </c>
      <c r="D37" s="290">
        <f>+'[1]Monthly Summary'!D33</f>
        <v>1926422</v>
      </c>
      <c r="E37" s="291">
        <f>+D37/D38</f>
        <v>0.29924160578941394</v>
      </c>
      <c r="G37" s="222"/>
      <c r="M37" s="1"/>
    </row>
    <row r="38" spans="1:14" x14ac:dyDescent="0.2">
      <c r="B38" s="304">
        <f>+SUM(B36:B37)</f>
        <v>1367781</v>
      </c>
      <c r="D38" s="292">
        <f>SUM(D36:D37)</f>
        <v>6437681</v>
      </c>
      <c r="K38" s="297"/>
    </row>
    <row r="39" spans="1:14" x14ac:dyDescent="0.2">
      <c r="A39" s="296" t="s">
        <v>145</v>
      </c>
    </row>
    <row r="40" spans="1:14" x14ac:dyDescent="0.2">
      <c r="A40" s="164" t="s">
        <v>147</v>
      </c>
      <c r="I40" s="2"/>
    </row>
    <row r="41" spans="1:14" x14ac:dyDescent="0.2">
      <c r="N41" s="297"/>
    </row>
    <row r="42" spans="1:14" x14ac:dyDescent="0.2">
      <c r="G42" s="2"/>
      <c r="N42" s="297"/>
    </row>
    <row r="43" spans="1:14" x14ac:dyDescent="0.2">
      <c r="B43" s="222"/>
      <c r="J43" s="2"/>
      <c r="N43" s="297"/>
    </row>
    <row r="44" spans="1:14" x14ac:dyDescent="0.2">
      <c r="B44" s="222"/>
      <c r="D44" s="89"/>
      <c r="N44" s="297"/>
    </row>
    <row r="45" spans="1:14" x14ac:dyDescent="0.2">
      <c r="J45" s="2"/>
      <c r="N45" s="297"/>
    </row>
    <row r="46" spans="1:14" x14ac:dyDescent="0.2">
      <c r="B46" s="2"/>
      <c r="F46" s="222"/>
    </row>
    <row r="47" spans="1:14" x14ac:dyDescent="0.2">
      <c r="N47" s="297"/>
    </row>
    <row r="51" spans="12:12" x14ac:dyDescent="0.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A13" zoomScaleNormal="100" zoomScaleSheetLayoutView="100" workbookViewId="0">
      <selection activeCell="F35" sqref="F35:F40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453">
        <v>45413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236</v>
      </c>
      <c r="K1" s="317" t="s">
        <v>187</v>
      </c>
      <c r="L1" s="317" t="s">
        <v>159</v>
      </c>
      <c r="M1" s="317" t="s">
        <v>194</v>
      </c>
      <c r="N1" s="317" t="s">
        <v>154</v>
      </c>
      <c r="O1" s="317" t="s">
        <v>47</v>
      </c>
      <c r="P1" s="317" t="s">
        <v>137</v>
      </c>
      <c r="Q1" s="317" t="s">
        <v>21</v>
      </c>
    </row>
    <row r="2" spans="1:19" ht="15" x14ac:dyDescent="0.25">
      <c r="A2" s="493" t="s">
        <v>138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5"/>
    </row>
    <row r="3" spans="1:19" x14ac:dyDescent="0.2">
      <c r="A3" s="43" t="s">
        <v>29</v>
      </c>
      <c r="Q3" s="37"/>
    </row>
    <row r="4" spans="1:19" x14ac:dyDescent="0.2">
      <c r="A4" s="43" t="s">
        <v>30</v>
      </c>
      <c r="B4" s="11">
        <f>[3]Delta!$IX$32</f>
        <v>76178</v>
      </c>
      <c r="C4" s="11">
        <f>'[3]Atlantic Southeast'!$IX$32</f>
        <v>0</v>
      </c>
      <c r="D4" s="11">
        <f>[3]Pinnacle!$IX$32</f>
        <v>4644</v>
      </c>
      <c r="E4" s="11">
        <f>'[3]Sky West'!$IX$32</f>
        <v>6070</v>
      </c>
      <c r="F4" s="11">
        <f>[3]WestJet!$IX$32</f>
        <v>8007</v>
      </c>
      <c r="G4" s="11">
        <f>'[3]Sun Country'!$IX$32</f>
        <v>2823</v>
      </c>
      <c r="H4" s="11">
        <f>[3]Icelandair!$IX$32</f>
        <v>4032</v>
      </c>
      <c r="I4" s="11">
        <f>[3]KLM!$IX$32</f>
        <v>3081</v>
      </c>
      <c r="J4" s="11">
        <f>[3]Jazz_AC!$IX$32</f>
        <v>6428</v>
      </c>
      <c r="K4" s="11">
        <f>'[3]Sky Regional'!$IX$32</f>
        <v>0</v>
      </c>
      <c r="L4" s="11">
        <f>[3]Condor!$IX$32</f>
        <v>1434</v>
      </c>
      <c r="M4" s="11">
        <f>'[3]Aer Lingus'!$IX$32</f>
        <v>3189</v>
      </c>
      <c r="N4" s="11">
        <f>'[3]Air France'!$IX$32</f>
        <v>3631</v>
      </c>
      <c r="O4" s="11">
        <f>[3]Frontier!$IX$32</f>
        <v>0</v>
      </c>
      <c r="P4" s="11">
        <f>'[3]Charter Misc'!$IX$32+[3]Ryan!$IX$32+[3]Omni!$IX$32</f>
        <v>0</v>
      </c>
      <c r="Q4" s="197">
        <f>SUM(B4:P4)</f>
        <v>119517</v>
      </c>
    </row>
    <row r="5" spans="1:19" x14ac:dyDescent="0.2">
      <c r="A5" s="43" t="s">
        <v>31</v>
      </c>
      <c r="B5" s="7">
        <f>[3]Delta!$IX$33</f>
        <v>83486</v>
      </c>
      <c r="C5" s="7">
        <f>'[3]Atlantic Southeast'!$IX$33</f>
        <v>0</v>
      </c>
      <c r="D5" s="7">
        <f>[3]Pinnacle!$IX$33</f>
        <v>5203</v>
      </c>
      <c r="E5" s="7">
        <f>'[3]Sky West'!$IX$33</f>
        <v>6428</v>
      </c>
      <c r="F5" s="7">
        <f>[3]WestJet!$IX$33</f>
        <v>10455</v>
      </c>
      <c r="G5" s="7">
        <f>'[3]Sun Country'!$IX$33</f>
        <v>2774</v>
      </c>
      <c r="H5" s="7">
        <f>[3]Icelandair!$IX$33</f>
        <v>4111</v>
      </c>
      <c r="I5" s="7">
        <f>[3]KLM!$IX$33</f>
        <v>3627</v>
      </c>
      <c r="J5" s="7">
        <f>[3]Jazz_AC!$IX$33</f>
        <v>6992</v>
      </c>
      <c r="K5" s="7">
        <f>'[3]Sky Regional'!$IX$33</f>
        <v>0</v>
      </c>
      <c r="L5" s="7">
        <f>[3]Condor!$IX$33</f>
        <v>1625</v>
      </c>
      <c r="M5" s="7">
        <f>'[3]Aer Lingus'!$IX$33</f>
        <v>4062</v>
      </c>
      <c r="N5" s="7">
        <f>'[3]Air France'!$IX$33</f>
        <v>4305</v>
      </c>
      <c r="O5" s="7">
        <f>[3]Frontier!$IX$33</f>
        <v>0</v>
      </c>
      <c r="P5" s="7">
        <f>'[3]Charter Misc'!$IX$33++[3]Ryan!$IX$33+[3]Omni!$IX$33</f>
        <v>0</v>
      </c>
      <c r="Q5" s="198">
        <f>SUM(B5:P5)</f>
        <v>133068</v>
      </c>
    </row>
    <row r="6" spans="1:19" ht="15" x14ac:dyDescent="0.25">
      <c r="A6" s="41" t="s">
        <v>7</v>
      </c>
      <c r="B6" s="23">
        <f t="shared" ref="B6:P6" si="0">SUM(B4:B5)</f>
        <v>159664</v>
      </c>
      <c r="C6" s="23">
        <f t="shared" si="0"/>
        <v>0</v>
      </c>
      <c r="D6" s="23">
        <f t="shared" si="0"/>
        <v>9847</v>
      </c>
      <c r="E6" s="23">
        <f t="shared" si="0"/>
        <v>12498</v>
      </c>
      <c r="F6" s="23">
        <f t="shared" ref="F6" si="1">SUM(F4:F5)</f>
        <v>18462</v>
      </c>
      <c r="G6" s="23">
        <f t="shared" si="0"/>
        <v>5597</v>
      </c>
      <c r="H6" s="23">
        <f t="shared" si="0"/>
        <v>8143</v>
      </c>
      <c r="I6" s="23">
        <f t="shared" ref="I6" si="2">SUM(I4:I5)</f>
        <v>6708</v>
      </c>
      <c r="J6" s="23">
        <f t="shared" si="0"/>
        <v>13420</v>
      </c>
      <c r="K6" s="23">
        <f t="shared" ref="K6" si="3">SUM(K4:K5)</f>
        <v>0</v>
      </c>
      <c r="L6" s="23">
        <f t="shared" ref="L6:M6" si="4">SUM(L4:L5)</f>
        <v>3059</v>
      </c>
      <c r="M6" s="23">
        <f t="shared" si="4"/>
        <v>7251</v>
      </c>
      <c r="N6" s="23">
        <f t="shared" si="0"/>
        <v>7936</v>
      </c>
      <c r="O6" s="23">
        <f t="shared" si="0"/>
        <v>0</v>
      </c>
      <c r="P6" s="23">
        <f t="shared" si="0"/>
        <v>0</v>
      </c>
      <c r="Q6" s="199">
        <f>SUM(B6:P6)</f>
        <v>252585</v>
      </c>
    </row>
    <row r="7" spans="1:19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97"/>
    </row>
    <row r="8" spans="1:19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97">
        <f>SUM(B8:P8)</f>
        <v>0</v>
      </c>
    </row>
    <row r="9" spans="1:19" x14ac:dyDescent="0.2">
      <c r="A9" s="43" t="s">
        <v>30</v>
      </c>
      <c r="B9" s="11">
        <f>[3]Delta!$IX$37</f>
        <v>2135</v>
      </c>
      <c r="C9" s="11">
        <f>'[3]Atlantic Southeast'!$IX$37</f>
        <v>0</v>
      </c>
      <c r="D9" s="11">
        <f>[3]Pinnacle!$IX$37</f>
        <v>106</v>
      </c>
      <c r="E9" s="11">
        <f>'[3]Sky West'!$IX$37</f>
        <v>62</v>
      </c>
      <c r="F9" s="11">
        <f>[3]WestJet!$IX$37</f>
        <v>1</v>
      </c>
      <c r="G9" s="11">
        <f>'[3]Sun Country'!$IX$37</f>
        <v>83</v>
      </c>
      <c r="H9" s="11">
        <f>[3]Icelandair!$IX$37</f>
        <v>26</v>
      </c>
      <c r="I9" s="11">
        <f>[3]KLM!$IX$37</f>
        <v>9</v>
      </c>
      <c r="J9" s="11">
        <f>[3]Jazz_AC!$IX$37</f>
        <v>100</v>
      </c>
      <c r="K9" s="11">
        <f>'[3]Sky Regional'!$IX$37</f>
        <v>0</v>
      </c>
      <c r="L9" s="11">
        <f>[3]Condor!$IX$37</f>
        <v>7</v>
      </c>
      <c r="M9" s="11">
        <f>'[3]Aer Lingus'!$IX$37</f>
        <v>28</v>
      </c>
      <c r="N9" s="11">
        <f>'[3]Air France'!$IX$37</f>
        <v>19</v>
      </c>
      <c r="O9" s="11">
        <f>[3]Frontier!$IX$37</f>
        <v>0</v>
      </c>
      <c r="P9" s="11">
        <f>'[3]Charter Misc'!$IX$37+[3]Ryan!$IX$37+[3]Omni!$IX$37</f>
        <v>0</v>
      </c>
      <c r="Q9" s="197">
        <f>SUM(B9:P9)</f>
        <v>2576</v>
      </c>
    </row>
    <row r="10" spans="1:19" x14ac:dyDescent="0.2">
      <c r="A10" s="43" t="s">
        <v>33</v>
      </c>
      <c r="B10" s="7">
        <f>[3]Delta!$IX$38</f>
        <v>2274</v>
      </c>
      <c r="C10" s="7">
        <f>'[3]Atlantic Southeast'!$IX$38</f>
        <v>0</v>
      </c>
      <c r="D10" s="7">
        <f>[3]Pinnacle!$IX$38</f>
        <v>133</v>
      </c>
      <c r="E10" s="7">
        <f>'[3]Sky West'!$IX$38</f>
        <v>113</v>
      </c>
      <c r="F10" s="7">
        <f>[3]WestJet!$IX$38</f>
        <v>0</v>
      </c>
      <c r="G10" s="7">
        <f>'[3]Sun Country'!$IX$38</f>
        <v>102</v>
      </c>
      <c r="H10" s="7">
        <f>[3]Icelandair!$IX$38</f>
        <v>42</v>
      </c>
      <c r="I10" s="7">
        <f>[3]KLM!$IX$38</f>
        <v>2</v>
      </c>
      <c r="J10" s="7">
        <f>[3]Jazz_AC!$IX$38</f>
        <v>104</v>
      </c>
      <c r="K10" s="7">
        <f>'[3]Sky Regional'!$IX$38</f>
        <v>0</v>
      </c>
      <c r="L10" s="7">
        <f>[3]Condor!$IX$38</f>
        <v>5</v>
      </c>
      <c r="M10" s="7">
        <f>'[3]Aer Lingus'!$IX$38</f>
        <v>33</v>
      </c>
      <c r="N10" s="7">
        <f>'[3]Air France'!$IX$38</f>
        <v>0</v>
      </c>
      <c r="O10" s="7">
        <f>[3]Frontier!$IX$38</f>
        <v>0</v>
      </c>
      <c r="P10" s="7">
        <f>'[3]Charter Misc'!$IX$38+[3]Ryan!$IX$38+[3]Omni!$IX$38</f>
        <v>0</v>
      </c>
      <c r="Q10" s="198">
        <f>SUM(B10:P10)</f>
        <v>2808</v>
      </c>
    </row>
    <row r="11" spans="1:19" ht="15.75" thickBot="1" x14ac:dyDescent="0.3">
      <c r="A11" s="44" t="s">
        <v>34</v>
      </c>
      <c r="B11" s="200">
        <f t="shared" ref="B11:G11" si="5">SUM(B9:B10)</f>
        <v>4409</v>
      </c>
      <c r="C11" s="200">
        <f t="shared" si="5"/>
        <v>0</v>
      </c>
      <c r="D11" s="200">
        <f t="shared" si="5"/>
        <v>239</v>
      </c>
      <c r="E11" s="200">
        <f t="shared" si="5"/>
        <v>175</v>
      </c>
      <c r="F11" s="200">
        <f t="shared" ref="F11" si="6">SUM(F9:F10)</f>
        <v>1</v>
      </c>
      <c r="G11" s="200">
        <f t="shared" si="5"/>
        <v>185</v>
      </c>
      <c r="H11" s="200">
        <f t="shared" ref="H11:P11" si="7">SUM(H9:H10)</f>
        <v>68</v>
      </c>
      <c r="I11" s="200">
        <f t="shared" ref="I11" si="8">SUM(I9:I10)</f>
        <v>11</v>
      </c>
      <c r="J11" s="200">
        <f t="shared" si="7"/>
        <v>204</v>
      </c>
      <c r="K11" s="200">
        <f t="shared" ref="K11" si="9">SUM(K9:K10)</f>
        <v>0</v>
      </c>
      <c r="L11" s="200">
        <f t="shared" si="7"/>
        <v>12</v>
      </c>
      <c r="M11" s="200">
        <f t="shared" ref="M11" si="10">SUM(M9:M10)</f>
        <v>61</v>
      </c>
      <c r="N11" s="200">
        <f t="shared" si="7"/>
        <v>19</v>
      </c>
      <c r="O11" s="200">
        <f t="shared" si="7"/>
        <v>0</v>
      </c>
      <c r="P11" s="200">
        <f t="shared" si="7"/>
        <v>0</v>
      </c>
      <c r="Q11" s="201">
        <f>SUM(B11:P11)</f>
        <v>5384</v>
      </c>
      <c r="S11" s="222"/>
    </row>
    <row r="12" spans="1:19" ht="15" x14ac:dyDescent="0.25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3"/>
    </row>
    <row r="13" spans="1:19" ht="39" thickBot="1" x14ac:dyDescent="0.25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236</v>
      </c>
      <c r="K13" s="317" t="s">
        <v>187</v>
      </c>
      <c r="L13" s="317" t="s">
        <v>159</v>
      </c>
      <c r="M13" s="317" t="s">
        <v>194</v>
      </c>
      <c r="N13" s="317" t="s">
        <v>154</v>
      </c>
      <c r="O13" s="317" t="s">
        <v>47</v>
      </c>
      <c r="P13" s="317" t="s">
        <v>137</v>
      </c>
      <c r="Q13" s="317" t="s">
        <v>21</v>
      </c>
    </row>
    <row r="14" spans="1:19" ht="15" x14ac:dyDescent="0.25">
      <c r="A14" s="496" t="s">
        <v>139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8"/>
    </row>
    <row r="15" spans="1:19" x14ac:dyDescent="0.2">
      <c r="A15" s="43" t="s">
        <v>29</v>
      </c>
      <c r="Q15" s="37"/>
    </row>
    <row r="16" spans="1:19" x14ac:dyDescent="0.2">
      <c r="A16" s="43"/>
      <c r="Q16" s="37"/>
    </row>
    <row r="17" spans="1:20" x14ac:dyDescent="0.2">
      <c r="A17" s="43" t="s">
        <v>30</v>
      </c>
      <c r="B17" s="11">
        <f>SUM([3]Delta!$IT$32:$IX$32)</f>
        <v>500669</v>
      </c>
      <c r="C17" s="11">
        <f>SUM('[3]Atlantic Southeast'!$IT$32:$IX$32)</f>
        <v>0</v>
      </c>
      <c r="D17" s="11">
        <f>SUM([3]Pinnacle!$IT$32:$IX$32)</f>
        <v>11863</v>
      </c>
      <c r="E17" s="11">
        <f>SUM('[3]Sky West'!$IT$32:$IX$32)</f>
        <v>35321</v>
      </c>
      <c r="F17" s="11">
        <f>SUM([3]WestJet!$IT$32:$IX$32)</f>
        <v>23644</v>
      </c>
      <c r="G17" s="11">
        <f>SUM('[3]Sun Country'!$IT$32:$IX$32)</f>
        <v>142447</v>
      </c>
      <c r="H17" s="11">
        <f>SUM([3]Icelandair!$IT$32:$IX$32)</f>
        <v>7299</v>
      </c>
      <c r="I17" s="11">
        <f>SUM([3]KLM!$IT$32:$IX$32)</f>
        <v>16064</v>
      </c>
      <c r="J17" s="11">
        <f>SUM([3]Jazz_AC!$IT$32:$IX$32)</f>
        <v>23837</v>
      </c>
      <c r="K17" s="11">
        <f>SUM('[3]Sky Regional'!$IT$32:$IX$32)</f>
        <v>0</v>
      </c>
      <c r="L17" s="11">
        <f>SUM([3]Condor!$IT$32:$IX$32)</f>
        <v>1434</v>
      </c>
      <c r="M17" s="11">
        <f>SUM('[3]Aer Lingus'!$IT$32:$IX$32)</f>
        <v>3293</v>
      </c>
      <c r="N17" s="11">
        <f>SUM('[3]Air France'!$IT$32:$IX$32)</f>
        <v>3631</v>
      </c>
      <c r="O17" s="11">
        <f>SUM([3]Frontier!$IT$32:$IX$32)</f>
        <v>10257</v>
      </c>
      <c r="P17" s="11">
        <f>SUM('[3]Charter Misc'!$IT$32:$IX$32)+SUM([3]Ryan!$IT$32:$IX$32)+SUM([3]Omni!$IT$32:$IX$32)</f>
        <v>240</v>
      </c>
      <c r="Q17" s="197">
        <f>SUM(B17:P17)</f>
        <v>779999</v>
      </c>
    </row>
    <row r="18" spans="1:20" x14ac:dyDescent="0.2">
      <c r="A18" s="43" t="s">
        <v>31</v>
      </c>
      <c r="B18" s="7">
        <f>SUM([3]Delta!$IT$33:$IX$33)</f>
        <v>494683</v>
      </c>
      <c r="C18" s="7">
        <f>SUM('[3]Atlantic Southeast'!$IT$33:$IX$33)</f>
        <v>0</v>
      </c>
      <c r="D18" s="7">
        <f>SUM([3]Pinnacle!$IT$33:$IX$33)</f>
        <v>12642</v>
      </c>
      <c r="E18" s="7">
        <f>SUM('[3]Sky West'!$IT$33:$IX$33)</f>
        <v>36903</v>
      </c>
      <c r="F18" s="7">
        <f>SUM([3]WestJet!$IT$33:$IX$33)</f>
        <v>26474</v>
      </c>
      <c r="G18" s="7">
        <f>SUM('[3]Sun Country'!$IT$33:$IX$33)</f>
        <v>136150</v>
      </c>
      <c r="H18" s="7">
        <f>SUM([3]Icelandair!$IT$33:$IX$33)</f>
        <v>7502</v>
      </c>
      <c r="I18" s="7">
        <f>SUM([3]KLM!$IT$33:$IX$33)</f>
        <v>14014</v>
      </c>
      <c r="J18" s="7">
        <f>SUM([3]Jazz_AC!$IT$33:$IX$33)</f>
        <v>22430</v>
      </c>
      <c r="K18" s="7">
        <f>SUM('[3]Sky Regional'!$IT$33:$IX$33)</f>
        <v>0</v>
      </c>
      <c r="L18" s="7">
        <f>SUM([3]Condor!$IT$33:$IX$33)</f>
        <v>1625</v>
      </c>
      <c r="M18" s="7">
        <f>SUM('[3]Aer Lingus'!$IT$33:$IX$33)</f>
        <v>4218</v>
      </c>
      <c r="N18" s="7">
        <f>SUM('[3]Air France'!$IT$33:$IX$33)</f>
        <v>4305</v>
      </c>
      <c r="O18" s="7">
        <f>SUM([3]Frontier!$IT$33:$IX$33)</f>
        <v>10283</v>
      </c>
      <c r="P18" s="7">
        <f>SUM('[3]Charter Misc'!$IT$33:$IX$33)++SUM([3]Ryan!$IT$33:$IX$33)+SUM([3]Omni!$IT$33:$IX$33)</f>
        <v>201</v>
      </c>
      <c r="Q18" s="198">
        <f>SUM(B18:P18)</f>
        <v>771430</v>
      </c>
    </row>
    <row r="19" spans="1:20" ht="15" x14ac:dyDescent="0.25">
      <c r="A19" s="41" t="s">
        <v>7</v>
      </c>
      <c r="B19" s="23">
        <f t="shared" ref="B19:P19" si="11">SUM(B17:B18)</f>
        <v>995352</v>
      </c>
      <c r="C19" s="23">
        <f t="shared" si="11"/>
        <v>0</v>
      </c>
      <c r="D19" s="23">
        <f t="shared" si="11"/>
        <v>24505</v>
      </c>
      <c r="E19" s="23">
        <f t="shared" si="11"/>
        <v>72224</v>
      </c>
      <c r="F19" s="23">
        <f t="shared" ref="F19" si="12">SUM(F17:F18)</f>
        <v>50118</v>
      </c>
      <c r="G19" s="23">
        <f t="shared" si="11"/>
        <v>278597</v>
      </c>
      <c r="H19" s="23">
        <f t="shared" si="11"/>
        <v>14801</v>
      </c>
      <c r="I19" s="23">
        <f t="shared" ref="I19" si="13">SUM(I17:I18)</f>
        <v>30078</v>
      </c>
      <c r="J19" s="23">
        <f t="shared" si="11"/>
        <v>46267</v>
      </c>
      <c r="K19" s="23">
        <f t="shared" ref="K19" si="14">SUM(K17:K18)</f>
        <v>0</v>
      </c>
      <c r="L19" s="23">
        <f t="shared" ref="L19:M19" si="15">SUM(L17:L18)</f>
        <v>3059</v>
      </c>
      <c r="M19" s="23">
        <f t="shared" si="15"/>
        <v>7511</v>
      </c>
      <c r="N19" s="23">
        <f t="shared" si="11"/>
        <v>7936</v>
      </c>
      <c r="O19" s="23">
        <f t="shared" si="11"/>
        <v>20540</v>
      </c>
      <c r="P19" s="23">
        <f t="shared" si="11"/>
        <v>441</v>
      </c>
      <c r="Q19" s="199">
        <f>SUM(B19:P19)</f>
        <v>1551429</v>
      </c>
      <c r="T19" s="222"/>
    </row>
    <row r="20" spans="1:20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97"/>
      <c r="T20" s="89"/>
    </row>
    <row r="21" spans="1:20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7">
        <f>SUM(B21:P21)</f>
        <v>0</v>
      </c>
    </row>
    <row r="22" spans="1:20" x14ac:dyDescent="0.2">
      <c r="A22" s="43" t="s">
        <v>30</v>
      </c>
      <c r="B22" s="11">
        <f>SUM([3]Delta!$IT$37:$IX$37)</f>
        <v>13859</v>
      </c>
      <c r="C22" s="11">
        <f>SUM('[3]Atlantic Southeast'!$IT$37:$IX$37)</f>
        <v>0</v>
      </c>
      <c r="D22" s="11">
        <f>SUM([3]Pinnacle!$IT$37:$IX$37)</f>
        <v>235</v>
      </c>
      <c r="E22" s="11">
        <f>SUM('[3]Sky West'!$IT$37:$IX$37)</f>
        <v>538</v>
      </c>
      <c r="F22" s="11">
        <f>SUM([3]WestJet!$IT$37:$IX$37)</f>
        <v>5</v>
      </c>
      <c r="G22" s="11">
        <f>SUM('[3]Sun Country'!$IT$37:$IX$37)</f>
        <v>2043</v>
      </c>
      <c r="H22" s="11">
        <f>SUM([3]Icelandair!$IT$37:$IX$37)</f>
        <v>91</v>
      </c>
      <c r="I22" s="11">
        <f>SUM([3]KLM!$IT$37:$IX$37)</f>
        <v>49</v>
      </c>
      <c r="J22" s="11">
        <f>SUM([3]Jazz_AC!$IT$37:$IX$37)</f>
        <v>365</v>
      </c>
      <c r="K22" s="11">
        <f>SUM('[3]Sky Regional'!$IT$37:$IX$37)</f>
        <v>0</v>
      </c>
      <c r="L22" s="11">
        <f>SUM([3]Condor!$IT$37:$IX$37)</f>
        <v>7</v>
      </c>
      <c r="M22" s="11">
        <f>SUM('[3]Aer Lingus'!$IT$37:$IX$37)</f>
        <v>29</v>
      </c>
      <c r="N22" s="11">
        <f>SUM('[3]Air France'!$IT$37:$IX$37)</f>
        <v>19</v>
      </c>
      <c r="O22" s="11">
        <f>SUM([3]Frontier!$IT$37:$IX$37)</f>
        <v>10</v>
      </c>
      <c r="P22" s="11">
        <f>SUM('[3]Charter Misc'!$IT$37:$IX$37)++SUM([3]Ryan!$IT$37:$IX$37)+SUM([3]Omni!$IT$37:$IX$37)</f>
        <v>0</v>
      </c>
      <c r="Q22" s="197">
        <f>SUM(B22:P22)</f>
        <v>17250</v>
      </c>
    </row>
    <row r="23" spans="1:20" x14ac:dyDescent="0.2">
      <c r="A23" s="43" t="s">
        <v>33</v>
      </c>
      <c r="B23" s="7">
        <f>SUM([3]Delta!$IT$38:$IX$38)</f>
        <v>14115</v>
      </c>
      <c r="C23" s="7">
        <f>SUM('[3]Atlantic Southeast'!$IT$38:$IX$38)</f>
        <v>0</v>
      </c>
      <c r="D23" s="7">
        <f>SUM([3]Pinnacle!$IT$38:$IX$38)</f>
        <v>263</v>
      </c>
      <c r="E23" s="7">
        <f>SUM('[3]Sky West'!$IT$38:$IX$38)</f>
        <v>511</v>
      </c>
      <c r="F23" s="7">
        <f>SUM([3]WestJet!$IT$38:$IX$38)</f>
        <v>4</v>
      </c>
      <c r="G23" s="7">
        <f>SUM('[3]Sun Country'!$IT$38:$IX$38)</f>
        <v>2083</v>
      </c>
      <c r="H23" s="7">
        <f>SUM([3]Icelandair!$IT$38:$IX$38)</f>
        <v>84</v>
      </c>
      <c r="I23" s="7">
        <f>SUM([3]KLM!$IT$38:$IX$38)</f>
        <v>2</v>
      </c>
      <c r="J23" s="7">
        <f>SUM([3]Jazz_AC!$IT$38:$IX$38)</f>
        <v>364</v>
      </c>
      <c r="K23" s="7">
        <f>SUM('[3]Sky Regional'!$IT$38:$IX$38)</f>
        <v>0</v>
      </c>
      <c r="L23" s="7">
        <f>SUM([3]Condor!$IT$38:$IX$38)</f>
        <v>5</v>
      </c>
      <c r="M23" s="7">
        <f>SUM('[3]Aer Lingus'!$IT$38:$IX$38)</f>
        <v>35</v>
      </c>
      <c r="N23" s="7">
        <f>SUM('[3]Air France'!$IT$38:$IX$38)</f>
        <v>0</v>
      </c>
      <c r="O23" s="7">
        <f>SUM([3]Frontier!$IT$38:$IX$38)</f>
        <v>6</v>
      </c>
      <c r="P23" s="7">
        <f>SUM('[3]Charter Misc'!$IT$38:$IX$38)++SUM([3]Ryan!$IT$38:$IX$38)+SUM([3]Omni!$IT$38:$IX$38)</f>
        <v>0</v>
      </c>
      <c r="Q23" s="198">
        <f>SUM(B23:P23)</f>
        <v>17472</v>
      </c>
    </row>
    <row r="24" spans="1:20" ht="15.75" thickBot="1" x14ac:dyDescent="0.3">
      <c r="A24" s="44" t="s">
        <v>34</v>
      </c>
      <c r="B24" s="200">
        <f t="shared" ref="B24:P24" si="16">SUM(B22:B23)</f>
        <v>27974</v>
      </c>
      <c r="C24" s="200">
        <f t="shared" si="16"/>
        <v>0</v>
      </c>
      <c r="D24" s="200">
        <f t="shared" si="16"/>
        <v>498</v>
      </c>
      <c r="E24" s="200">
        <f t="shared" si="16"/>
        <v>1049</v>
      </c>
      <c r="F24" s="200">
        <f t="shared" ref="F24" si="17">SUM(F22:F23)</f>
        <v>9</v>
      </c>
      <c r="G24" s="200">
        <f t="shared" si="16"/>
        <v>4126</v>
      </c>
      <c r="H24" s="200">
        <f t="shared" si="16"/>
        <v>175</v>
      </c>
      <c r="I24" s="200">
        <f t="shared" ref="I24" si="18">SUM(I22:I23)</f>
        <v>51</v>
      </c>
      <c r="J24" s="200">
        <f t="shared" si="16"/>
        <v>729</v>
      </c>
      <c r="K24" s="200">
        <f t="shared" ref="K24" si="19">SUM(K22:K23)</f>
        <v>0</v>
      </c>
      <c r="L24" s="200">
        <f t="shared" ref="L24:M24" si="20">SUM(L22:L23)</f>
        <v>12</v>
      </c>
      <c r="M24" s="200">
        <f t="shared" si="20"/>
        <v>64</v>
      </c>
      <c r="N24" s="200">
        <f t="shared" si="16"/>
        <v>19</v>
      </c>
      <c r="O24" s="200">
        <f t="shared" si="16"/>
        <v>16</v>
      </c>
      <c r="P24" s="200">
        <f t="shared" si="16"/>
        <v>0</v>
      </c>
      <c r="Q24" s="201">
        <f>SUM(B24:P24)</f>
        <v>34722</v>
      </c>
    </row>
    <row r="26" spans="1:20" ht="39" thickBot="1" x14ac:dyDescent="0.25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236</v>
      </c>
      <c r="K26" s="317" t="s">
        <v>187</v>
      </c>
      <c r="L26" s="317" t="s">
        <v>159</v>
      </c>
      <c r="M26" s="317" t="s">
        <v>194</v>
      </c>
      <c r="N26" s="317" t="s">
        <v>154</v>
      </c>
      <c r="O26" s="317" t="s">
        <v>47</v>
      </c>
      <c r="P26" s="317" t="s">
        <v>137</v>
      </c>
      <c r="Q26" s="317" t="s">
        <v>21</v>
      </c>
    </row>
    <row r="27" spans="1:20" ht="15" x14ac:dyDescent="0.25">
      <c r="A27" s="499" t="s">
        <v>140</v>
      </c>
      <c r="B27" s="500"/>
      <c r="C27" s="500"/>
      <c r="D27" s="500"/>
      <c r="E27" s="500"/>
      <c r="F27" s="500"/>
      <c r="G27" s="500"/>
      <c r="H27" s="500"/>
      <c r="I27" s="500"/>
      <c r="J27" s="500"/>
      <c r="K27" s="500"/>
      <c r="L27" s="500"/>
      <c r="M27" s="500"/>
      <c r="N27" s="500"/>
      <c r="O27" s="500"/>
      <c r="P27" s="500"/>
      <c r="Q27" s="501"/>
    </row>
    <row r="28" spans="1:20" x14ac:dyDescent="0.2">
      <c r="A28" s="43" t="s">
        <v>22</v>
      </c>
      <c r="B28" s="11">
        <f>[3]Delta!$IX$15</f>
        <v>419</v>
      </c>
      <c r="C28" s="11">
        <f>'[3]Atlantic Southeast'!$IX$15</f>
        <v>0</v>
      </c>
      <c r="D28" s="11">
        <f>[3]Pinnacle!$IX$15</f>
        <v>77</v>
      </c>
      <c r="E28" s="11">
        <f>'[3]Sky West'!$IX$15</f>
        <v>97</v>
      </c>
      <c r="F28" s="11">
        <f>[3]WestJet!$IX$15</f>
        <v>107</v>
      </c>
      <c r="G28" s="11">
        <f>'[3]Sun Country'!$IX$15</f>
        <v>28</v>
      </c>
      <c r="H28" s="11">
        <f>[3]Icelandair!$IX$15</f>
        <v>29</v>
      </c>
      <c r="I28" s="11">
        <f>[3]KLM!$IX$15</f>
        <v>12</v>
      </c>
      <c r="J28" s="11">
        <f>[3]Jazz_AC!$IX$15</f>
        <v>120</v>
      </c>
      <c r="K28" s="11">
        <f>'[3]Sky Regional'!$IX$15</f>
        <v>0</v>
      </c>
      <c r="L28" s="11">
        <f>[3]Condor!$IX$15</f>
        <v>7</v>
      </c>
      <c r="M28" s="11">
        <f>'[3]Aer Lingus'!$IX$15</f>
        <v>18</v>
      </c>
      <c r="N28" s="11">
        <f>'[3]Air France'!$IX$15</f>
        <v>17</v>
      </c>
      <c r="O28" s="11">
        <f>[3]Frontier!$IX$15</f>
        <v>0</v>
      </c>
      <c r="P28" s="11">
        <f>'[3]Charter Misc'!$IX$15+[3]Ryan!$IX$15+[3]Omni!$IX$15</f>
        <v>0</v>
      </c>
      <c r="Q28" s="197">
        <f>SUM(B28:P28)</f>
        <v>931</v>
      </c>
    </row>
    <row r="29" spans="1:20" x14ac:dyDescent="0.2">
      <c r="A29" s="43" t="s">
        <v>23</v>
      </c>
      <c r="B29" s="11">
        <f>[3]Delta!$IX$16</f>
        <v>419</v>
      </c>
      <c r="C29" s="11">
        <f>'[3]Atlantic Southeast'!$IX$16</f>
        <v>0</v>
      </c>
      <c r="D29" s="11">
        <f>[3]Pinnacle!$IX$16</f>
        <v>78</v>
      </c>
      <c r="E29" s="11">
        <f>'[3]Sky West'!$IX$16</f>
        <v>96</v>
      </c>
      <c r="F29" s="11">
        <f>[3]WestJet!$IX$16</f>
        <v>107</v>
      </c>
      <c r="G29" s="11">
        <f>'[3]Sun Country'!$IX$16</f>
        <v>27</v>
      </c>
      <c r="H29" s="11">
        <f>[3]Icelandair!$IX$16</f>
        <v>29</v>
      </c>
      <c r="I29" s="11">
        <f>[3]KLM!$IX$16</f>
        <v>12</v>
      </c>
      <c r="J29" s="11">
        <f>[3]Jazz_AC!$IX$16</f>
        <v>120</v>
      </c>
      <c r="K29" s="11">
        <f>'[3]Sky Regional'!$IX$16</f>
        <v>0</v>
      </c>
      <c r="L29" s="11">
        <f>[3]Condor!$IX$16</f>
        <v>7</v>
      </c>
      <c r="M29" s="11">
        <f>'[3]Aer Lingus'!$IX$16</f>
        <v>18</v>
      </c>
      <c r="N29" s="11">
        <f>'[3]Air France'!$IX$16</f>
        <v>17</v>
      </c>
      <c r="O29" s="11">
        <f>[3]Frontier!$IX$16</f>
        <v>0</v>
      </c>
      <c r="P29" s="11">
        <f>'[3]Charter Misc'!$IX$16+[3]Ryan!$IX$16+[3]Omni!$IX$16</f>
        <v>0</v>
      </c>
      <c r="Q29" s="197">
        <f>SUM(B29:P29)</f>
        <v>930</v>
      </c>
    </row>
    <row r="30" spans="1:20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97"/>
    </row>
    <row r="31" spans="1:20" ht="15.75" thickBot="1" x14ac:dyDescent="0.3">
      <c r="A31" s="44" t="s">
        <v>28</v>
      </c>
      <c r="B31" s="274">
        <f t="shared" ref="B31:J31" si="21">SUM(B28:B29)</f>
        <v>838</v>
      </c>
      <c r="C31" s="274">
        <f t="shared" si="21"/>
        <v>0</v>
      </c>
      <c r="D31" s="274">
        <f t="shared" si="21"/>
        <v>155</v>
      </c>
      <c r="E31" s="274">
        <f>SUM(E28:E29)</f>
        <v>193</v>
      </c>
      <c r="F31" s="274">
        <f>SUM(F28:F29)</f>
        <v>214</v>
      </c>
      <c r="G31" s="274">
        <f t="shared" si="21"/>
        <v>55</v>
      </c>
      <c r="H31" s="274">
        <f t="shared" si="21"/>
        <v>58</v>
      </c>
      <c r="I31" s="274">
        <f t="shared" ref="I31" si="22">SUM(I28:I29)</f>
        <v>24</v>
      </c>
      <c r="J31" s="274">
        <f t="shared" si="21"/>
        <v>240</v>
      </c>
      <c r="K31" s="274">
        <f t="shared" ref="K31" si="23">SUM(K28:K29)</f>
        <v>0</v>
      </c>
      <c r="L31" s="274">
        <f>SUM(L28:L29)</f>
        <v>14</v>
      </c>
      <c r="M31" s="274">
        <f>SUM(M28:M29)</f>
        <v>36</v>
      </c>
      <c r="N31" s="274">
        <f>SUM(N28:N29)</f>
        <v>34</v>
      </c>
      <c r="O31" s="274">
        <f t="shared" ref="O31" si="24">SUM(O28:O29)</f>
        <v>0</v>
      </c>
      <c r="P31" s="274">
        <f>SUM(P28:P29)</f>
        <v>0</v>
      </c>
      <c r="Q31" s="275">
        <f>SUM(B31:P31)</f>
        <v>1861</v>
      </c>
    </row>
    <row r="32" spans="1:20" ht="15" x14ac:dyDescent="0.25">
      <c r="A32" s="276"/>
    </row>
    <row r="33" spans="1:17" ht="39" thickBot="1" x14ac:dyDescent="0.25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236</v>
      </c>
      <c r="K33" s="317" t="s">
        <v>187</v>
      </c>
      <c r="L33" s="317" t="s">
        <v>159</v>
      </c>
      <c r="M33" s="317" t="s">
        <v>194</v>
      </c>
      <c r="N33" s="317" t="s">
        <v>154</v>
      </c>
      <c r="O33" s="317" t="s">
        <v>47</v>
      </c>
      <c r="P33" s="317" t="s">
        <v>137</v>
      </c>
      <c r="Q33" s="317" t="s">
        <v>21</v>
      </c>
    </row>
    <row r="34" spans="1:17" ht="15" x14ac:dyDescent="0.25">
      <c r="A34" s="502" t="s">
        <v>141</v>
      </c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4"/>
    </row>
    <row r="35" spans="1:17" x14ac:dyDescent="0.2">
      <c r="A35" s="43" t="s">
        <v>22</v>
      </c>
      <c r="B35" s="11">
        <f>SUM([3]Delta!$IT$15:$IX$15)</f>
        <v>2957</v>
      </c>
      <c r="C35" s="11">
        <f>SUM('[3]Atlantic Southeast'!$IT$15:$IX$15)</f>
        <v>0</v>
      </c>
      <c r="D35" s="11">
        <f>SUM([3]Pinnacle!$IT$15:$IX$15)</f>
        <v>203</v>
      </c>
      <c r="E35" s="11">
        <f>SUM('[3]Sky West'!$IT$15:$IX$15)</f>
        <v>565</v>
      </c>
      <c r="F35" s="11">
        <f>SUM([3]WestJet!$IT$15:$IX$15)</f>
        <v>252</v>
      </c>
      <c r="G35" s="11">
        <f>SUM('[3]Sun Country'!$IT$15:$IX$15)</f>
        <v>962</v>
      </c>
      <c r="H35" s="11">
        <f>SUM([3]Icelandair!$IT$15:$IX$15)</f>
        <v>54</v>
      </c>
      <c r="I35" s="11">
        <f>SUM([3]KLM!$IT$15:$IX$15)</f>
        <v>68</v>
      </c>
      <c r="J35" s="11">
        <f>SUM([3]Jazz_AC!$IT$15:$IX$15)</f>
        <v>483</v>
      </c>
      <c r="K35" s="11">
        <f>SUM('[3]Sky Regional'!$IT$15:$IX$15)</f>
        <v>0</v>
      </c>
      <c r="L35" s="11">
        <f>SUM([3]Condor!$IT$15:$IX$15)</f>
        <v>7</v>
      </c>
      <c r="M35" s="11">
        <f>SUM('[3]Aer Lingus'!$IT$15:$IX$15)</f>
        <v>19</v>
      </c>
      <c r="N35" s="11">
        <f>SUM('[3]Air France'!$IT$15:$IX$15)</f>
        <v>17</v>
      </c>
      <c r="O35" s="11">
        <f>SUM([3]Frontier!$IT$15:$IX$15)</f>
        <v>66</v>
      </c>
      <c r="P35" s="11">
        <f>SUM('[3]Charter Misc'!$IT$15:$IX$15)+SUM([3]Ryan!$IT$15:$IX$15)+SUM([3]Omni!$IT$15:$IX$15)</f>
        <v>3</v>
      </c>
      <c r="Q35" s="197">
        <f>SUM(B35:P35)</f>
        <v>5656</v>
      </c>
    </row>
    <row r="36" spans="1:17" x14ac:dyDescent="0.2">
      <c r="A36" s="43" t="s">
        <v>23</v>
      </c>
      <c r="B36" s="11">
        <f>SUM([3]Delta!$IT$16:$IX$16)</f>
        <v>2942</v>
      </c>
      <c r="C36" s="11">
        <f>SUM('[3]Atlantic Southeast'!$IT$16:$IX$16)</f>
        <v>0</v>
      </c>
      <c r="D36" s="11">
        <f>SUM([3]Pinnacle!$IT$16:$IX$16)</f>
        <v>202</v>
      </c>
      <c r="E36" s="11">
        <f>SUM('[3]Sky West'!$IT$16:$IX$16)</f>
        <v>566</v>
      </c>
      <c r="F36" s="11">
        <f>SUM([3]WestJet!$IT$16:$IX$16)</f>
        <v>252</v>
      </c>
      <c r="G36" s="11">
        <f>SUM('[3]Sun Country'!$IT$16:$IX$16)</f>
        <v>960</v>
      </c>
      <c r="H36" s="11">
        <f>SUM([3]Icelandair!$IT$16:$IX$16)</f>
        <v>54</v>
      </c>
      <c r="I36" s="11">
        <f>SUM([3]KLM!$IT$16:$IX$16)</f>
        <v>68</v>
      </c>
      <c r="J36" s="11">
        <f>SUM([3]Jazz_AC!$IT$16:$IX$16)</f>
        <v>485</v>
      </c>
      <c r="K36" s="11">
        <f>SUM('[3]Sky Regional'!$IT$16:$IX$16)</f>
        <v>0</v>
      </c>
      <c r="L36" s="11">
        <f>SUM([3]Condor!$IT$16:$IX$16)</f>
        <v>7</v>
      </c>
      <c r="M36" s="11">
        <f>SUM('[3]Aer Lingus'!$IT$16:$IX$16)</f>
        <v>19</v>
      </c>
      <c r="N36" s="11">
        <f>SUM('[3]Air France'!$IT$16:$IX$16)</f>
        <v>17</v>
      </c>
      <c r="O36" s="11">
        <f>SUM([3]Frontier!$IT$16:$IX$16)</f>
        <v>66</v>
      </c>
      <c r="P36" s="11">
        <f>SUM('[3]Charter Misc'!$IT$16:$IX$16)+SUM([3]Ryan!$IT$16:$IX$16)+SUM([3]Omni!$IT$16:$IX$16)</f>
        <v>0</v>
      </c>
      <c r="Q36" s="197">
        <f>SUM(B36:P36)</f>
        <v>5638</v>
      </c>
    </row>
    <row r="37" spans="1:17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97"/>
    </row>
    <row r="38" spans="1:17" ht="15.75" thickBot="1" x14ac:dyDescent="0.3">
      <c r="A38" s="44" t="s">
        <v>28</v>
      </c>
      <c r="B38" s="274">
        <f t="shared" ref="B38:J38" si="25">+SUM(B35:B36)</f>
        <v>5899</v>
      </c>
      <c r="C38" s="274">
        <f t="shared" si="25"/>
        <v>0</v>
      </c>
      <c r="D38" s="274">
        <f t="shared" si="25"/>
        <v>405</v>
      </c>
      <c r="E38" s="274">
        <f>+SUM(E35:E36)</f>
        <v>1131</v>
      </c>
      <c r="F38" s="274">
        <f>+SUM(F35:F36)</f>
        <v>504</v>
      </c>
      <c r="G38" s="274">
        <f t="shared" si="25"/>
        <v>1922</v>
      </c>
      <c r="H38" s="274">
        <f t="shared" si="25"/>
        <v>108</v>
      </c>
      <c r="I38" s="274">
        <f t="shared" ref="I38" si="26">+SUM(I35:I36)</f>
        <v>136</v>
      </c>
      <c r="J38" s="274">
        <f t="shared" si="25"/>
        <v>968</v>
      </c>
      <c r="K38" s="274">
        <f t="shared" ref="K38" si="27">+SUM(K35:K36)</f>
        <v>0</v>
      </c>
      <c r="L38" s="274">
        <f>+SUM(L35:L36)</f>
        <v>14</v>
      </c>
      <c r="M38" s="274">
        <f>+SUM(M35:M36)</f>
        <v>38</v>
      </c>
      <c r="N38" s="274">
        <f>+SUM(N35:N36)</f>
        <v>34</v>
      </c>
      <c r="O38" s="274">
        <f t="shared" ref="O38" si="28">+SUM(O35:O36)</f>
        <v>132</v>
      </c>
      <c r="P38" s="274">
        <f>+SUM(P35:P36)</f>
        <v>3</v>
      </c>
      <c r="Q38" s="275">
        <f>SUM(B38:P38)</f>
        <v>11294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&amp;"Arial,Bold"May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3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1" sqref="A11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8" t="s">
        <v>130</v>
      </c>
      <c r="B1" s="519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22" t="s">
        <v>134</v>
      </c>
      <c r="K1" s="523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10" t="s">
        <v>208</v>
      </c>
      <c r="T1" s="511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505" t="s">
        <v>13</v>
      </c>
      <c r="AC1" s="506"/>
      <c r="AD1" s="431" t="s">
        <v>247</v>
      </c>
      <c r="AE1" s="431" t="s">
        <v>222</v>
      </c>
      <c r="AF1" s="432" t="s">
        <v>96</v>
      </c>
      <c r="AG1" s="433" t="s">
        <v>248</v>
      </c>
      <c r="AH1" s="433" t="s">
        <v>223</v>
      </c>
      <c r="AI1" s="434" t="s">
        <v>96</v>
      </c>
      <c r="AJ1" s="435" t="s">
        <v>246</v>
      </c>
    </row>
    <row r="2" spans="1:36" s="9" customFormat="1" ht="13.5" customHeight="1" thickBot="1" x14ac:dyDescent="0.25">
      <c r="A2" s="488">
        <v>45413</v>
      </c>
      <c r="B2" s="489"/>
      <c r="C2" s="520" t="s">
        <v>9</v>
      </c>
      <c r="D2" s="521"/>
      <c r="E2" s="521"/>
      <c r="F2" s="521"/>
      <c r="G2" s="521"/>
      <c r="H2" s="521"/>
      <c r="I2" s="324"/>
      <c r="J2" s="488">
        <f>+A2</f>
        <v>45413</v>
      </c>
      <c r="K2" s="489"/>
      <c r="L2" s="515" t="s">
        <v>136</v>
      </c>
      <c r="M2" s="516"/>
      <c r="N2" s="516"/>
      <c r="O2" s="516"/>
      <c r="P2" s="516"/>
      <c r="Q2" s="516"/>
      <c r="R2" s="517"/>
      <c r="S2" s="488">
        <f>+J2</f>
        <v>45413</v>
      </c>
      <c r="T2" s="489"/>
      <c r="U2" s="512" t="s">
        <v>209</v>
      </c>
      <c r="V2" s="513"/>
      <c r="W2" s="513"/>
      <c r="X2" s="513"/>
      <c r="Y2" s="513"/>
      <c r="Z2" s="513"/>
      <c r="AA2" s="514"/>
      <c r="AB2" s="488">
        <f>+S2</f>
        <v>45413</v>
      </c>
      <c r="AC2" s="489"/>
      <c r="AD2" s="507" t="s">
        <v>13</v>
      </c>
      <c r="AE2" s="508"/>
      <c r="AF2" s="508"/>
      <c r="AG2" s="508"/>
      <c r="AH2" s="508"/>
      <c r="AI2" s="508"/>
      <c r="AJ2" s="509"/>
    </row>
    <row r="3" spans="1:36" x14ac:dyDescent="0.2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" customHeight="1" x14ac:dyDescent="0.2">
      <c r="A4" s="250" t="s">
        <v>98</v>
      </c>
      <c r="B4" s="37"/>
      <c r="C4" s="251">
        <f>SUM(C5:C7)</f>
        <v>240</v>
      </c>
      <c r="D4" s="253">
        <f>SUM(D5:D7)</f>
        <v>245</v>
      </c>
      <c r="E4" s="254">
        <f>(C4-D4)/D4</f>
        <v>-2.0408163265306121E-2</v>
      </c>
      <c r="F4" s="251">
        <f>SUM(F5:F7)</f>
        <v>968</v>
      </c>
      <c r="G4" s="253">
        <f>SUM(G5:G7)</f>
        <v>814</v>
      </c>
      <c r="H4" s="252">
        <f>(F4-G4)/G4</f>
        <v>0.1891891891891892</v>
      </c>
      <c r="I4" s="254">
        <f>F4/$F$64</f>
        <v>7.9092075268202208E-3</v>
      </c>
      <c r="J4" s="250" t="s">
        <v>98</v>
      </c>
      <c r="K4" s="37"/>
      <c r="L4" s="251">
        <f>SUM(L5:L7)</f>
        <v>13420</v>
      </c>
      <c r="M4" s="253">
        <f>SUM(M5:M7)</f>
        <v>16295</v>
      </c>
      <c r="N4" s="254">
        <f>(L4-M4)/M4</f>
        <v>-0.17643448910708806</v>
      </c>
      <c r="O4" s="251">
        <f>SUM(O5:O7)</f>
        <v>46267</v>
      </c>
      <c r="P4" s="253">
        <f>SUM(P5:P7)</f>
        <v>46837</v>
      </c>
      <c r="Q4" s="252">
        <f>(O4-P4)/P4</f>
        <v>-1.2169865704464419E-2</v>
      </c>
      <c r="R4" s="254">
        <f>O4/$O$64</f>
        <v>3.2653429372305628E-3</v>
      </c>
      <c r="S4" s="250" t="s">
        <v>98</v>
      </c>
      <c r="T4" s="37"/>
      <c r="U4" s="251">
        <f>SUM(U5:U7)</f>
        <v>4373.3</v>
      </c>
      <c r="V4" s="253">
        <f>SUM(V5:V7)</f>
        <v>45171</v>
      </c>
      <c r="W4" s="254">
        <f>(U4-V4)/V4</f>
        <v>-0.90318345841358383</v>
      </c>
      <c r="X4" s="251">
        <f>SUM(X5:X7)</f>
        <v>81833.100000000006</v>
      </c>
      <c r="Y4" s="253">
        <f>SUM(Y5:Y7)</f>
        <v>53294.1</v>
      </c>
      <c r="Z4" s="252">
        <f>(X4-Y4)/Y4</f>
        <v>0.53550017731793964</v>
      </c>
      <c r="AA4" s="254">
        <f>X4/$X$64</f>
        <v>2.5615832640584813E-3</v>
      </c>
      <c r="AB4" s="250" t="s">
        <v>98</v>
      </c>
      <c r="AC4" s="37"/>
      <c r="AD4" s="251">
        <f>SUM(AD5:AD7)</f>
        <v>13624</v>
      </c>
      <c r="AE4" s="253">
        <f>SUM(AE5:AE7)</f>
        <v>16485</v>
      </c>
      <c r="AF4" s="254">
        <f>(AD4-AE4)/AE4</f>
        <v>-0.17355171367910222</v>
      </c>
      <c r="AG4" s="251">
        <f>SUM(AG5:AG7)</f>
        <v>46996</v>
      </c>
      <c r="AH4" s="253">
        <f>SUM(AH5:AH7)</f>
        <v>47471</v>
      </c>
      <c r="AI4" s="252">
        <f>(AG4-AH4)/AH4</f>
        <v>-1.0006108992858798E-2</v>
      </c>
      <c r="AJ4" s="254">
        <f>AG4/$AG$64</f>
        <v>3.2232570520064666E-3</v>
      </c>
    </row>
    <row r="5" spans="1:36" ht="14.1" customHeight="1" x14ac:dyDescent="0.2">
      <c r="A5" s="250"/>
      <c r="B5" s="310" t="s">
        <v>98</v>
      </c>
      <c r="C5" s="255">
        <f>+[3]AirCanada!$IX$19</f>
        <v>0</v>
      </c>
      <c r="D5" s="2">
        <f>+[3]AirCanada!$IJ$19</f>
        <v>0</v>
      </c>
      <c r="E5" s="63" t="e">
        <f>(C5-D5)/D5</f>
        <v>#DIV/0!</v>
      </c>
      <c r="F5" s="209">
        <f>SUM([3]AirCanada!$IT$19:$IX$19)</f>
        <v>0</v>
      </c>
      <c r="G5" s="209">
        <f>SUM([3]AirCanada!$IF$19:$IJ$19)</f>
        <v>0</v>
      </c>
      <c r="H5" s="315" t="e">
        <f>(F5-G5)/G5</f>
        <v>#DIV/0!</v>
      </c>
      <c r="I5" s="63">
        <f>F5/$F$64</f>
        <v>0</v>
      </c>
      <c r="J5" s="250"/>
      <c r="K5" s="310" t="s">
        <v>98</v>
      </c>
      <c r="L5" s="314">
        <f>+[3]AirCanada!$IX$41</f>
        <v>0</v>
      </c>
      <c r="M5" s="209">
        <f>+[3]AirCanada!$IJ$41</f>
        <v>0</v>
      </c>
      <c r="N5" s="316" t="e">
        <f>(L5-M5)/M5</f>
        <v>#DIV/0!</v>
      </c>
      <c r="O5" s="314">
        <f>SUM([3]AirCanada!$IT$41:$IX$41)</f>
        <v>0</v>
      </c>
      <c r="P5" s="209">
        <f>SUM([3]AirCanada!$IF$41:$IJ$41)</f>
        <v>0</v>
      </c>
      <c r="Q5" s="315" t="e">
        <f>(O5-P5)/P5</f>
        <v>#DIV/0!</v>
      </c>
      <c r="R5" s="316">
        <f>O5/$O$64</f>
        <v>0</v>
      </c>
      <c r="S5" s="250"/>
      <c r="T5" s="310" t="s">
        <v>98</v>
      </c>
      <c r="U5" s="314">
        <f>+[3]AirCanada!$IX$64</f>
        <v>0</v>
      </c>
      <c r="V5" s="209">
        <f>+[3]AirCanada!$IJ$64</f>
        <v>0</v>
      </c>
      <c r="W5" s="316" t="e">
        <f>(U5-V5)/V5</f>
        <v>#DIV/0!</v>
      </c>
      <c r="X5" s="314">
        <f>SUM([3]AirCanada!$IT$64:$IX$64)</f>
        <v>0</v>
      </c>
      <c r="Y5" s="209">
        <f>SUM([3]AirCanada!$IF$64:$IJ$64)</f>
        <v>0</v>
      </c>
      <c r="Z5" s="315" t="e">
        <f>(X5-Y5)/Y5</f>
        <v>#DIV/0!</v>
      </c>
      <c r="AA5" s="316">
        <f>X5/$X$64</f>
        <v>0</v>
      </c>
      <c r="AB5" s="250"/>
      <c r="AC5" s="310" t="s">
        <v>98</v>
      </c>
      <c r="AD5" s="314">
        <f>+[3]AirCanada!$IX$43</f>
        <v>0</v>
      </c>
      <c r="AE5" s="209">
        <f>+[3]AirCanada!$IJ$43</f>
        <v>0</v>
      </c>
      <c r="AF5" s="316" t="e">
        <f>(AD5-AE5)/AE5</f>
        <v>#DIV/0!</v>
      </c>
      <c r="AG5" s="314">
        <f>SUM([3]AirCanada!$IT$43:$IX$43)</f>
        <v>0</v>
      </c>
      <c r="AH5" s="209">
        <f>SUM([3]AirCanada!$IF$43:$IJ$43)</f>
        <v>0</v>
      </c>
      <c r="AI5" s="315" t="e">
        <f>(AG5-AH5)/AH5</f>
        <v>#DIV/0!</v>
      </c>
      <c r="AJ5" s="63">
        <f>AG5/$AG$64</f>
        <v>0</v>
      </c>
    </row>
    <row r="6" spans="1:36" ht="14.1" customHeight="1" x14ac:dyDescent="0.2">
      <c r="A6" s="250"/>
      <c r="B6" s="310" t="s">
        <v>162</v>
      </c>
      <c r="C6" s="255">
        <f>'[3]Air Georgian'!$IX$19</f>
        <v>0</v>
      </c>
      <c r="D6" s="2">
        <f>'[3]Air Georgian'!$IJ$19</f>
        <v>0</v>
      </c>
      <c r="E6" s="63" t="e">
        <f>(C6-D6)/D6</f>
        <v>#DIV/0!</v>
      </c>
      <c r="F6" s="209">
        <f>SUM('[3]Air Georgian'!$IT$19:$IX$19)</f>
        <v>0</v>
      </c>
      <c r="G6" s="209">
        <f>SUM('[3]Air Georgian'!$IF$19:$IJ$19)</f>
        <v>0</v>
      </c>
      <c r="H6" s="315" t="e">
        <f>(F6-G6)/G6</f>
        <v>#DIV/0!</v>
      </c>
      <c r="I6" s="63">
        <f>F6/$F$64</f>
        <v>0</v>
      </c>
      <c r="J6" s="250"/>
      <c r="K6" s="310" t="s">
        <v>162</v>
      </c>
      <c r="L6" s="255">
        <f>'[3]Air Georgian'!$IX$41</f>
        <v>0</v>
      </c>
      <c r="M6" s="2">
        <f>'[3]Air Georgian'!$IJ$41</f>
        <v>0</v>
      </c>
      <c r="N6" s="63" t="e">
        <f>(L6-M6)/M6</f>
        <v>#DIV/0!</v>
      </c>
      <c r="O6" s="255">
        <f>SUM('[3]Air Georgian'!$IT$41:$IX$41)</f>
        <v>0</v>
      </c>
      <c r="P6" s="2">
        <f>SUM('[3]Air Georgian'!$IF$41:$IJ$41)</f>
        <v>0</v>
      </c>
      <c r="Q6" s="3" t="e">
        <f>(O6-P6)/P6</f>
        <v>#DIV/0!</v>
      </c>
      <c r="R6" s="63">
        <f>O6/$O$64</f>
        <v>0</v>
      </c>
      <c r="S6" s="250"/>
      <c r="T6" s="310" t="s">
        <v>162</v>
      </c>
      <c r="U6" s="255">
        <f>'[3]Air Georgian'!$IX$64</f>
        <v>0</v>
      </c>
      <c r="V6" s="2">
        <f>'[3]Air Georgian'!$IJ$64</f>
        <v>0</v>
      </c>
      <c r="W6" s="63" t="e">
        <f>(U6-V6)/V6</f>
        <v>#DIV/0!</v>
      </c>
      <c r="X6" s="255">
        <f>SUM('[3]Air Georgian'!$IT$64:$IX$64)</f>
        <v>0</v>
      </c>
      <c r="Y6" s="2">
        <f>SUM('[3]Air Georgian'!$IF$64:$IJ$64)</f>
        <v>0</v>
      </c>
      <c r="Z6" s="3" t="e">
        <f>(X6-Y6)/Y6</f>
        <v>#DIV/0!</v>
      </c>
      <c r="AA6" s="63">
        <f>X6/$X$64</f>
        <v>0</v>
      </c>
      <c r="AB6" s="250"/>
      <c r="AC6" s="310" t="s">
        <v>162</v>
      </c>
      <c r="AD6" s="255">
        <f>'[3]Air Georgian'!$IX$43</f>
        <v>0</v>
      </c>
      <c r="AE6" s="2">
        <f>'[3]Air Georgian'!$IJ$43</f>
        <v>0</v>
      </c>
      <c r="AF6" s="63" t="e">
        <f>(AD6-AE6)/AE6</f>
        <v>#DIV/0!</v>
      </c>
      <c r="AG6" s="255">
        <f>SUM('[3]Air Georgian'!$IT$43:$IX$43)</f>
        <v>0</v>
      </c>
      <c r="AH6" s="2">
        <f>SUM('[3]Air Georgian'!$IF$43:$IJ$43)</f>
        <v>0</v>
      </c>
      <c r="AI6" s="3" t="e">
        <f>(AG6-AH6)/AH6</f>
        <v>#DIV/0!</v>
      </c>
      <c r="AJ6" s="63">
        <f t="shared" ref="AJ6:AJ7" si="0">AG6/$AG$64</f>
        <v>0</v>
      </c>
    </row>
    <row r="7" spans="1:36" ht="14.1" customHeight="1" x14ac:dyDescent="0.2">
      <c r="A7" s="250"/>
      <c r="B7" s="310" t="s">
        <v>216</v>
      </c>
      <c r="C7" s="255">
        <f>[3]Jazz_AC!$IX$19</f>
        <v>240</v>
      </c>
      <c r="D7" s="2">
        <f>[3]Jazz_AC!$IJ$19</f>
        <v>245</v>
      </c>
      <c r="E7" s="63">
        <f t="shared" ref="E7" si="1">(C7-D7)/D7</f>
        <v>-2.0408163265306121E-2</v>
      </c>
      <c r="F7" s="2">
        <f>SUM([3]Jazz_AC!$IT$19:$IX$19)</f>
        <v>968</v>
      </c>
      <c r="G7" s="2">
        <f>SUM([3]Jazz_AC!$IF$19:$IJ$19)</f>
        <v>814</v>
      </c>
      <c r="H7" s="3">
        <f t="shared" ref="H7" si="2">(F7-G7)/G7</f>
        <v>0.1891891891891892</v>
      </c>
      <c r="I7" s="63">
        <f>F7/$F$64</f>
        <v>7.9092075268202208E-3</v>
      </c>
      <c r="J7" s="250"/>
      <c r="K7" s="310" t="s">
        <v>216</v>
      </c>
      <c r="L7" s="255">
        <f>[3]Jazz_AC!$IX$41</f>
        <v>13420</v>
      </c>
      <c r="M7" s="2">
        <f>[3]Jazz_AC!$IJ$41</f>
        <v>16295</v>
      </c>
      <c r="N7" s="63">
        <f t="shared" ref="N7" si="3">(L7-M7)/M7</f>
        <v>-0.17643448910708806</v>
      </c>
      <c r="O7" s="255">
        <f>SUM([3]Jazz_AC!$IT$41:$IX$41)</f>
        <v>46267</v>
      </c>
      <c r="P7" s="2">
        <f>SUM([3]Jazz_AC!$IF$41:$IJ$41)</f>
        <v>46837</v>
      </c>
      <c r="Q7" s="3">
        <f t="shared" ref="Q7" si="4">(O7-P7)/P7</f>
        <v>-1.2169865704464419E-2</v>
      </c>
      <c r="R7" s="63">
        <f>O7/$O$64</f>
        <v>3.2653429372305628E-3</v>
      </c>
      <c r="S7" s="250"/>
      <c r="T7" s="310" t="s">
        <v>216</v>
      </c>
      <c r="U7" s="255">
        <f>[3]Jazz_AC!$IX$64</f>
        <v>4373.3</v>
      </c>
      <c r="V7" s="2">
        <f>[3]Jazz_AC!$IJ$64</f>
        <v>45171</v>
      </c>
      <c r="W7" s="63">
        <f t="shared" ref="W7" si="5">(U7-V7)/V7</f>
        <v>-0.90318345841358383</v>
      </c>
      <c r="X7" s="255">
        <f>SUM([3]Jazz_AC!$IT$64:$IX$64)</f>
        <v>81833.100000000006</v>
      </c>
      <c r="Y7" s="2">
        <f>SUM([3]Jazz_AC!$IF$64:$IJ$64)</f>
        <v>53294.1</v>
      </c>
      <c r="Z7" s="3">
        <f t="shared" ref="Z7" si="6">(X7-Y7)/Y7</f>
        <v>0.53550017731793964</v>
      </c>
      <c r="AA7" s="63">
        <f>X7/$X$64</f>
        <v>2.5615832640584813E-3</v>
      </c>
      <c r="AB7" s="250"/>
      <c r="AC7" s="310" t="s">
        <v>216</v>
      </c>
      <c r="AD7" s="255">
        <f>[3]Jazz_AC!$IX$43</f>
        <v>13624</v>
      </c>
      <c r="AE7" s="2">
        <f>[3]Jazz_AC!$IJ$43</f>
        <v>16485</v>
      </c>
      <c r="AF7" s="63">
        <f t="shared" ref="AF7" si="7">(AD7-AE7)/AE7</f>
        <v>-0.17355171367910222</v>
      </c>
      <c r="AG7" s="255">
        <f>SUM([3]Jazz_AC!$IT$43:$IX$43)</f>
        <v>46996</v>
      </c>
      <c r="AH7" s="2">
        <f>SUM([3]Jazz_AC!$IF$43:$IJ$43)</f>
        <v>47471</v>
      </c>
      <c r="AI7" s="3">
        <f t="shared" ref="AI7" si="8">(AG7-AH7)/AH7</f>
        <v>-1.0006108992858798E-2</v>
      </c>
      <c r="AJ7" s="63">
        <f t="shared" si="0"/>
        <v>3.2232570520064666E-3</v>
      </c>
    </row>
    <row r="8" spans="1:36" ht="14.1" customHeight="1" x14ac:dyDescent="0.2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" customHeight="1" x14ac:dyDescent="0.2">
      <c r="A9" s="250" t="s">
        <v>154</v>
      </c>
      <c r="B9" s="37"/>
      <c r="C9" s="251">
        <f>'[3]Air France'!$IX$19</f>
        <v>34</v>
      </c>
      <c r="D9" s="253">
        <f>'[3]Air France'!$IJ$19</f>
        <v>0</v>
      </c>
      <c r="E9" s="254" t="e">
        <f>(C9-D9)/D9</f>
        <v>#DIV/0!</v>
      </c>
      <c r="F9" s="253">
        <f>SUM('[3]Air France'!$IT$19:$IX$19)</f>
        <v>34</v>
      </c>
      <c r="G9" s="253">
        <f>SUM('[3]Air France'!$IF$19:$IJ$19)</f>
        <v>0</v>
      </c>
      <c r="H9" s="252" t="e">
        <f>(F9-G9)/G9</f>
        <v>#DIV/0!</v>
      </c>
      <c r="I9" s="254">
        <f>F9/$F$64</f>
        <v>2.7780274371062759E-4</v>
      </c>
      <c r="J9" s="250" t="s">
        <v>154</v>
      </c>
      <c r="K9" s="37"/>
      <c r="L9" s="251">
        <f>'[3]Air France'!$IX$41</f>
        <v>7936</v>
      </c>
      <c r="M9" s="253">
        <f>'[3]Air France'!$IJ$41</f>
        <v>0</v>
      </c>
      <c r="N9" s="254" t="e">
        <f>(L9-M9)/M9</f>
        <v>#DIV/0!</v>
      </c>
      <c r="O9" s="251">
        <f>SUM('[3]Air France'!$IT$41:$IX$41)</f>
        <v>7936</v>
      </c>
      <c r="P9" s="253">
        <f>SUM('[3]Air France'!$IF$41:$IJ$41)</f>
        <v>0</v>
      </c>
      <c r="Q9" s="252" t="e">
        <f>(O9-P9)/P9</f>
        <v>#DIV/0!</v>
      </c>
      <c r="R9" s="254">
        <f>O9/$O$64</f>
        <v>5.6009167548926335E-4</v>
      </c>
      <c r="S9" s="250" t="s">
        <v>154</v>
      </c>
      <c r="T9" s="37"/>
      <c r="U9" s="251">
        <f>'[3]Air France'!$IX$64</f>
        <v>105002</v>
      </c>
      <c r="V9" s="253">
        <f>'[3]Air France'!$IJ$64</f>
        <v>0</v>
      </c>
      <c r="W9" s="254" t="e">
        <f>(U9-V9)/V9</f>
        <v>#DIV/0!</v>
      </c>
      <c r="X9" s="251">
        <f>SUM('[3]Air France'!$IT$64:$IX$64)</f>
        <v>105002</v>
      </c>
      <c r="Y9" s="253">
        <f>SUM('[3]Air France'!$IF$64:$IJ$64)</f>
        <v>0</v>
      </c>
      <c r="Z9" s="252" t="e">
        <f>(X9-Y9)/Y9</f>
        <v>#DIV/0!</v>
      </c>
      <c r="AA9" s="254">
        <f>X9/$X$64</f>
        <v>3.2868285069570708E-3</v>
      </c>
      <c r="AB9" s="250" t="s">
        <v>154</v>
      </c>
      <c r="AC9" s="37"/>
      <c r="AD9" s="251">
        <f>'[3]Air France'!$IX$43</f>
        <v>7955</v>
      </c>
      <c r="AE9" s="253">
        <f>'[3]Air France'!$IJ$43</f>
        <v>0</v>
      </c>
      <c r="AF9" s="254" t="e">
        <f>(AD9-AE9)/AE9</f>
        <v>#DIV/0!</v>
      </c>
      <c r="AG9" s="251">
        <f>SUM('[3]Air France'!$IT$43:$IX$43)</f>
        <v>7955</v>
      </c>
      <c r="AH9" s="253">
        <f>SUM('[3]Air France'!$IF$43:$IJ$43)</f>
        <v>0</v>
      </c>
      <c r="AI9" s="252" t="e">
        <f>(AG9-AH9)/AH9</f>
        <v>#DIV/0!</v>
      </c>
      <c r="AJ9" s="254">
        <f>AG9/$AG$64</f>
        <v>5.4559983506492977E-4</v>
      </c>
    </row>
    <row r="10" spans="1:36" ht="14.1" customHeight="1" x14ac:dyDescent="0.2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" customHeight="1" x14ac:dyDescent="0.2">
      <c r="A11" s="250" t="s">
        <v>194</v>
      </c>
      <c r="B11" s="37"/>
      <c r="C11" s="251">
        <f>'[3]Aer Lingus'!$IX$19</f>
        <v>36</v>
      </c>
      <c r="D11" s="253">
        <f>'[3]Aer Lingus'!$IJ$19</f>
        <v>0</v>
      </c>
      <c r="E11" s="254" t="e">
        <f>(C11-D11)/D11</f>
        <v>#DIV/0!</v>
      </c>
      <c r="F11" s="253">
        <f>SUM('[3]Aer Lingus'!$IT$19:$IX$19)</f>
        <v>38</v>
      </c>
      <c r="G11" s="253">
        <f>SUM('[3]Aer Lingus'!$IF$19:$IJ$19)</f>
        <v>0</v>
      </c>
      <c r="H11" s="252" t="e">
        <f>(F11-G11)/G11</f>
        <v>#DIV/0!</v>
      </c>
      <c r="I11" s="254">
        <f>F11/$F$64</f>
        <v>3.1048541944128964E-4</v>
      </c>
      <c r="J11" s="250" t="s">
        <v>194</v>
      </c>
      <c r="K11" s="37"/>
      <c r="L11" s="251">
        <f>'[3]Aer Lingus'!$IX$41</f>
        <v>7251</v>
      </c>
      <c r="M11" s="253">
        <f>'[3]Aer Lingus'!$IJ$41</f>
        <v>0</v>
      </c>
      <c r="N11" s="254" t="e">
        <f>(L11-M11)/M11</f>
        <v>#DIV/0!</v>
      </c>
      <c r="O11" s="251">
        <f>SUM('[3]Aer Lingus'!$IT$41:$IX$41)</f>
        <v>7511</v>
      </c>
      <c r="P11" s="253">
        <f>SUM('[3]Aer Lingus'!$IF$41:$IJ$41)</f>
        <v>0</v>
      </c>
      <c r="Q11" s="252" t="e">
        <f>(O11-P11)/P11</f>
        <v>#DIV/0!</v>
      </c>
      <c r="R11" s="254">
        <f>O11/$O$64</f>
        <v>5.300968465977642E-4</v>
      </c>
      <c r="S11" s="250" t="s">
        <v>194</v>
      </c>
      <c r="T11" s="37"/>
      <c r="U11" s="251">
        <f>'[3]Aer Lingus'!$IX$64</f>
        <v>0</v>
      </c>
      <c r="V11" s="253">
        <f>'[3]Aer Lingus'!$IJ$64</f>
        <v>0</v>
      </c>
      <c r="W11" s="254" t="e">
        <f>(U11-V11)/V11</f>
        <v>#DIV/0!</v>
      </c>
      <c r="X11" s="251">
        <f>SUM('[3]Aer Lingus'!$IT$64:$IX$64)</f>
        <v>0</v>
      </c>
      <c r="Y11" s="253">
        <f>SUM('[3]Aer Lingus'!$IF$64:$IJ$64)</f>
        <v>0</v>
      </c>
      <c r="Z11" s="252" t="e">
        <f>(X11-Y11)/Y11</f>
        <v>#DIV/0!</v>
      </c>
      <c r="AA11" s="254">
        <f>X11/$X$64</f>
        <v>0</v>
      </c>
      <c r="AB11" s="250" t="s">
        <v>194</v>
      </c>
      <c r="AC11" s="37"/>
      <c r="AD11" s="251">
        <f>'[3]Aer Lingus'!$IX$43</f>
        <v>7312</v>
      </c>
      <c r="AE11" s="253">
        <f>'[3]Aer Lingus'!$IJ$43</f>
        <v>0</v>
      </c>
      <c r="AF11" s="254" t="e">
        <f>(AD11-AE11)/AE11</f>
        <v>#DIV/0!</v>
      </c>
      <c r="AG11" s="251">
        <f>SUM('[3]Aer Lingus'!$IT$43:$IX$43)</f>
        <v>7575</v>
      </c>
      <c r="AH11" s="253">
        <f>SUM('[3]Aer Lingus'!$IF$43:$IJ$43)</f>
        <v>0</v>
      </c>
      <c r="AI11" s="252" t="e">
        <f>(AG11-AH11)/AH11</f>
        <v>#DIV/0!</v>
      </c>
      <c r="AJ11" s="254">
        <f>AG11/$AG$64</f>
        <v>5.1953724080664278E-4</v>
      </c>
    </row>
    <row r="12" spans="1:36" ht="14.1" customHeight="1" x14ac:dyDescent="0.2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" customHeight="1" x14ac:dyDescent="0.2">
      <c r="A13" s="250" t="s">
        <v>217</v>
      </c>
      <c r="B13" s="37"/>
      <c r="C13" s="255">
        <f>'[3]Allegiant '!$IX$19</f>
        <v>28</v>
      </c>
      <c r="D13" s="2">
        <f>'[3]Allegiant '!$IJ$19</f>
        <v>66</v>
      </c>
      <c r="E13" s="254">
        <f t="shared" ref="E13" si="9">(C13-D13)/D13</f>
        <v>-0.5757575757575758</v>
      </c>
      <c r="F13" s="2">
        <f>SUM('[3]Allegiant '!$IT$19:$IX$19)</f>
        <v>380</v>
      </c>
      <c r="G13" s="2">
        <f>SUM('[3]Allegiant '!$IF$19:$IJ$19)</f>
        <v>472</v>
      </c>
      <c r="H13" s="252">
        <f t="shared" ref="H13" si="10">(F13-G13)/G13</f>
        <v>-0.19491525423728814</v>
      </c>
      <c r="I13" s="254">
        <f>F13/$F$64</f>
        <v>3.1048541944128966E-3</v>
      </c>
      <c r="J13" s="250" t="s">
        <v>217</v>
      </c>
      <c r="K13" s="37"/>
      <c r="L13" s="255">
        <f>'[3]Allegiant '!$IX$41</f>
        <v>3669</v>
      </c>
      <c r="M13" s="2">
        <f>'[3]Allegiant '!$IJ$41</f>
        <v>8767</v>
      </c>
      <c r="N13" s="254">
        <f t="shared" ref="N13" si="11">(L13-M13)/M13</f>
        <v>-0.58149880232690776</v>
      </c>
      <c r="O13" s="255">
        <f>SUM('[3]Allegiant '!$IT$41:$IX$41)</f>
        <v>52719</v>
      </c>
      <c r="P13" s="2">
        <f>SUM('[3]Allegiant '!$IF$41:$IJ$41)</f>
        <v>69712</v>
      </c>
      <c r="Q13" s="252">
        <f t="shared" ref="Q13" si="12">(O13-P13)/P13</f>
        <v>-0.24376004131282994</v>
      </c>
      <c r="R13" s="254">
        <f>O13/$O$64</f>
        <v>3.7206997278375091E-3</v>
      </c>
      <c r="S13" s="250" t="s">
        <v>217</v>
      </c>
      <c r="T13" s="37"/>
      <c r="U13" s="255">
        <f>'[3]Allegiant '!$IX$64</f>
        <v>0</v>
      </c>
      <c r="V13" s="2">
        <f>'[3]Allegiant '!$IJ$64</f>
        <v>0</v>
      </c>
      <c r="W13" s="254" t="e">
        <f t="shared" ref="W13" si="13">(U13-V13)/V13</f>
        <v>#DIV/0!</v>
      </c>
      <c r="X13" s="255">
        <f>SUM('[3]Allegiant '!$IT$64:$IX$64)</f>
        <v>0</v>
      </c>
      <c r="Y13" s="2">
        <f>SUM('[3]Allegiant '!$IF$64:$IJ$64)</f>
        <v>0</v>
      </c>
      <c r="Z13" s="252" t="e">
        <f t="shared" ref="Z13" si="14">(X13-Y13)/Y13</f>
        <v>#DIV/0!</v>
      </c>
      <c r="AA13" s="254">
        <f>X13/$X$64</f>
        <v>0</v>
      </c>
      <c r="AB13" s="250" t="s">
        <v>217</v>
      </c>
      <c r="AC13" s="37"/>
      <c r="AD13" s="255">
        <f>'[3]Allegiant '!$IX$43</f>
        <v>3669</v>
      </c>
      <c r="AE13" s="2">
        <f>'[3]Allegiant '!$IJ$43</f>
        <v>8767</v>
      </c>
      <c r="AF13" s="254">
        <f t="shared" ref="AF13" si="15">(AD13-AE13)/AE13</f>
        <v>-0.58149880232690776</v>
      </c>
      <c r="AG13" s="255">
        <f>SUM('[3]Allegiant '!$IT$43:$IX$43)</f>
        <v>52719</v>
      </c>
      <c r="AH13" s="2">
        <f>SUM('[3]Allegiant '!$IF$43:$IJ$43)</f>
        <v>69712</v>
      </c>
      <c r="AI13" s="252">
        <f t="shared" ref="AI13" si="16">(AG13-AH13)/AH13</f>
        <v>-0.24376004131282994</v>
      </c>
      <c r="AJ13" s="254">
        <f>AG13/$AG$64</f>
        <v>3.6157734386911421E-3</v>
      </c>
    </row>
    <row r="14" spans="1:36" ht="14.1" customHeight="1" x14ac:dyDescent="0.2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" customHeight="1" x14ac:dyDescent="0.2">
      <c r="A15" s="250" t="s">
        <v>127</v>
      </c>
      <c r="B15" s="37"/>
      <c r="C15" s="251">
        <f>SUM(C16:C18)</f>
        <v>186</v>
      </c>
      <c r="D15" s="253">
        <f>SUM(D16:D18)</f>
        <v>150</v>
      </c>
      <c r="E15" s="254">
        <f>(C15-D15)/D15</f>
        <v>0.24</v>
      </c>
      <c r="F15" s="253">
        <f>SUM(F16:F18)</f>
        <v>695</v>
      </c>
      <c r="G15" s="253">
        <f>SUM(G16:G18)</f>
        <v>570</v>
      </c>
      <c r="H15" s="252">
        <f>(F15-G15)/G15</f>
        <v>0.21929824561403508</v>
      </c>
      <c r="I15" s="254">
        <f>F15/$F$64</f>
        <v>5.6786149082025342E-3</v>
      </c>
      <c r="J15" s="250" t="s">
        <v>127</v>
      </c>
      <c r="K15" s="37"/>
      <c r="L15" s="251">
        <f>SUM(L16:L18)</f>
        <v>25655</v>
      </c>
      <c r="M15" s="253">
        <f>SUM(M16:M18)</f>
        <v>23571</v>
      </c>
      <c r="N15" s="254">
        <f>(L15-M15)/M15</f>
        <v>8.8413728734461836E-2</v>
      </c>
      <c r="O15" s="251">
        <f>SUM(O16:O18)</f>
        <v>90668</v>
      </c>
      <c r="P15" s="253">
        <f>SUM(P16:P18)</f>
        <v>83180</v>
      </c>
      <c r="Q15" s="252">
        <f>(O15-P15)/P15</f>
        <v>9.0021639817263771E-2</v>
      </c>
      <c r="R15" s="254">
        <f>O15/$O$64</f>
        <v>6.3989909316104496E-3</v>
      </c>
      <c r="S15" s="250" t="s">
        <v>127</v>
      </c>
      <c r="T15" s="37"/>
      <c r="U15" s="251">
        <f>SUM(U16:U18)</f>
        <v>39906</v>
      </c>
      <c r="V15" s="253">
        <f>SUM(V16:V18)</f>
        <v>38296</v>
      </c>
      <c r="W15" s="254">
        <f>(U15-V15)/V15</f>
        <v>4.2040944223939836E-2</v>
      </c>
      <c r="X15" s="251">
        <f>SUM(X16:X18)</f>
        <v>111775</v>
      </c>
      <c r="Y15" s="253">
        <f>SUM(Y16:Y18)</f>
        <v>143804</v>
      </c>
      <c r="Z15" s="252">
        <f>(X15-Y15)/Y15</f>
        <v>-0.22272676698840088</v>
      </c>
      <c r="AA15" s="254">
        <f>X15/$X$64</f>
        <v>3.4988405588953215E-3</v>
      </c>
      <c r="AB15" s="250" t="s">
        <v>127</v>
      </c>
      <c r="AC15" s="37"/>
      <c r="AD15" s="251">
        <f>SUM(AD16:AD18)</f>
        <v>26565</v>
      </c>
      <c r="AE15" s="253">
        <f>SUM(AE16:AE18)</f>
        <v>24154</v>
      </c>
      <c r="AF15" s="254">
        <f>(AD15-AE15)/AE15</f>
        <v>9.9817835555187542E-2</v>
      </c>
      <c r="AG15" s="251">
        <f>SUM(AG16:AG18)</f>
        <v>94542</v>
      </c>
      <c r="AH15" s="253">
        <f>SUM(AH16:AH18)</f>
        <v>86125</v>
      </c>
      <c r="AI15" s="252">
        <f>(AG15-AH15)/AH15</f>
        <v>9.7730043541364289E-2</v>
      </c>
      <c r="AJ15" s="254">
        <f>AG15/$AG$64</f>
        <v>6.4842362799130858E-3</v>
      </c>
    </row>
    <row r="16" spans="1:36" ht="14.1" customHeight="1" x14ac:dyDescent="0.2">
      <c r="A16" s="250"/>
      <c r="B16" s="310" t="s">
        <v>127</v>
      </c>
      <c r="C16" s="314">
        <f>[3]Alaska!$IX$19</f>
        <v>186</v>
      </c>
      <c r="D16" s="209">
        <f>[3]Alaska!$IJ$19</f>
        <v>150</v>
      </c>
      <c r="E16" s="316">
        <f>(C16-D16)/D16</f>
        <v>0.24</v>
      </c>
      <c r="F16" s="209">
        <f>SUM([3]Alaska!$IT$19:$IX$19)</f>
        <v>695</v>
      </c>
      <c r="G16" s="209">
        <f>SUM([3]Alaska!$IF$19:$IJ$19)</f>
        <v>570</v>
      </c>
      <c r="H16" s="315">
        <f>(F16-G16)/G16</f>
        <v>0.21929824561403508</v>
      </c>
      <c r="I16" s="316">
        <f>F16/$F$64</f>
        <v>5.6786149082025342E-3</v>
      </c>
      <c r="J16" s="250"/>
      <c r="K16" s="310" t="s">
        <v>127</v>
      </c>
      <c r="L16" s="314">
        <f>[3]Alaska!$IX$41</f>
        <v>25655</v>
      </c>
      <c r="M16" s="209">
        <f>[3]Alaska!$IJ$41</f>
        <v>23571</v>
      </c>
      <c r="N16" s="316">
        <f>(L16-M16)/M16</f>
        <v>8.8413728734461836E-2</v>
      </c>
      <c r="O16" s="314">
        <f>SUM([3]Alaska!$IT$41:$IX$41)</f>
        <v>90668</v>
      </c>
      <c r="P16" s="209">
        <f>SUM([3]Alaska!$IF$41:$IJ$41)</f>
        <v>83180</v>
      </c>
      <c r="Q16" s="315">
        <f>(O16-P16)/P16</f>
        <v>9.0021639817263771E-2</v>
      </c>
      <c r="R16" s="316">
        <f>O16/$O$64</f>
        <v>6.3989909316104496E-3</v>
      </c>
      <c r="S16" s="250"/>
      <c r="T16" s="310" t="s">
        <v>127</v>
      </c>
      <c r="U16" s="314">
        <f>[3]Alaska!$IX$64</f>
        <v>39906</v>
      </c>
      <c r="V16" s="209">
        <f>[3]Alaska!$IJ$64</f>
        <v>38296</v>
      </c>
      <c r="W16" s="316">
        <f>(U16-V16)/V16</f>
        <v>4.2040944223939836E-2</v>
      </c>
      <c r="X16" s="314">
        <f>SUM([3]Alaska!$IT$64:$IX$64)</f>
        <v>111775</v>
      </c>
      <c r="Y16" s="209">
        <f>SUM([3]Alaska!$IF$64:$IJ$64)</f>
        <v>143804</v>
      </c>
      <c r="Z16" s="315">
        <f>(X16-Y16)/Y16</f>
        <v>-0.22272676698840088</v>
      </c>
      <c r="AA16" s="316">
        <f>X16/$X$64</f>
        <v>3.4988405588953215E-3</v>
      </c>
      <c r="AB16" s="250"/>
      <c r="AC16" s="310" t="s">
        <v>127</v>
      </c>
      <c r="AD16" s="314">
        <f>[3]Alaska!$IX$43</f>
        <v>26565</v>
      </c>
      <c r="AE16" s="209">
        <f>[3]Alaska!$IJ$43</f>
        <v>24154</v>
      </c>
      <c r="AF16" s="316">
        <f>(AD16-AE16)/AE16</f>
        <v>9.9817835555187542E-2</v>
      </c>
      <c r="AG16" s="314">
        <f>SUM([3]Alaska!$IT$43:$IX$43)</f>
        <v>94542</v>
      </c>
      <c r="AH16" s="209">
        <f>SUM([3]Alaska!$IF$43:$IJ$43)</f>
        <v>86125</v>
      </c>
      <c r="AI16" s="315">
        <f>(AG16-AH16)/AH16</f>
        <v>9.7730043541364289E-2</v>
      </c>
      <c r="AJ16" s="63">
        <f t="shared" ref="AJ16:AJ18" si="17">AG16/$AG$64</f>
        <v>6.4842362799130858E-3</v>
      </c>
    </row>
    <row r="17" spans="1:36" ht="14.1" customHeight="1" x14ac:dyDescent="0.2">
      <c r="A17" s="250"/>
      <c r="B17" s="310" t="s">
        <v>97</v>
      </c>
      <c r="C17" s="255">
        <f>'[3]Sky West_AS'!$IX$19</f>
        <v>0</v>
      </c>
      <c r="D17" s="2">
        <f>'[3]Sky West_AS'!$IJ$19</f>
        <v>0</v>
      </c>
      <c r="E17" s="63" t="e">
        <f>(C17-D17)/D17</f>
        <v>#DIV/0!</v>
      </c>
      <c r="F17" s="2">
        <f>SUM('[3]Sky West_AS'!$IT$19:$IX$19)</f>
        <v>0</v>
      </c>
      <c r="G17" s="2">
        <f>SUM('[3]Sky West_AS'!$IF$19:$IJ$19)</f>
        <v>0</v>
      </c>
      <c r="H17" s="3" t="e">
        <f>(F17-G17)/G17</f>
        <v>#DIV/0!</v>
      </c>
      <c r="I17" s="63">
        <f>F17/$F$64</f>
        <v>0</v>
      </c>
      <c r="J17" s="250"/>
      <c r="K17" s="310" t="s">
        <v>97</v>
      </c>
      <c r="L17" s="255">
        <f>'[3]Sky West_AS'!$IX$41</f>
        <v>0</v>
      </c>
      <c r="M17" s="2">
        <f>'[3]Sky West_AS'!$IJ$41</f>
        <v>0</v>
      </c>
      <c r="N17" s="63" t="e">
        <f>(L17-M17)/M17</f>
        <v>#DIV/0!</v>
      </c>
      <c r="O17" s="255">
        <f>SUM('[3]Sky West_AS'!$IT$41:$IX$41)</f>
        <v>0</v>
      </c>
      <c r="P17" s="2">
        <f>SUM('[3]Sky West_AS'!$IF$41:$IJ$41)</f>
        <v>0</v>
      </c>
      <c r="Q17" s="3" t="e">
        <f>(O17-P17)/P17</f>
        <v>#DIV/0!</v>
      </c>
      <c r="R17" s="316">
        <f>O17/$O$64</f>
        <v>0</v>
      </c>
      <c r="S17" s="250"/>
      <c r="T17" s="310" t="s">
        <v>97</v>
      </c>
      <c r="U17" s="255">
        <f>'[3]Sky West_AS'!$IX$64</f>
        <v>0</v>
      </c>
      <c r="V17" s="2">
        <f>'[3]Sky West_AS'!$IJ$64</f>
        <v>0</v>
      </c>
      <c r="W17" s="63" t="e">
        <f>(U17-V17)/V17</f>
        <v>#DIV/0!</v>
      </c>
      <c r="X17" s="255">
        <f>SUM('[3]Sky West_AS'!$IT$64:$IX$64)</f>
        <v>0</v>
      </c>
      <c r="Y17" s="2">
        <f>SUM('[3]Sky West_AS'!$IF$64:$IJ$64)</f>
        <v>0</v>
      </c>
      <c r="Z17" s="3" t="e">
        <f>(X17-Y17)/Y17</f>
        <v>#DIV/0!</v>
      </c>
      <c r="AA17" s="316">
        <f>X17/$X$64</f>
        <v>0</v>
      </c>
      <c r="AB17" s="250"/>
      <c r="AC17" s="310" t="s">
        <v>97</v>
      </c>
      <c r="AD17" s="255">
        <f>'[3]Sky West_AS'!$IX$43</f>
        <v>0</v>
      </c>
      <c r="AE17" s="2">
        <f>'[3]Sky West_AS'!$IJ$43</f>
        <v>0</v>
      </c>
      <c r="AF17" s="63" t="e">
        <f>(AD17-AE17)/AE17</f>
        <v>#DIV/0!</v>
      </c>
      <c r="AG17" s="255">
        <f>SUM('[3]Sky West_AS'!$IT$43:$IX$43)</f>
        <v>0</v>
      </c>
      <c r="AH17" s="2">
        <f>SUM('[3]Sky West_AS'!$IF$43:$IJ$43)</f>
        <v>0</v>
      </c>
      <c r="AI17" s="3" t="e">
        <f>(AG17-AH17)/AH17</f>
        <v>#DIV/0!</v>
      </c>
      <c r="AJ17" s="63">
        <f t="shared" si="17"/>
        <v>0</v>
      </c>
    </row>
    <row r="18" spans="1:36" ht="14.1" customHeight="1" x14ac:dyDescent="0.2">
      <c r="A18" s="250"/>
      <c r="B18" s="310" t="s">
        <v>184</v>
      </c>
      <c r="C18" s="255">
        <f>[3]Horizon_AS!$IX$19</f>
        <v>0</v>
      </c>
      <c r="D18" s="2">
        <f>[3]Horizon_AS!$IJ$19</f>
        <v>0</v>
      </c>
      <c r="E18" s="63" t="e">
        <f>(C18-D18)/D18</f>
        <v>#DIV/0!</v>
      </c>
      <c r="F18" s="2">
        <f>SUM([3]Horizon_AS!$IT$19:$IX$19)</f>
        <v>0</v>
      </c>
      <c r="G18" s="2">
        <f>SUM([3]Horizon_AS!$IF$19:$IJ$19)</f>
        <v>0</v>
      </c>
      <c r="H18" s="3" t="e">
        <f>(F18-G18)/G18</f>
        <v>#DIV/0!</v>
      </c>
      <c r="I18" s="63">
        <f>F18/$F$64</f>
        <v>0</v>
      </c>
      <c r="J18" s="250"/>
      <c r="K18" s="310" t="s">
        <v>184</v>
      </c>
      <c r="L18" s="255">
        <f>[3]Horizon_AS!$IX$41</f>
        <v>0</v>
      </c>
      <c r="M18" s="2">
        <f>[3]Horizon_AS!$IJ$41</f>
        <v>0</v>
      </c>
      <c r="N18" s="63" t="e">
        <f>(L18-M18)/M18</f>
        <v>#DIV/0!</v>
      </c>
      <c r="O18" s="255">
        <f>SUM([3]Horizon_AS!$IT$41:$IX$41)</f>
        <v>0</v>
      </c>
      <c r="P18" s="2">
        <f>SUM([3]Horizon_AS!$IF$41:$IJ$41)</f>
        <v>0</v>
      </c>
      <c r="Q18" s="3" t="e">
        <f>(O18-P18)/P18</f>
        <v>#DIV/0!</v>
      </c>
      <c r="R18" s="316">
        <f>O18/$O$64</f>
        <v>0</v>
      </c>
      <c r="S18" s="250"/>
      <c r="T18" s="310" t="s">
        <v>184</v>
      </c>
      <c r="U18" s="255">
        <f>[3]Horizon_AS!$IX$64</f>
        <v>0</v>
      </c>
      <c r="V18" s="2">
        <f>[3]Horizon_AS!$IJ$64</f>
        <v>0</v>
      </c>
      <c r="W18" s="63" t="e">
        <f>(U18-V18)/V18</f>
        <v>#DIV/0!</v>
      </c>
      <c r="X18" s="255">
        <f>SUM([3]Horizon_AS!$IT$64:$IX$64)</f>
        <v>0</v>
      </c>
      <c r="Y18" s="2">
        <f>SUM([3]Horizon_AS!$IF$64:$IJ$64)</f>
        <v>0</v>
      </c>
      <c r="Z18" s="3" t="e">
        <f>(X18-Y18)/Y18</f>
        <v>#DIV/0!</v>
      </c>
      <c r="AA18" s="316">
        <f>X18/$X$64</f>
        <v>0</v>
      </c>
      <c r="AB18" s="250"/>
      <c r="AC18" s="310" t="s">
        <v>184</v>
      </c>
      <c r="AD18" s="255">
        <f>[3]Horizon_AS!$IX$43</f>
        <v>0</v>
      </c>
      <c r="AE18" s="2">
        <f>[3]Horizon_AS!$IJ$43</f>
        <v>0</v>
      </c>
      <c r="AF18" s="63" t="e">
        <f>(AD18-AE18)/AE18</f>
        <v>#DIV/0!</v>
      </c>
      <c r="AG18" s="255">
        <f>SUM([3]Horizon_AS!$IT$43:$IX$43)</f>
        <v>0</v>
      </c>
      <c r="AH18" s="2">
        <f>SUM([3]Horizon_AS!$IF$43:$IJ$43)</f>
        <v>0</v>
      </c>
      <c r="AI18" s="3" t="e">
        <f>(AG18-AH18)/AH18</f>
        <v>#DIV/0!</v>
      </c>
      <c r="AJ18" s="63">
        <f t="shared" si="17"/>
        <v>0</v>
      </c>
    </row>
    <row r="19" spans="1:36" ht="14.1" customHeight="1" x14ac:dyDescent="0.2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" customHeight="1" x14ac:dyDescent="0.2">
      <c r="A20" s="250" t="s">
        <v>17</v>
      </c>
      <c r="B20" s="257"/>
      <c r="C20" s="251">
        <f>SUM(C21:C26)</f>
        <v>1220</v>
      </c>
      <c r="D20" s="253">
        <f>SUM(D21:D26)</f>
        <v>1115</v>
      </c>
      <c r="E20" s="254">
        <f t="shared" ref="E20:E26" si="18">(C20-D20)/D20</f>
        <v>9.417040358744394E-2</v>
      </c>
      <c r="F20" s="251">
        <f>SUM(F21:F26)</f>
        <v>5423</v>
      </c>
      <c r="G20" s="253">
        <f>SUM(G21:G26)</f>
        <v>5217</v>
      </c>
      <c r="H20" s="252">
        <f t="shared" ref="H20:H26" si="19">(F20-G20)/G20</f>
        <v>3.9486294805443745E-2</v>
      </c>
      <c r="I20" s="254">
        <f t="shared" ref="I20:I26" si="20">F20/$F$64</f>
        <v>4.4309537621845099E-2</v>
      </c>
      <c r="J20" s="250" t="s">
        <v>17</v>
      </c>
      <c r="K20" s="257"/>
      <c r="L20" s="251">
        <f>SUM(L21:L26)</f>
        <v>132081</v>
      </c>
      <c r="M20" s="253">
        <f>SUM(M21:M26)</f>
        <v>121697</v>
      </c>
      <c r="N20" s="254">
        <f t="shared" ref="N20:N26" si="21">(L20-M20)/M20</f>
        <v>8.5326671980410357E-2</v>
      </c>
      <c r="O20" s="251">
        <f>SUM(O21:O26)</f>
        <v>602726</v>
      </c>
      <c r="P20" s="253">
        <f>SUM(P21:P26)</f>
        <v>585022</v>
      </c>
      <c r="Q20" s="252">
        <f t="shared" ref="Q20:Q26" si="22">(O20-P20)/P20</f>
        <v>3.0262109800998936E-2</v>
      </c>
      <c r="R20" s="254">
        <f t="shared" ref="R20:R26" si="23">O20/$O$64</f>
        <v>4.2538031149312212E-2</v>
      </c>
      <c r="S20" s="250" t="s">
        <v>17</v>
      </c>
      <c r="T20" s="257"/>
      <c r="U20" s="251">
        <f>SUM(U21:U26)</f>
        <v>48252</v>
      </c>
      <c r="V20" s="253">
        <f>SUM(V21:V26)</f>
        <v>46682</v>
      </c>
      <c r="W20" s="254">
        <f t="shared" ref="W20:W24" si="24">(U20-V20)/V20</f>
        <v>3.3631806692086888E-2</v>
      </c>
      <c r="X20" s="251">
        <f>SUM(X21:X26)</f>
        <v>223147</v>
      </c>
      <c r="Y20" s="253">
        <f>SUM(Y21:Y26)</f>
        <v>270787</v>
      </c>
      <c r="Z20" s="252">
        <f t="shared" ref="Z20:Z24" si="25">(X20-Y20)/Y20</f>
        <v>-0.17593163630454933</v>
      </c>
      <c r="AA20" s="254">
        <f t="shared" ref="AA20:AA26" si="26">X20/$X$64</f>
        <v>6.9850661972338567E-3</v>
      </c>
      <c r="AB20" s="250" t="s">
        <v>17</v>
      </c>
      <c r="AC20" s="257"/>
      <c r="AD20" s="251">
        <f>SUM(AD21:AD26)</f>
        <v>136568</v>
      </c>
      <c r="AE20" s="253">
        <f>SUM(AE21:AE26)</f>
        <v>126762</v>
      </c>
      <c r="AF20" s="254">
        <f t="shared" ref="AF20:AF24" si="27">(AD20-AE20)/AE20</f>
        <v>7.7357567725343551E-2</v>
      </c>
      <c r="AG20" s="251">
        <f>SUM(AG21:AG26)</f>
        <v>623048</v>
      </c>
      <c r="AH20" s="253">
        <f>SUM(AH21:AH26)</f>
        <v>605816</v>
      </c>
      <c r="AI20" s="252">
        <f t="shared" ref="AI20:AI24" si="28">(AG20-AH20)/AH20</f>
        <v>2.8444280111452981E-2</v>
      </c>
      <c r="AJ20" s="254">
        <f>AG20/$AG$64</f>
        <v>4.2732229545887415E-2</v>
      </c>
    </row>
    <row r="21" spans="1:36" ht="14.1" customHeight="1" x14ac:dyDescent="0.2">
      <c r="A21" s="36"/>
      <c r="B21" s="37" t="s">
        <v>17</v>
      </c>
      <c r="C21" s="255">
        <f>[3]American!$IX$19</f>
        <v>705</v>
      </c>
      <c r="D21" s="2">
        <f>[3]American!$IJ$19</f>
        <v>637</v>
      </c>
      <c r="E21" s="63">
        <f t="shared" si="18"/>
        <v>0.10675039246467818</v>
      </c>
      <c r="F21" s="2">
        <f>SUM([3]American!$IT$19:$IX$19)</f>
        <v>3295</v>
      </c>
      <c r="G21" s="2">
        <f>SUM([3]American!$IF$19:$IJ$19)</f>
        <v>3232</v>
      </c>
      <c r="H21" s="3">
        <f t="shared" si="19"/>
        <v>1.9492574257425743E-2</v>
      </c>
      <c r="I21" s="63">
        <f t="shared" si="20"/>
        <v>2.6922354133132879E-2</v>
      </c>
      <c r="J21" s="36"/>
      <c r="K21" s="37" t="s">
        <v>17</v>
      </c>
      <c r="L21" s="255">
        <f>[3]American!$IX$41</f>
        <v>99372</v>
      </c>
      <c r="M21" s="2">
        <f>[3]American!$IJ$41</f>
        <v>91939</v>
      </c>
      <c r="N21" s="63">
        <f t="shared" si="21"/>
        <v>8.0847083392249205E-2</v>
      </c>
      <c r="O21" s="255">
        <f>SUM([3]American!$IT$41:$IX$41)</f>
        <v>477759</v>
      </c>
      <c r="P21" s="2">
        <f>SUM([3]American!$IF$41:$IJ$41)</f>
        <v>471040</v>
      </c>
      <c r="Q21" s="3">
        <f t="shared" si="22"/>
        <v>1.4264181385869565E-2</v>
      </c>
      <c r="R21" s="63">
        <f t="shared" si="23"/>
        <v>3.3718351662055814E-2</v>
      </c>
      <c r="S21" s="36"/>
      <c r="T21" s="37" t="s">
        <v>17</v>
      </c>
      <c r="U21" s="255">
        <f>[3]American!$IX$64</f>
        <v>44427</v>
      </c>
      <c r="V21" s="2">
        <f>[3]American!$IJ$64</f>
        <v>44175</v>
      </c>
      <c r="W21" s="63">
        <f t="shared" si="24"/>
        <v>5.7045840407470285E-3</v>
      </c>
      <c r="X21" s="255">
        <f>SUM([3]American!$IT$64:$IX$64)</f>
        <v>202851</v>
      </c>
      <c r="Y21" s="2">
        <f>SUM([3]American!$IF$64:$IJ$64)</f>
        <v>254230</v>
      </c>
      <c r="Z21" s="3">
        <f t="shared" si="25"/>
        <v>-0.20209652676710066</v>
      </c>
      <c r="AA21" s="63">
        <f t="shared" si="26"/>
        <v>6.3497499996642802E-3</v>
      </c>
      <c r="AB21" s="36"/>
      <c r="AC21" s="37" t="s">
        <v>17</v>
      </c>
      <c r="AD21" s="255">
        <f>[3]American!$IX$43</f>
        <v>102800</v>
      </c>
      <c r="AE21" s="2">
        <f>[3]American!$IJ$43</f>
        <v>95778</v>
      </c>
      <c r="AF21" s="63">
        <f t="shared" si="27"/>
        <v>7.3315375138340744E-2</v>
      </c>
      <c r="AG21" s="255">
        <f>SUM([3]American!$IT$43:$IX$43)</f>
        <v>493503</v>
      </c>
      <c r="AH21" s="2">
        <f>SUM([3]American!$IF$43:$IJ$43)</f>
        <v>487855</v>
      </c>
      <c r="AI21" s="3">
        <f t="shared" si="28"/>
        <v>1.1577210441627123E-2</v>
      </c>
      <c r="AJ21" s="63">
        <f t="shared" ref="AJ21:AJ26" si="29">AG21/$AG$64</f>
        <v>3.3847285405914272E-2</v>
      </c>
    </row>
    <row r="22" spans="1:36" ht="14.1" customHeight="1" x14ac:dyDescent="0.2">
      <c r="A22" s="36"/>
      <c r="B22" s="310" t="s">
        <v>163</v>
      </c>
      <c r="C22" s="255">
        <f>'[3]American Eagle'!$IX$19</f>
        <v>132</v>
      </c>
      <c r="D22" s="2">
        <f>'[3]American Eagle'!$IJ$19</f>
        <v>206</v>
      </c>
      <c r="E22" s="63">
        <f t="shared" si="18"/>
        <v>-0.35922330097087379</v>
      </c>
      <c r="F22" s="2">
        <f>SUM('[3]American Eagle'!$IT$19:$IX$19)</f>
        <v>528</v>
      </c>
      <c r="G22" s="2">
        <f>SUM('[3]American Eagle'!$IF$19:$IJ$19)</f>
        <v>443</v>
      </c>
      <c r="H22" s="3">
        <f t="shared" si="19"/>
        <v>0.19187358916478556</v>
      </c>
      <c r="I22" s="63">
        <f t="shared" si="20"/>
        <v>4.3141131964473936E-3</v>
      </c>
      <c r="J22" s="36"/>
      <c r="K22" s="310" t="s">
        <v>163</v>
      </c>
      <c r="L22" s="255">
        <f>'[3]American Eagle'!$IX$41</f>
        <v>7844</v>
      </c>
      <c r="M22" s="2">
        <f>'[3]American Eagle'!$IJ$41</f>
        <v>12784</v>
      </c>
      <c r="N22" s="63">
        <f t="shared" si="21"/>
        <v>-0.38642052565707136</v>
      </c>
      <c r="O22" s="255">
        <f>SUM('[3]American Eagle'!$IT$41:$IX$41)</f>
        <v>33161</v>
      </c>
      <c r="P22" s="2">
        <f>SUM('[3]American Eagle'!$IF$41:$IJ$41)</f>
        <v>25733</v>
      </c>
      <c r="Q22" s="3">
        <f t="shared" si="22"/>
        <v>0.28865658881591733</v>
      </c>
      <c r="R22" s="63">
        <f t="shared" si="23"/>
        <v>2.3403729902847104E-3</v>
      </c>
      <c r="S22" s="36"/>
      <c r="T22" s="310" t="s">
        <v>163</v>
      </c>
      <c r="U22" s="255">
        <f>'[3]American Eagle'!$IX$64</f>
        <v>1003</v>
      </c>
      <c r="V22" s="2">
        <f>'[3]American Eagle'!$IJ$64</f>
        <v>822</v>
      </c>
      <c r="W22" s="63">
        <f t="shared" si="24"/>
        <v>0.22019464720194648</v>
      </c>
      <c r="X22" s="255">
        <f>SUM('[3]American Eagle'!$IT$64:$IX$64)</f>
        <v>3002</v>
      </c>
      <c r="Y22" s="2">
        <f>SUM('[3]American Eagle'!$IF$64:$IJ$64)</f>
        <v>4059</v>
      </c>
      <c r="Z22" s="3">
        <f t="shared" si="25"/>
        <v>-0.26040896772604089</v>
      </c>
      <c r="AA22" s="63">
        <f t="shared" si="26"/>
        <v>9.3970202261720024E-5</v>
      </c>
      <c r="AB22" s="36"/>
      <c r="AC22" s="310" t="s">
        <v>163</v>
      </c>
      <c r="AD22" s="255">
        <f>'[3]American Eagle'!$IX$43</f>
        <v>8217</v>
      </c>
      <c r="AE22" s="2">
        <f>'[3]American Eagle'!$IJ$43</f>
        <v>13347</v>
      </c>
      <c r="AF22" s="63">
        <f t="shared" si="27"/>
        <v>-0.38435603506405935</v>
      </c>
      <c r="AG22" s="255">
        <f>SUM('[3]American Eagle'!$IT$43:$IX$43)</f>
        <v>34556</v>
      </c>
      <c r="AH22" s="2">
        <f>SUM('[3]American Eagle'!$IF$43:$IJ$43)</f>
        <v>26702</v>
      </c>
      <c r="AI22" s="3">
        <f t="shared" si="28"/>
        <v>0.29413527076623475</v>
      </c>
      <c r="AJ22" s="63">
        <f t="shared" si="29"/>
        <v>2.3700500189193859E-3</v>
      </c>
    </row>
    <row r="23" spans="1:36" ht="14.1" customHeight="1" x14ac:dyDescent="0.2">
      <c r="A23" s="36"/>
      <c r="B23" s="310" t="s">
        <v>52</v>
      </c>
      <c r="C23" s="255">
        <f>[3]Republic!$IX$19</f>
        <v>202</v>
      </c>
      <c r="D23" s="2">
        <f>[3]Republic!$IJ$19</f>
        <v>240</v>
      </c>
      <c r="E23" s="63">
        <f t="shared" si="18"/>
        <v>-0.15833333333333333</v>
      </c>
      <c r="F23" s="2">
        <f>SUM([3]Republic!$IT$19:$IX$19)</f>
        <v>678</v>
      </c>
      <c r="G23" s="2">
        <f>SUM([3]Republic!$IF$19:$IJ$19)</f>
        <v>1132</v>
      </c>
      <c r="H23" s="3">
        <f t="shared" si="19"/>
        <v>-0.40106007067137811</v>
      </c>
      <c r="I23" s="63">
        <f t="shared" si="20"/>
        <v>5.5397135363472209E-3</v>
      </c>
      <c r="J23" s="36"/>
      <c r="K23" s="258" t="s">
        <v>52</v>
      </c>
      <c r="L23" s="255">
        <f>[3]Republic!$IX$41</f>
        <v>13466</v>
      </c>
      <c r="M23" s="2">
        <f>[3]Republic!$IJ$41</f>
        <v>15656</v>
      </c>
      <c r="N23" s="63">
        <f t="shared" si="21"/>
        <v>-0.13988247317322433</v>
      </c>
      <c r="O23" s="255">
        <f>SUM([3]Republic!$IT$41:$IX$41)</f>
        <v>37729</v>
      </c>
      <c r="P23" s="2">
        <f>SUM([3]Republic!$IF$41:$IJ$41)</f>
        <v>68222</v>
      </c>
      <c r="Q23" s="3">
        <f t="shared" si="22"/>
        <v>-0.44696725396499665</v>
      </c>
      <c r="R23" s="63">
        <f t="shared" si="23"/>
        <v>2.6627644688173406E-3</v>
      </c>
      <c r="S23" s="36"/>
      <c r="T23" s="258" t="s">
        <v>52</v>
      </c>
      <c r="U23" s="255">
        <f>[3]Republic!$IX$64</f>
        <v>2820</v>
      </c>
      <c r="V23" s="2">
        <f>[3]Republic!$IJ$64</f>
        <v>1685</v>
      </c>
      <c r="W23" s="63">
        <f t="shared" si="24"/>
        <v>0.67359050445103863</v>
      </c>
      <c r="X23" s="255">
        <f>SUM([3]Republic!$IT$64:$IX$64)</f>
        <v>13831</v>
      </c>
      <c r="Y23" s="2">
        <f>SUM([3]Republic!$IF$64:$IJ$64)</f>
        <v>12458</v>
      </c>
      <c r="Z23" s="3">
        <f t="shared" si="25"/>
        <v>0.11021030663027773</v>
      </c>
      <c r="AA23" s="63">
        <f t="shared" si="26"/>
        <v>4.3294532561020976E-4</v>
      </c>
      <c r="AB23" s="36"/>
      <c r="AC23" s="258" t="s">
        <v>52</v>
      </c>
      <c r="AD23" s="255">
        <f>[3]Republic!$IX$43</f>
        <v>13861</v>
      </c>
      <c r="AE23" s="2">
        <f>[3]Republic!$IJ$43</f>
        <v>16262</v>
      </c>
      <c r="AF23" s="63">
        <f t="shared" si="27"/>
        <v>-0.14764481613577665</v>
      </c>
      <c r="AG23" s="255">
        <f>SUM([3]Republic!$IT$43:$IX$43)</f>
        <v>39461</v>
      </c>
      <c r="AH23" s="2">
        <f>SUM([3]Republic!$IF$43:$IJ$43)</f>
        <v>70608</v>
      </c>
      <c r="AI23" s="3">
        <f t="shared" si="28"/>
        <v>-0.44112565148425109</v>
      </c>
      <c r="AJ23" s="63">
        <f>AG23/$AG$64</f>
        <v>2.7064632421743805E-3</v>
      </c>
    </row>
    <row r="24" spans="1:36" ht="14.1" customHeight="1" x14ac:dyDescent="0.2">
      <c r="A24" s="36"/>
      <c r="B24" s="310" t="s">
        <v>177</v>
      </c>
      <c r="C24" s="255">
        <f>[3]PSA!$IX$19</f>
        <v>129</v>
      </c>
      <c r="D24" s="2">
        <f>[3]PSA!$IJ$19</f>
        <v>8</v>
      </c>
      <c r="E24" s="63">
        <f t="shared" si="18"/>
        <v>15.125</v>
      </c>
      <c r="F24" s="2">
        <f>SUM([3]PSA!$IT$19:$IX$19)</f>
        <v>602</v>
      </c>
      <c r="G24" s="2">
        <f>SUM([3]PSA!$IF$19:$IJ$19)</f>
        <v>384</v>
      </c>
      <c r="H24" s="3">
        <f t="shared" si="19"/>
        <v>0.56770833333333337</v>
      </c>
      <c r="I24" s="63">
        <f t="shared" si="20"/>
        <v>4.9187426974646418E-3</v>
      </c>
      <c r="J24" s="36"/>
      <c r="K24" s="310" t="s">
        <v>177</v>
      </c>
      <c r="L24" s="255">
        <f>[3]PSA!$IX$41</f>
        <v>8335</v>
      </c>
      <c r="M24" s="2">
        <f>[3]PSA!$IJ$41</f>
        <v>351</v>
      </c>
      <c r="N24" s="63">
        <f t="shared" si="21"/>
        <v>22.746438746438745</v>
      </c>
      <c r="O24" s="255">
        <f>SUM([3]PSA!$IT$41:$IX$41)</f>
        <v>38918</v>
      </c>
      <c r="P24" s="2">
        <f>SUM([3]PSA!$IF$41:$IJ$41)</f>
        <v>19025</v>
      </c>
      <c r="Q24" s="3">
        <f t="shared" si="22"/>
        <v>1.0456241787122207</v>
      </c>
      <c r="R24" s="63">
        <f t="shared" si="23"/>
        <v>2.746679413645558E-3</v>
      </c>
      <c r="S24" s="36"/>
      <c r="T24" s="310" t="s">
        <v>177</v>
      </c>
      <c r="U24" s="255">
        <f>[3]PSA!$IX$64</f>
        <v>0</v>
      </c>
      <c r="V24" s="2">
        <f>[3]PSA!$IJ$64</f>
        <v>0</v>
      </c>
      <c r="W24" s="63" t="e">
        <f t="shared" si="24"/>
        <v>#DIV/0!</v>
      </c>
      <c r="X24" s="255">
        <f>SUM([3]PSA!$IT$64:$IX$64)</f>
        <v>783</v>
      </c>
      <c r="Y24" s="2">
        <f>SUM([3]PSA!$IF$64:$IJ$64)</f>
        <v>40</v>
      </c>
      <c r="Z24" s="3">
        <f t="shared" si="25"/>
        <v>18.574999999999999</v>
      </c>
      <c r="AA24" s="63">
        <f t="shared" si="26"/>
        <v>2.4509882868396661E-5</v>
      </c>
      <c r="AB24" s="36"/>
      <c r="AC24" s="310" t="s">
        <v>177</v>
      </c>
      <c r="AD24" s="255">
        <f>[3]PSA!$IX$43</f>
        <v>8477</v>
      </c>
      <c r="AE24" s="2">
        <f>[3]PSA!$IJ$43</f>
        <v>357</v>
      </c>
      <c r="AF24" s="63">
        <f t="shared" si="27"/>
        <v>22.745098039215687</v>
      </c>
      <c r="AG24" s="255">
        <f>SUM([3]PSA!$IT$43:$IX$43)</f>
        <v>39837</v>
      </c>
      <c r="AH24" s="2">
        <f>SUM([3]PSA!$IF$43:$IJ$43)</f>
        <v>19597</v>
      </c>
      <c r="AI24" s="3">
        <f t="shared" si="28"/>
        <v>1.0328111445629433</v>
      </c>
      <c r="AJ24" s="63">
        <f t="shared" si="29"/>
        <v>2.7322514933352119E-3</v>
      </c>
    </row>
    <row r="25" spans="1:36" ht="14.1" customHeight="1" x14ac:dyDescent="0.2">
      <c r="A25" s="36"/>
      <c r="B25" s="310" t="s">
        <v>97</v>
      </c>
      <c r="C25" s="255">
        <f>'[3]Sky West_AA'!$IX$19</f>
        <v>52</v>
      </c>
      <c r="D25" s="2">
        <f>'[3]Sky West_AA'!$IJ$19</f>
        <v>0</v>
      </c>
      <c r="E25" s="63" t="e">
        <f>(C25-D25)/D25</f>
        <v>#DIV/0!</v>
      </c>
      <c r="F25" s="2">
        <f>SUM('[3]Sky West_AA'!$IT$19:$IX$19)</f>
        <v>52</v>
      </c>
      <c r="G25" s="2">
        <f>SUM('[3]Sky West_AA'!$IF$19:$IJ$19)</f>
        <v>0</v>
      </c>
      <c r="H25" s="3" t="e">
        <f>(F25-G25)/G25</f>
        <v>#DIV/0!</v>
      </c>
      <c r="I25" s="63">
        <f t="shared" si="20"/>
        <v>4.2487478449860692E-4</v>
      </c>
      <c r="J25" s="36"/>
      <c r="K25" s="310" t="s">
        <v>97</v>
      </c>
      <c r="L25" s="255">
        <f>'[3]Sky West_AA'!$IX$41</f>
        <v>3064</v>
      </c>
      <c r="M25" s="2">
        <f>'[3]Sky West_AA'!$IJ$41</f>
        <v>0</v>
      </c>
      <c r="N25" s="63" t="e">
        <f>(L25-M25)/M25</f>
        <v>#DIV/0!</v>
      </c>
      <c r="O25" s="255">
        <f>SUM('[3]Sky West_AA'!$IT$41:$IX$41)</f>
        <v>3064</v>
      </c>
      <c r="P25" s="2">
        <f>SUM('[3]Sky West_AA'!$IF$41:$IJ$41)</f>
        <v>0</v>
      </c>
      <c r="Q25" s="3" t="e">
        <f>(O25-P25)/P25</f>
        <v>#DIV/0!</v>
      </c>
      <c r="R25" s="316">
        <f t="shared" si="23"/>
        <v>2.1624507229071356E-4</v>
      </c>
      <c r="S25" s="36"/>
      <c r="T25" s="310" t="s">
        <v>97</v>
      </c>
      <c r="U25" s="255">
        <f>'[3]Sky West_AA'!$IX$64</f>
        <v>2</v>
      </c>
      <c r="V25" s="2">
        <f>'[3]Sky West_AA'!$IJ$64</f>
        <v>0</v>
      </c>
      <c r="W25" s="63" t="e">
        <f>(U25-V25)/V25</f>
        <v>#DIV/0!</v>
      </c>
      <c r="X25" s="255">
        <f>SUM('[3]Sky West_AA'!$IT$64:$IX$64)</f>
        <v>2</v>
      </c>
      <c r="Y25" s="2">
        <f>SUM('[3]Sky West_AA'!$IF$64:$IJ$64)</f>
        <v>0</v>
      </c>
      <c r="Z25" s="3" t="e">
        <f>(X25-Y25)/Y25</f>
        <v>#DIV/0!</v>
      </c>
      <c r="AA25" s="316">
        <f t="shared" si="26"/>
        <v>6.2605064797948054E-8</v>
      </c>
      <c r="AB25" s="36"/>
      <c r="AC25" s="310" t="s">
        <v>97</v>
      </c>
      <c r="AD25" s="255">
        <f>'[3]Sky West_AA'!$IX$43</f>
        <v>3213</v>
      </c>
      <c r="AE25" s="2">
        <f>'[3]Sky West_AA'!$IJ$43</f>
        <v>0</v>
      </c>
      <c r="AF25" s="63" t="e">
        <f>(AD25-AE25)/AE25</f>
        <v>#DIV/0!</v>
      </c>
      <c r="AG25" s="255">
        <f>SUM('[3]Sky West_AA'!$IT$43:$IX$43)</f>
        <v>3213</v>
      </c>
      <c r="AH25" s="2">
        <f>SUM('[3]Sky West_AA'!$IF$43:$IJ$43)</f>
        <v>0</v>
      </c>
      <c r="AI25" s="3" t="e">
        <f>(AG25-AH25)/AH25</f>
        <v>#DIV/0!</v>
      </c>
      <c r="AJ25" s="63">
        <f t="shared" si="29"/>
        <v>2.2036609303125324E-4</v>
      </c>
    </row>
    <row r="26" spans="1:36" ht="14.1" customHeight="1" x14ac:dyDescent="0.2">
      <c r="A26" s="36"/>
      <c r="B26" s="310" t="s">
        <v>50</v>
      </c>
      <c r="C26" s="255">
        <f>'[3]Air Wisconsin'!$IX$19</f>
        <v>0</v>
      </c>
      <c r="D26" s="2">
        <f>'[3]Air Wisconsin'!$IJ$19</f>
        <v>24</v>
      </c>
      <c r="E26" s="63">
        <f t="shared" si="18"/>
        <v>-1</v>
      </c>
      <c r="F26" s="2">
        <f>SUM('[3]Air Wisconsin'!$IT$19:$IX$19)</f>
        <v>268</v>
      </c>
      <c r="G26" s="2">
        <f>SUM('[3]Air Wisconsin'!$IF$19:$IJ$19)</f>
        <v>26</v>
      </c>
      <c r="H26" s="341">
        <f t="shared" si="19"/>
        <v>9.3076923076923084</v>
      </c>
      <c r="I26" s="63">
        <f t="shared" si="20"/>
        <v>2.1897392739543588E-3</v>
      </c>
      <c r="J26" s="36"/>
      <c r="K26" s="258" t="s">
        <v>50</v>
      </c>
      <c r="L26" s="255">
        <f>'[3]Air Wisconsin'!$IX$41</f>
        <v>0</v>
      </c>
      <c r="M26" s="2">
        <f>'[3]Air Wisconsin'!$IJ$41</f>
        <v>967</v>
      </c>
      <c r="N26" s="63">
        <f t="shared" si="21"/>
        <v>-1</v>
      </c>
      <c r="O26" s="255">
        <f>SUM('[3]Air Wisconsin'!$IT$41:$IX$41)</f>
        <v>12095</v>
      </c>
      <c r="P26" s="2">
        <f>SUM('[3]Air Wisconsin'!$IF$41:$IJ$41)</f>
        <v>1002</v>
      </c>
      <c r="Q26" s="3">
        <f t="shared" si="22"/>
        <v>11.070858283433134</v>
      </c>
      <c r="R26" s="63">
        <f t="shared" si="23"/>
        <v>8.5361754221807457E-4</v>
      </c>
      <c r="S26" s="36"/>
      <c r="T26" s="258" t="s">
        <v>50</v>
      </c>
      <c r="U26" s="255">
        <f>'[3]Air Wisconsin'!$IX$64</f>
        <v>0</v>
      </c>
      <c r="V26" s="2">
        <f>'[3]Air Wisconsin'!$IJ$64</f>
        <v>0</v>
      </c>
      <c r="W26" s="63" t="e">
        <f t="shared" ref="W26" si="30">(U26-V26)/V26</f>
        <v>#DIV/0!</v>
      </c>
      <c r="X26" s="255">
        <f>SUM('[3]Air Wisconsin'!$IT$64:$IX$64)</f>
        <v>2678</v>
      </c>
      <c r="Y26" s="2">
        <f>SUM('[3]Air Wisconsin'!$IF$64:$IJ$64)</f>
        <v>0</v>
      </c>
      <c r="Z26" s="3" t="e">
        <f t="shared" ref="Z26" si="31">(X26-Y26)/Y26</f>
        <v>#DIV/0!</v>
      </c>
      <c r="AA26" s="63">
        <f t="shared" si="26"/>
        <v>8.3828181764452445E-5</v>
      </c>
      <c r="AB26" s="36"/>
      <c r="AC26" s="258" t="s">
        <v>50</v>
      </c>
      <c r="AD26" s="255">
        <f>'[3]Air Wisconsin'!$IX$43</f>
        <v>0</v>
      </c>
      <c r="AE26" s="2">
        <f>'[3]Air Wisconsin'!$IJ$43</f>
        <v>1018</v>
      </c>
      <c r="AF26" s="63">
        <f t="shared" ref="AF26" si="32">(AD26-AE26)/AE26</f>
        <v>-1</v>
      </c>
      <c r="AG26" s="255">
        <f>SUM('[3]Air Wisconsin'!$IT$43:$IX$43)</f>
        <v>12478</v>
      </c>
      <c r="AH26" s="2">
        <f>SUM('[3]Air Wisconsin'!$IF$43:$IJ$43)</f>
        <v>1054</v>
      </c>
      <c r="AI26" s="3">
        <f t="shared" ref="AI26" si="33">(AG26-AH26)/AH26</f>
        <v>10.838709677419354</v>
      </c>
      <c r="AJ26" s="63">
        <f t="shared" si="29"/>
        <v>8.5581329251290938E-4</v>
      </c>
    </row>
    <row r="27" spans="1:36" ht="14.1" customHeight="1" x14ac:dyDescent="0.2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" customHeight="1" x14ac:dyDescent="0.2">
      <c r="A28" s="250" t="s">
        <v>159</v>
      </c>
      <c r="B28" s="37"/>
      <c r="C28" s="251">
        <f>[3]Condor!$IX$19</f>
        <v>14</v>
      </c>
      <c r="D28" s="253">
        <f>[3]Condor!$IJ$19</f>
        <v>6</v>
      </c>
      <c r="E28" s="254">
        <f>(C28-D28)/D28</f>
        <v>1.3333333333333333</v>
      </c>
      <c r="F28" s="253">
        <f>SUM([3]Condor!$IT$19:$IX$19)</f>
        <v>14</v>
      </c>
      <c r="G28" s="253">
        <f>SUM([3]Condor!$IF$19:$IJ$19)</f>
        <v>6</v>
      </c>
      <c r="H28" s="252">
        <f>(F28-G28)/G28</f>
        <v>1.3333333333333333</v>
      </c>
      <c r="I28" s="254">
        <f>F28/$F$64</f>
        <v>1.1438936505731724E-4</v>
      </c>
      <c r="J28" s="250" t="s">
        <v>159</v>
      </c>
      <c r="K28" s="37"/>
      <c r="L28" s="251">
        <f>[3]Condor!$IX$41</f>
        <v>3059</v>
      </c>
      <c r="M28" s="253">
        <f>[3]Condor!$IJ$41</f>
        <v>1368</v>
      </c>
      <c r="N28" s="254">
        <f>(L28-M28)/M28</f>
        <v>1.2361111111111112</v>
      </c>
      <c r="O28" s="251">
        <f>SUM([3]Condor!$IT$41:$IX$41)</f>
        <v>3059</v>
      </c>
      <c r="P28" s="253">
        <f>SUM([3]Condor!$IF$41:$IJ$41)</f>
        <v>1368</v>
      </c>
      <c r="Q28" s="252">
        <f>(O28-P28)/P28</f>
        <v>1.2361111111111112</v>
      </c>
      <c r="R28" s="254">
        <f>O28/$O$64</f>
        <v>2.1589219195081356E-4</v>
      </c>
      <c r="S28" s="250" t="s">
        <v>159</v>
      </c>
      <c r="T28" s="37"/>
      <c r="U28" s="251">
        <f>[3]Condor!$IX$64</f>
        <v>100641</v>
      </c>
      <c r="V28" s="253">
        <f>[3]Condor!$IJ$64</f>
        <v>27311</v>
      </c>
      <c r="W28" s="254">
        <f>(U28-V28)/V28</f>
        <v>2.6849987184650872</v>
      </c>
      <c r="X28" s="251">
        <f>SUM([3]Condor!$IT$64:$IX$64)</f>
        <v>100641</v>
      </c>
      <c r="Y28" s="253">
        <f>SUM([3]Condor!$IF$64:$IJ$64)</f>
        <v>27311</v>
      </c>
      <c r="Z28" s="252">
        <f>(X28-Y28)/Y28</f>
        <v>2.6849987184650872</v>
      </c>
      <c r="AA28" s="254">
        <f>X28/$X$64</f>
        <v>3.1503181631651451E-3</v>
      </c>
      <c r="AB28" s="250" t="s">
        <v>159</v>
      </c>
      <c r="AC28" s="37"/>
      <c r="AD28" s="251">
        <f>[3]Condor!$IX$43</f>
        <v>3071</v>
      </c>
      <c r="AE28" s="253">
        <f>[3]Condor!$IJ$43</f>
        <v>1371</v>
      </c>
      <c r="AF28" s="254">
        <f>(AD28-AE28)/AE28</f>
        <v>1.2399708242159009</v>
      </c>
      <c r="AG28" s="251">
        <f>SUM([3]Condor!$IT$43:$IX$43)</f>
        <v>3071</v>
      </c>
      <c r="AH28" s="253">
        <f>SUM([3]Condor!$IF$43:$IJ$43)</f>
        <v>1371</v>
      </c>
      <c r="AI28" s="252">
        <f>(AG28-AH28)/AH28</f>
        <v>1.2399708242159009</v>
      </c>
      <c r="AJ28" s="254">
        <f>AG28/$AG$64</f>
        <v>2.1062691307157755E-4</v>
      </c>
    </row>
    <row r="29" spans="1:36" ht="14.1" customHeight="1" x14ac:dyDescent="0.2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" customHeight="1" x14ac:dyDescent="0.2">
      <c r="A30" s="250" t="s">
        <v>210</v>
      </c>
      <c r="B30" s="37"/>
      <c r="C30" s="251">
        <f>'[3]Denver Air'!$IX$19</f>
        <v>190</v>
      </c>
      <c r="D30" s="253">
        <f>'[3]Denver Air'!$IJ$19</f>
        <v>160</v>
      </c>
      <c r="E30" s="254">
        <f>(C30-D30)/D30</f>
        <v>0.1875</v>
      </c>
      <c r="F30" s="253">
        <f>SUM('[3]Denver Air'!$IT$19:$IX$19)</f>
        <v>884</v>
      </c>
      <c r="G30" s="253">
        <f>SUM('[3]Denver Air'!$IF$19:$IJ$19)</f>
        <v>764</v>
      </c>
      <c r="H30" s="252">
        <f>(F30-G30)/G30</f>
        <v>0.15706806282722513</v>
      </c>
      <c r="I30" s="254">
        <f>F30/$F$64</f>
        <v>7.2228713364763169E-3</v>
      </c>
      <c r="J30" s="250" t="s">
        <v>210</v>
      </c>
      <c r="K30" s="37"/>
      <c r="L30" s="251">
        <f>'[3]Denver Air'!$IX$41</f>
        <v>1893</v>
      </c>
      <c r="M30" s="253">
        <f>'[3]Denver Air'!$IJ$41</f>
        <v>1488</v>
      </c>
      <c r="N30" s="254">
        <f>(L30-M30)/M30</f>
        <v>0.27217741935483869</v>
      </c>
      <c r="O30" s="251">
        <f>SUM('[3]Denver Air'!$IT$41:$IX$41)</f>
        <v>8421</v>
      </c>
      <c r="P30" s="253">
        <f>SUM('[3]Denver Air'!$IF$41:$IJ$41)</f>
        <v>7321</v>
      </c>
      <c r="Q30" s="252">
        <f>(O30-P30)/P30</f>
        <v>0.15025269771889085</v>
      </c>
      <c r="R30" s="254">
        <f>O30/$O$64</f>
        <v>5.9432106845956232E-4</v>
      </c>
      <c r="S30" s="250" t="s">
        <v>210</v>
      </c>
      <c r="T30" s="37"/>
      <c r="U30" s="251">
        <f>'[3]Denver Air'!$IX$64</f>
        <v>0</v>
      </c>
      <c r="V30" s="253">
        <f>'[3]Denver Air'!$IJ$64</f>
        <v>0</v>
      </c>
      <c r="W30" s="254" t="e">
        <f>(U30-V30)/V30</f>
        <v>#DIV/0!</v>
      </c>
      <c r="X30" s="251">
        <f>SUM('[3]Denver Air'!$IT$64:$IX$64)</f>
        <v>0</v>
      </c>
      <c r="Y30" s="253">
        <f>SUM('[3]Denver Air'!$IF$64:$IJ$64)</f>
        <v>0</v>
      </c>
      <c r="Z30" s="252" t="e">
        <f>(X30-Y30)/Y30</f>
        <v>#DIV/0!</v>
      </c>
      <c r="AA30" s="254">
        <f>X30/$X$62</f>
        <v>0</v>
      </c>
      <c r="AB30" s="250" t="s">
        <v>210</v>
      </c>
      <c r="AC30" s="37"/>
      <c r="AD30" s="251">
        <f>'[3]Denver Air'!$IX$43</f>
        <v>1965</v>
      </c>
      <c r="AE30" s="253">
        <f>'[3]Denver Air'!$IJ$43</f>
        <v>1575</v>
      </c>
      <c r="AF30" s="254">
        <f>(AD30-AE30)/AE30</f>
        <v>0.24761904761904763</v>
      </c>
      <c r="AG30" s="251">
        <f>SUM('[3]Denver Air'!$IT$43:$IX$43)</f>
        <v>8785</v>
      </c>
      <c r="AH30" s="253">
        <f>SUM('[3]Denver Air'!$IF$43:$IJ$43)</f>
        <v>7595</v>
      </c>
      <c r="AI30" s="252">
        <f>(AG30-AH30)/AH30</f>
        <v>0.15668202764976957</v>
      </c>
      <c r="AJ30" s="254">
        <f>AG30/$AG$64</f>
        <v>6.0252602778697783E-4</v>
      </c>
    </row>
    <row r="31" spans="1:36" ht="14.1" customHeight="1" x14ac:dyDescent="0.2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" customHeight="1" x14ac:dyDescent="0.2">
      <c r="A32" s="250" t="s">
        <v>18</v>
      </c>
      <c r="B32" s="257"/>
      <c r="C32" s="251">
        <f>SUM(C33:C36)</f>
        <v>18626</v>
      </c>
      <c r="D32" s="253">
        <f>SUM(D33:D36)</f>
        <v>17530</v>
      </c>
      <c r="E32" s="254">
        <f t="shared" ref="E32:E36" si="34">(C32-D32)/D32</f>
        <v>6.2521391899600681E-2</v>
      </c>
      <c r="F32" s="256">
        <f>SUM(F33:F36)</f>
        <v>86972</v>
      </c>
      <c r="G32" s="256">
        <f>SUM(G33:G36)</f>
        <v>83200</v>
      </c>
      <c r="H32" s="252">
        <f>(F32-G32)/G32</f>
        <v>4.5336538461538463E-2</v>
      </c>
      <c r="I32" s="254">
        <f>F32/$F$64</f>
        <v>0.71061941841178533</v>
      </c>
      <c r="J32" s="250" t="s">
        <v>18</v>
      </c>
      <c r="K32" s="257"/>
      <c r="L32" s="251">
        <f>SUM(L33:L36)</f>
        <v>2214739</v>
      </c>
      <c r="M32" s="253">
        <f>SUM(M33:M36)</f>
        <v>1999562</v>
      </c>
      <c r="N32" s="254">
        <f t="shared" ref="N32:N36" si="35">(L32-M32)/M32</f>
        <v>0.10761206704268235</v>
      </c>
      <c r="O32" s="251">
        <f>SUM(O33:O36)</f>
        <v>9793582</v>
      </c>
      <c r="P32" s="253">
        <f>SUM(P33:P36)</f>
        <v>9086245</v>
      </c>
      <c r="Q32" s="252">
        <f t="shared" ref="Q32:Q36" si="36">(O32-P32)/P32</f>
        <v>7.7847009408176862E-2</v>
      </c>
      <c r="R32" s="254">
        <f>O32/$O$64</f>
        <v>0.69119250899968376</v>
      </c>
      <c r="S32" s="250" t="s">
        <v>18</v>
      </c>
      <c r="T32" s="257"/>
      <c r="U32" s="251">
        <f>SUM(U33:U36)</f>
        <v>5814939</v>
      </c>
      <c r="V32" s="253">
        <f>SUM(V33:V36)</f>
        <v>6126400</v>
      </c>
      <c r="W32" s="254">
        <f t="shared" ref="W32:W36" si="37">(U32-V32)/V32</f>
        <v>-5.083915513188822E-2</v>
      </c>
      <c r="X32" s="251">
        <f>SUM(X33:X36)</f>
        <v>28549902</v>
      </c>
      <c r="Y32" s="253">
        <f>SUM(Y33:Y36)</f>
        <v>30767594</v>
      </c>
      <c r="Z32" s="252">
        <f t="shared" ref="Z32:Z34" si="38">(X32-Y32)/Y32</f>
        <v>-7.2078824233055075E-2</v>
      </c>
      <c r="AA32" s="254">
        <f>X32/$X$64</f>
        <v>0.89368423234253336</v>
      </c>
      <c r="AB32" s="250" t="s">
        <v>18</v>
      </c>
      <c r="AC32" s="257"/>
      <c r="AD32" s="251">
        <f>SUM(AD33:AD36)</f>
        <v>2277260</v>
      </c>
      <c r="AE32" s="253">
        <f>SUM(AE33:AE36)</f>
        <v>2061302</v>
      </c>
      <c r="AF32" s="254">
        <f t="shared" ref="AF32:AF36" si="39">(AD32-AE32)/AE32</f>
        <v>0.10476776328747558</v>
      </c>
      <c r="AG32" s="251">
        <f>SUM(AG33:AG36)</f>
        <v>10110477</v>
      </c>
      <c r="AH32" s="253">
        <f>SUM(AH33:AH36)</f>
        <v>9385324</v>
      </c>
      <c r="AI32" s="252">
        <f t="shared" ref="AI32:AI36" si="40">(AG32-AH32)/AH32</f>
        <v>7.7264567531179537E-2</v>
      </c>
      <c r="AJ32" s="254">
        <f>AG32/$AG$64</f>
        <v>0.69343489423353444</v>
      </c>
    </row>
    <row r="33" spans="1:36" ht="14.1" customHeight="1" x14ac:dyDescent="0.2">
      <c r="A33" s="36"/>
      <c r="B33" s="37" t="s">
        <v>18</v>
      </c>
      <c r="C33" s="255">
        <f>[3]Delta!$IX$19</f>
        <v>12932</v>
      </c>
      <c r="D33" s="2">
        <f>[3]Delta!$IJ$19</f>
        <v>11983</v>
      </c>
      <c r="E33" s="63">
        <f t="shared" si="34"/>
        <v>7.9195526996578489E-2</v>
      </c>
      <c r="F33" s="2">
        <f>SUM([3]Delta!$IT$19:$IX$19)</f>
        <v>58708</v>
      </c>
      <c r="G33" s="2">
        <f>SUM([3]Delta!$IF$19:$IJ$19)</f>
        <v>55884</v>
      </c>
      <c r="H33" s="3">
        <f t="shared" ref="H33:H36" si="41">(F33-G33)/G33</f>
        <v>5.0533247441128054E-2</v>
      </c>
      <c r="I33" s="63">
        <f>F33/$F$64</f>
        <v>0.47968363169892719</v>
      </c>
      <c r="J33" s="36"/>
      <c r="K33" s="37" t="s">
        <v>18</v>
      </c>
      <c r="L33" s="255">
        <f>[3]Delta!$IX$41</f>
        <v>1878745</v>
      </c>
      <c r="M33" s="2">
        <f>[3]Delta!$IJ$41</f>
        <v>1698076</v>
      </c>
      <c r="N33" s="63">
        <f t="shared" si="35"/>
        <v>0.10639629792777237</v>
      </c>
      <c r="O33" s="255">
        <f>SUM([3]Delta!$IT$41:$IX$41)</f>
        <v>8192073</v>
      </c>
      <c r="P33" s="2">
        <f>SUM([3]Delta!$IF$41:$IJ$41)</f>
        <v>7673052</v>
      </c>
      <c r="Q33" s="3">
        <f t="shared" si="36"/>
        <v>6.7642054295995915E-2</v>
      </c>
      <c r="R33" s="63">
        <f>O33/$O$64</f>
        <v>0.57816430094510529</v>
      </c>
      <c r="S33" s="36"/>
      <c r="T33" s="37" t="s">
        <v>18</v>
      </c>
      <c r="U33" s="255">
        <f>[3]Delta!$IX$64</f>
        <v>5814939</v>
      </c>
      <c r="V33" s="2">
        <f>[3]Delta!$IJ$64</f>
        <v>6126400</v>
      </c>
      <c r="W33" s="63">
        <f t="shared" si="37"/>
        <v>-5.083915513188822E-2</v>
      </c>
      <c r="X33" s="255">
        <f>SUM([3]Delta!$IT$64:$IX$64)</f>
        <v>28549902</v>
      </c>
      <c r="Y33" s="2">
        <f>SUM([3]Delta!$IF$64:$IJ$64)</f>
        <v>30767594</v>
      </c>
      <c r="Z33" s="3">
        <f t="shared" si="38"/>
        <v>-7.2078824233055075E-2</v>
      </c>
      <c r="AA33" s="63">
        <f>X33/$X$64</f>
        <v>0.89368423234253336</v>
      </c>
      <c r="AB33" s="36"/>
      <c r="AC33" s="37" t="s">
        <v>18</v>
      </c>
      <c r="AD33" s="255">
        <f>[3]Delta!$IX$43</f>
        <v>1931742</v>
      </c>
      <c r="AE33" s="2">
        <f>[3]Delta!$IJ$43</f>
        <v>1751315</v>
      </c>
      <c r="AF33" s="63">
        <f t="shared" si="39"/>
        <v>0.10302372788447538</v>
      </c>
      <c r="AG33" s="255">
        <f>SUM([3]Delta!$IT$43:$IX$43)</f>
        <v>8457015</v>
      </c>
      <c r="AH33" s="2">
        <f>SUM([3]Delta!$IF$43:$IJ$43)</f>
        <v>7925809</v>
      </c>
      <c r="AI33" s="3">
        <f>(AG33-AH33)/AH33</f>
        <v>6.7022306492624292E-2</v>
      </c>
      <c r="AJ33" s="63">
        <f>AG33/$AG$64</f>
        <v>0.58003092258222977</v>
      </c>
    </row>
    <row r="34" spans="1:36" ht="14.1" customHeight="1" x14ac:dyDescent="0.2">
      <c r="A34" s="36"/>
      <c r="B34" s="37" t="s">
        <v>156</v>
      </c>
      <c r="C34" s="255">
        <f>[3]Pinnacle!$IX$19</f>
        <v>1504</v>
      </c>
      <c r="D34" s="2">
        <f>[3]Pinnacle!$IJ$19</f>
        <v>1248</v>
      </c>
      <c r="E34" s="63">
        <f t="shared" si="34"/>
        <v>0.20512820512820512</v>
      </c>
      <c r="F34" s="2">
        <f>SUM([3]Pinnacle!$IT$19:$IX$19)</f>
        <v>6616</v>
      </c>
      <c r="G34" s="2">
        <f>SUM([3]Pinnacle!$IF$19:$IJ$19)</f>
        <v>6794</v>
      </c>
      <c r="H34" s="3">
        <f t="shared" si="41"/>
        <v>-2.6199587871651456E-2</v>
      </c>
      <c r="I34" s="63">
        <f>F34/$F$64</f>
        <v>5.4057145658515063E-2</v>
      </c>
      <c r="J34" s="36"/>
      <c r="K34" s="37" t="s">
        <v>156</v>
      </c>
      <c r="L34" s="255">
        <f>[3]Pinnacle!$IX$41</f>
        <v>100702</v>
      </c>
      <c r="M34" s="2">
        <f>[3]Pinnacle!$IJ$41</f>
        <v>81338</v>
      </c>
      <c r="N34" s="63">
        <f t="shared" si="35"/>
        <v>0.23806830755612382</v>
      </c>
      <c r="O34" s="255">
        <f>SUM([3]Pinnacle!$IT$41:$IX$41)</f>
        <v>414414</v>
      </c>
      <c r="P34" s="2">
        <f>SUM([3]Pinnacle!$IF$41:$IJ$41)</f>
        <v>401223</v>
      </c>
      <c r="Q34" s="3">
        <f t="shared" si="36"/>
        <v>3.2876978637814878E-2</v>
      </c>
      <c r="R34" s="63">
        <f>O34/$O$64</f>
        <v>2.9247710635862848E-2</v>
      </c>
      <c r="S34" s="36"/>
      <c r="T34" s="37" t="s">
        <v>156</v>
      </c>
      <c r="U34" s="255">
        <f>[3]Pinnacle!$IX$64</f>
        <v>0</v>
      </c>
      <c r="V34" s="2">
        <f>[3]Pinnacle!$IJ$64</f>
        <v>0</v>
      </c>
      <c r="W34" s="63" t="e">
        <f t="shared" si="37"/>
        <v>#DIV/0!</v>
      </c>
      <c r="X34" s="255">
        <f>SUM([3]Pinnacle!$IT$64:$IX$64)</f>
        <v>0</v>
      </c>
      <c r="Y34" s="2">
        <f>SUM([3]Pinnacle!$IF$64:$IJ$64)</f>
        <v>0</v>
      </c>
      <c r="Z34" s="3" t="e">
        <f t="shared" si="38"/>
        <v>#DIV/0!</v>
      </c>
      <c r="AA34" s="63">
        <f>X34/$X$64</f>
        <v>0</v>
      </c>
      <c r="AB34" s="36"/>
      <c r="AC34" s="37" t="s">
        <v>156</v>
      </c>
      <c r="AD34" s="255">
        <f>[3]Pinnacle!$IX$43</f>
        <v>103091</v>
      </c>
      <c r="AE34" s="2">
        <f>[3]Pinnacle!$IJ$43</f>
        <v>83683</v>
      </c>
      <c r="AF34" s="63">
        <f t="shared" si="39"/>
        <v>0.23192285171420718</v>
      </c>
      <c r="AG34" s="255">
        <f>SUM([3]Pinnacle!$IT$43:$IX$43)</f>
        <v>427964</v>
      </c>
      <c r="AH34" s="2">
        <f>SUM([3]Pinnacle!$IF$43:$IJ$43)</f>
        <v>415708</v>
      </c>
      <c r="AI34" s="3">
        <f t="shared" si="40"/>
        <v>2.9482232721044579E-2</v>
      </c>
      <c r="AJ34" s="63">
        <f t="shared" ref="AJ34:AJ36" si="42">AG34/$AG$64</f>
        <v>2.9352242339877765E-2</v>
      </c>
    </row>
    <row r="35" spans="1:36" ht="14.1" customHeight="1" x14ac:dyDescent="0.2">
      <c r="A35" s="36"/>
      <c r="B35" s="37" t="s">
        <v>97</v>
      </c>
      <c r="C35" s="255">
        <f>'[3]Sky West'!$IX$19</f>
        <v>4190</v>
      </c>
      <c r="D35" s="2">
        <f>'[3]Sky West'!$IJ$19</f>
        <v>4299</v>
      </c>
      <c r="E35" s="63">
        <f t="shared" si="34"/>
        <v>-2.5354733658990464E-2</v>
      </c>
      <c r="F35" s="2">
        <f>SUM('[3]Sky West'!$IT$19:$IX$19)</f>
        <v>21648</v>
      </c>
      <c r="G35" s="2">
        <f>SUM('[3]Sky West'!$IF$19:$IJ$19)</f>
        <v>20522</v>
      </c>
      <c r="H35" s="3">
        <f t="shared" si="41"/>
        <v>5.4867946593899229E-2</v>
      </c>
      <c r="I35" s="63">
        <f>F35/$F$64</f>
        <v>0.17687864105434312</v>
      </c>
      <c r="J35" s="36"/>
      <c r="K35" s="37" t="s">
        <v>97</v>
      </c>
      <c r="L35" s="255">
        <f>'[3]Sky West'!$IX$41</f>
        <v>235292</v>
      </c>
      <c r="M35" s="2">
        <f>'[3]Sky West'!$IJ$41</f>
        <v>220148</v>
      </c>
      <c r="N35" s="63">
        <f t="shared" si="35"/>
        <v>6.8790086668968145E-2</v>
      </c>
      <c r="O35" s="255">
        <f>SUM('[3]Sky West'!$IT$41:$IX$41)</f>
        <v>1187095</v>
      </c>
      <c r="P35" s="2">
        <f>SUM('[3]Sky West'!$IF$41:$IJ$41)</f>
        <v>1011970</v>
      </c>
      <c r="Q35" s="3">
        <f t="shared" si="36"/>
        <v>0.17305354901825154</v>
      </c>
      <c r="R35" s="63">
        <f>O35/$O$64</f>
        <v>8.3780497418715599E-2</v>
      </c>
      <c r="S35" s="36"/>
      <c r="T35" s="37" t="s">
        <v>97</v>
      </c>
      <c r="U35" s="255">
        <f>'[3]Sky West'!$IX$64</f>
        <v>0</v>
      </c>
      <c r="V35" s="2">
        <f>'[3]Sky West'!$IJ$64</f>
        <v>0</v>
      </c>
      <c r="W35" s="63" t="e">
        <f t="shared" si="37"/>
        <v>#DIV/0!</v>
      </c>
      <c r="X35" s="255">
        <f>SUM('[3]Sky West'!$IT$64:$IX$64)</f>
        <v>0</v>
      </c>
      <c r="Y35" s="2">
        <f>SUM('[3]Sky West'!$IF$64:$IJ$64)</f>
        <v>0</v>
      </c>
      <c r="Z35" s="3" t="e">
        <f t="shared" ref="Z35:Z36" si="43">(X35-Y35)/Y35</f>
        <v>#DIV/0!</v>
      </c>
      <c r="AA35" s="63">
        <f>X35/$X$64</f>
        <v>0</v>
      </c>
      <c r="AB35" s="36"/>
      <c r="AC35" s="37" t="s">
        <v>97</v>
      </c>
      <c r="AD35" s="255">
        <f>'[3]Sky West'!$IX$43</f>
        <v>242427</v>
      </c>
      <c r="AE35" s="2">
        <f>'[3]Sky West'!$IJ$43</f>
        <v>226304</v>
      </c>
      <c r="AF35" s="63">
        <f t="shared" si="39"/>
        <v>7.1244874151583704E-2</v>
      </c>
      <c r="AG35" s="255">
        <f>SUM('[3]Sky West'!$IT$43:$IX$43)</f>
        <v>1225498</v>
      </c>
      <c r="AH35" s="2">
        <f>SUM('[3]Sky West'!$IF$43:$IJ$43)</f>
        <v>1043807</v>
      </c>
      <c r="AI35" s="3">
        <f t="shared" si="40"/>
        <v>0.17406570371725807</v>
      </c>
      <c r="AJ35" s="63">
        <f t="shared" si="42"/>
        <v>8.4051729311426945E-2</v>
      </c>
    </row>
    <row r="36" spans="1:36" ht="14.1" customHeight="1" x14ac:dyDescent="0.2">
      <c r="A36" s="36"/>
      <c r="B36" s="310" t="s">
        <v>164</v>
      </c>
      <c r="C36" s="255">
        <f>'[3]Atlantic Southeast'!$IX$19</f>
        <v>0</v>
      </c>
      <c r="D36" s="2">
        <f>'[3]Atlantic Southeast'!$IJ$19</f>
        <v>0</v>
      </c>
      <c r="E36" s="63" t="e">
        <f t="shared" si="34"/>
        <v>#DIV/0!</v>
      </c>
      <c r="F36" s="2">
        <f>SUM('[3]Atlantic Southeast'!$IT$19:$IX$19)</f>
        <v>0</v>
      </c>
      <c r="G36" s="2">
        <f>SUM('[3]Atlantic Southeast'!$IF$19:$IJ$19)</f>
        <v>0</v>
      </c>
      <c r="H36" s="3" t="e">
        <f t="shared" si="41"/>
        <v>#DIV/0!</v>
      </c>
      <c r="I36" s="63">
        <f>F36/$F$64</f>
        <v>0</v>
      </c>
      <c r="J36" s="36"/>
      <c r="K36" s="310" t="s">
        <v>164</v>
      </c>
      <c r="L36" s="255">
        <f>'[3]Atlantic Southeast'!$IX$41</f>
        <v>0</v>
      </c>
      <c r="M36" s="2">
        <f>'[3]Atlantic Southeast'!$IJ$41</f>
        <v>0</v>
      </c>
      <c r="N36" s="63" t="e">
        <f t="shared" si="35"/>
        <v>#DIV/0!</v>
      </c>
      <c r="O36" s="255">
        <f>SUM('[3]Atlantic Southeast'!$IT$41:$IX$41)</f>
        <v>0</v>
      </c>
      <c r="P36" s="2">
        <f>SUM('[3]Atlantic Southeast'!$IF$41:$IJ$41)</f>
        <v>0</v>
      </c>
      <c r="Q36" s="3" t="e">
        <f t="shared" si="36"/>
        <v>#DIV/0!</v>
      </c>
      <c r="R36" s="63">
        <f>O36/$O$64</f>
        <v>0</v>
      </c>
      <c r="S36" s="36"/>
      <c r="T36" s="310" t="s">
        <v>164</v>
      </c>
      <c r="U36" s="255">
        <f>'[3]Atlantic Southeast'!$IX$64</f>
        <v>0</v>
      </c>
      <c r="V36" s="2">
        <f>'[3]Atlantic Southeast'!$IJ$64</f>
        <v>0</v>
      </c>
      <c r="W36" s="63" t="e">
        <f t="shared" si="37"/>
        <v>#DIV/0!</v>
      </c>
      <c r="X36" s="255">
        <f>SUM('[3]Atlantic Southeast'!$IT$64:$IX$64)</f>
        <v>0</v>
      </c>
      <c r="Y36" s="2">
        <f>SUM('[3]Atlantic Southeast'!$IF$64:$IJ$64)</f>
        <v>0</v>
      </c>
      <c r="Z36" s="3" t="e">
        <f t="shared" si="43"/>
        <v>#DIV/0!</v>
      </c>
      <c r="AA36" s="63">
        <f>X36/$X$64</f>
        <v>0</v>
      </c>
      <c r="AB36" s="36"/>
      <c r="AC36" s="310" t="s">
        <v>164</v>
      </c>
      <c r="AD36" s="255">
        <f>'[3]Atlantic Southeast'!$IX$43</f>
        <v>0</v>
      </c>
      <c r="AE36" s="2">
        <f>'[3]Atlantic Southeast'!$IJ$43</f>
        <v>0</v>
      </c>
      <c r="AF36" s="63" t="e">
        <f t="shared" si="39"/>
        <v>#DIV/0!</v>
      </c>
      <c r="AG36" s="255">
        <f>SUM('[3]Atlantic Southeast'!$IT$43:$IX$43)</f>
        <v>0</v>
      </c>
      <c r="AH36" s="2">
        <f>SUM('[3]Atlantic Southeast'!$IF$43:$IJ$43)</f>
        <v>0</v>
      </c>
      <c r="AI36" s="3" t="e">
        <f t="shared" si="40"/>
        <v>#DIV/0!</v>
      </c>
      <c r="AJ36" s="63">
        <f t="shared" si="42"/>
        <v>0</v>
      </c>
    </row>
    <row r="37" spans="1:36" ht="14.1" customHeight="1" x14ac:dyDescent="0.2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" customHeight="1" x14ac:dyDescent="0.2">
      <c r="A38" s="250" t="s">
        <v>47</v>
      </c>
      <c r="B38" s="37"/>
      <c r="C38" s="251">
        <f>[3]Frontier!$IX$19</f>
        <v>331</v>
      </c>
      <c r="D38" s="253">
        <f>[3]Frontier!$IJ$19</f>
        <v>117</v>
      </c>
      <c r="E38" s="254">
        <f>(C38-D38)/D38</f>
        <v>1.829059829059829</v>
      </c>
      <c r="F38" s="253">
        <f>SUM([3]Frontier!$IT$19:$IX$19)</f>
        <v>1617</v>
      </c>
      <c r="G38" s="253">
        <f>SUM([3]Frontier!$IF$19:$IJ$19)</f>
        <v>570</v>
      </c>
      <c r="H38" s="252">
        <f>(F38-G38)/G38</f>
        <v>1.8368421052631578</v>
      </c>
      <c r="I38" s="254">
        <f>F38/$F$64</f>
        <v>1.3211971664120142E-2</v>
      </c>
      <c r="J38" s="250" t="s">
        <v>47</v>
      </c>
      <c r="K38" s="37"/>
      <c r="L38" s="251">
        <f>[3]Frontier!$IX$41</f>
        <v>50291</v>
      </c>
      <c r="M38" s="253">
        <f>[3]Frontier!$IJ$41</f>
        <v>20043</v>
      </c>
      <c r="N38" s="254">
        <f>(L38-M38)/M38</f>
        <v>1.5091553160704485</v>
      </c>
      <c r="O38" s="251">
        <f>SUM([3]Frontier!$IT$41:$IX$41)</f>
        <v>257367</v>
      </c>
      <c r="P38" s="253">
        <f>SUM([3]Frontier!$IF$41:$IJ$41)</f>
        <v>94572</v>
      </c>
      <c r="Q38" s="252">
        <f>(O38-P38)/P38</f>
        <v>1.721386879837584</v>
      </c>
      <c r="R38" s="254">
        <f>O38/$O$64</f>
        <v>1.8163950887808117E-2</v>
      </c>
      <c r="S38" s="250" t="s">
        <v>47</v>
      </c>
      <c r="T38" s="37"/>
      <c r="U38" s="251">
        <f>[3]Frontier!$IX$64</f>
        <v>0</v>
      </c>
      <c r="V38" s="253">
        <f>[3]Frontier!$IJ$64</f>
        <v>0</v>
      </c>
      <c r="W38" s="254" t="e">
        <f>(U38-V38)/V38</f>
        <v>#DIV/0!</v>
      </c>
      <c r="X38" s="251">
        <f>SUM([3]Frontier!$IT$64:$IX$64)</f>
        <v>0</v>
      </c>
      <c r="Y38" s="253">
        <f>SUM([3]Frontier!$IF$64:$IJ$64)</f>
        <v>0</v>
      </c>
      <c r="Z38" s="252" t="e">
        <f>(X38-Y38)/Y38</f>
        <v>#DIV/0!</v>
      </c>
      <c r="AA38" s="254">
        <f>X38/$X$64</f>
        <v>0</v>
      </c>
      <c r="AB38" s="250" t="s">
        <v>47</v>
      </c>
      <c r="AC38" s="37"/>
      <c r="AD38" s="251">
        <f>[3]Frontier!$IX$43</f>
        <v>50622</v>
      </c>
      <c r="AE38" s="253">
        <f>[3]Frontier!$IJ$43</f>
        <v>20163</v>
      </c>
      <c r="AF38" s="254">
        <f>(AD38-AE38)/AE38</f>
        <v>1.5106382978723405</v>
      </c>
      <c r="AG38" s="251">
        <f>SUM([3]Frontier!$IT$43:$IX$43)</f>
        <v>258807</v>
      </c>
      <c r="AH38" s="253">
        <f>SUM([3]Frontier!$IF$43:$IJ$43)</f>
        <v>95156</v>
      </c>
      <c r="AI38" s="252">
        <f>(AG38-AH38)/AH38</f>
        <v>1.7198179831014335</v>
      </c>
      <c r="AJ38" s="254">
        <f>AG38/$AG$64</f>
        <v>1.7750478505801293E-2</v>
      </c>
    </row>
    <row r="39" spans="1:36" ht="14.1" customHeight="1" x14ac:dyDescent="0.2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" customHeight="1" x14ac:dyDescent="0.2">
      <c r="A40" s="250" t="s">
        <v>48</v>
      </c>
      <c r="B40" s="37"/>
      <c r="C40" s="251">
        <f>[3]Icelandair!$IX$19</f>
        <v>58</v>
      </c>
      <c r="D40" s="253">
        <f>[3]Icelandair!$IJ$19</f>
        <v>52</v>
      </c>
      <c r="E40" s="254">
        <f>(C40-D40)/D40</f>
        <v>0.11538461538461539</v>
      </c>
      <c r="F40" s="253">
        <f>SUM([3]Icelandair!$IT$19:$IX$19)</f>
        <v>108</v>
      </c>
      <c r="G40" s="253">
        <f>SUM([3]Icelandair!$IF$19:$IJ$19)</f>
        <v>108</v>
      </c>
      <c r="H40" s="252">
        <f>(F40-G40)/G40</f>
        <v>0</v>
      </c>
      <c r="I40" s="254">
        <f>F40/$F$64</f>
        <v>8.8243224472787582E-4</v>
      </c>
      <c r="J40" s="250" t="s">
        <v>48</v>
      </c>
      <c r="K40" s="37"/>
      <c r="L40" s="251">
        <f>[3]Icelandair!$IX$41</f>
        <v>8143</v>
      </c>
      <c r="M40" s="253">
        <f>[3]Icelandair!$IJ$41</f>
        <v>7703</v>
      </c>
      <c r="N40" s="254">
        <f>(L40-M40)/M40</f>
        <v>5.7120602362715822E-2</v>
      </c>
      <c r="O40" s="251">
        <f>SUM([3]Icelandair!$IT$41:$IX$41)</f>
        <v>14801</v>
      </c>
      <c r="P40" s="253">
        <f>SUM([3]Icelandair!$IF$41:$IJ$41)</f>
        <v>14748</v>
      </c>
      <c r="Q40" s="252">
        <f>(O40-P40)/P40</f>
        <v>3.5937076213723895E-3</v>
      </c>
      <c r="R40" s="254">
        <f>O40/$O$64</f>
        <v>1.0445963821719489E-3</v>
      </c>
      <c r="S40" s="250" t="s">
        <v>48</v>
      </c>
      <c r="T40" s="37"/>
      <c r="U40" s="251">
        <f>[3]Icelandair!$IX$64</f>
        <v>718</v>
      </c>
      <c r="V40" s="253">
        <f>[3]Icelandair!$IJ$64</f>
        <v>317</v>
      </c>
      <c r="W40" s="254">
        <f>(U40-V40)/V40</f>
        <v>1.2649842271293374</v>
      </c>
      <c r="X40" s="251">
        <f>SUM([3]Icelandair!$IT$64:$IX$64)</f>
        <v>3417</v>
      </c>
      <c r="Y40" s="253">
        <f>SUM([3]Icelandair!$IF$64:$IJ$64)</f>
        <v>1225</v>
      </c>
      <c r="Z40" s="252">
        <f>(X40-Y40)/Y40</f>
        <v>1.7893877551020407</v>
      </c>
      <c r="AA40" s="254">
        <f>X40/$X$64</f>
        <v>1.0696075320729424E-4</v>
      </c>
      <c r="AB40" s="250" t="s">
        <v>48</v>
      </c>
      <c r="AC40" s="37"/>
      <c r="AD40" s="251">
        <f>[3]Icelandair!$IX$43</f>
        <v>8211</v>
      </c>
      <c r="AE40" s="253">
        <f>[3]Icelandair!$IJ$43</f>
        <v>7754</v>
      </c>
      <c r="AF40" s="254">
        <f>(AD40-AE40)/AE40</f>
        <v>5.8937322672169203E-2</v>
      </c>
      <c r="AG40" s="251">
        <f>SUM([3]Icelandair!$IT$43:$IX$43)</f>
        <v>14976</v>
      </c>
      <c r="AH40" s="253">
        <f>SUM([3]Icelandair!$IF$43:$IJ$43)</f>
        <v>14890</v>
      </c>
      <c r="AI40" s="252">
        <f>(AG40-AH40)/AH40</f>
        <v>5.7756883814640697E-3</v>
      </c>
      <c r="AJ40" s="254">
        <f>AG40/$AG$64</f>
        <v>1.0271405568739646E-3</v>
      </c>
    </row>
    <row r="41" spans="1:36" ht="14.1" customHeight="1" x14ac:dyDescent="0.2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" customHeight="1" x14ac:dyDescent="0.2">
      <c r="A42" s="250" t="s">
        <v>190</v>
      </c>
      <c r="B42" s="37"/>
      <c r="C42" s="251">
        <f>'[3]Jet Blue'!$IX$19</f>
        <v>98</v>
      </c>
      <c r="D42" s="253">
        <f>'[3]Jet Blue'!$IJ$19</f>
        <v>113</v>
      </c>
      <c r="E42" s="254">
        <f>(C42-D42)/D42</f>
        <v>-0.13274336283185842</v>
      </c>
      <c r="F42" s="253">
        <f>SUM('[3]Jet Blue'!$IT$19:$IX$19)</f>
        <v>336</v>
      </c>
      <c r="G42" s="253">
        <f>SUM('[3]Jet Blue'!$IF$19:$IJ$19)</f>
        <v>533</v>
      </c>
      <c r="H42" s="252">
        <f>(F42-G42)/G42</f>
        <v>-0.3696060037523452</v>
      </c>
      <c r="I42" s="254">
        <f>F42/$F$64</f>
        <v>2.7453447613756139E-3</v>
      </c>
      <c r="J42" s="250" t="s">
        <v>190</v>
      </c>
      <c r="K42" s="37"/>
      <c r="L42" s="251">
        <f>'[3]Jet Blue'!$IX$41</f>
        <v>8974</v>
      </c>
      <c r="M42" s="253">
        <f>'[3]Jet Blue'!$IJ$41</f>
        <v>12786</v>
      </c>
      <c r="N42" s="254">
        <f>(L42-M42)/M42</f>
        <v>-0.29813858908180824</v>
      </c>
      <c r="O42" s="251">
        <f>SUM('[3]Jet Blue'!$IT$41:$IX$41)</f>
        <v>28473</v>
      </c>
      <c r="P42" s="253">
        <f>SUM('[3]Jet Blue'!$IF$41:$IJ$41)</f>
        <v>45019</v>
      </c>
      <c r="Q42" s="252">
        <f>(O42-P42)/P42</f>
        <v>-0.36753370798995977</v>
      </c>
      <c r="R42" s="254">
        <f>O42/$O$64</f>
        <v>2.0095123835944802E-3</v>
      </c>
      <c r="S42" s="250" t="s">
        <v>190</v>
      </c>
      <c r="T42" s="37"/>
      <c r="U42" s="251">
        <f>'[3]Jet Blue'!$IX$64</f>
        <v>0</v>
      </c>
      <c r="V42" s="253">
        <f>'[3]Jet Blue'!$IJ$64</f>
        <v>0</v>
      </c>
      <c r="W42" s="254" t="e">
        <f>(U42-V42)/V42</f>
        <v>#DIV/0!</v>
      </c>
      <c r="X42" s="251">
        <f>SUM('[3]Jet Blue'!$IT$64:$IX$64)</f>
        <v>0</v>
      </c>
      <c r="Y42" s="253">
        <f>SUM('[3]Jet Blue'!$IF$64:$IJ$64)</f>
        <v>0</v>
      </c>
      <c r="Z42" s="252" t="e">
        <f>(X42-Y42)/Y42</f>
        <v>#DIV/0!</v>
      </c>
      <c r="AA42" s="254">
        <f>X42/$X$64</f>
        <v>0</v>
      </c>
      <c r="AB42" s="250" t="s">
        <v>190</v>
      </c>
      <c r="AC42" s="37"/>
      <c r="AD42" s="251">
        <f>'[3]Jet Blue'!$IX$43</f>
        <v>9172</v>
      </c>
      <c r="AE42" s="253">
        <f>'[3]Jet Blue'!$IJ$43</f>
        <v>13035</v>
      </c>
      <c r="AF42" s="254">
        <f>(AD42-AE42)/AE42</f>
        <v>-0.2963559647103951</v>
      </c>
      <c r="AG42" s="251">
        <f>SUM('[3]Jet Blue'!$IT$43:$IX$43)</f>
        <v>29105</v>
      </c>
      <c r="AH42" s="253">
        <f>SUM('[3]Jet Blue'!$IF$43:$IJ$43)</f>
        <v>46364</v>
      </c>
      <c r="AI42" s="252">
        <f>(AG42-AH42)/AH42</f>
        <v>-0.37225002156845827</v>
      </c>
      <c r="AJ42" s="254">
        <f>AG42/$AG$64</f>
        <v>1.9961889628616948E-3</v>
      </c>
    </row>
    <row r="43" spans="1:36" ht="14.1" customHeight="1" x14ac:dyDescent="0.2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" customHeight="1" x14ac:dyDescent="0.2">
      <c r="A44" s="250" t="s">
        <v>185</v>
      </c>
      <c r="B44" s="37"/>
      <c r="C44" s="251">
        <f>[3]KLM!$IX$19</f>
        <v>24</v>
      </c>
      <c r="D44" s="253">
        <f>[3]KLM!$IJ$19</f>
        <v>34</v>
      </c>
      <c r="E44" s="254">
        <f>(C44-D44)/D44</f>
        <v>-0.29411764705882354</v>
      </c>
      <c r="F44" s="253">
        <f>SUM([3]KLM!$IT$19:$IX$19)</f>
        <v>136</v>
      </c>
      <c r="G44" s="253">
        <f>SUM([3]KLM!$IF$19:$IJ$19)</f>
        <v>168</v>
      </c>
      <c r="H44" s="252">
        <f>(F44-G44)/G44</f>
        <v>-0.19047619047619047</v>
      </c>
      <c r="I44" s="254">
        <f>F44/$F$64</f>
        <v>1.1112109748425104E-3</v>
      </c>
      <c r="J44" s="250" t="s">
        <v>185</v>
      </c>
      <c r="K44" s="37"/>
      <c r="L44" s="251">
        <f>[3]KLM!$IX$41</f>
        <v>6708</v>
      </c>
      <c r="M44" s="253">
        <f>[3]KLM!$IJ$41</f>
        <v>8447</v>
      </c>
      <c r="N44" s="254">
        <f>(L44-M44)/M44</f>
        <v>-0.20587190718598319</v>
      </c>
      <c r="O44" s="251">
        <f>SUM([3]KLM!$IT$41:$IX$41)</f>
        <v>30078</v>
      </c>
      <c r="P44" s="253">
        <f>SUM([3]KLM!$IF$41:$IJ$41)</f>
        <v>35926</v>
      </c>
      <c r="Q44" s="252">
        <f>(O44-P44)/P44</f>
        <v>-0.16277904581640038</v>
      </c>
      <c r="R44" s="254">
        <f>O44/$O$64</f>
        <v>2.1227869727023767E-3</v>
      </c>
      <c r="S44" s="250" t="s">
        <v>185</v>
      </c>
      <c r="T44" s="37"/>
      <c r="U44" s="251">
        <f>[3]KLM!$IX$64</f>
        <v>206394</v>
      </c>
      <c r="V44" s="253">
        <f>[3]KLM!$IJ$64</f>
        <v>258067</v>
      </c>
      <c r="W44" s="254">
        <f>(U44-V44)/V44</f>
        <v>-0.20023094777712763</v>
      </c>
      <c r="X44" s="251">
        <f>SUM([3]KLM!$IT$64:$IX$64)</f>
        <v>1325268</v>
      </c>
      <c r="Y44" s="253">
        <f>SUM([3]KLM!$IF$64:$IJ$64)</f>
        <v>2167936</v>
      </c>
      <c r="Z44" s="252">
        <f>(X44-Y44)/Y44</f>
        <v>-0.38869597626498198</v>
      </c>
      <c r="AA44" s="254">
        <f>X44/$X$64</f>
        <v>4.1484244507323506E-2</v>
      </c>
      <c r="AB44" s="250" t="s">
        <v>185</v>
      </c>
      <c r="AC44" s="37"/>
      <c r="AD44" s="251">
        <f>[3]KLM!$IX$43</f>
        <v>6719</v>
      </c>
      <c r="AE44" s="253">
        <f>[3]KLM!$IJ$43</f>
        <v>8460</v>
      </c>
      <c r="AF44" s="254">
        <f>(AD44-AE44)/AE44</f>
        <v>-0.20579196217494089</v>
      </c>
      <c r="AG44" s="251">
        <f>SUM([3]KLM!$IT$43:$IX$43)</f>
        <v>30129</v>
      </c>
      <c r="AH44" s="253">
        <f>SUM([3]KLM!$IF$43:$IJ$43)</f>
        <v>35974</v>
      </c>
      <c r="AI44" s="252">
        <f>(AG44-AH44)/AH44</f>
        <v>-0.16247845666314562</v>
      </c>
      <c r="AJ44" s="254">
        <f>AG44/$AG$64</f>
        <v>2.0664207958103419E-3</v>
      </c>
    </row>
    <row r="45" spans="1:36" ht="14.1" customHeight="1" x14ac:dyDescent="0.2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" customHeight="1" x14ac:dyDescent="0.2">
      <c r="A46" s="250" t="s">
        <v>128</v>
      </c>
      <c r="B46" s="37"/>
      <c r="C46" s="251">
        <f>[3]Southwest!$IX$19</f>
        <v>1235</v>
      </c>
      <c r="D46" s="253">
        <f>[3]Southwest!$IJ$19</f>
        <v>1262</v>
      </c>
      <c r="E46" s="254">
        <f>(C46-D46)/D46</f>
        <v>-2.1394611727416798E-2</v>
      </c>
      <c r="F46" s="253">
        <f>SUM([3]Southwest!$IT$19:$IX$19)</f>
        <v>6001</v>
      </c>
      <c r="G46" s="253">
        <f>SUM([3]Southwest!$IF$19:$IJ$19)</f>
        <v>5274</v>
      </c>
      <c r="H46" s="252">
        <f>(F46-G46)/G46</f>
        <v>0.13784603716344332</v>
      </c>
      <c r="I46" s="254">
        <f>F46/$F$64</f>
        <v>4.9032184264925768E-2</v>
      </c>
      <c r="J46" s="250" t="s">
        <v>128</v>
      </c>
      <c r="K46" s="37"/>
      <c r="L46" s="251">
        <f>[3]Southwest!$IX$41</f>
        <v>146827</v>
      </c>
      <c r="M46" s="253">
        <f>[3]Southwest!$IJ$41</f>
        <v>139579</v>
      </c>
      <c r="N46" s="254">
        <f>(L46-M46)/M46</f>
        <v>5.1927582229418463E-2</v>
      </c>
      <c r="O46" s="251">
        <f>SUM([3]Southwest!$IT$41:$IX$41)</f>
        <v>697889</v>
      </c>
      <c r="P46" s="253">
        <f>SUM([3]Southwest!$IF$41:$IJ$41)</f>
        <v>577505</v>
      </c>
      <c r="Q46" s="252">
        <f>(O46-P46)/P46</f>
        <v>0.20845533804902122</v>
      </c>
      <c r="R46" s="254">
        <f>O46/$O$64</f>
        <v>4.9254261506492751E-2</v>
      </c>
      <c r="S46" s="250" t="s">
        <v>128</v>
      </c>
      <c r="T46" s="37"/>
      <c r="U46" s="251">
        <f>[3]Southwest!$IX$64</f>
        <v>262519</v>
      </c>
      <c r="V46" s="253">
        <f>[3]Southwest!$IJ$64</f>
        <v>248264</v>
      </c>
      <c r="W46" s="254">
        <f>(U46-V46)/V46</f>
        <v>5.7418715560854573E-2</v>
      </c>
      <c r="X46" s="251">
        <f>SUM([3]Southwest!$IT$64:$IX$64)</f>
        <v>1171790</v>
      </c>
      <c r="Y46" s="253">
        <f>SUM([3]Southwest!$IF$64:$IJ$64)</f>
        <v>1059887</v>
      </c>
      <c r="Z46" s="252">
        <f>(X46-Y46)/Y46</f>
        <v>0.10558012316407316</v>
      </c>
      <c r="AA46" s="254">
        <f>X46/$X$64</f>
        <v>3.6679994439793771E-2</v>
      </c>
      <c r="AB46" s="250" t="s">
        <v>128</v>
      </c>
      <c r="AC46" s="37"/>
      <c r="AD46" s="251">
        <f>[3]Southwest!$IX$43</f>
        <v>150600</v>
      </c>
      <c r="AE46" s="253">
        <f>[3]Southwest!$IJ$43</f>
        <v>142610</v>
      </c>
      <c r="AF46" s="254">
        <f>(AD46-AE46)/AE46</f>
        <v>5.6026926582988572E-2</v>
      </c>
      <c r="AG46" s="251">
        <f>SUM([3]Southwest!$IT$43:$IX$43)</f>
        <v>714557</v>
      </c>
      <c r="AH46" s="253">
        <f>SUM([3]Southwest!$IF$43:$IJ$43)</f>
        <v>591121</v>
      </c>
      <c r="AI46" s="252">
        <f>(AG46-AH46)/AH46</f>
        <v>0.20881680738799671</v>
      </c>
      <c r="AJ46" s="254">
        <f>AG46/$AG$64</f>
        <v>4.9008445172154753E-2</v>
      </c>
    </row>
    <row r="47" spans="1:36" ht="14.1" customHeight="1" x14ac:dyDescent="0.2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" customHeight="1" x14ac:dyDescent="0.2">
      <c r="A48" s="250" t="s">
        <v>153</v>
      </c>
      <c r="B48" s="37"/>
      <c r="C48" s="251">
        <f>[3]Spirit!$IX$19</f>
        <v>168</v>
      </c>
      <c r="D48" s="253">
        <f>[3]Spirit!$IJ$19</f>
        <v>247</v>
      </c>
      <c r="E48" s="254">
        <f>(C48-D48)/D48</f>
        <v>-0.31983805668016196</v>
      </c>
      <c r="F48" s="253">
        <f>SUM([3]Spirit!$IT$19:$IX$19)</f>
        <v>998</v>
      </c>
      <c r="G48" s="253">
        <f>SUM([3]Spirit!$IF$19:$IJ$19)</f>
        <v>1566</v>
      </c>
      <c r="H48" s="252">
        <f>(F48-G48)/G48</f>
        <v>-0.36270753512132825</v>
      </c>
      <c r="I48" s="254">
        <f>F48/$F$64</f>
        <v>8.1543275948001859E-3</v>
      </c>
      <c r="J48" s="250" t="s">
        <v>153</v>
      </c>
      <c r="K48" s="37"/>
      <c r="L48" s="251">
        <f>[3]Spirit!$IX$41</f>
        <v>25795</v>
      </c>
      <c r="M48" s="253">
        <f>[3]Spirit!$IJ$41</f>
        <v>35491</v>
      </c>
      <c r="N48" s="254">
        <f>(L48-M48)/M48</f>
        <v>-0.27319602152658423</v>
      </c>
      <c r="O48" s="251">
        <f>SUM([3]Spirit!$IT$41:$IX$41)</f>
        <v>139842</v>
      </c>
      <c r="P48" s="253">
        <f>SUM([3]Spirit!$IF$41:$IJ$41)</f>
        <v>218884</v>
      </c>
      <c r="Q48" s="252">
        <f>(O48-P48)/P48</f>
        <v>-0.36111364923886624</v>
      </c>
      <c r="R48" s="254">
        <f>O48/$O$64</f>
        <v>9.8694984984588653E-3</v>
      </c>
      <c r="S48" s="250" t="s">
        <v>153</v>
      </c>
      <c r="T48" s="37"/>
      <c r="U48" s="251">
        <f>[3]Spirit!$IX$64</f>
        <v>0</v>
      </c>
      <c r="V48" s="253">
        <f>[3]Spirit!$IJ$64</f>
        <v>0</v>
      </c>
      <c r="W48" s="254" t="e">
        <f>(U48-V48)/V48</f>
        <v>#DIV/0!</v>
      </c>
      <c r="X48" s="251">
        <f>SUM([3]Spirit!$IT$64:$IX$64)</f>
        <v>0</v>
      </c>
      <c r="Y48" s="253">
        <f>SUM([3]Spirit!$IF$64:$IJ$64)</f>
        <v>0</v>
      </c>
      <c r="Z48" s="252" t="e">
        <f>(X48-Y48)/Y48</f>
        <v>#DIV/0!</v>
      </c>
      <c r="AA48" s="254">
        <f>X48/$X$64</f>
        <v>0</v>
      </c>
      <c r="AB48" s="250" t="s">
        <v>153</v>
      </c>
      <c r="AC48" s="37"/>
      <c r="AD48" s="251">
        <f>[3]Spirit!$IX$43</f>
        <v>25973</v>
      </c>
      <c r="AE48" s="253">
        <f>[3]Spirit!$IJ$43</f>
        <v>35806</v>
      </c>
      <c r="AF48" s="254">
        <f>(AD48-AE48)/AE48</f>
        <v>-0.27461877897559067</v>
      </c>
      <c r="AG48" s="251">
        <f>SUM([3]Spirit!$IT$43:$IX$43)</f>
        <v>140882</v>
      </c>
      <c r="AH48" s="253">
        <f>SUM([3]Spirit!$IF$43:$IJ$43)</f>
        <v>221797</v>
      </c>
      <c r="AI48" s="252">
        <f>(AG48-AH48)/AH48</f>
        <v>-0.36481557460200092</v>
      </c>
      <c r="AJ48" s="254">
        <f>AG48/$AG$64</f>
        <v>9.662501063936825E-3</v>
      </c>
    </row>
    <row r="49" spans="1:36" ht="14.1" customHeight="1" x14ac:dyDescent="0.2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>
        <f>O49/$O$64</f>
        <v>0</v>
      </c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" customHeight="1" x14ac:dyDescent="0.2">
      <c r="A50" s="250" t="s">
        <v>49</v>
      </c>
      <c r="B50" s="37"/>
      <c r="C50" s="251">
        <f>'[3]Sun Country'!$IX$19</f>
        <v>2202</v>
      </c>
      <c r="D50" s="253">
        <f>'[3]Sun Country'!$IJ$19</f>
        <v>1810</v>
      </c>
      <c r="E50" s="254">
        <f>(C50-D50)/D50</f>
        <v>0.21657458563535911</v>
      </c>
      <c r="F50" s="253">
        <f>SUM('[3]Sun Country'!$IT$19:$IX$19)</f>
        <v>11699</v>
      </c>
      <c r="G50" s="253">
        <f>SUM('[3]Sun Country'!$IF$19:$IJ$19)</f>
        <v>10120</v>
      </c>
      <c r="H50" s="252">
        <f>(F50-G50)/G50</f>
        <v>0.15602766798418971</v>
      </c>
      <c r="I50" s="254">
        <f>F50/$F$64</f>
        <v>9.5588655843253892E-2</v>
      </c>
      <c r="J50" s="250" t="s">
        <v>49</v>
      </c>
      <c r="K50" s="37"/>
      <c r="L50" s="251">
        <f>'[3]Sun Country'!$IX$41</f>
        <v>310830</v>
      </c>
      <c r="M50" s="253">
        <f>'[3]Sun Country'!$IJ$41</f>
        <v>247898</v>
      </c>
      <c r="N50" s="254">
        <f>(L50-M50)/M50</f>
        <v>0.25386247569564901</v>
      </c>
      <c r="O50" s="251">
        <f>SUM('[3]Sun Country'!$IT$41:$IX$41)</f>
        <v>1727589</v>
      </c>
      <c r="P50" s="253">
        <f>SUM('[3]Sun Country'!$IF$41:$IJ$41)</f>
        <v>1477769</v>
      </c>
      <c r="Q50" s="252">
        <f>(O50-P50)/P50</f>
        <v>0.16905213196379137</v>
      </c>
      <c r="R50" s="254">
        <f>O50/$O$64</f>
        <v>0.12192643870549659</v>
      </c>
      <c r="S50" s="250" t="s">
        <v>49</v>
      </c>
      <c r="T50" s="37"/>
      <c r="U50" s="251">
        <f>'[3]Sun Country'!$IX$64</f>
        <v>0</v>
      </c>
      <c r="V50" s="253">
        <f>'[3]Sun Country'!$IJ$64</f>
        <v>0</v>
      </c>
      <c r="W50" s="254" t="e">
        <f>(U50-V50)/V50</f>
        <v>#DIV/0!</v>
      </c>
      <c r="X50" s="251">
        <f>SUM('[3]Sun Country'!$IT$64:$IX$64)</f>
        <v>0</v>
      </c>
      <c r="Y50" s="253">
        <f>SUM('[3]Sun Country'!$IF$64:$IJ$64)</f>
        <v>61776</v>
      </c>
      <c r="Z50" s="252">
        <f>(X50-Y50)/Y50</f>
        <v>-1</v>
      </c>
      <c r="AA50" s="254">
        <f>X50/$X$64</f>
        <v>0</v>
      </c>
      <c r="AB50" s="250" t="s">
        <v>49</v>
      </c>
      <c r="AC50" s="37"/>
      <c r="AD50" s="251">
        <f>'[3]Sun Country'!$IX$43</f>
        <v>316295</v>
      </c>
      <c r="AE50" s="253">
        <f>'[3]Sun Country'!$IJ$43</f>
        <v>253654</v>
      </c>
      <c r="AF50" s="254">
        <f>(AD50-AE50)/AE50</f>
        <v>0.2469545128403258</v>
      </c>
      <c r="AG50" s="251">
        <f>SUM('[3]Sun Country'!$IT$43:$IX$43)</f>
        <v>1753108</v>
      </c>
      <c r="AH50" s="253">
        <f>SUM('[3]Sun Country'!$IF$43:$IJ$43)</f>
        <v>1505526</v>
      </c>
      <c r="AI50" s="252">
        <f>(AG50-AH50)/AH50</f>
        <v>0.16444883715060385</v>
      </c>
      <c r="AJ50" s="254">
        <f>AG50/$AG$64</f>
        <v>0.12023826972357121</v>
      </c>
    </row>
    <row r="51" spans="1:36" ht="14.1" customHeight="1" x14ac:dyDescent="0.2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/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" customHeight="1" x14ac:dyDescent="0.2">
      <c r="A52" s="250" t="s">
        <v>19</v>
      </c>
      <c r="B52" s="257"/>
      <c r="C52" s="251">
        <f>SUM(C53:C57)</f>
        <v>1243</v>
      </c>
      <c r="D52" s="253">
        <f>SUM(D53:D57)</f>
        <v>1077</v>
      </c>
      <c r="E52" s="254">
        <f t="shared" ref="E52:E57" si="44">(C52-D52)/D52</f>
        <v>0.1541318477251625</v>
      </c>
      <c r="F52" s="253">
        <f>SUM(F53:F57)</f>
        <v>5582</v>
      </c>
      <c r="G52" s="253">
        <f>SUM(G53:G57)</f>
        <v>4791</v>
      </c>
      <c r="H52" s="252">
        <f t="shared" ref="H52:H57" si="45">(F52-G52)/G52</f>
        <v>0.16510123147568356</v>
      </c>
      <c r="I52" s="254">
        <f t="shared" ref="I52:I57" si="46">F52/$F$64</f>
        <v>4.5608673982138921E-2</v>
      </c>
      <c r="J52" s="250" t="s">
        <v>19</v>
      </c>
      <c r="K52" s="257"/>
      <c r="L52" s="251">
        <f>SUM(L53:L57)</f>
        <v>131827</v>
      </c>
      <c r="M52" s="253">
        <f>SUM(M53:M57)</f>
        <v>135681</v>
      </c>
      <c r="N52" s="254">
        <f t="shared" ref="N52:N57" si="47">(L52-M52)/M52</f>
        <v>-2.840486140284933E-2</v>
      </c>
      <c r="O52" s="251">
        <f>SUM(O53:O57)</f>
        <v>610063</v>
      </c>
      <c r="P52" s="253">
        <f>SUM(P53:P57)</f>
        <v>599670</v>
      </c>
      <c r="Q52" s="252">
        <f t="shared" ref="Q52:Q57" si="48">(O52-P52)/P52</f>
        <v>1.733119882602098E-2</v>
      </c>
      <c r="R52" s="254">
        <f t="shared" ref="R52:R57" si="49">O52/$O$64</f>
        <v>4.3055847760081457E-2</v>
      </c>
      <c r="S52" s="250" t="s">
        <v>19</v>
      </c>
      <c r="T52" s="257"/>
      <c r="U52" s="251">
        <f>SUM(U53:U57)</f>
        <v>52905</v>
      </c>
      <c r="V52" s="253">
        <f>SUM(V53:V57)</f>
        <v>104772</v>
      </c>
      <c r="W52" s="254">
        <f t="shared" ref="W52:W57" si="50">(U52-V52)/V52</f>
        <v>-0.49504638643912496</v>
      </c>
      <c r="X52" s="251">
        <f>SUM(X53:X57)</f>
        <v>273522</v>
      </c>
      <c r="Y52" s="253">
        <f>SUM(Y53:Y57)</f>
        <v>545360</v>
      </c>
      <c r="Z52" s="252">
        <f t="shared" ref="Z52:Z57" si="51">(X52-Y52)/Y52</f>
        <v>-0.49845606571805778</v>
      </c>
      <c r="AA52" s="254">
        <f t="shared" ref="AA52:AA57" si="52">X52/$X$64</f>
        <v>8.5619312668321727E-3</v>
      </c>
      <c r="AB52" s="250" t="s">
        <v>19</v>
      </c>
      <c r="AC52" s="257"/>
      <c r="AD52" s="251">
        <f>SUM(AD53:AD57)</f>
        <v>137350</v>
      </c>
      <c r="AE52" s="253">
        <f>SUM(AE53:AE57)</f>
        <v>140505</v>
      </c>
      <c r="AF52" s="254">
        <f t="shared" ref="AF52:AF57" si="53">(AD52-AE52)/AE52</f>
        <v>-2.2454716913988825E-2</v>
      </c>
      <c r="AG52" s="251">
        <f>SUM(AG53:AG57)</f>
        <v>633424</v>
      </c>
      <c r="AH52" s="253">
        <f>SUM(AH53:AH57)</f>
        <v>618661</v>
      </c>
      <c r="AI52" s="252">
        <f t="shared" ref="AI52:AI57" si="54">(AG52-AH52)/AH52</f>
        <v>2.386282632976703E-2</v>
      </c>
      <c r="AJ52" s="254">
        <f>AG52/$AG$64</f>
        <v>4.3443875540687377E-2</v>
      </c>
    </row>
    <row r="53" spans="1:36" ht="14.1" customHeight="1" x14ac:dyDescent="0.2">
      <c r="A53" s="36"/>
      <c r="B53" s="310" t="s">
        <v>19</v>
      </c>
      <c r="C53" s="255">
        <f>[3]United!$IX$19</f>
        <v>933</v>
      </c>
      <c r="D53" s="2">
        <f>[3]United!$IJ$19+[3]Continental!$IJ$19</f>
        <v>951</v>
      </c>
      <c r="E53" s="63">
        <f t="shared" si="44"/>
        <v>-1.8927444794952682E-2</v>
      </c>
      <c r="F53" s="2">
        <f>SUM([3]United!$IT$19:$IX$19)</f>
        <v>4040</v>
      </c>
      <c r="G53" s="2">
        <f>SUM([3]United!$IF$19:$IJ$19)+SUM([3]Continental!$IF$19:$IJ$19)</f>
        <v>4167</v>
      </c>
      <c r="H53" s="3">
        <f t="shared" si="45"/>
        <v>-3.0477561795056396E-2</v>
      </c>
      <c r="I53" s="63">
        <f t="shared" si="46"/>
        <v>3.3009502487968689E-2</v>
      </c>
      <c r="J53" s="36"/>
      <c r="K53" s="310" t="s">
        <v>19</v>
      </c>
      <c r="L53" s="255">
        <f>[3]United!$IX$41</f>
        <v>112320</v>
      </c>
      <c r="M53" s="2">
        <f>[3]United!$IJ$41+[3]Continental!$IJ$41</f>
        <v>127507</v>
      </c>
      <c r="N53" s="63">
        <f t="shared" si="47"/>
        <v>-0.11910718627212624</v>
      </c>
      <c r="O53" s="255">
        <f>SUM([3]United!$IT$41:$IX$41)</f>
        <v>513035</v>
      </c>
      <c r="P53" s="2">
        <f>SUM([3]United!$IF$41:$IJ$41)+SUM([3]Continental!$IF$41:$IJ$41)</f>
        <v>559828</v>
      </c>
      <c r="Q53" s="3">
        <f t="shared" si="48"/>
        <v>-8.3584600984588128E-2</v>
      </c>
      <c r="R53" s="63">
        <f t="shared" si="49"/>
        <v>3.620799303611822E-2</v>
      </c>
      <c r="S53" s="36"/>
      <c r="T53" s="310" t="s">
        <v>19</v>
      </c>
      <c r="U53" s="255">
        <f>[3]United!$IX$64</f>
        <v>52905</v>
      </c>
      <c r="V53" s="2">
        <f>[3]United!$IJ$64+[3]Continental!$IJ$64</f>
        <v>104772</v>
      </c>
      <c r="W53" s="63">
        <f t="shared" si="50"/>
        <v>-0.49504638643912496</v>
      </c>
      <c r="X53" s="255">
        <f>SUM([3]United!$IT$64:$IX$64)</f>
        <v>273522</v>
      </c>
      <c r="Y53" s="2">
        <f>SUM([3]United!$IF$64:$IJ$64)+SUM([3]Continental!$IF$64:$IJ$64)</f>
        <v>545360</v>
      </c>
      <c r="Z53" s="3">
        <f t="shared" si="51"/>
        <v>-0.49845606571805778</v>
      </c>
      <c r="AA53" s="63">
        <f t="shared" si="52"/>
        <v>8.5619312668321727E-3</v>
      </c>
      <c r="AB53" s="36"/>
      <c r="AC53" s="310" t="s">
        <v>19</v>
      </c>
      <c r="AD53" s="255">
        <f>[3]United!$IX$43</f>
        <v>117184</v>
      </c>
      <c r="AE53" s="2">
        <f>[3]United!$IJ$43+[3]Continental!$IJ$43</f>
        <v>132089</v>
      </c>
      <c r="AF53" s="63">
        <f t="shared" si="53"/>
        <v>-0.11284058475724701</v>
      </c>
      <c r="AG53" s="255">
        <f>SUM([3]United!$IT$43:$IX$43)</f>
        <v>532761</v>
      </c>
      <c r="AH53" s="2">
        <f>SUM([3]United!$IF$43:$IJ$43)+SUM([3]Continental!$IF$43:$IJ$43)</f>
        <v>577553</v>
      </c>
      <c r="AI53" s="3">
        <f t="shared" si="54"/>
        <v>-7.7554787179704723E-2</v>
      </c>
      <c r="AJ53" s="63">
        <f t="shared" ref="AJ53:AJ57" si="55">AG53/$AG$64</f>
        <v>3.6539825735892782E-2</v>
      </c>
    </row>
    <row r="54" spans="1:36" ht="14.1" customHeight="1" x14ac:dyDescent="0.2">
      <c r="A54" s="36"/>
      <c r="B54" s="37" t="s">
        <v>152</v>
      </c>
      <c r="C54" s="255">
        <f>'[3]Go Jet_UA'!$IX$19</f>
        <v>0</v>
      </c>
      <c r="D54" s="2">
        <f>'[3]Go Jet_UA'!$IJ$19</f>
        <v>0</v>
      </c>
      <c r="E54" s="63" t="e">
        <f t="shared" si="44"/>
        <v>#DIV/0!</v>
      </c>
      <c r="F54" s="2">
        <f>SUM('[3]Go Jet_UA'!$IT$19:$IX$19)</f>
        <v>0</v>
      </c>
      <c r="G54" s="2">
        <f>SUM('[3]Go Jet_UA'!$IF$19:$IJ$19)</f>
        <v>2</v>
      </c>
      <c r="H54" s="3">
        <f t="shared" si="45"/>
        <v>-1</v>
      </c>
      <c r="I54" s="63">
        <f t="shared" si="46"/>
        <v>0</v>
      </c>
      <c r="J54" s="36"/>
      <c r="K54" s="37" t="s">
        <v>152</v>
      </c>
      <c r="L54" s="255">
        <f>'[3]Go Jet_UA'!$IX$41</f>
        <v>0</v>
      </c>
      <c r="M54" s="2">
        <f>'[3]Go Jet_UA'!$IJ$41</f>
        <v>0</v>
      </c>
      <c r="N54" s="63" t="e">
        <f t="shared" si="47"/>
        <v>#DIV/0!</v>
      </c>
      <c r="O54" s="255">
        <f>SUM('[3]Go Jet_UA'!$IT$41:$IX$41)</f>
        <v>0</v>
      </c>
      <c r="P54" s="2">
        <f>SUM('[3]Go Jet_UA'!$IF$41:$IJ$41)</f>
        <v>96</v>
      </c>
      <c r="Q54" s="3">
        <f t="shared" si="48"/>
        <v>-1</v>
      </c>
      <c r="R54" s="63">
        <f t="shared" si="49"/>
        <v>0</v>
      </c>
      <c r="S54" s="36"/>
      <c r="T54" s="37" t="s">
        <v>152</v>
      </c>
      <c r="U54" s="255">
        <f>'[3]Go Jet_UA'!$IX$64</f>
        <v>0</v>
      </c>
      <c r="V54" s="2">
        <f>'[3]Go Jet_UA'!$IJ$64</f>
        <v>0</v>
      </c>
      <c r="W54" s="63" t="e">
        <f t="shared" si="50"/>
        <v>#DIV/0!</v>
      </c>
      <c r="X54" s="255">
        <f>SUM('[3]Go Jet_UA'!$IT$64:$IX$64)</f>
        <v>0</v>
      </c>
      <c r="Y54" s="2">
        <f>SUM('[3]Go Jet_UA'!$IF$64:$IJ$64)</f>
        <v>0</v>
      </c>
      <c r="Z54" s="3" t="e">
        <f t="shared" si="51"/>
        <v>#DIV/0!</v>
      </c>
      <c r="AA54" s="63">
        <f t="shared" si="52"/>
        <v>0</v>
      </c>
      <c r="AB54" s="36"/>
      <c r="AC54" s="37" t="s">
        <v>152</v>
      </c>
      <c r="AD54" s="255">
        <f>'[3]Go Jet_UA'!$IX$43</f>
        <v>0</v>
      </c>
      <c r="AE54" s="2">
        <f>'[3]Go Jet_UA'!$IJ$43</f>
        <v>0</v>
      </c>
      <c r="AF54" s="63" t="e">
        <f t="shared" si="53"/>
        <v>#DIV/0!</v>
      </c>
      <c r="AG54" s="255">
        <f>SUM('[3]Go Jet_UA'!$IT$43:$IX$43)</f>
        <v>0</v>
      </c>
      <c r="AH54" s="2">
        <f>SUM('[3]Go Jet_UA'!$IF$43:$IJ$43)</f>
        <v>96</v>
      </c>
      <c r="AI54" s="3">
        <f t="shared" si="54"/>
        <v>-1</v>
      </c>
      <c r="AJ54" s="63">
        <f t="shared" si="55"/>
        <v>0</v>
      </c>
    </row>
    <row r="55" spans="1:36" ht="14.1" customHeight="1" x14ac:dyDescent="0.2">
      <c r="A55" s="36"/>
      <c r="B55" s="37" t="s">
        <v>51</v>
      </c>
      <c r="C55" s="255">
        <f>[3]MESA_UA!$IX$19</f>
        <v>140</v>
      </c>
      <c r="D55" s="2">
        <f>[3]MESA_UA!$IJ$19</f>
        <v>68</v>
      </c>
      <c r="E55" s="63">
        <f t="shared" si="44"/>
        <v>1.0588235294117647</v>
      </c>
      <c r="F55" s="2">
        <f>SUM([3]MESA_UA!$IT$19:$IX$19)</f>
        <v>686</v>
      </c>
      <c r="G55" s="2">
        <f>SUM([3]MESA_UA!$IF$19:$IJ$19)</f>
        <v>240</v>
      </c>
      <c r="H55" s="3">
        <f>(F55-G55)/G55</f>
        <v>1.8583333333333334</v>
      </c>
      <c r="I55" s="63">
        <f t="shared" si="46"/>
        <v>5.6050788878085449E-3</v>
      </c>
      <c r="J55" s="36"/>
      <c r="K55" s="37" t="s">
        <v>51</v>
      </c>
      <c r="L55" s="255">
        <f>[3]MESA_UA!$IX$41</f>
        <v>9023</v>
      </c>
      <c r="M55" s="2">
        <f>[3]MESA_UA!$IJ$41</f>
        <v>4290</v>
      </c>
      <c r="N55" s="63">
        <f t="shared" si="47"/>
        <v>1.1032634032634032</v>
      </c>
      <c r="O55" s="255">
        <f>SUM([3]MESA_UA!$IT$41:$IX$41)</f>
        <v>43174</v>
      </c>
      <c r="P55" s="2">
        <f>SUM([3]MESA_UA!$IF$41:$IJ$41)</f>
        <v>15796</v>
      </c>
      <c r="Q55" s="3">
        <f t="shared" si="48"/>
        <v>1.7332236009116231</v>
      </c>
      <c r="R55" s="63">
        <f t="shared" si="49"/>
        <v>3.047051158968429E-3</v>
      </c>
      <c r="S55" s="36"/>
      <c r="T55" s="37" t="s">
        <v>51</v>
      </c>
      <c r="U55" s="255">
        <f>[3]MESA_UA!$IX$64</f>
        <v>0</v>
      </c>
      <c r="V55" s="2">
        <f>[3]MESA_UA!$IJ$64</f>
        <v>0</v>
      </c>
      <c r="W55" s="63" t="e">
        <f t="shared" si="50"/>
        <v>#DIV/0!</v>
      </c>
      <c r="X55" s="255">
        <f>SUM([3]MESA_UA!$IT$64:$IX$64)</f>
        <v>0</v>
      </c>
      <c r="Y55" s="2">
        <f>SUM([3]MESA_UA!$IF$64:$IJ$64)</f>
        <v>0</v>
      </c>
      <c r="Z55" s="3" t="e">
        <f t="shared" si="51"/>
        <v>#DIV/0!</v>
      </c>
      <c r="AA55" s="63">
        <f t="shared" si="52"/>
        <v>0</v>
      </c>
      <c r="AB55" s="36"/>
      <c r="AC55" s="37" t="s">
        <v>51</v>
      </c>
      <c r="AD55" s="255">
        <f>[3]MESA_UA!$IX$43</f>
        <v>9268</v>
      </c>
      <c r="AE55" s="2">
        <f>[3]MESA_UA!$IJ$43</f>
        <v>4460</v>
      </c>
      <c r="AF55" s="63">
        <f t="shared" si="53"/>
        <v>1.0780269058295964</v>
      </c>
      <c r="AG55" s="255">
        <f>SUM([3]MESA_UA!$IT$43:$IX$43)</f>
        <v>44658</v>
      </c>
      <c r="AH55" s="2">
        <f>SUM([3]MESA_UA!$IF$43:$IJ$43)</f>
        <v>16293</v>
      </c>
      <c r="AI55" s="3">
        <f t="shared" si="54"/>
        <v>1.7409316884551649</v>
      </c>
      <c r="AJ55" s="63">
        <f t="shared" si="55"/>
        <v>3.0629035115436374E-3</v>
      </c>
    </row>
    <row r="56" spans="1:36" ht="14.1" customHeight="1" x14ac:dyDescent="0.2">
      <c r="A56" s="36"/>
      <c r="B56" s="310" t="s">
        <v>52</v>
      </c>
      <c r="C56" s="255">
        <f>[3]Republic_UA!$IX$19</f>
        <v>70</v>
      </c>
      <c r="D56" s="2">
        <f>[3]Republic_UA!$IJ$19</f>
        <v>56</v>
      </c>
      <c r="E56" s="63">
        <f t="shared" si="44"/>
        <v>0.25</v>
      </c>
      <c r="F56" s="2">
        <f>SUM([3]Republic_UA!$IT$19:$IX$19)</f>
        <v>384</v>
      </c>
      <c r="G56" s="2">
        <f>SUM([3]Republic_UA!$IF$19:$IJ$19)</f>
        <v>328</v>
      </c>
      <c r="H56" s="3">
        <f t="shared" ref="H56" si="56">(F56-G56)/G56</f>
        <v>0.17073170731707318</v>
      </c>
      <c r="I56" s="63">
        <f t="shared" si="46"/>
        <v>3.1375368701435586E-3</v>
      </c>
      <c r="J56" s="36"/>
      <c r="K56" s="310" t="s">
        <v>52</v>
      </c>
      <c r="L56" s="255">
        <f>[3]Republic_UA!$IX$41</f>
        <v>4517</v>
      </c>
      <c r="M56" s="2">
        <f>[3]Republic_UA!$IJ$41</f>
        <v>3737</v>
      </c>
      <c r="N56" s="63">
        <f t="shared" si="47"/>
        <v>0.20872357506020872</v>
      </c>
      <c r="O56" s="255">
        <f>SUM([3]Republic_UA!$IT$41:$IX$41)</f>
        <v>24770</v>
      </c>
      <c r="P56" s="2">
        <f>SUM([3]Republic_UA!$IF$41:$IJ$41)</f>
        <v>20715</v>
      </c>
      <c r="Q56" s="3">
        <f t="shared" si="48"/>
        <v>0.19575187062515087</v>
      </c>
      <c r="R56" s="63">
        <f t="shared" si="49"/>
        <v>1.7481692038645478E-3</v>
      </c>
      <c r="S56" s="36"/>
      <c r="T56" s="310" t="s">
        <v>52</v>
      </c>
      <c r="U56" s="255">
        <f>[3]Republic_UA!$IX$64</f>
        <v>0</v>
      </c>
      <c r="V56" s="2">
        <f>[3]Republic_UA!$IJ$64</f>
        <v>0</v>
      </c>
      <c r="W56" s="63" t="e">
        <f t="shared" si="50"/>
        <v>#DIV/0!</v>
      </c>
      <c r="X56" s="255">
        <f>SUM([3]Republic_UA!$IT$64:$IX$64)</f>
        <v>0</v>
      </c>
      <c r="Y56" s="2">
        <f>SUM([3]Republic_UA!$IF$64:$IJ$64)</f>
        <v>0</v>
      </c>
      <c r="Z56" s="3" t="e">
        <f t="shared" si="51"/>
        <v>#DIV/0!</v>
      </c>
      <c r="AA56" s="63">
        <f t="shared" si="52"/>
        <v>0</v>
      </c>
      <c r="AB56" s="36"/>
      <c r="AC56" s="310" t="s">
        <v>52</v>
      </c>
      <c r="AD56" s="255">
        <f>[3]Republic_UA!$IX$43</f>
        <v>4690</v>
      </c>
      <c r="AE56" s="2">
        <f>[3]Republic_UA!$IJ$43</f>
        <v>3804</v>
      </c>
      <c r="AF56" s="63">
        <f t="shared" si="53"/>
        <v>0.23291272344900105</v>
      </c>
      <c r="AG56" s="255">
        <f>SUM([3]Republic_UA!$IT$43:$IX$43)</f>
        <v>25644</v>
      </c>
      <c r="AH56" s="2">
        <f>SUM([3]Republic_UA!$IF$43:$IJ$43)</f>
        <v>21377</v>
      </c>
      <c r="AI56" s="3">
        <f t="shared" si="54"/>
        <v>0.19960705431070777</v>
      </c>
      <c r="AJ56" s="63">
        <f t="shared" si="55"/>
        <v>1.758813597788191E-3</v>
      </c>
    </row>
    <row r="57" spans="1:36" ht="14.1" customHeight="1" x14ac:dyDescent="0.2">
      <c r="A57" s="36"/>
      <c r="B57" s="37" t="s">
        <v>97</v>
      </c>
      <c r="C57" s="255">
        <f>'[3]Sky West_UA'!$IX$19</f>
        <v>100</v>
      </c>
      <c r="D57" s="2">
        <f>'[3]Sky West_UA'!$IJ$19+'[3]Sky West_CO'!$IJ$19</f>
        <v>2</v>
      </c>
      <c r="E57" s="63">
        <f t="shared" si="44"/>
        <v>49</v>
      </c>
      <c r="F57" s="2">
        <f>SUM('[3]Sky West_UA'!$IT$19:$IX$19)</f>
        <v>472</v>
      </c>
      <c r="G57" s="2">
        <f>SUM('[3]Sky West_UA'!$IF$19:$IJ$19)+SUM('[3]Sky West_CO'!$IF$19:$IJ$19)</f>
        <v>54</v>
      </c>
      <c r="H57" s="3">
        <f t="shared" si="45"/>
        <v>7.7407407407407405</v>
      </c>
      <c r="I57" s="63">
        <f t="shared" si="46"/>
        <v>3.856555736218124E-3</v>
      </c>
      <c r="J57" s="36"/>
      <c r="K57" s="37" t="s">
        <v>97</v>
      </c>
      <c r="L57" s="255">
        <f>'[3]Sky West_UA'!$IX$41</f>
        <v>5967</v>
      </c>
      <c r="M57" s="2">
        <f>'[3]Sky West_UA'!$IJ$41+'[3]Sky West_CO'!$IJ$41</f>
        <v>147</v>
      </c>
      <c r="N57" s="63">
        <f t="shared" si="47"/>
        <v>39.591836734693878</v>
      </c>
      <c r="O57" s="255">
        <f>SUM('[3]Sky West_UA'!$IT$41:$IX$41)</f>
        <v>29084</v>
      </c>
      <c r="P57" s="2">
        <f>SUM('[3]Sky West_UA'!$IF$41:$IJ$41)+SUM('[3]Sky West_CO'!$IF$41:$IJ$41)</f>
        <v>3235</v>
      </c>
      <c r="Q57" s="3">
        <f t="shared" si="48"/>
        <v>7.9904173106646059</v>
      </c>
      <c r="R57" s="63">
        <f t="shared" si="49"/>
        <v>2.0526343611302587E-3</v>
      </c>
      <c r="S57" s="36"/>
      <c r="T57" s="37" t="s">
        <v>97</v>
      </c>
      <c r="U57" s="255">
        <f>'[3]Sky West_UA'!$IX$64</f>
        <v>0</v>
      </c>
      <c r="V57" s="2">
        <f>'[3]Sky West_UA'!$IJ$64+'[3]Sky West_CO'!$IJ$64</f>
        <v>0</v>
      </c>
      <c r="W57" s="63" t="e">
        <f t="shared" si="50"/>
        <v>#DIV/0!</v>
      </c>
      <c r="X57" s="255">
        <f>SUM('[3]Sky West_UA'!$IT$64:$IX$64)</f>
        <v>0</v>
      </c>
      <c r="Y57" s="2">
        <f>SUM('[3]Sky West_UA'!$IF$64:$IJ$64)+SUM('[3]Sky West_CO'!$IF$64:$IJ$64)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97</v>
      </c>
      <c r="AD57" s="255">
        <f>'[3]Sky West_UA'!$IX$43</f>
        <v>6208</v>
      </c>
      <c r="AE57" s="2">
        <f>'[3]Sky West_UA'!$IJ$43+'[3]Sky West_CO'!$IJ$43</f>
        <v>152</v>
      </c>
      <c r="AF57" s="63">
        <f t="shared" si="53"/>
        <v>39.842105263157897</v>
      </c>
      <c r="AG57" s="255">
        <f>SUM('[3]Sky West_UA'!$IT$43:$IX$43)</f>
        <v>30361</v>
      </c>
      <c r="AH57" s="2">
        <f>SUM('[3]Sky West_UA'!$IF$43:$IJ$43)+SUM('[3]Sky West_CO'!$IF$43:$IJ$43)</f>
        <v>3342</v>
      </c>
      <c r="AI57" s="3">
        <f t="shared" si="54"/>
        <v>8.0846798324356666</v>
      </c>
      <c r="AJ57" s="63">
        <f t="shared" si="55"/>
        <v>2.0823326954627699E-3</v>
      </c>
    </row>
    <row r="58" spans="1:36" ht="14.1" customHeight="1" x14ac:dyDescent="0.2">
      <c r="A58" s="36"/>
      <c r="B58" s="258"/>
      <c r="C58" s="255"/>
      <c r="E58" s="63"/>
      <c r="F58" s="2"/>
      <c r="I58" s="63"/>
      <c r="J58" s="36"/>
      <c r="K58" s="258"/>
      <c r="L58" s="255"/>
      <c r="N58" s="63"/>
      <c r="O58" s="255"/>
      <c r="P58" s="2"/>
      <c r="Q58" s="3"/>
      <c r="R58" s="63"/>
      <c r="S58" s="36"/>
      <c r="T58" s="258"/>
      <c r="U58" s="255"/>
      <c r="V58" s="2"/>
      <c r="W58" s="63"/>
      <c r="X58" s="255"/>
      <c r="Y58" s="2"/>
      <c r="Z58" s="3"/>
      <c r="AA58" s="63"/>
      <c r="AB58" s="36"/>
      <c r="AC58" s="258"/>
      <c r="AD58" s="255"/>
      <c r="AE58" s="2"/>
      <c r="AF58" s="63"/>
      <c r="AG58" s="255"/>
      <c r="AH58" s="2"/>
      <c r="AI58" s="3"/>
      <c r="AJ58" s="63"/>
    </row>
    <row r="59" spans="1:36" ht="14.1" customHeight="1" x14ac:dyDescent="0.2">
      <c r="A59" s="250" t="s">
        <v>232</v>
      </c>
      <c r="B59" s="258"/>
      <c r="C59" s="251">
        <f>[3]WestJet!$IX$19</f>
        <v>214</v>
      </c>
      <c r="D59" s="253">
        <f>[3]WestJet!$IJ$19</f>
        <v>0</v>
      </c>
      <c r="E59" s="254" t="e">
        <f>(C59-D59)/D59</f>
        <v>#DIV/0!</v>
      </c>
      <c r="F59" s="253">
        <f>SUM([3]WestJet!$IT$19:$IX$19)</f>
        <v>504</v>
      </c>
      <c r="G59" s="253">
        <f>SUM([3]WestJet!$IF$19:$IJ$19)</f>
        <v>0</v>
      </c>
      <c r="H59" s="252" t="e">
        <f>(F59-G59)/G59</f>
        <v>#DIV/0!</v>
      </c>
      <c r="I59" s="254">
        <f>F59/$F$64</f>
        <v>4.1180171420634208E-3</v>
      </c>
      <c r="J59" s="250" t="s">
        <v>232</v>
      </c>
      <c r="K59" s="37"/>
      <c r="L59" s="251">
        <f>[3]WestJet!$IX$41</f>
        <v>18462</v>
      </c>
      <c r="M59" s="253">
        <f>[3]WestJet!$IJ$41</f>
        <v>0</v>
      </c>
      <c r="N59" s="254" t="e">
        <f>(L59-M59)/M59</f>
        <v>#DIV/0!</v>
      </c>
      <c r="O59" s="251">
        <f>SUM([3]WestJet!$IT$41:$IX$41)</f>
        <v>50118</v>
      </c>
      <c r="P59" s="253">
        <f>SUM([3]WestJet!$IF$41:$IJ$41)</f>
        <v>0</v>
      </c>
      <c r="Q59" s="252" t="e">
        <f>(O59-P59)/P59</f>
        <v>#DIV/0!</v>
      </c>
      <c r="R59" s="254">
        <f>O59/$O$64</f>
        <v>3.5371313750215344E-3</v>
      </c>
      <c r="S59" s="250" t="s">
        <v>232</v>
      </c>
      <c r="T59" s="37"/>
      <c r="U59" s="251">
        <f>[3]WestJet!$IX$64</f>
        <v>0</v>
      </c>
      <c r="V59" s="253">
        <f>[3]WestJet!$IJ$64</f>
        <v>0</v>
      </c>
      <c r="W59" s="254" t="e">
        <f>(U59-V59)/V59</f>
        <v>#DIV/0!</v>
      </c>
      <c r="X59" s="251">
        <f>SUM([3]WestJet!$IT$64:$IX$64)</f>
        <v>0</v>
      </c>
      <c r="Y59" s="253">
        <f>SUM([3]WestJet!$IF$64:$IJ$64)</f>
        <v>0</v>
      </c>
      <c r="Z59" s="252" t="e">
        <f>(X59-Y59)/Y59</f>
        <v>#DIV/0!</v>
      </c>
      <c r="AA59" s="254">
        <f>X59/$X$64</f>
        <v>0</v>
      </c>
      <c r="AB59" s="250" t="s">
        <v>232</v>
      </c>
      <c r="AC59" s="37"/>
      <c r="AD59" s="251">
        <f>[3]WestJet!$IX$43</f>
        <v>18463</v>
      </c>
      <c r="AE59" s="253">
        <f>[3]WestJet!$IJ$43</f>
        <v>0</v>
      </c>
      <c r="AF59" s="254" t="e">
        <f>(AD59-AE59)/AE59</f>
        <v>#DIV/0!</v>
      </c>
      <c r="AG59" s="251">
        <f>SUM([3]WestJet!$IT$43:$IX$43)</f>
        <v>50127</v>
      </c>
      <c r="AH59" s="253">
        <f>SUM([3]WestJet!$IF$43:$IJ$43)</f>
        <v>0</v>
      </c>
      <c r="AI59" s="252" t="e">
        <f>(AG59-AH59)/AH59</f>
        <v>#DIV/0!</v>
      </c>
      <c r="AJ59" s="254">
        <f>AG59/$AG$64</f>
        <v>3.4379991115398791E-3</v>
      </c>
    </row>
    <row r="60" spans="1:36" ht="14.1" customHeight="1" thickBot="1" x14ac:dyDescent="0.25">
      <c r="A60" s="312"/>
      <c r="B60" s="313"/>
      <c r="C60" s="259"/>
      <c r="D60" s="261"/>
      <c r="E60" s="262"/>
      <c r="F60" s="261"/>
      <c r="G60" s="261"/>
      <c r="H60" s="260"/>
      <c r="I60" s="262"/>
      <c r="J60" s="312"/>
      <c r="K60" s="313"/>
      <c r="L60" s="259"/>
      <c r="M60" s="261"/>
      <c r="N60" s="262"/>
      <c r="O60" s="259"/>
      <c r="P60" s="261"/>
      <c r="Q60" s="260"/>
      <c r="R60" s="334"/>
      <c r="S60" s="312"/>
      <c r="T60" s="313"/>
      <c r="U60" s="259"/>
      <c r="V60" s="261"/>
      <c r="W60" s="262"/>
      <c r="X60" s="259"/>
      <c r="Y60" s="261"/>
      <c r="Z60" s="260"/>
      <c r="AA60" s="334"/>
      <c r="AB60" s="312"/>
      <c r="AC60" s="313"/>
      <c r="AD60" s="259"/>
      <c r="AE60" s="261"/>
      <c r="AF60" s="262"/>
      <c r="AG60" s="259"/>
      <c r="AH60" s="261"/>
      <c r="AI60" s="260"/>
      <c r="AJ60" s="334"/>
    </row>
    <row r="61" spans="1:36" s="164" customFormat="1" ht="14.1" customHeight="1" thickBot="1" x14ac:dyDescent="0.25">
      <c r="B61" s="163"/>
      <c r="C61" s="253"/>
      <c r="D61" s="253"/>
      <c r="E61" s="252"/>
      <c r="F61" s="311"/>
      <c r="G61" s="253"/>
      <c r="H61" s="252"/>
      <c r="I61" s="252"/>
      <c r="J61" s="263"/>
      <c r="K61" s="163"/>
      <c r="L61" s="264"/>
      <c r="M61" s="265"/>
      <c r="N61" s="263"/>
      <c r="S61" s="263"/>
      <c r="T61" s="163"/>
      <c r="U61" s="264"/>
      <c r="V61" s="265"/>
      <c r="W61" s="263"/>
      <c r="AB61" s="263"/>
      <c r="AC61" s="163"/>
      <c r="AD61" s="264"/>
      <c r="AE61" s="265"/>
      <c r="AF61" s="263"/>
    </row>
    <row r="62" spans="1:36" ht="14.1" customHeight="1" x14ac:dyDescent="0.2">
      <c r="B62" s="266" t="s">
        <v>131</v>
      </c>
      <c r="C62" s="319">
        <f>+C64-C63</f>
        <v>19388</v>
      </c>
      <c r="D62" s="429">
        <f>+D64-D63</f>
        <v>17588</v>
      </c>
      <c r="E62" s="320">
        <f>(C62-D62)/D62</f>
        <v>0.10234250625426428</v>
      </c>
      <c r="F62" s="319">
        <f>+F64-F63</f>
        <v>89487</v>
      </c>
      <c r="G62" s="429">
        <f>+G64-G63</f>
        <v>83434</v>
      </c>
      <c r="H62" s="320">
        <f>(F62-G62)/G62</f>
        <v>7.2548361579212309E-2</v>
      </c>
      <c r="I62" s="345">
        <f>F62/$F$64</f>
        <v>0.7311686507774392</v>
      </c>
      <c r="K62" s="266" t="s">
        <v>131</v>
      </c>
      <c r="L62" s="319">
        <f>+L64-L63</f>
        <v>2715930</v>
      </c>
      <c r="M62" s="429">
        <f>+M64-M63</f>
        <v>2424663</v>
      </c>
      <c r="N62" s="320">
        <f>(L62-M62)/M62</f>
        <v>0.12012679700230507</v>
      </c>
      <c r="O62" s="319">
        <f>+O64-O63</f>
        <v>12299338</v>
      </c>
      <c r="P62" s="429">
        <f>+P64-P63</f>
        <v>11329924</v>
      </c>
      <c r="Q62" s="343">
        <f>(O62-P62)/P62</f>
        <v>8.5562268555376006E-2</v>
      </c>
      <c r="R62" s="390">
        <f>+O62/O64</f>
        <v>0.86803891479697137</v>
      </c>
      <c r="S62" s="3"/>
      <c r="T62" s="266" t="s">
        <v>131</v>
      </c>
      <c r="U62" s="319">
        <f>+U64-U63</f>
        <v>6627451</v>
      </c>
      <c r="V62" s="429">
        <f>+V64-V63</f>
        <v>6847602</v>
      </c>
      <c r="W62" s="320">
        <f>(U62-V62)/V62</f>
        <v>-3.2150086993957883E-2</v>
      </c>
      <c r="X62" s="319">
        <f>+X64-X63</f>
        <v>31844168</v>
      </c>
      <c r="Y62" s="429">
        <f>+Y64-Y63</f>
        <v>35029123</v>
      </c>
      <c r="Z62" s="343">
        <f>(X62-Y62)/Y62</f>
        <v>-9.0923058507630924E-2</v>
      </c>
      <c r="AA62" s="390">
        <f>+X62/X64</f>
        <v>0.99680310053837184</v>
      </c>
      <c r="AB62" s="3"/>
      <c r="AC62" s="266" t="s">
        <v>131</v>
      </c>
      <c r="AD62" s="319">
        <f>+AD64-AD63</f>
        <v>2788318</v>
      </c>
      <c r="AE62" s="319">
        <f>+AE64-AE63</f>
        <v>2496531</v>
      </c>
      <c r="AF62" s="345">
        <f>(AD62-AE62)/AE62</f>
        <v>0.11687697849536016</v>
      </c>
      <c r="AG62" s="319">
        <f>+AG64-AG63</f>
        <v>12649617</v>
      </c>
      <c r="AH62" s="319">
        <f>+AH64-AH63</f>
        <v>11666848</v>
      </c>
      <c r="AI62" s="345">
        <f>(AG62-AH62)/AH62</f>
        <v>8.4236033588506509E-2</v>
      </c>
      <c r="AJ62" s="390">
        <f>+AG62/AG64</f>
        <v>0.86758377735192105</v>
      </c>
    </row>
    <row r="63" spans="1:36" ht="14.1" customHeight="1" x14ac:dyDescent="0.2">
      <c r="B63" s="163" t="s">
        <v>132</v>
      </c>
      <c r="C63" s="321">
        <f>+C36+C35+C34+C22+C57+C54+C55+C26+C23+C17+C6+C56+C24+C25+C18+C7</f>
        <v>6759</v>
      </c>
      <c r="D63" s="430">
        <f>+D36+D35+D34+D22+D57+D54+D55+D26+D23+D17+D6+D56+D24+D25+D18+D7</f>
        <v>6396</v>
      </c>
      <c r="E63" s="267">
        <f>(C63-D63)/D63</f>
        <v>5.6754221388367727E-2</v>
      </c>
      <c r="F63" s="321">
        <f>+F36+F35+F34+F22+F57+F54+F55+F26+F23+F17+F6+F56+F24+F25+F18+F7</f>
        <v>32902</v>
      </c>
      <c r="G63" s="430">
        <f>+G36+G35+G34+G22+G57+G54+G55+G26+G23+G17+G6+G56+G24+G25+G18+G7</f>
        <v>30739</v>
      </c>
      <c r="H63" s="267">
        <f>(F63-G63)/G63</f>
        <v>7.0366635219102774E-2</v>
      </c>
      <c r="I63" s="346">
        <f>F63/$F$64</f>
        <v>0.26883134922256086</v>
      </c>
      <c r="K63" s="163" t="s">
        <v>132</v>
      </c>
      <c r="L63" s="321">
        <f>+L36+L35+L34+L22+L57+L54+L55+L26+L23+L17+L6+L56+L24+L25+L18+L7</f>
        <v>401630</v>
      </c>
      <c r="M63" s="430">
        <f>+M36+M35+M34+M22+M57+M54+M55+M26+M23+M17+M6+M56+M24+M25+M18+M7</f>
        <v>355713</v>
      </c>
      <c r="N63" s="267">
        <f>(L63-M63)/M63</f>
        <v>0.12908440231310073</v>
      </c>
      <c r="O63" s="321">
        <f>+O36+O35+O34+O22+O57+O54+O55+O26+O23+O17+O6+O56+O24+O25+O18+O7</f>
        <v>1869771</v>
      </c>
      <c r="P63" s="430">
        <f>+P36+P35+P34+P22+P57+P54+P55+P26+P23+P17+P6+P56+P24+P25+P18+P7</f>
        <v>1613854</v>
      </c>
      <c r="Q63" s="342">
        <f>(O63-P63)/P63</f>
        <v>0.15857506317176151</v>
      </c>
      <c r="R63" s="391">
        <f>+O63/O64</f>
        <v>0.13196108520302866</v>
      </c>
      <c r="S63" s="3"/>
      <c r="T63" s="163" t="s">
        <v>132</v>
      </c>
      <c r="U63" s="321">
        <f>+U36+U35+U34+U22+U57+U54+U55+U26+U23+U17+U6+U56+U24+U25+U18+U7</f>
        <v>8198.2999999999993</v>
      </c>
      <c r="V63" s="430">
        <f>+V36+V35+V34+V22+V57+V54+V55+V26+V23+V17+V6+V56+V24+V25+V18+V7</f>
        <v>47678</v>
      </c>
      <c r="W63" s="267">
        <f>(U63-V63)/V63</f>
        <v>-0.82804857586308145</v>
      </c>
      <c r="X63" s="321">
        <f>+X36+X35+X34+X22+X57+X54+X55+X26+X23+X17+X6+X56+X24+X25+X18+X7</f>
        <v>102129.1</v>
      </c>
      <c r="Y63" s="430">
        <f>+Y36+Y35+Y34+Y22+Y57+Y54+Y55+Y26+Y23+Y17+Y6+Y56+Y24+Y25+Y18+Y7</f>
        <v>69851.100000000006</v>
      </c>
      <c r="Z63" s="342">
        <f>(X63-Y63)/Y63</f>
        <v>0.46209723254179241</v>
      </c>
      <c r="AA63" s="391">
        <f>+X63/X64</f>
        <v>3.1968994616280583E-3</v>
      </c>
      <c r="AB63" s="3"/>
      <c r="AC63" s="163" t="s">
        <v>132</v>
      </c>
      <c r="AD63" s="321">
        <f>+AD36+AD35+AD34+AD22+AD57+AD54+AD55+AD26+AD23+AD17+AD6+AD56+AD24+AD25+AD18+AD7</f>
        <v>413076</v>
      </c>
      <c r="AE63" s="321">
        <f>+AE36+AE35+AE34+AE22+AE57+AE54+AE55+AE26+AE23+AE17+AE6+AE56+AE24+AE25+AE18+AE7</f>
        <v>365872</v>
      </c>
      <c r="AF63" s="346">
        <f>(AD63-AE63)/AE63</f>
        <v>0.12901779857436479</v>
      </c>
      <c r="AG63" s="321">
        <f>+AG36+AG35+AG34+AG22+AG57+AG54+AG55+AG26+AG23+AG17+AG6+AG56+AG24+AG25+AG18+AG7</f>
        <v>1930666</v>
      </c>
      <c r="AH63" s="321">
        <f>+AH36+AH35+AH34+AH22+AH57+AH54+AH55+AH26+AH23+AH17+AH6+AH56+AH24+AH25+AH18+AH7</f>
        <v>1666055</v>
      </c>
      <c r="AI63" s="346">
        <f>(AG63-AH63)/AH63</f>
        <v>0.15882488873416545</v>
      </c>
      <c r="AJ63" s="391">
        <f>+AG63/AG64</f>
        <v>0.13241622264807892</v>
      </c>
    </row>
    <row r="64" spans="1:36" ht="14.1" customHeight="1" thickBot="1" x14ac:dyDescent="0.25">
      <c r="B64" s="163" t="s">
        <v>133</v>
      </c>
      <c r="C64" s="322">
        <f>C52+C50+C46+C40+C38+C32+C20+C15+C4+C48+C28+C44+C9+C42+C30+C13+C59+C11</f>
        <v>26147</v>
      </c>
      <c r="D64" s="322">
        <f>D52+D50+D46+D40+D38+D32+D20+D15+D4+D48+D28+D44+D9+D42+D30+D13+D59+D11</f>
        <v>23984</v>
      </c>
      <c r="E64" s="323">
        <f>(C64-D64)/D64</f>
        <v>9.0185123415610413E-2</v>
      </c>
      <c r="F64" s="322">
        <f>F52+F50+F46+F40+F38+F32+F20+F15+F4+F48+F28+F44+F9+F42+F30+F13+F59+F11</f>
        <v>122389</v>
      </c>
      <c r="G64" s="322">
        <f>G52+G50+G46+G40+G38+G32+G20+G15+G4+G48+G28+G44+G9+G42+G30+G13+G59+G11</f>
        <v>114173</v>
      </c>
      <c r="H64" s="323">
        <f>(F64-G64)/G64</f>
        <v>7.196097150814991E-2</v>
      </c>
      <c r="I64" s="347">
        <f>+H64/H64</f>
        <v>1</v>
      </c>
      <c r="K64" s="163" t="s">
        <v>133</v>
      </c>
      <c r="L64" s="322">
        <f>L52+L50+L46+L40+L38+L32+L20+L15+L4+L48+L28+L44+L9+L42+L30+L13+L59+L11</f>
        <v>3117560</v>
      </c>
      <c r="M64" s="322">
        <f>M52+M50+M46+M40+M38+M32+M20+M15+M4+M48+M28+M44+M9+M42+M30+M13+M59+M11</f>
        <v>2780376</v>
      </c>
      <c r="N64" s="323">
        <f>(L64-M64)/M64</f>
        <v>0.12127280626792923</v>
      </c>
      <c r="O64" s="322">
        <f>O52+O50+O46+O40+O38+O32+O20+O15+O4+O48+O28+O44+O9+O42+O30+O13+O59+O11</f>
        <v>14169109</v>
      </c>
      <c r="P64" s="322">
        <f>P52+P50+P46+P40+P38+P32+P20+P15+P4+P48+P28+P44+P9+P42+P30+P13+P59+P11</f>
        <v>12943778</v>
      </c>
      <c r="Q64" s="389">
        <f>(O64-P64)/P64</f>
        <v>9.4665637806828892E-2</v>
      </c>
      <c r="R64" s="347">
        <f>+Q64/Q64</f>
        <v>1</v>
      </c>
      <c r="S64" s="3"/>
      <c r="T64" s="163" t="s">
        <v>133</v>
      </c>
      <c r="U64" s="322">
        <f>U52+U50+U46+U40+U38+U32+U20+U15+U4+U48+U28+U44+U9+U42+U30+U13+U59+U11</f>
        <v>6635649.2999999998</v>
      </c>
      <c r="V64" s="322">
        <f>V52+V50+V46+V40+V38+V32+V20+V15+V4+V48+V28+V44+V9+V42+V30+V13+V59+V11</f>
        <v>6895280</v>
      </c>
      <c r="W64" s="323">
        <f>(U64-V64)/V64</f>
        <v>-3.7653394785998565E-2</v>
      </c>
      <c r="X64" s="322">
        <f>X52+X50+X46+X40+X38+X32+X20+X15+X4+X48+X28+X44+X9+X42+X30+X13+X59+X11</f>
        <v>31946297.100000001</v>
      </c>
      <c r="Y64" s="322">
        <f>Y52+Y50+Y46+Y40+Y38+Y32+Y20+Y15+Y4+Y48+Y28+Y44+Y9+Y42+Y30+Y13+Y59+Y11</f>
        <v>35098974.100000001</v>
      </c>
      <c r="Z64" s="389">
        <f>(X64-Y64)/Y64</f>
        <v>-8.9822482874221662E-2</v>
      </c>
      <c r="AA64" s="347">
        <f>+Z64/Z64</f>
        <v>1</v>
      </c>
      <c r="AB64" s="3"/>
      <c r="AC64" s="163" t="s">
        <v>133</v>
      </c>
      <c r="AD64" s="322">
        <f>AD52+AD50+AD46+AD40+AD38+AD32+AD20+AD15+AD4+AD48+AD28+AD44+AD9+AD42+AD30+AD13+AD59+AD11</f>
        <v>3201394</v>
      </c>
      <c r="AE64" s="322">
        <f>AE52+AE50+AE46+AE40+AE38+AE32+AE20+AE15+AE4+AE48+AE28+AE44+AE9+AE42+AE30+AE13+AE59+AE11</f>
        <v>2862403</v>
      </c>
      <c r="AF64" s="347">
        <f>(AD64-AE64)/AE64</f>
        <v>0.11842881662714859</v>
      </c>
      <c r="AG64" s="322">
        <f>AG52+AG50+AG46+AG40+AG38+AG32+AG20+AG15+AG4+AG48+AG28+AG44+AG9+AG42+AG30+AG13+AG59+AG11</f>
        <v>14580283</v>
      </c>
      <c r="AH64" s="322">
        <f>AH52+AH50+AH46+AH40+AH38+AH32+AH20+AH15+AH4+AH48+AH28+AH44+AH9+AH42+AH30+AH13+AH59+AH11</f>
        <v>13332903</v>
      </c>
      <c r="AI64" s="347">
        <f>(AG64-AH64)/AH64</f>
        <v>9.3556519536668048E-2</v>
      </c>
      <c r="AJ64" s="347">
        <f>+AI64/AI64</f>
        <v>1</v>
      </c>
    </row>
    <row r="65" spans="2:34" x14ac:dyDescent="0.2">
      <c r="D65" s="3"/>
      <c r="F65" s="2"/>
      <c r="G65"/>
      <c r="H65"/>
      <c r="I65"/>
      <c r="J65"/>
      <c r="K65"/>
      <c r="M65"/>
      <c r="N65"/>
    </row>
    <row r="66" spans="2:34" x14ac:dyDescent="0.2">
      <c r="B66" s="163"/>
      <c r="E66"/>
      <c r="F66" s="2"/>
      <c r="H66"/>
      <c r="I66"/>
      <c r="J66"/>
      <c r="K66"/>
      <c r="N66"/>
      <c r="O66" s="2"/>
      <c r="P66" s="2"/>
      <c r="U66" s="89"/>
      <c r="V66" s="89"/>
      <c r="W66" s="89"/>
    </row>
    <row r="67" spans="2:34" x14ac:dyDescent="0.2">
      <c r="E67"/>
      <c r="F67" s="2"/>
      <c r="H67"/>
      <c r="I67"/>
      <c r="J67"/>
      <c r="K67"/>
      <c r="N67"/>
      <c r="O67" s="2"/>
      <c r="P67" s="2"/>
      <c r="U67" s="89"/>
      <c r="V67" s="89"/>
      <c r="W67" s="89"/>
      <c r="AD67" s="2"/>
      <c r="AE67" s="2"/>
      <c r="AG67" s="2"/>
      <c r="AH67" s="2"/>
    </row>
    <row r="68" spans="2:34" x14ac:dyDescent="0.2">
      <c r="E68"/>
      <c r="F68" s="2"/>
      <c r="H68"/>
      <c r="I68"/>
      <c r="J68"/>
      <c r="K68"/>
      <c r="N68"/>
      <c r="O68" s="2"/>
      <c r="P68" s="2"/>
      <c r="U68" s="89"/>
      <c r="AD68" s="2"/>
      <c r="AE68" s="2"/>
      <c r="AG68" s="2"/>
      <c r="AH68" s="2"/>
    </row>
    <row r="69" spans="2:34" x14ac:dyDescent="0.2">
      <c r="E69"/>
      <c r="F69" s="2"/>
      <c r="H69"/>
      <c r="I69"/>
      <c r="J69"/>
      <c r="K69"/>
      <c r="N69"/>
      <c r="O69" s="2"/>
      <c r="P69" s="2"/>
      <c r="AG69" s="89"/>
      <c r="AH69" s="89"/>
    </row>
    <row r="70" spans="2:34" x14ac:dyDescent="0.2">
      <c r="E70"/>
      <c r="F70" s="2"/>
      <c r="H70"/>
      <c r="I70"/>
      <c r="J70"/>
      <c r="K70"/>
      <c r="N70"/>
      <c r="O70" s="2"/>
      <c r="P70" s="2"/>
    </row>
    <row r="71" spans="2:34" x14ac:dyDescent="0.2">
      <c r="E71"/>
      <c r="F71" s="2"/>
      <c r="H71"/>
      <c r="I71"/>
      <c r="J71"/>
      <c r="K71"/>
      <c r="N71"/>
      <c r="O71" s="2"/>
      <c r="P71" s="2"/>
      <c r="AD71" s="2"/>
      <c r="AE71" s="2"/>
      <c r="AG71" s="2"/>
      <c r="AH71" s="2"/>
    </row>
    <row r="72" spans="2:34" x14ac:dyDescent="0.2">
      <c r="D72" s="3"/>
      <c r="F72"/>
      <c r="G72"/>
      <c r="H72"/>
      <c r="I72"/>
      <c r="J72"/>
      <c r="K72"/>
      <c r="M72"/>
      <c r="N72"/>
    </row>
    <row r="73" spans="2:34" x14ac:dyDescent="0.2">
      <c r="D73" s="3"/>
      <c r="F73"/>
      <c r="G73"/>
      <c r="H73"/>
      <c r="I73"/>
      <c r="J73"/>
      <c r="K73"/>
      <c r="L73"/>
      <c r="M73"/>
      <c r="N73"/>
      <c r="AD73" s="2"/>
      <c r="AE73" s="2"/>
      <c r="AG73" s="2"/>
      <c r="AH73" s="2"/>
    </row>
    <row r="74" spans="2:34" x14ac:dyDescent="0.2">
      <c r="D74" s="3"/>
      <c r="F74"/>
      <c r="G74"/>
      <c r="H74"/>
      <c r="I74"/>
      <c r="J74"/>
      <c r="K74"/>
      <c r="L74"/>
      <c r="M74"/>
      <c r="N74"/>
    </row>
    <row r="75" spans="2:34" x14ac:dyDescent="0.2">
      <c r="D75" s="3"/>
      <c r="F75"/>
      <c r="G75"/>
      <c r="H75"/>
      <c r="I75"/>
      <c r="J75"/>
      <c r="K75"/>
      <c r="L75"/>
      <c r="M75"/>
      <c r="N75"/>
    </row>
    <row r="76" spans="2:34" x14ac:dyDescent="0.2">
      <c r="D76" s="3"/>
      <c r="F76"/>
      <c r="G76"/>
      <c r="H76"/>
      <c r="I76"/>
      <c r="J76"/>
      <c r="K76"/>
      <c r="L76"/>
      <c r="M76"/>
      <c r="N76"/>
    </row>
    <row r="77" spans="2:34" x14ac:dyDescent="0.2">
      <c r="D77" s="3"/>
      <c r="F77"/>
      <c r="G77"/>
      <c r="H77"/>
      <c r="I77"/>
      <c r="J77"/>
      <c r="K77"/>
      <c r="L77"/>
      <c r="M77"/>
      <c r="N77"/>
    </row>
    <row r="78" spans="2:34" x14ac:dyDescent="0.2">
      <c r="D78" s="3"/>
      <c r="F78"/>
      <c r="G78"/>
      <c r="H78"/>
      <c r="I78"/>
      <c r="J78"/>
      <c r="K78"/>
      <c r="L78"/>
      <c r="M78"/>
      <c r="N78"/>
    </row>
    <row r="79" spans="2:34" x14ac:dyDescent="0.2">
      <c r="D79" s="3"/>
      <c r="F79"/>
      <c r="G79"/>
      <c r="H79"/>
      <c r="I79"/>
      <c r="J79"/>
      <c r="K79"/>
      <c r="L79"/>
      <c r="M79"/>
      <c r="N79"/>
    </row>
    <row r="80" spans="2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F136" s="165"/>
      <c r="K136"/>
    </row>
    <row r="137" spans="4:14" x14ac:dyDescent="0.2">
      <c r="F137" s="165"/>
      <c r="K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  <row r="4700" spans="6:11" x14ac:dyDescent="0.2">
      <c r="F4700" s="165"/>
      <c r="K4700"/>
    </row>
    <row r="4701" spans="6:11" x14ac:dyDescent="0.2">
      <c r="F4701" s="165"/>
      <c r="K4701"/>
    </row>
    <row r="4702" spans="6:11" x14ac:dyDescent="0.2">
      <c r="F4702" s="165"/>
      <c r="K4702"/>
    </row>
    <row r="4703" spans="6:11" x14ac:dyDescent="0.2">
      <c r="F4703" s="165"/>
      <c r="K4703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May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="115" zoomScaleNormal="115" zoomScaleSheetLayoutView="100" workbookViewId="0">
      <selection activeCell="D23" sqref="D23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88">
        <v>45413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18" t="s">
        <v>20</v>
      </c>
      <c r="K1" s="317" t="s">
        <v>21</v>
      </c>
    </row>
    <row r="2" spans="1:20" ht="15" x14ac:dyDescent="0.25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9"/>
      <c r="K2" s="196"/>
    </row>
    <row r="3" spans="1:20" x14ac:dyDescent="0.2">
      <c r="A3" s="43" t="s">
        <v>29</v>
      </c>
      <c r="K3" s="37"/>
    </row>
    <row r="4" spans="1:20" x14ac:dyDescent="0.2">
      <c r="A4" s="43" t="s">
        <v>30</v>
      </c>
      <c r="B4" s="11">
        <f>[3]American!$IX$22</f>
        <v>51925</v>
      </c>
      <c r="C4" s="11">
        <f>[3]Delta!$IX$22+[3]Delta!$IX$32</f>
        <v>947034</v>
      </c>
      <c r="D4" s="11">
        <f>[3]United!$IX$22</f>
        <v>57358</v>
      </c>
      <c r="E4" s="11">
        <f>[3]Spirit!$IX$22</f>
        <v>13095</v>
      </c>
      <c r="F4" s="11">
        <f>[3]Condor!$IX$22+[3]Condor!$IX$32</f>
        <v>1434</v>
      </c>
      <c r="G4" s="11">
        <f>'[3]Air France'!$IX$32</f>
        <v>3631</v>
      </c>
      <c r="H4" s="11">
        <f>'[3]Jet Blue'!$IX$22</f>
        <v>4389</v>
      </c>
      <c r="I4" s="11">
        <f>[3]KLM!$IX$22+[3]KLM!$IX$32</f>
        <v>3081</v>
      </c>
      <c r="J4" s="11">
        <f>'Other Major Airline Stats'!K5</f>
        <v>288809</v>
      </c>
      <c r="K4" s="197">
        <f>SUM(B4:J4)</f>
        <v>1370756</v>
      </c>
    </row>
    <row r="5" spans="1:20" x14ac:dyDescent="0.2">
      <c r="A5" s="43" t="s">
        <v>31</v>
      </c>
      <c r="B5" s="7">
        <f>[3]American!$IX$23</f>
        <v>47447</v>
      </c>
      <c r="C5" s="7">
        <f>[3]Delta!$IX$23+[3]Delta!$IX$33</f>
        <v>931711</v>
      </c>
      <c r="D5" s="7">
        <f>[3]United!$IX$23</f>
        <v>54962</v>
      </c>
      <c r="E5" s="7">
        <f>[3]Spirit!$IX$23</f>
        <v>12700</v>
      </c>
      <c r="F5" s="7">
        <f>[3]Condor!$IX$23+[3]Condor!$IX$33</f>
        <v>1625</v>
      </c>
      <c r="G5" s="7">
        <f>'[3]Air France'!$IX$33</f>
        <v>4305</v>
      </c>
      <c r="H5" s="7">
        <f>'[3]Jet Blue'!$IX$23</f>
        <v>4585</v>
      </c>
      <c r="I5" s="7">
        <f>[3]KLM!$IX$23+[3]KLM!$IX$33</f>
        <v>3627</v>
      </c>
      <c r="J5" s="7">
        <f>'Other Major Airline Stats'!K6</f>
        <v>284212</v>
      </c>
      <c r="K5" s="198">
        <f>SUM(B5:J5)</f>
        <v>1345174</v>
      </c>
      <c r="M5" s="222"/>
      <c r="N5" s="222"/>
      <c r="O5" s="222"/>
      <c r="P5" s="222"/>
      <c r="Q5" s="222"/>
      <c r="R5" s="222"/>
      <c r="S5" s="222"/>
      <c r="T5" s="222"/>
    </row>
    <row r="6" spans="1:20" ht="15" x14ac:dyDescent="0.25">
      <c r="A6" s="41" t="s">
        <v>7</v>
      </c>
      <c r="B6" s="23">
        <f t="shared" ref="B6:E6" si="0">SUM(B4:B5)</f>
        <v>99372</v>
      </c>
      <c r="C6" s="23">
        <f t="shared" si="0"/>
        <v>1878745</v>
      </c>
      <c r="D6" s="23">
        <f t="shared" si="0"/>
        <v>112320</v>
      </c>
      <c r="E6" s="23">
        <f t="shared" si="0"/>
        <v>25795</v>
      </c>
      <c r="F6" s="23">
        <f t="shared" ref="F6:I6" si="1">SUM(F4:F5)</f>
        <v>3059</v>
      </c>
      <c r="G6" s="23">
        <f t="shared" si="1"/>
        <v>7936</v>
      </c>
      <c r="H6" s="23">
        <f t="shared" ref="H6" si="2">SUM(H4:H5)</f>
        <v>8974</v>
      </c>
      <c r="I6" s="23">
        <f t="shared" si="1"/>
        <v>6708</v>
      </c>
      <c r="J6" s="23">
        <f>SUM(J4:J5)</f>
        <v>573021</v>
      </c>
      <c r="K6" s="199">
        <f>SUM(B6:J6)</f>
        <v>2715930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97">
        <f>SUM(B8:J8)</f>
        <v>0</v>
      </c>
    </row>
    <row r="9" spans="1:20" x14ac:dyDescent="0.2">
      <c r="A9" s="43" t="s">
        <v>30</v>
      </c>
      <c r="B9" s="11">
        <f>[3]American!$IX$27</f>
        <v>1600</v>
      </c>
      <c r="C9" s="11">
        <f>[3]Delta!$IX$27+[3]Delta!$IX$37</f>
        <v>26534</v>
      </c>
      <c r="D9" s="11">
        <f>[3]United!$IX$27</f>
        <v>2487</v>
      </c>
      <c r="E9" s="11">
        <f>[3]Spirit!$IX$27</f>
        <v>81</v>
      </c>
      <c r="F9" s="11">
        <f>[3]Condor!$IX$27+[3]Condor!$IX$37</f>
        <v>7</v>
      </c>
      <c r="G9" s="11">
        <f>'[3]Air France'!$IX$37</f>
        <v>19</v>
      </c>
      <c r="H9" s="11">
        <f>'[3]Jet Blue'!$IX$27</f>
        <v>89</v>
      </c>
      <c r="I9" s="11">
        <f>[3]KLM!$IX$27+[3]KLM!$IX$37</f>
        <v>9</v>
      </c>
      <c r="J9" s="11">
        <f>'Other Major Airline Stats'!K10</f>
        <v>5228</v>
      </c>
      <c r="K9" s="197">
        <f>SUM(B9:J9)</f>
        <v>36054</v>
      </c>
      <c r="N9" s="222"/>
    </row>
    <row r="10" spans="1:20" x14ac:dyDescent="0.2">
      <c r="A10" s="43" t="s">
        <v>33</v>
      </c>
      <c r="B10" s="7">
        <f>[3]American!$IX$28</f>
        <v>1828</v>
      </c>
      <c r="C10" s="7">
        <f>[3]Delta!$IX$28+[3]Delta!$IX$38</f>
        <v>26463</v>
      </c>
      <c r="D10" s="7">
        <f>[3]United!$IX$28</f>
        <v>2377</v>
      </c>
      <c r="E10" s="7">
        <f>[3]Spirit!$IX$28</f>
        <v>97</v>
      </c>
      <c r="F10" s="7">
        <f>[3]Condor!$IX$28+[3]Condor!$IX$38</f>
        <v>5</v>
      </c>
      <c r="G10" s="7">
        <f>'[3]Air France'!$IX$38</f>
        <v>0</v>
      </c>
      <c r="H10" s="7">
        <f>'[3]Jet Blue'!$IX$28</f>
        <v>109</v>
      </c>
      <c r="I10" s="7">
        <f>[3]KLM!$IX$28+[3]KLM!$IX$38</f>
        <v>2</v>
      </c>
      <c r="J10" s="7">
        <f>'Other Major Airline Stats'!K11</f>
        <v>5453</v>
      </c>
      <c r="K10" s="198">
        <f>SUM(B10:J10)</f>
        <v>36334</v>
      </c>
      <c r="N10" s="222"/>
    </row>
    <row r="11" spans="1:20" ht="15.75" thickBot="1" x14ac:dyDescent="0.3">
      <c r="A11" s="44" t="s">
        <v>34</v>
      </c>
      <c r="B11" s="200">
        <f t="shared" ref="B11:J11" si="3">SUM(B9:B10)</f>
        <v>3428</v>
      </c>
      <c r="C11" s="200">
        <f t="shared" si="3"/>
        <v>52997</v>
      </c>
      <c r="D11" s="200">
        <f t="shared" si="3"/>
        <v>4864</v>
      </c>
      <c r="E11" s="200">
        <f t="shared" si="3"/>
        <v>178</v>
      </c>
      <c r="F11" s="200">
        <f t="shared" ref="F11:I11" si="4">SUM(F9:F10)</f>
        <v>12</v>
      </c>
      <c r="G11" s="200">
        <f t="shared" si="4"/>
        <v>19</v>
      </c>
      <c r="H11" s="200">
        <f t="shared" ref="H11" si="5">SUM(H9:H10)</f>
        <v>198</v>
      </c>
      <c r="I11" s="200">
        <f t="shared" si="4"/>
        <v>11</v>
      </c>
      <c r="J11" s="200">
        <f t="shared" si="3"/>
        <v>10681</v>
      </c>
      <c r="K11" s="201">
        <f>SUM(B11:J11)</f>
        <v>72388</v>
      </c>
    </row>
    <row r="13" spans="1:20" ht="13.5" thickBot="1" x14ac:dyDescent="0.25"/>
    <row r="14" spans="1:20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20" x14ac:dyDescent="0.2">
      <c r="A15" s="43" t="s">
        <v>22</v>
      </c>
      <c r="B15" s="11">
        <f>[3]American!$IX$4</f>
        <v>352</v>
      </c>
      <c r="C15" s="11">
        <f>[3]Delta!$IX$4+[3]Delta!$IX$15</f>
        <v>6463</v>
      </c>
      <c r="D15" s="11">
        <f>[3]United!$IX$4</f>
        <v>464</v>
      </c>
      <c r="E15" s="11">
        <f>[3]Spirit!$IX$4</f>
        <v>84</v>
      </c>
      <c r="F15" s="11">
        <f>[3]Condor!$IX$15</f>
        <v>7</v>
      </c>
      <c r="G15" s="11">
        <f>'[3]Air France'!$IX$15</f>
        <v>17</v>
      </c>
      <c r="H15" s="11">
        <f>'[3]Jet Blue'!$IX$4</f>
        <v>49</v>
      </c>
      <c r="I15" s="11">
        <f>[3]KLM!$IX$4+[3]KLM!$IX$15</f>
        <v>12</v>
      </c>
      <c r="J15" s="11">
        <f>'Other Major Airline Stats'!K16</f>
        <v>2174</v>
      </c>
      <c r="K15" s="16">
        <f>SUM(B15:J15)</f>
        <v>9622</v>
      </c>
    </row>
    <row r="16" spans="1:20" x14ac:dyDescent="0.2">
      <c r="A16" s="43" t="s">
        <v>23</v>
      </c>
      <c r="B16" s="7">
        <f>[3]American!$IX$5</f>
        <v>353</v>
      </c>
      <c r="C16" s="7">
        <f>[3]Delta!$IX$5+[3]Delta!$IX$16</f>
        <v>6442</v>
      </c>
      <c r="D16" s="7">
        <f>[3]United!$IX$5</f>
        <v>464</v>
      </c>
      <c r="E16" s="7">
        <f>[3]Spirit!$IX$5</f>
        <v>84</v>
      </c>
      <c r="F16" s="7">
        <f>[3]Condor!$IX$5+[3]Condor!$IX$16</f>
        <v>7</v>
      </c>
      <c r="G16" s="7">
        <f>'[3]Air France'!$IX$16</f>
        <v>17</v>
      </c>
      <c r="H16" s="7">
        <f>'[3]Jet Blue'!$IX$5</f>
        <v>49</v>
      </c>
      <c r="I16" s="7">
        <f>[3]KLM!$IX$5+[3]KLM!$IX$16</f>
        <v>12</v>
      </c>
      <c r="J16" s="7">
        <f>'Other Major Airline Stats'!K17</f>
        <v>2180</v>
      </c>
      <c r="K16" s="22">
        <f>SUM(B16:J16)</f>
        <v>9608</v>
      </c>
    </row>
    <row r="17" spans="1:11" x14ac:dyDescent="0.2">
      <c r="A17" s="43" t="s">
        <v>24</v>
      </c>
      <c r="B17" s="204">
        <f t="shared" ref="B17:J17" si="6">SUM(B15:B16)</f>
        <v>705</v>
      </c>
      <c r="C17" s="202">
        <f t="shared" si="6"/>
        <v>12905</v>
      </c>
      <c r="D17" s="202">
        <f t="shared" si="6"/>
        <v>928</v>
      </c>
      <c r="E17" s="202">
        <f t="shared" si="6"/>
        <v>168</v>
      </c>
      <c r="F17" s="202">
        <f t="shared" ref="F17:I17" si="7">SUM(F15:F16)</f>
        <v>14</v>
      </c>
      <c r="G17" s="202">
        <f t="shared" si="7"/>
        <v>34</v>
      </c>
      <c r="H17" s="202">
        <f t="shared" ref="H17" si="8">SUM(H15:H16)</f>
        <v>98</v>
      </c>
      <c r="I17" s="202">
        <f t="shared" si="7"/>
        <v>24</v>
      </c>
      <c r="J17" s="202">
        <f t="shared" si="6"/>
        <v>4354</v>
      </c>
      <c r="K17" s="203">
        <f>SUM(B17:J17)</f>
        <v>19230</v>
      </c>
    </row>
    <row r="18" spans="1:11" x14ac:dyDescent="0.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6"/>
    </row>
    <row r="19" spans="1:11" x14ac:dyDescent="0.2">
      <c r="A19" s="43" t="s">
        <v>25</v>
      </c>
      <c r="B19" s="11">
        <f>[3]American!$IX$8</f>
        <v>0</v>
      </c>
      <c r="C19" s="11">
        <f>[3]Delta!$IX$8</f>
        <v>3</v>
      </c>
      <c r="D19" s="11">
        <f>[3]United!$IX$8</f>
        <v>2</v>
      </c>
      <c r="E19" s="11">
        <f>[3]Spirit!$IX$8</f>
        <v>0</v>
      </c>
      <c r="F19" s="11">
        <f>[3]Condor!$IX$8</f>
        <v>0</v>
      </c>
      <c r="G19" s="11">
        <f>'[3]Air France'!$IX$8</f>
        <v>0</v>
      </c>
      <c r="H19" s="11">
        <f>'[3]Jet Blue'!$IX$8</f>
        <v>0</v>
      </c>
      <c r="I19" s="11">
        <f>[3]KLM!$IX$8</f>
        <v>0</v>
      </c>
      <c r="J19" s="11">
        <f>'Other Major Airline Stats'!K20</f>
        <v>63</v>
      </c>
      <c r="K19" s="16">
        <f>SUM(B19:J19)</f>
        <v>68</v>
      </c>
    </row>
    <row r="20" spans="1:11" x14ac:dyDescent="0.2">
      <c r="A20" s="43" t="s">
        <v>26</v>
      </c>
      <c r="B20" s="7">
        <f>[3]American!$IX$9</f>
        <v>0</v>
      </c>
      <c r="C20" s="7">
        <f>[3]Delta!$IX$9</f>
        <v>24</v>
      </c>
      <c r="D20" s="7">
        <f>[3]United!$IX$9</f>
        <v>3</v>
      </c>
      <c r="E20" s="7">
        <f>[3]Spirit!$IX$9</f>
        <v>0</v>
      </c>
      <c r="F20" s="7">
        <f>[3]Condor!$IX$9</f>
        <v>0</v>
      </c>
      <c r="G20" s="7">
        <f>'[3]Air France'!$IX$9</f>
        <v>0</v>
      </c>
      <c r="H20" s="7">
        <f>'[3]Jet Blue'!$IX$9</f>
        <v>0</v>
      </c>
      <c r="I20" s="7">
        <f>[3]KLM!$IX$9</f>
        <v>0</v>
      </c>
      <c r="J20" s="7">
        <f>'Other Major Airline Stats'!K21</f>
        <v>63</v>
      </c>
      <c r="K20" s="22">
        <f>SUM(B20:J20)</f>
        <v>90</v>
      </c>
    </row>
    <row r="21" spans="1:11" x14ac:dyDescent="0.2">
      <c r="A21" s="43" t="s">
        <v>27</v>
      </c>
      <c r="B21" s="204">
        <f t="shared" ref="B21:J21" si="9">SUM(B19:B20)</f>
        <v>0</v>
      </c>
      <c r="C21" s="202">
        <f t="shared" si="9"/>
        <v>27</v>
      </c>
      <c r="D21" s="202">
        <f t="shared" si="9"/>
        <v>5</v>
      </c>
      <c r="E21" s="202">
        <f t="shared" si="9"/>
        <v>0</v>
      </c>
      <c r="F21" s="202">
        <f t="shared" ref="F21:I21" si="10">SUM(F19:F20)</f>
        <v>0</v>
      </c>
      <c r="G21" s="202">
        <f t="shared" si="10"/>
        <v>0</v>
      </c>
      <c r="H21" s="202">
        <f t="shared" ref="H21" si="11">SUM(H19:H20)</f>
        <v>0</v>
      </c>
      <c r="I21" s="202">
        <f t="shared" si="10"/>
        <v>0</v>
      </c>
      <c r="J21" s="202">
        <f t="shared" si="9"/>
        <v>126</v>
      </c>
      <c r="K21" s="139">
        <f>SUM(B21:J21)</f>
        <v>158</v>
      </c>
    </row>
    <row r="22" spans="1:11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6"/>
    </row>
    <row r="23" spans="1:11" ht="15.75" thickBot="1" x14ac:dyDescent="0.3">
      <c r="A23" s="44" t="s">
        <v>28</v>
      </c>
      <c r="B23" s="17">
        <f t="shared" ref="B23:J23" si="12">B17+B21</f>
        <v>705</v>
      </c>
      <c r="C23" s="17">
        <f t="shared" si="12"/>
        <v>12932</v>
      </c>
      <c r="D23" s="17">
        <f t="shared" si="12"/>
        <v>933</v>
      </c>
      <c r="E23" s="17">
        <f>E17+E21</f>
        <v>168</v>
      </c>
      <c r="F23" s="17">
        <f t="shared" ref="F23:I23" si="13">F17+F21</f>
        <v>14</v>
      </c>
      <c r="G23" s="17">
        <f t="shared" si="13"/>
        <v>34</v>
      </c>
      <c r="H23" s="17">
        <f t="shared" ref="H23" si="14">H17+H21</f>
        <v>98</v>
      </c>
      <c r="I23" s="17">
        <f t="shared" si="13"/>
        <v>24</v>
      </c>
      <c r="J23" s="17">
        <f t="shared" si="12"/>
        <v>4480</v>
      </c>
      <c r="K23" s="18">
        <f>SUM(B23:J23)</f>
        <v>19388</v>
      </c>
    </row>
    <row r="25" spans="1:11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1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9"/>
    </row>
    <row r="28" spans="1:11" x14ac:dyDescent="0.2">
      <c r="A28" s="43" t="s">
        <v>37</v>
      </c>
      <c r="B28" s="11">
        <f>[3]American!$IX$47</f>
        <v>37942</v>
      </c>
      <c r="C28" s="11">
        <f>[3]Delta!$IX$47</f>
        <v>3555838</v>
      </c>
      <c r="D28" s="11">
        <f>[3]United!$IX$47</f>
        <v>33116</v>
      </c>
      <c r="E28" s="11">
        <f>[3]Spirit!$IX$47</f>
        <v>0</v>
      </c>
      <c r="F28" s="11">
        <f>[3]Condor!$IX$47</f>
        <v>95142</v>
      </c>
      <c r="G28" s="11">
        <f>'[3]Air France'!$IX$47</f>
        <v>104678</v>
      </c>
      <c r="H28" s="11">
        <f>'[3]Jet Blue'!$IX$47</f>
        <v>0</v>
      </c>
      <c r="I28" s="11">
        <f>[3]KLM!$IX$47</f>
        <v>191504</v>
      </c>
      <c r="J28" s="11">
        <f>'Other Major Airline Stats'!K28</f>
        <v>243595</v>
      </c>
      <c r="K28" s="16">
        <f>SUM(B28:J28)</f>
        <v>4261815</v>
      </c>
    </row>
    <row r="29" spans="1:11" x14ac:dyDescent="0.2">
      <c r="A29" s="43" t="s">
        <v>38</v>
      </c>
      <c r="B29" s="7">
        <f>[3]American!$IX$48</f>
        <v>1700</v>
      </c>
      <c r="C29" s="7">
        <f>[3]Delta!$IX$48</f>
        <v>226830</v>
      </c>
      <c r="D29" s="7">
        <f>[3]United!$IX$48</f>
        <v>0</v>
      </c>
      <c r="E29" s="7">
        <f>[3]Spirit!$IX$48</f>
        <v>0</v>
      </c>
      <c r="F29" s="7">
        <f>[3]Condor!$IX$48</f>
        <v>0</v>
      </c>
      <c r="G29" s="7">
        <f>'[3]Air France'!$IX$48</f>
        <v>0</v>
      </c>
      <c r="H29" s="7">
        <f>'[3]Jet Blue'!$IX$48</f>
        <v>0</v>
      </c>
      <c r="I29" s="7">
        <f>[3]KLM!$IX$48</f>
        <v>0</v>
      </c>
      <c r="J29" s="7">
        <f>'Other Major Airline Stats'!K29</f>
        <v>177</v>
      </c>
      <c r="K29" s="22">
        <f>SUM(B29:J29)</f>
        <v>228707</v>
      </c>
    </row>
    <row r="30" spans="1:11" x14ac:dyDescent="0.2">
      <c r="A30" s="47" t="s">
        <v>39</v>
      </c>
      <c r="B30" s="204">
        <f t="shared" ref="B30:J30" si="15">SUM(B28:B29)</f>
        <v>39642</v>
      </c>
      <c r="C30" s="204">
        <f t="shared" si="15"/>
        <v>3782668</v>
      </c>
      <c r="D30" s="204">
        <f t="shared" si="15"/>
        <v>33116</v>
      </c>
      <c r="E30" s="204">
        <f t="shared" si="15"/>
        <v>0</v>
      </c>
      <c r="F30" s="204">
        <f t="shared" ref="F30:I30" si="16">SUM(F28:F29)</f>
        <v>95142</v>
      </c>
      <c r="G30" s="204">
        <f t="shared" si="16"/>
        <v>104678</v>
      </c>
      <c r="H30" s="204">
        <f t="shared" ref="H30" si="17">SUM(H28:H29)</f>
        <v>0</v>
      </c>
      <c r="I30" s="204">
        <f t="shared" si="16"/>
        <v>191504</v>
      </c>
      <c r="J30" s="204">
        <f t="shared" si="15"/>
        <v>243772</v>
      </c>
      <c r="K30" s="16">
        <f>SUM(B30:J30)</f>
        <v>4490522</v>
      </c>
    </row>
    <row r="31" spans="1:11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6"/>
    </row>
    <row r="32" spans="1:11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6">
        <f t="shared" ref="K32:K40" si="18">SUM(B32:J32)</f>
        <v>0</v>
      </c>
    </row>
    <row r="33" spans="1:11" x14ac:dyDescent="0.2">
      <c r="A33" s="43" t="s">
        <v>37</v>
      </c>
      <c r="B33" s="11">
        <f>[3]American!$IX$52</f>
        <v>4356</v>
      </c>
      <c r="C33" s="11">
        <f>[3]Delta!$IX$52</f>
        <v>1900988</v>
      </c>
      <c r="D33" s="11">
        <f>[3]United!$IX$52</f>
        <v>19789</v>
      </c>
      <c r="E33" s="11">
        <f>[3]Spirit!$IX$52</f>
        <v>0</v>
      </c>
      <c r="F33" s="11">
        <f>[3]Condor!$IX$52</f>
        <v>5499</v>
      </c>
      <c r="G33" s="11">
        <f>'[3]Air France'!$IX$52</f>
        <v>324</v>
      </c>
      <c r="H33" s="11">
        <f>'[3]Jet Blue'!$IX$52</f>
        <v>0</v>
      </c>
      <c r="I33" s="11">
        <f>[3]KLM!$IX$52</f>
        <v>14890</v>
      </c>
      <c r="J33" s="11">
        <f>'Other Major Airline Stats'!K33</f>
        <v>59227</v>
      </c>
      <c r="K33" s="16">
        <f t="shared" si="18"/>
        <v>2005073</v>
      </c>
    </row>
    <row r="34" spans="1:11" x14ac:dyDescent="0.2">
      <c r="A34" s="43" t="s">
        <v>38</v>
      </c>
      <c r="B34" s="7">
        <f>[3]American!$IX$53</f>
        <v>429</v>
      </c>
      <c r="C34" s="7">
        <f>[3]Delta!$IX$53</f>
        <v>131283</v>
      </c>
      <c r="D34" s="7">
        <f>[3]United!$IX$53</f>
        <v>0</v>
      </c>
      <c r="E34" s="7">
        <f>[3]Spirit!$IX$53</f>
        <v>0</v>
      </c>
      <c r="F34" s="7">
        <f>[3]Condor!$IX$53</f>
        <v>0</v>
      </c>
      <c r="G34" s="7">
        <f>'[3]Air France'!$IX$53</f>
        <v>0</v>
      </c>
      <c r="H34" s="7">
        <f>'[3]Jet Blue'!$IX$53</f>
        <v>0</v>
      </c>
      <c r="I34" s="7">
        <f>[3]KLM!$IX$53</f>
        <v>0</v>
      </c>
      <c r="J34" s="7">
        <f>'Other Major Airline Stats'!K34</f>
        <v>144</v>
      </c>
      <c r="K34" s="22">
        <f t="shared" si="18"/>
        <v>131856</v>
      </c>
    </row>
    <row r="35" spans="1:11" x14ac:dyDescent="0.2">
      <c r="A35" s="47" t="s">
        <v>41</v>
      </c>
      <c r="B35" s="204">
        <f t="shared" ref="B35:J35" si="19">SUM(B33:B34)</f>
        <v>4785</v>
      </c>
      <c r="C35" s="204">
        <f t="shared" si="19"/>
        <v>2032271</v>
      </c>
      <c r="D35" s="204">
        <f t="shared" si="19"/>
        <v>19789</v>
      </c>
      <c r="E35" s="204">
        <f t="shared" si="19"/>
        <v>0</v>
      </c>
      <c r="F35" s="204">
        <f t="shared" ref="F35:I35" si="20">SUM(F33:F34)</f>
        <v>5499</v>
      </c>
      <c r="G35" s="204">
        <f t="shared" si="20"/>
        <v>324</v>
      </c>
      <c r="H35" s="204">
        <f t="shared" ref="H35" si="21">SUM(H33:H34)</f>
        <v>0</v>
      </c>
      <c r="I35" s="204">
        <f t="shared" si="20"/>
        <v>14890</v>
      </c>
      <c r="J35" s="204">
        <f t="shared" si="19"/>
        <v>59371</v>
      </c>
      <c r="K35" s="16">
        <f t="shared" si="18"/>
        <v>2136929</v>
      </c>
    </row>
    <row r="36" spans="1:11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6">
        <f t="shared" si="18"/>
        <v>0</v>
      </c>
    </row>
    <row r="37" spans="1:11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6">
        <f t="shared" si="18"/>
        <v>0</v>
      </c>
    </row>
    <row r="38" spans="1:11" hidden="1" x14ac:dyDescent="0.2">
      <c r="A38" s="43" t="s">
        <v>37</v>
      </c>
      <c r="B38" s="11">
        <f>[3]American!$IX$57</f>
        <v>0</v>
      </c>
      <c r="C38" s="11">
        <f>[3]Delta!$IX$57</f>
        <v>0</v>
      </c>
      <c r="D38" s="11">
        <f>[3]United!$IX$57</f>
        <v>0</v>
      </c>
      <c r="E38" s="11">
        <f>[3]Spirit!$IX$57</f>
        <v>0</v>
      </c>
      <c r="F38" s="11">
        <f>[3]Condor!$IX$57</f>
        <v>0</v>
      </c>
      <c r="G38" s="11">
        <f>'[3]Air France'!$IX$57</f>
        <v>0</v>
      </c>
      <c r="H38" s="11">
        <f>'[3]Jet Blue'!$IX$57</f>
        <v>0</v>
      </c>
      <c r="I38" s="11">
        <f>[3]KLM!$IX$57</f>
        <v>0</v>
      </c>
      <c r="J38" s="11">
        <f>'Other Major Airline Stats'!K38</f>
        <v>0</v>
      </c>
      <c r="K38" s="16">
        <f t="shared" si="18"/>
        <v>0</v>
      </c>
    </row>
    <row r="39" spans="1:11" hidden="1" x14ac:dyDescent="0.2">
      <c r="A39" s="43" t="s">
        <v>38</v>
      </c>
      <c r="B39" s="7">
        <f>[3]American!$IX$58</f>
        <v>0</v>
      </c>
      <c r="C39" s="7">
        <f>[3]Delta!$IX$58</f>
        <v>0</v>
      </c>
      <c r="D39" s="7">
        <f>[3]United!$IX$58</f>
        <v>0</v>
      </c>
      <c r="E39" s="7">
        <f>[3]Spirit!$IX$58</f>
        <v>0</v>
      </c>
      <c r="F39" s="7">
        <f>[3]Condor!$IX$58</f>
        <v>0</v>
      </c>
      <c r="G39" s="7">
        <f>'[3]Air France'!$IX$58</f>
        <v>0</v>
      </c>
      <c r="H39" s="7">
        <f>'[3]Jet Blue'!$IX$58</f>
        <v>0</v>
      </c>
      <c r="I39" s="7">
        <f>[3]KLM!$IX$58</f>
        <v>0</v>
      </c>
      <c r="J39" s="7">
        <f>'Other Major Airline Stats'!K39</f>
        <v>0</v>
      </c>
      <c r="K39" s="22">
        <f t="shared" si="18"/>
        <v>0</v>
      </c>
    </row>
    <row r="40" spans="1:11" hidden="1" x14ac:dyDescent="0.2">
      <c r="A40" s="47" t="s">
        <v>43</v>
      </c>
      <c r="B40" s="204">
        <f t="shared" ref="B40:J40" si="22">SUM(B38:B39)</f>
        <v>0</v>
      </c>
      <c r="C40" s="204">
        <f t="shared" si="22"/>
        <v>0</v>
      </c>
      <c r="D40" s="204">
        <f t="shared" si="22"/>
        <v>0</v>
      </c>
      <c r="E40" s="204">
        <f t="shared" si="22"/>
        <v>0</v>
      </c>
      <c r="F40" s="204">
        <f t="shared" ref="F40:I40" si="23">SUM(F38:F39)</f>
        <v>0</v>
      </c>
      <c r="G40" s="204">
        <f t="shared" si="23"/>
        <v>0</v>
      </c>
      <c r="H40" s="204">
        <f t="shared" ref="H40" si="24">SUM(H38:H39)</f>
        <v>0</v>
      </c>
      <c r="I40" s="204">
        <f t="shared" si="23"/>
        <v>0</v>
      </c>
      <c r="J40" s="204">
        <f t="shared" si="22"/>
        <v>0</v>
      </c>
      <c r="K40" s="16">
        <f t="shared" si="18"/>
        <v>0</v>
      </c>
    </row>
    <row r="41" spans="1:11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6"/>
    </row>
    <row r="42" spans="1:11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6">
        <f>SUM(B42:J42)</f>
        <v>0</v>
      </c>
    </row>
    <row r="43" spans="1:11" x14ac:dyDescent="0.2">
      <c r="A43" s="43" t="s">
        <v>45</v>
      </c>
      <c r="B43" s="11">
        <f t="shared" ref="B43:J44" si="25">B28+B33+B38</f>
        <v>42298</v>
      </c>
      <c r="C43" s="11">
        <f t="shared" si="25"/>
        <v>5456826</v>
      </c>
      <c r="D43" s="11">
        <f t="shared" si="25"/>
        <v>52905</v>
      </c>
      <c r="E43" s="11">
        <f>E28+E33+E38</f>
        <v>0</v>
      </c>
      <c r="F43" s="11">
        <f t="shared" ref="F43:I43" si="26">F28+F33+F38</f>
        <v>100641</v>
      </c>
      <c r="G43" s="11">
        <f t="shared" si="26"/>
        <v>105002</v>
      </c>
      <c r="H43" s="11">
        <f t="shared" ref="H43" si="27">H28+H33+H38</f>
        <v>0</v>
      </c>
      <c r="I43" s="11">
        <f t="shared" si="26"/>
        <v>206394</v>
      </c>
      <c r="J43" s="11">
        <f t="shared" si="25"/>
        <v>302822</v>
      </c>
      <c r="K43" s="16">
        <f>SUM(B43:J43)</f>
        <v>6266888</v>
      </c>
    </row>
    <row r="44" spans="1:11" x14ac:dyDescent="0.2">
      <c r="A44" s="43" t="s">
        <v>38</v>
      </c>
      <c r="B44" s="7">
        <f t="shared" si="25"/>
        <v>2129</v>
      </c>
      <c r="C44" s="7">
        <f t="shared" si="25"/>
        <v>358113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321</v>
      </c>
      <c r="K44" s="16">
        <f>SUM(B44:J44)</f>
        <v>360563</v>
      </c>
    </row>
    <row r="45" spans="1:11" ht="15.75" thickBot="1" x14ac:dyDescent="0.3">
      <c r="A45" s="44" t="s">
        <v>46</v>
      </c>
      <c r="B45" s="205">
        <f t="shared" ref="B45:J45" si="30">SUM(B43:B44)</f>
        <v>44427</v>
      </c>
      <c r="C45" s="205">
        <f t="shared" si="30"/>
        <v>5814939</v>
      </c>
      <c r="D45" s="205">
        <f t="shared" si="30"/>
        <v>52905</v>
      </c>
      <c r="E45" s="205">
        <f t="shared" si="30"/>
        <v>0</v>
      </c>
      <c r="F45" s="205">
        <f t="shared" ref="F45:I45" si="31">SUM(F43:F44)</f>
        <v>100641</v>
      </c>
      <c r="G45" s="205">
        <f t="shared" si="31"/>
        <v>105002</v>
      </c>
      <c r="H45" s="205">
        <f t="shared" ref="H45" si="32">SUM(H43:H44)</f>
        <v>0</v>
      </c>
      <c r="I45" s="205">
        <f t="shared" si="31"/>
        <v>206394</v>
      </c>
      <c r="J45" s="205">
        <f t="shared" si="30"/>
        <v>303143</v>
      </c>
      <c r="K45" s="206">
        <f>SUM(B45:J45)</f>
        <v>6627451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68" t="s">
        <v>120</v>
      </c>
      <c r="C47" s="231">
        <f>[3]Delta!$IX$70+[3]Delta!$IX$73</f>
        <v>535453</v>
      </c>
      <c r="D47" s="219"/>
      <c r="E47" s="219"/>
      <c r="F47" s="219"/>
      <c r="G47" s="219"/>
      <c r="H47" s="219"/>
      <c r="I47" s="219"/>
      <c r="J47" s="219"/>
      <c r="K47" s="220">
        <f>SUM(B47:J47)</f>
        <v>535453</v>
      </c>
    </row>
    <row r="48" spans="1:11" hidden="1" x14ac:dyDescent="0.2">
      <c r="A48" s="269" t="s">
        <v>121</v>
      </c>
      <c r="C48" s="231">
        <f>[3]Delta!$IX$71+[3]Delta!$IX$74</f>
        <v>396258</v>
      </c>
      <c r="D48" s="219"/>
      <c r="E48" s="219"/>
      <c r="F48" s="219"/>
      <c r="G48" s="219"/>
      <c r="H48" s="219"/>
      <c r="I48" s="219"/>
      <c r="J48" s="219"/>
      <c r="K48" s="220">
        <f>SUM(B48:J48)</f>
        <v>396258</v>
      </c>
    </row>
    <row r="49" spans="1:11" hidden="1" x14ac:dyDescent="0.2">
      <c r="A49" s="270" t="s">
        <v>122</v>
      </c>
      <c r="C49" s="232">
        <f>SUM(C47:C48)</f>
        <v>931711</v>
      </c>
      <c r="K49" s="220">
        <f>SUM(B49:J49)</f>
        <v>931711</v>
      </c>
    </row>
    <row r="50" spans="1:11" x14ac:dyDescent="0.2">
      <c r="A50" s="268" t="s">
        <v>120</v>
      </c>
      <c r="B50" s="279"/>
      <c r="C50" s="234">
        <f>[3]Delta!$IX$70+[3]Delta!$IX$73</f>
        <v>535453</v>
      </c>
      <c r="D50" s="279"/>
      <c r="E50" s="234">
        <f>[3]Spirit!$IX$70+[3]Spirit!$IX$73</f>
        <v>0</v>
      </c>
      <c r="F50" s="279"/>
      <c r="G50" s="279"/>
      <c r="H50" s="279"/>
      <c r="I50" s="279"/>
      <c r="J50" s="233">
        <f>'Other Major Airline Stats'!K48</f>
        <v>223365</v>
      </c>
      <c r="K50" s="223">
        <f>SUM(B50:J50)</f>
        <v>758818</v>
      </c>
    </row>
    <row r="51" spans="1:11" x14ac:dyDescent="0.2">
      <c r="A51" s="281" t="s">
        <v>121</v>
      </c>
      <c r="B51" s="279"/>
      <c r="C51" s="234">
        <f>[3]Delta!$IX$71+[3]Delta!$IX$74</f>
        <v>396258</v>
      </c>
      <c r="D51" s="279"/>
      <c r="E51" s="234">
        <f>[3]Spirit!$IX$71+[3]Spirit!$IX$74</f>
        <v>0</v>
      </c>
      <c r="F51" s="279"/>
      <c r="G51" s="279"/>
      <c r="H51" s="279"/>
      <c r="I51" s="279"/>
      <c r="J51" s="233">
        <f>+'Other Major Airline Stats'!K49</f>
        <v>1310</v>
      </c>
      <c r="K51" s="223">
        <f>SUM(B51:J51)</f>
        <v>397568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D2" sqref="D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8">
        <v>45413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[3]Frontier!$IX$22+[3]Frontier!$IX$32</f>
        <v>25053</v>
      </c>
      <c r="C5" s="89">
        <f>'[3]Allegiant '!$IX$22</f>
        <v>1976</v>
      </c>
      <c r="D5" s="89">
        <f>'[3]Aer Lingus'!$IX$22+'[3]Aer Lingus'!$IX$32</f>
        <v>3189</v>
      </c>
      <c r="E5" s="89">
        <f>'[3]Denver Air'!$IX$22+'[3]Denver Air'!$IX$32</f>
        <v>918</v>
      </c>
      <c r="F5" s="89">
        <f>[3]WestJet!$IX$22+[3]WestJet!$IX$32</f>
        <v>8007</v>
      </c>
      <c r="G5" s="89">
        <f>[3]Icelandair!$IX$32</f>
        <v>4032</v>
      </c>
      <c r="H5" s="89">
        <f>[3]Southwest!$IX$22</f>
        <v>76450</v>
      </c>
      <c r="I5" s="89">
        <f>'[3]Sun Country'!$IX$22+'[3]Sun Country'!$IX$32</f>
        <v>156532</v>
      </c>
      <c r="J5" s="89">
        <f>[3]Alaska!$IX$22</f>
        <v>12652</v>
      </c>
      <c r="K5" s="112">
        <f>SUM(B5:J5)</f>
        <v>288809</v>
      </c>
      <c r="N5" s="89"/>
    </row>
    <row r="6" spans="1:14" x14ac:dyDescent="0.2">
      <c r="A6" s="43" t="s">
        <v>31</v>
      </c>
      <c r="B6" s="89">
        <f>[3]Frontier!$IX$23+[3]Frontier!$IX$33</f>
        <v>25238</v>
      </c>
      <c r="C6" s="89">
        <f>'[3]Allegiant '!$IX$23</f>
        <v>1693</v>
      </c>
      <c r="D6" s="89">
        <f>'[3]Aer Lingus'!$IX$23+'[3]Aer Lingus'!$IX$33</f>
        <v>4062</v>
      </c>
      <c r="E6" s="89">
        <f>'[3]Denver Air'!$IX$23+'[3]Denver Air'!$IX$33</f>
        <v>975</v>
      </c>
      <c r="F6" s="89">
        <f>[3]WestJet!$IX$23+[3]WestJet!$IX$33</f>
        <v>10455</v>
      </c>
      <c r="G6" s="89">
        <f>[3]Icelandair!$IX$33</f>
        <v>4111</v>
      </c>
      <c r="H6" s="89">
        <f>[3]Southwest!$IX$23</f>
        <v>70377</v>
      </c>
      <c r="I6" s="89">
        <f>'[3]Sun Country'!$IX$23+'[3]Sun Country'!$IX$33</f>
        <v>154298</v>
      </c>
      <c r="J6" s="89">
        <f>[3]Alaska!$IX$23</f>
        <v>13003</v>
      </c>
      <c r="K6" s="112">
        <f>SUM(B6:J6)</f>
        <v>284212</v>
      </c>
    </row>
    <row r="7" spans="1:14" ht="15" x14ac:dyDescent="0.25">
      <c r="A7" s="41" t="s">
        <v>7</v>
      </c>
      <c r="B7" s="120">
        <f>SUM(B5:B6)</f>
        <v>50291</v>
      </c>
      <c r="C7" s="120">
        <f t="shared" ref="C7:F7" si="0">SUM(C5:C6)</f>
        <v>3669</v>
      </c>
      <c r="D7" s="120">
        <f>SUM(D5:D6)</f>
        <v>7251</v>
      </c>
      <c r="E7" s="120">
        <f>SUM(E5:E6)</f>
        <v>1893</v>
      </c>
      <c r="F7" s="120">
        <f t="shared" si="0"/>
        <v>18462</v>
      </c>
      <c r="G7" s="120">
        <f t="shared" ref="G7:J7" si="1">SUM(G5:G6)</f>
        <v>8143</v>
      </c>
      <c r="H7" s="120">
        <f t="shared" si="1"/>
        <v>146827</v>
      </c>
      <c r="I7" s="120">
        <f>SUM(I5:I6)</f>
        <v>310830</v>
      </c>
      <c r="J7" s="120">
        <f t="shared" si="1"/>
        <v>25655</v>
      </c>
      <c r="K7" s="121">
        <f>SUM(B7:J7)</f>
        <v>573021</v>
      </c>
    </row>
    <row r="8" spans="1:14" x14ac:dyDescent="0.2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[3]Frontier!$IX$27+[3]Frontier!$IX$37</f>
        <v>185</v>
      </c>
      <c r="C10" s="119">
        <f>'[3]Allegiant '!$IX$27</f>
        <v>0</v>
      </c>
      <c r="D10" s="351">
        <f>'[3]Aer Lingus'!$IX$27+'[3]Aer Lingus'!$IX$37</f>
        <v>28</v>
      </c>
      <c r="E10" s="119">
        <f>'[3]Denver Air'!$IX$27+'[3]Denver Air'!$IX$37</f>
        <v>36</v>
      </c>
      <c r="F10" s="119">
        <f>[3]WestJet!$IX$27+[3]WestJet!$IX$37</f>
        <v>1</v>
      </c>
      <c r="G10" s="119">
        <f>[3]Icelandair!$IX$37</f>
        <v>26</v>
      </c>
      <c r="H10" s="119">
        <f>[3]Southwest!$IX$27</f>
        <v>1850</v>
      </c>
      <c r="I10" s="119">
        <f>'[3]Sun Country'!$IX$27+'[3]Sun Country'!$IX$37</f>
        <v>2689</v>
      </c>
      <c r="J10" s="119">
        <f>[3]Alaska!$IX$27</f>
        <v>413</v>
      </c>
      <c r="K10" s="112">
        <f>SUM(B10:J10)</f>
        <v>5228</v>
      </c>
    </row>
    <row r="11" spans="1:14" x14ac:dyDescent="0.2">
      <c r="A11" s="43" t="s">
        <v>33</v>
      </c>
      <c r="B11" s="122">
        <f>[3]Frontier!$IX$28+[3]Frontier!$IX$38</f>
        <v>146</v>
      </c>
      <c r="C11" s="122">
        <f>'[3]Allegiant '!$IX$28</f>
        <v>0</v>
      </c>
      <c r="D11" s="122">
        <f>'[3]Aer Lingus'!$IX$28+'[3]Aer Lingus'!$IX$38</f>
        <v>33</v>
      </c>
      <c r="E11" s="122">
        <f>'[3]Denver Air'!$IX$28+'[3]Denver Air'!$IX$38</f>
        <v>36</v>
      </c>
      <c r="F11" s="122">
        <f>[3]WestJet!$IX$28+[3]WestJet!$IX$38</f>
        <v>0</v>
      </c>
      <c r="G11" s="122">
        <f>[3]Icelandair!$IX$38</f>
        <v>42</v>
      </c>
      <c r="H11" s="122">
        <f>[3]Southwest!$IX$28</f>
        <v>1923</v>
      </c>
      <c r="I11" s="122">
        <f>'[3]Sun Country'!$IX$28+'[3]Sun Country'!$IX$38</f>
        <v>2776</v>
      </c>
      <c r="J11" s="122">
        <f>[3]Alaska!$IX$28</f>
        <v>497</v>
      </c>
      <c r="K11" s="112">
        <f>SUM(B11:J11)</f>
        <v>5453</v>
      </c>
    </row>
    <row r="12" spans="1:14" ht="15.75" thickBot="1" x14ac:dyDescent="0.3">
      <c r="A12" s="44" t="s">
        <v>34</v>
      </c>
      <c r="B12" s="115">
        <f>SUM(B10:B11)</f>
        <v>331</v>
      </c>
      <c r="C12" s="115">
        <f t="shared" ref="C12:F12" si="2">SUM(C10:C11)</f>
        <v>0</v>
      </c>
      <c r="D12" s="115">
        <f>SUM(D10:D11)</f>
        <v>61</v>
      </c>
      <c r="E12" s="115">
        <f>SUM(E10:E11)</f>
        <v>72</v>
      </c>
      <c r="F12" s="115">
        <f t="shared" si="2"/>
        <v>1</v>
      </c>
      <c r="G12" s="115">
        <f t="shared" ref="G12:J12" si="3">SUM(G10:G11)</f>
        <v>68</v>
      </c>
      <c r="H12" s="115">
        <f t="shared" si="3"/>
        <v>3773</v>
      </c>
      <c r="I12" s="115">
        <f>SUM(I10:I11)</f>
        <v>5465</v>
      </c>
      <c r="J12" s="115">
        <f t="shared" si="3"/>
        <v>910</v>
      </c>
      <c r="K12" s="123">
        <f>SUM(B12:J12)</f>
        <v>10681</v>
      </c>
      <c r="N12" s="89"/>
    </row>
    <row r="13" spans="1:14" ht="15" x14ac:dyDescent="0.25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[3]Frontier!$IX$4+[3]Frontier!$IX$15</f>
        <v>165</v>
      </c>
      <c r="C16" s="79">
        <f>'[3]Allegiant '!$IX$4</f>
        <v>14</v>
      </c>
      <c r="D16" s="89">
        <f>'[3]Aer Lingus'!$IX$4+'[3]Aer Lingus'!$IX$15</f>
        <v>18</v>
      </c>
      <c r="E16" s="89">
        <f>'[3]Denver Air'!$IX$4+'[3]Denver Air'!$IX$15</f>
        <v>95</v>
      </c>
      <c r="F16" s="79">
        <f>[3]WestJet!$IX$4+[3]WestJet!$IX$15</f>
        <v>107</v>
      </c>
      <c r="G16" s="89">
        <f>[3]Icelandair!$IX$15</f>
        <v>29</v>
      </c>
      <c r="H16" s="79">
        <f>[3]Southwest!$IX$4</f>
        <v>618</v>
      </c>
      <c r="I16" s="89">
        <f>'[3]Sun Country'!$IX$4+'[3]Sun Country'!$IX$15</f>
        <v>1035</v>
      </c>
      <c r="J16" s="89">
        <f>[3]Alaska!$IX$4</f>
        <v>93</v>
      </c>
      <c r="K16" s="112">
        <f>SUM(B16:J16)</f>
        <v>2174</v>
      </c>
    </row>
    <row r="17" spans="1:258" x14ac:dyDescent="0.2">
      <c r="A17" s="43" t="s">
        <v>23</v>
      </c>
      <c r="B17" s="89">
        <f>[3]Frontier!$IX$5+[3]Frontier!$IX$16</f>
        <v>166</v>
      </c>
      <c r="C17" s="79">
        <f>'[3]Allegiant '!$IX$5</f>
        <v>14</v>
      </c>
      <c r="D17" s="89">
        <f>'[3]Aer Lingus'!$IX$5+'[3]Aer Lingus'!$IX$16</f>
        <v>18</v>
      </c>
      <c r="E17" s="89">
        <f>'[3]Denver Air'!$IX$5+'[3]Denver Air'!$IX$16</f>
        <v>95</v>
      </c>
      <c r="F17" s="79">
        <f>[3]WestJet!$IX$5+[3]WestJet!$IX$16</f>
        <v>107</v>
      </c>
      <c r="G17" s="89">
        <f>[3]Icelandair!$IX$16</f>
        <v>29</v>
      </c>
      <c r="H17" s="79">
        <f>[3]Southwest!$IX$5</f>
        <v>617</v>
      </c>
      <c r="I17" s="89">
        <f>'[3]Sun Country'!$IX$5+'[3]Sun Country'!$IX$16</f>
        <v>1041</v>
      </c>
      <c r="J17" s="89">
        <f>[3]Alaska!$IX$5</f>
        <v>93</v>
      </c>
      <c r="K17" s="112">
        <f>SUM(B17:J17)</f>
        <v>2180</v>
      </c>
    </row>
    <row r="18" spans="1:258" x14ac:dyDescent="0.2">
      <c r="A18" s="47" t="s">
        <v>24</v>
      </c>
      <c r="B18" s="113">
        <f t="shared" ref="B18" si="4">SUM(B16:B17)</f>
        <v>331</v>
      </c>
      <c r="C18" s="113">
        <f t="shared" ref="C18:F18" si="5">SUM(C16:C17)</f>
        <v>28</v>
      </c>
      <c r="D18" s="113">
        <f t="shared" si="5"/>
        <v>36</v>
      </c>
      <c r="E18" s="113">
        <f t="shared" si="5"/>
        <v>190</v>
      </c>
      <c r="F18" s="113">
        <f t="shared" si="5"/>
        <v>214</v>
      </c>
      <c r="G18" s="113">
        <f t="shared" ref="G18:J18" si="6">SUM(G16:G17)</f>
        <v>58</v>
      </c>
      <c r="H18" s="113">
        <f t="shared" si="6"/>
        <v>1235</v>
      </c>
      <c r="I18" s="113">
        <f t="shared" si="6"/>
        <v>2076</v>
      </c>
      <c r="J18" s="113">
        <f t="shared" si="6"/>
        <v>186</v>
      </c>
      <c r="K18" s="114">
        <f>SUM(B18:J18)</f>
        <v>4354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[3]Frontier!$IX$8</f>
        <v>0</v>
      </c>
      <c r="C20" s="89">
        <f>'[3]Allegiant '!$IX$8</f>
        <v>0</v>
      </c>
      <c r="D20" s="89">
        <f>'[3]Aer Lingus'!$IX$8</f>
        <v>0</v>
      </c>
      <c r="E20" s="89">
        <f>'[3]Denver Air'!$IX$8</f>
        <v>0</v>
      </c>
      <c r="F20" s="89">
        <f>[3]WestJet!$IX$8</f>
        <v>0</v>
      </c>
      <c r="G20" s="89">
        <f>[3]Icelandair!$IX$8</f>
        <v>0</v>
      </c>
      <c r="H20" s="89">
        <f>[3]Southwest!$IX$8</f>
        <v>0</v>
      </c>
      <c r="I20" s="89">
        <f>'[3]Sun Country'!$IX$8</f>
        <v>63</v>
      </c>
      <c r="J20" s="89">
        <f>[3]Alaska!$IX$8</f>
        <v>0</v>
      </c>
      <c r="K20" s="112">
        <f>SUM(B20:J20)</f>
        <v>63</v>
      </c>
    </row>
    <row r="21" spans="1:258" x14ac:dyDescent="0.2">
      <c r="A21" s="43" t="s">
        <v>26</v>
      </c>
      <c r="B21" s="89">
        <f>[3]Frontier!$IX$9</f>
        <v>0</v>
      </c>
      <c r="C21" s="89">
        <f>'[3]Allegiant '!$IX$9</f>
        <v>0</v>
      </c>
      <c r="D21" s="89">
        <f>'[3]Aer Lingus'!$IX$9</f>
        <v>0</v>
      </c>
      <c r="E21" s="89">
        <f>'[3]Denver Air'!$IX$9</f>
        <v>0</v>
      </c>
      <c r="F21" s="89">
        <f>[3]WestJet!$IX$9</f>
        <v>0</v>
      </c>
      <c r="G21" s="89">
        <f>[3]Icelandair!$IX$9</f>
        <v>0</v>
      </c>
      <c r="H21" s="89">
        <f>[3]Southwest!$IX$9</f>
        <v>0</v>
      </c>
      <c r="I21" s="89">
        <f>'[3]Sun Country'!$IX$9</f>
        <v>63</v>
      </c>
      <c r="J21" s="89">
        <f>[3]Alaska!$IX$9</f>
        <v>0</v>
      </c>
      <c r="K21" s="112">
        <f>SUM(B21:J21)</f>
        <v>63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126</v>
      </c>
      <c r="J22" s="113">
        <f t="shared" si="9"/>
        <v>0</v>
      </c>
      <c r="K22" s="114">
        <f>SUM(B22:J22)</f>
        <v>126</v>
      </c>
    </row>
    <row r="23" spans="1:258" ht="15.75" thickBot="1" x14ac:dyDescent="0.3">
      <c r="A23" s="44" t="s">
        <v>28</v>
      </c>
      <c r="B23" s="115">
        <f t="shared" ref="B23" si="10">B22+B18</f>
        <v>331</v>
      </c>
      <c r="C23" s="115">
        <f t="shared" ref="C23:F23" si="11">C22+C18</f>
        <v>28</v>
      </c>
      <c r="D23" s="115">
        <f t="shared" si="11"/>
        <v>36</v>
      </c>
      <c r="E23" s="115">
        <f t="shared" si="11"/>
        <v>190</v>
      </c>
      <c r="F23" s="115">
        <f t="shared" si="11"/>
        <v>214</v>
      </c>
      <c r="G23" s="115">
        <f t="shared" ref="G23:J23" si="12">G22+G18</f>
        <v>58</v>
      </c>
      <c r="H23" s="115">
        <f t="shared" si="12"/>
        <v>1235</v>
      </c>
      <c r="I23" s="115">
        <f>I22+I18</f>
        <v>2202</v>
      </c>
      <c r="J23" s="115">
        <f t="shared" si="12"/>
        <v>186</v>
      </c>
      <c r="K23" s="116">
        <f>SUM(B23:J23)</f>
        <v>4480</v>
      </c>
      <c r="O23" s="89"/>
    </row>
    <row r="24" spans="1:258" x14ac:dyDescent="0.2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[3]Frontier!$IX$47</f>
        <v>0</v>
      </c>
      <c r="C28" s="89">
        <f>'[3]Allegiant '!$IX$47</f>
        <v>0</v>
      </c>
      <c r="D28" s="89">
        <f>'[3]Aer Lingus'!$IX$47</f>
        <v>0</v>
      </c>
      <c r="E28" s="89">
        <f>'[3]Denver Air'!$IX$47</f>
        <v>0</v>
      </c>
      <c r="F28" s="89">
        <f>[3]WestJet!$IX$47</f>
        <v>0</v>
      </c>
      <c r="G28" s="89">
        <f>[3]Icelandair!$IX$47</f>
        <v>718</v>
      </c>
      <c r="H28" s="89">
        <f>[3]Southwest!$IX$47</f>
        <v>216707</v>
      </c>
      <c r="I28" s="89">
        <f>'[3]Sun Country'!$IX$47</f>
        <v>0</v>
      </c>
      <c r="J28" s="89">
        <f>[3]Alaska!$IX$47</f>
        <v>26170</v>
      </c>
      <c r="K28" s="112">
        <f>SUM(B28:J28)</f>
        <v>243595</v>
      </c>
    </row>
    <row r="29" spans="1:258" x14ac:dyDescent="0.2">
      <c r="A29" s="43" t="s">
        <v>38</v>
      </c>
      <c r="B29" s="89">
        <f>[3]Frontier!$IX$48</f>
        <v>0</v>
      </c>
      <c r="C29" s="89">
        <f>'[3]Allegiant '!$IX$48</f>
        <v>0</v>
      </c>
      <c r="D29" s="89">
        <f>'[3]Aer Lingus'!$IX$48</f>
        <v>0</v>
      </c>
      <c r="E29" s="89">
        <f>'[3]Denver Air'!$IX$48</f>
        <v>0</v>
      </c>
      <c r="F29" s="89">
        <f>[3]WestJet!$IX$48</f>
        <v>0</v>
      </c>
      <c r="G29" s="89">
        <f>[3]Icelandair!$IX$48</f>
        <v>0</v>
      </c>
      <c r="H29" s="89">
        <f>[3]Southwest!$IX$48</f>
        <v>0</v>
      </c>
      <c r="I29" s="89">
        <f>'[3]Sun Country'!$IX$48</f>
        <v>0</v>
      </c>
      <c r="J29" s="89">
        <f>[3]Alaska!$IX$48</f>
        <v>177</v>
      </c>
      <c r="K29" s="112">
        <f>SUM(B29:J29)</f>
        <v>177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718</v>
      </c>
      <c r="H30" s="127">
        <f t="shared" si="15"/>
        <v>216707</v>
      </c>
      <c r="I30" s="127">
        <f t="shared" si="15"/>
        <v>0</v>
      </c>
      <c r="J30" s="127">
        <f t="shared" si="15"/>
        <v>26347</v>
      </c>
      <c r="K30" s="129">
        <f>SUM(B30:J30)</f>
        <v>243772</v>
      </c>
    </row>
    <row r="31" spans="1:258" x14ac:dyDescent="0.2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[3]Frontier!$IX$52</f>
        <v>0</v>
      </c>
      <c r="C33" s="89">
        <f>'[3]Allegiant '!$IX$52</f>
        <v>0</v>
      </c>
      <c r="D33" s="89">
        <f>'[3]Aer Lingus'!$IX$52</f>
        <v>0</v>
      </c>
      <c r="E33" s="89">
        <f>'[3]Denver Air'!$IX$52</f>
        <v>0</v>
      </c>
      <c r="F33" s="89">
        <f>[3]WestJet!$IX$52</f>
        <v>0</v>
      </c>
      <c r="G33" s="89">
        <f>[3]Icelandair!$IX$52</f>
        <v>0</v>
      </c>
      <c r="H33" s="89">
        <f>[3]Southwest!$IX$52</f>
        <v>45812</v>
      </c>
      <c r="I33" s="89">
        <f>'[3]Sun Country'!$IX$52</f>
        <v>0</v>
      </c>
      <c r="J33" s="89">
        <f>[3]Alaska!$IX$52</f>
        <v>13415</v>
      </c>
      <c r="K33" s="112">
        <f>SUM(B33:J33)</f>
        <v>59227</v>
      </c>
    </row>
    <row r="34" spans="1:11" x14ac:dyDescent="0.2">
      <c r="A34" s="43" t="s">
        <v>38</v>
      </c>
      <c r="B34" s="89">
        <f>[3]Frontier!$IX$53</f>
        <v>0</v>
      </c>
      <c r="C34" s="89">
        <f>'[3]Allegiant '!$IX$53</f>
        <v>0</v>
      </c>
      <c r="D34" s="89">
        <f>'[3]Aer Lingus'!$IX$53</f>
        <v>0</v>
      </c>
      <c r="E34" s="89">
        <f>'[3]Denver Air'!$IX$53</f>
        <v>0</v>
      </c>
      <c r="F34" s="89">
        <f>[3]WestJet!$IX$53</f>
        <v>0</v>
      </c>
      <c r="G34" s="89">
        <f>[3]Icelandair!$IX$53</f>
        <v>0</v>
      </c>
      <c r="H34" s="89">
        <f>[3]Southwest!$IX$53</f>
        <v>0</v>
      </c>
      <c r="I34" s="89">
        <f>'[3]Sun Country'!$IX$53</f>
        <v>0</v>
      </c>
      <c r="J34" s="89">
        <f>[3]Alaska!$IX$53</f>
        <v>144</v>
      </c>
      <c r="K34" s="128">
        <f>SUM(B34:J34)</f>
        <v>144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45812</v>
      </c>
      <c r="I35" s="113">
        <f t="shared" si="18"/>
        <v>0</v>
      </c>
      <c r="J35" s="113">
        <f t="shared" si="18"/>
        <v>13559</v>
      </c>
      <c r="K35" s="129">
        <f>SUM(B35:J35)</f>
        <v>59371</v>
      </c>
    </row>
    <row r="36" spans="1:11" hidden="1" x14ac:dyDescent="0.2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[3]Frontier!$IX$57</f>
        <v>0</v>
      </c>
      <c r="C38" s="119">
        <f>'[3]Allegiant '!$IX$57</f>
        <v>0</v>
      </c>
      <c r="D38" s="351">
        <f>'[3]Aer Lingus'!$IX$57</f>
        <v>0</v>
      </c>
      <c r="E38" s="119">
        <f>'[3]Denver Air'!$IX$57</f>
        <v>0</v>
      </c>
      <c r="F38" s="119">
        <f>[3]WestJet!$IX$57</f>
        <v>0</v>
      </c>
      <c r="G38" s="119">
        <f>[3]Icelandair!$IX$57</f>
        <v>0</v>
      </c>
      <c r="H38" s="119">
        <f>[3]Southwest!$IX$57</f>
        <v>0</v>
      </c>
      <c r="I38" s="119">
        <f>'[3]Sun Country'!$IX$57</f>
        <v>0</v>
      </c>
      <c r="J38" s="119">
        <f>[3]Alaska!$IX$57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[3]Frontier!$IX$58</f>
        <v>0</v>
      </c>
      <c r="C39" s="122">
        <f>'[3]Allegiant '!$IX$58</f>
        <v>0</v>
      </c>
      <c r="D39" s="122">
        <f>'[3]Aer Lingus'!$IX$58</f>
        <v>0</v>
      </c>
      <c r="E39" s="122">
        <f>'[3]Denver Air'!$IX$58</f>
        <v>0</v>
      </c>
      <c r="F39" s="122">
        <f>[3]WestJet!$IX$58</f>
        <v>0</v>
      </c>
      <c r="G39" s="122">
        <f>[3]Icelandair!$IX$58</f>
        <v>0</v>
      </c>
      <c r="H39" s="122">
        <f>[3]Southwest!$IX$58</f>
        <v>0</v>
      </c>
      <c r="I39" s="122">
        <f>'[3]Sun Country'!$IX$58</f>
        <v>0</v>
      </c>
      <c r="J39" s="122">
        <f>[3]Alaska!$IX$58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718</v>
      </c>
      <c r="H43" s="119">
        <f t="shared" si="24"/>
        <v>262519</v>
      </c>
      <c r="I43" s="119">
        <f t="shared" si="24"/>
        <v>0</v>
      </c>
      <c r="J43" s="119">
        <f t="shared" si="24"/>
        <v>39585</v>
      </c>
      <c r="K43" s="112">
        <f>SUM(B43:J43)</f>
        <v>302822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321</v>
      </c>
      <c r="K44" s="112">
        <f>SUM(B44:J44)</f>
        <v>321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718</v>
      </c>
      <c r="H45" s="131">
        <f t="shared" si="30"/>
        <v>262519</v>
      </c>
      <c r="I45" s="131">
        <f t="shared" si="30"/>
        <v>0</v>
      </c>
      <c r="J45" s="131">
        <f t="shared" si="30"/>
        <v>39906</v>
      </c>
      <c r="K45" s="132">
        <f>SUM(B45:J45)</f>
        <v>303143</v>
      </c>
    </row>
    <row r="48" spans="1:11" x14ac:dyDescent="0.2">
      <c r="A48" s="268" t="s">
        <v>120</v>
      </c>
      <c r="B48" s="279"/>
      <c r="C48" s="279"/>
      <c r="D48" s="279"/>
      <c r="E48" s="279"/>
      <c r="F48" s="279"/>
      <c r="H48" s="234">
        <f>[3]Southwest!$IX$70+[3]Southwest!$IX$73</f>
        <v>69067</v>
      </c>
      <c r="I48" s="234">
        <f>'[3]Sun Country'!$IX$70+'[3]Sun Country'!$IX$73</f>
        <v>154298</v>
      </c>
      <c r="J48" s="279"/>
      <c r="K48" s="223">
        <f>SUM(B48:J48)</f>
        <v>223365</v>
      </c>
    </row>
    <row r="49" spans="1:11" x14ac:dyDescent="0.2">
      <c r="A49" s="281" t="s">
        <v>121</v>
      </c>
      <c r="B49" s="279"/>
      <c r="C49" s="279"/>
      <c r="D49" s="279"/>
      <c r="E49" s="279"/>
      <c r="F49" s="279"/>
      <c r="H49" s="234">
        <f>[3]Southwest!$IX$71+[3]Southwest!$IX$74</f>
        <v>1310</v>
      </c>
      <c r="I49" s="234">
        <f>'[3]Sun Country'!$IX$71+'[3]Sun Country'!$IX$74</f>
        <v>0</v>
      </c>
      <c r="J49" s="279"/>
      <c r="K49" s="223">
        <f>SUM(B49:J49)</f>
        <v>1310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May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O15" sqref="O15:O1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77"/>
    </row>
    <row r="2" spans="1:16" ht="51.75" thickBot="1" x14ac:dyDescent="0.25">
      <c r="A2" s="388">
        <v>45413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">
      <c r="A5" s="43" t="s">
        <v>30</v>
      </c>
      <c r="B5" s="81">
        <f>[3]Pinnacle!$IX$22+[3]Pinnacle!$IX$32</f>
        <v>50676</v>
      </c>
      <c r="C5" s="81">
        <f>[3]MESA_UA!$IX$22</f>
        <v>4816</v>
      </c>
      <c r="D5" s="89">
        <f>'[3]Sky West'!$IX$22+'[3]Sky West'!$IX$32</f>
        <v>117795</v>
      </c>
      <c r="E5" s="89">
        <f>'[3]Sky West_UA'!$IX$22</f>
        <v>2974</v>
      </c>
      <c r="F5" s="89">
        <f>'[3]Sky West_AS'!$IX$22</f>
        <v>0</v>
      </c>
      <c r="G5" s="89">
        <f>'[3]Sky West_AA'!$IX$22</f>
        <v>1530</v>
      </c>
      <c r="H5" s="89">
        <f>[3]Republic!$IX$22</f>
        <v>6651</v>
      </c>
      <c r="I5" s="89">
        <f>[3]Republic_UA!$IX$22</f>
        <v>2316</v>
      </c>
      <c r="J5" s="89">
        <f>'[3]Sky Regional'!$IX$32</f>
        <v>0</v>
      </c>
      <c r="K5" s="89">
        <f>'[3]American Eagle'!$IX$22</f>
        <v>3901</v>
      </c>
      <c r="L5" s="89">
        <f>'Other Regional'!L5</f>
        <v>10652</v>
      </c>
      <c r="M5" s="82">
        <f>SUM(B5:L5)</f>
        <v>201311</v>
      </c>
    </row>
    <row r="6" spans="1:16" s="6" customFormat="1" x14ac:dyDescent="0.2">
      <c r="A6" s="43" t="s">
        <v>31</v>
      </c>
      <c r="B6" s="81">
        <f>[3]Pinnacle!$IX$23+[3]Pinnacle!$IX$33</f>
        <v>50026</v>
      </c>
      <c r="C6" s="81">
        <f>[3]MESA_UA!$IX$23</f>
        <v>4207</v>
      </c>
      <c r="D6" s="89">
        <f>'[3]Sky West'!$IX$23+'[3]Sky West'!$IX$33</f>
        <v>117497</v>
      </c>
      <c r="E6" s="89">
        <f>'[3]Sky West_UA'!$IX$23</f>
        <v>2993</v>
      </c>
      <c r="F6" s="89">
        <f>'[3]Sky West_AS'!$IX$23</f>
        <v>0</v>
      </c>
      <c r="G6" s="89">
        <f>'[3]Sky West_AA'!$IX$23</f>
        <v>1534</v>
      </c>
      <c r="H6" s="89">
        <f>[3]Republic!$IX$23</f>
        <v>6815</v>
      </c>
      <c r="I6" s="89">
        <f>[3]Republic_UA!$IX$23</f>
        <v>2201</v>
      </c>
      <c r="J6" s="89">
        <f>'[3]Sky Regional'!$IX$33</f>
        <v>0</v>
      </c>
      <c r="K6" s="89">
        <f>'[3]American Eagle'!$IX$23</f>
        <v>3943</v>
      </c>
      <c r="L6" s="89">
        <f>'Other Regional'!L6</f>
        <v>11103</v>
      </c>
      <c r="M6" s="86">
        <f>SUM(B6:L6)</f>
        <v>200319</v>
      </c>
    </row>
    <row r="7" spans="1:16" ht="15" thickBot="1" x14ac:dyDescent="0.25">
      <c r="A7" s="52" t="s">
        <v>7</v>
      </c>
      <c r="B7" s="99">
        <f>SUM(B5:B6)</f>
        <v>100702</v>
      </c>
      <c r="C7" s="99">
        <f t="shared" ref="C7:L7" si="0">SUM(C5:C6)</f>
        <v>9023</v>
      </c>
      <c r="D7" s="99">
        <f t="shared" si="0"/>
        <v>235292</v>
      </c>
      <c r="E7" s="99">
        <f t="shared" si="0"/>
        <v>5967</v>
      </c>
      <c r="F7" s="99">
        <f t="shared" ref="F7:G7" si="1">SUM(F5:F6)</f>
        <v>0</v>
      </c>
      <c r="G7" s="99">
        <f t="shared" si="1"/>
        <v>3064</v>
      </c>
      <c r="H7" s="99">
        <f t="shared" si="0"/>
        <v>13466</v>
      </c>
      <c r="I7" s="99">
        <f t="shared" si="0"/>
        <v>4517</v>
      </c>
      <c r="J7" s="99">
        <f t="shared" si="0"/>
        <v>0</v>
      </c>
      <c r="K7" s="99">
        <f t="shared" si="0"/>
        <v>7844</v>
      </c>
      <c r="L7" s="99">
        <f t="shared" si="0"/>
        <v>21755</v>
      </c>
      <c r="M7" s="100">
        <f>SUM(B7:L7)</f>
        <v>401630</v>
      </c>
    </row>
    <row r="8" spans="1:16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">
      <c r="A10" s="43" t="s">
        <v>30</v>
      </c>
      <c r="B10" s="81">
        <f>[3]Pinnacle!$IX$27+[3]Pinnacle!$IX$37</f>
        <v>1167</v>
      </c>
      <c r="C10" s="81">
        <f>[3]MESA_UA!$IX$27</f>
        <v>104</v>
      </c>
      <c r="D10" s="89">
        <f>'[3]Sky West'!$IX$27+'[3]Sky West'!$IX$37</f>
        <v>3576</v>
      </c>
      <c r="E10" s="89">
        <f>'[3]Sky West_UA'!$IX$27</f>
        <v>123</v>
      </c>
      <c r="F10" s="89">
        <f>'[3]Sky West_AS'!$IX$27</f>
        <v>0</v>
      </c>
      <c r="G10" s="89">
        <f>'[3]Sky West_AA'!$IX$27</f>
        <v>84</v>
      </c>
      <c r="H10" s="89">
        <f>[3]Republic!$IX$27</f>
        <v>231</v>
      </c>
      <c r="I10" s="89">
        <f>[3]Republic_UA!$IX$27</f>
        <v>87</v>
      </c>
      <c r="J10" s="89">
        <f>'[3]Sky Regional'!$IX$37</f>
        <v>0</v>
      </c>
      <c r="K10" s="89">
        <f>'[3]American Eagle'!$IX$27</f>
        <v>213</v>
      </c>
      <c r="L10" s="89">
        <f>'Other Regional'!L10</f>
        <v>176</v>
      </c>
      <c r="M10" s="82">
        <f>SUM(B10:L10)</f>
        <v>5761</v>
      </c>
    </row>
    <row r="11" spans="1:16" x14ac:dyDescent="0.2">
      <c r="A11" s="43" t="s">
        <v>33</v>
      </c>
      <c r="B11" s="81">
        <f>[3]Pinnacle!$IX$28+[3]Pinnacle!$IX$38</f>
        <v>1222</v>
      </c>
      <c r="C11" s="81">
        <f>[3]MESA_UA!$IX$28</f>
        <v>141</v>
      </c>
      <c r="D11" s="89">
        <f>'[3]Sky West'!$IX$28+'[3]Sky West'!$IX$38</f>
        <v>3559</v>
      </c>
      <c r="E11" s="89">
        <f>'[3]Sky West_UA'!$IX$28</f>
        <v>118</v>
      </c>
      <c r="F11" s="89">
        <f>'[3]Sky West_AS'!$IX$28</f>
        <v>0</v>
      </c>
      <c r="G11" s="89">
        <f>'[3]Sky West_AA'!$IX$28</f>
        <v>65</v>
      </c>
      <c r="H11" s="89">
        <f>[3]Republic!$IX$28</f>
        <v>164</v>
      </c>
      <c r="I11" s="89">
        <f>[3]Republic_UA!$IX$28</f>
        <v>86</v>
      </c>
      <c r="J11" s="89">
        <f>'[3]Sky Regional'!$IX$38</f>
        <v>0</v>
      </c>
      <c r="K11" s="89">
        <f>'[3]American Eagle'!$IX$28</f>
        <v>160</v>
      </c>
      <c r="L11" s="89">
        <f>'Other Regional'!L11</f>
        <v>170</v>
      </c>
      <c r="M11" s="86">
        <f>SUM(B11:L11)</f>
        <v>5685</v>
      </c>
    </row>
    <row r="12" spans="1:16" ht="15" thickBot="1" x14ac:dyDescent="0.25">
      <c r="A12" s="53" t="s">
        <v>34</v>
      </c>
      <c r="B12" s="102">
        <f t="shared" ref="B12:L12" si="2">SUM(B10:B11)</f>
        <v>2389</v>
      </c>
      <c r="C12" s="102">
        <f t="shared" si="2"/>
        <v>245</v>
      </c>
      <c r="D12" s="102">
        <f t="shared" si="2"/>
        <v>7135</v>
      </c>
      <c r="E12" s="102">
        <f t="shared" si="2"/>
        <v>241</v>
      </c>
      <c r="F12" s="102">
        <f t="shared" ref="F12:G12" si="3">SUM(F10:F11)</f>
        <v>0</v>
      </c>
      <c r="G12" s="102">
        <f t="shared" si="3"/>
        <v>149</v>
      </c>
      <c r="H12" s="102">
        <f t="shared" si="2"/>
        <v>395</v>
      </c>
      <c r="I12" s="102">
        <f t="shared" si="2"/>
        <v>173</v>
      </c>
      <c r="J12" s="102">
        <f t="shared" si="2"/>
        <v>0</v>
      </c>
      <c r="K12" s="102">
        <f t="shared" si="2"/>
        <v>373</v>
      </c>
      <c r="L12" s="102">
        <f t="shared" si="2"/>
        <v>346</v>
      </c>
      <c r="M12" s="103">
        <f>SUM(B12:L12)</f>
        <v>11446</v>
      </c>
    </row>
    <row r="13" spans="1:16" ht="13.5" thickBot="1" x14ac:dyDescent="0.25">
      <c r="B13" s="89"/>
    </row>
    <row r="14" spans="1:16" ht="15.75" thickTop="1" x14ac:dyDescent="0.25">
      <c r="A14" s="42" t="s">
        <v>9</v>
      </c>
      <c r="B14" s="428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">
      <c r="A15" s="43" t="s">
        <v>53</v>
      </c>
      <c r="B15" s="11">
        <f>[3]Pinnacle!$IX$4+[3]Pinnacle!$IX$15</f>
        <v>751</v>
      </c>
      <c r="C15" s="80">
        <f>[3]MESA_UA!$IX$4</f>
        <v>71</v>
      </c>
      <c r="D15" s="79">
        <f>'[3]Sky West'!$IX$4+'[3]Sky West'!$IX$15</f>
        <v>2096</v>
      </c>
      <c r="E15" s="79">
        <f>'[3]Sky West_UA'!$IX$4</f>
        <v>48</v>
      </c>
      <c r="F15" s="79">
        <f>'[3]Sky West_AS'!$IX$4</f>
        <v>0</v>
      </c>
      <c r="G15" s="79">
        <f>'[3]Sky West_AA'!$IX$4</f>
        <v>26</v>
      </c>
      <c r="H15" s="81">
        <f>[3]Republic!$IX$4</f>
        <v>101</v>
      </c>
      <c r="I15" s="325">
        <f>[3]Republic_UA!$IX$4</f>
        <v>35</v>
      </c>
      <c r="J15" s="325">
        <f>'[3]Sky Regional'!$IX$15</f>
        <v>0</v>
      </c>
      <c r="K15" s="81">
        <f>'[3]American Eagle'!$IX$4</f>
        <v>66</v>
      </c>
      <c r="L15" s="80">
        <f>'Other Regional'!L15</f>
        <v>184</v>
      </c>
      <c r="M15" s="82">
        <f t="shared" ref="M15:M20" si="5">SUM(B15:L15)</f>
        <v>3378</v>
      </c>
    </row>
    <row r="16" spans="1:16" x14ac:dyDescent="0.2">
      <c r="A16" s="43" t="s">
        <v>54</v>
      </c>
      <c r="B16" s="7">
        <f>[3]Pinnacle!$IX$5+[3]Pinnacle!$IX$16</f>
        <v>750</v>
      </c>
      <c r="C16" s="84">
        <f>[3]MESA_UA!$IX$5</f>
        <v>68</v>
      </c>
      <c r="D16" s="83">
        <f>'[3]Sky West'!$IX$5+'[3]Sky West'!$IX$16</f>
        <v>2093</v>
      </c>
      <c r="E16" s="83">
        <f>'[3]Sky West_UA'!$IX$5</f>
        <v>49</v>
      </c>
      <c r="F16" s="83">
        <f>'[3]Sky West_AS'!$IX$5</f>
        <v>0</v>
      </c>
      <c r="G16" s="83">
        <f>'[3]Sky West_AA'!$IX$5</f>
        <v>26</v>
      </c>
      <c r="H16" s="85">
        <f>[3]Republic!$IX$5</f>
        <v>101</v>
      </c>
      <c r="I16" s="210">
        <f>[3]Republic_UA!$IX$5</f>
        <v>35</v>
      </c>
      <c r="J16" s="210">
        <f>'[3]Sky Regional'!$IX$16</f>
        <v>0</v>
      </c>
      <c r="K16" s="85">
        <f>'[3]American Eagle'!$IX$5</f>
        <v>66</v>
      </c>
      <c r="L16" s="84">
        <f>'Other Regional'!L16</f>
        <v>185</v>
      </c>
      <c r="M16" s="86">
        <f t="shared" si="5"/>
        <v>3373</v>
      </c>
      <c r="O16" s="89"/>
      <c r="P16" s="89"/>
    </row>
    <row r="17" spans="1:13" x14ac:dyDescent="0.2">
      <c r="A17" s="47" t="s">
        <v>55</v>
      </c>
      <c r="B17" s="87">
        <f t="shared" ref="B17:E17" si="6">SUM(B15:B16)</f>
        <v>1501</v>
      </c>
      <c r="C17" s="87">
        <f t="shared" si="6"/>
        <v>139</v>
      </c>
      <c r="D17" s="87">
        <f t="shared" si="6"/>
        <v>4189</v>
      </c>
      <c r="E17" s="87">
        <f t="shared" si="6"/>
        <v>97</v>
      </c>
      <c r="F17" s="87">
        <f t="shared" ref="F17:G17" si="7">SUM(F15:F16)</f>
        <v>0</v>
      </c>
      <c r="G17" s="87">
        <f t="shared" si="7"/>
        <v>52</v>
      </c>
      <c r="H17" s="87">
        <f>SUM(H15:H16)</f>
        <v>202</v>
      </c>
      <c r="I17" s="87">
        <f t="shared" ref="I17:J17" si="8">SUM(I15:I16)</f>
        <v>70</v>
      </c>
      <c r="J17" s="87">
        <f t="shared" si="8"/>
        <v>0</v>
      </c>
      <c r="K17" s="87">
        <f>SUM(K15:K16)</f>
        <v>132</v>
      </c>
      <c r="L17" s="87">
        <f>SUM(L15:L16)</f>
        <v>369</v>
      </c>
      <c r="M17" s="88">
        <f t="shared" si="5"/>
        <v>6751</v>
      </c>
    </row>
    <row r="18" spans="1:13" x14ac:dyDescent="0.2">
      <c r="A18" s="43" t="s">
        <v>56</v>
      </c>
      <c r="B18" s="89">
        <f>[3]Pinnacle!$IX$8</f>
        <v>1</v>
      </c>
      <c r="C18" s="81">
        <f>[3]MESA_UA!$IX$8</f>
        <v>0</v>
      </c>
      <c r="D18" s="89">
        <f>'[3]Sky West'!$IX$8</f>
        <v>0</v>
      </c>
      <c r="E18" s="89">
        <f>'[3]Sky West_UA'!$IX$8</f>
        <v>2</v>
      </c>
      <c r="F18" s="89">
        <f>'[3]Sky West_AS'!$IX$8</f>
        <v>0</v>
      </c>
      <c r="G18" s="89">
        <f>'[3]Sky West_AA'!$IX$8</f>
        <v>0</v>
      </c>
      <c r="H18" s="89">
        <f>[3]Republic!$IX$8</f>
        <v>0</v>
      </c>
      <c r="I18" s="89">
        <f>[3]Republic_UA!$IX$8</f>
        <v>0</v>
      </c>
      <c r="J18" s="89">
        <f>'[3]Sky Regional'!$IX$8</f>
        <v>0</v>
      </c>
      <c r="K18" s="89">
        <f>'[3]American Eagle'!$IX$8</f>
        <v>0</v>
      </c>
      <c r="L18" s="89">
        <f>'Other Regional'!L18</f>
        <v>0</v>
      </c>
      <c r="M18" s="82">
        <f t="shared" si="5"/>
        <v>3</v>
      </c>
    </row>
    <row r="19" spans="1:13" x14ac:dyDescent="0.2">
      <c r="A19" s="43" t="s">
        <v>57</v>
      </c>
      <c r="B19" s="90">
        <f>[3]Pinnacle!$IX$9</f>
        <v>2</v>
      </c>
      <c r="C19" s="85">
        <f>[3]MESA_UA!$IX$9</f>
        <v>1</v>
      </c>
      <c r="D19" s="90">
        <f>'[3]Sky West'!$IX$9</f>
        <v>1</v>
      </c>
      <c r="E19" s="90">
        <f>'[3]Sky West_UA'!$IX$9</f>
        <v>1</v>
      </c>
      <c r="F19" s="90">
        <f>'[3]Sky West_AS'!$IX$9</f>
        <v>0</v>
      </c>
      <c r="G19" s="90">
        <f>'[3]Sky West_AA'!$IX$9</f>
        <v>0</v>
      </c>
      <c r="H19" s="90">
        <f>[3]Republic!$IX$9</f>
        <v>0</v>
      </c>
      <c r="I19" s="90">
        <f>[3]Republic_UA!$IX$9</f>
        <v>0</v>
      </c>
      <c r="J19" s="90">
        <f>'[3]Sky Regional'!$IX$9</f>
        <v>0</v>
      </c>
      <c r="K19" s="90">
        <f>'[3]American Eagle'!$IX$9</f>
        <v>0</v>
      </c>
      <c r="L19" s="90">
        <f>'Other Regional'!L19</f>
        <v>0</v>
      </c>
      <c r="M19" s="86">
        <f t="shared" si="5"/>
        <v>5</v>
      </c>
    </row>
    <row r="20" spans="1:13" x14ac:dyDescent="0.2">
      <c r="A20" s="47" t="s">
        <v>58</v>
      </c>
      <c r="B20" s="87">
        <f t="shared" ref="B20:L20" si="9">SUM(B18:B19)</f>
        <v>3</v>
      </c>
      <c r="C20" s="87">
        <f t="shared" si="9"/>
        <v>1</v>
      </c>
      <c r="D20" s="87">
        <f t="shared" si="9"/>
        <v>1</v>
      </c>
      <c r="E20" s="87">
        <f t="shared" si="9"/>
        <v>3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8</v>
      </c>
    </row>
    <row r="21" spans="1:13" ht="15.75" thickBot="1" x14ac:dyDescent="0.3">
      <c r="A21" s="51" t="s">
        <v>28</v>
      </c>
      <c r="B21" s="91">
        <f>SUM(B20,B17)</f>
        <v>1504</v>
      </c>
      <c r="C21" s="91">
        <f t="shared" ref="C21:K21" si="11">SUM(C20,C17)</f>
        <v>140</v>
      </c>
      <c r="D21" s="91">
        <f t="shared" si="11"/>
        <v>4190</v>
      </c>
      <c r="E21" s="91">
        <f t="shared" si="11"/>
        <v>100</v>
      </c>
      <c r="F21" s="91">
        <f t="shared" ref="F21:G21" si="12">SUM(F20,F17)</f>
        <v>0</v>
      </c>
      <c r="G21" s="91">
        <f t="shared" si="12"/>
        <v>52</v>
      </c>
      <c r="H21" s="91">
        <f t="shared" si="11"/>
        <v>202</v>
      </c>
      <c r="I21" s="91">
        <f t="shared" si="11"/>
        <v>70</v>
      </c>
      <c r="J21" s="91">
        <f t="shared" si="11"/>
        <v>0</v>
      </c>
      <c r="K21" s="91">
        <f t="shared" si="11"/>
        <v>132</v>
      </c>
      <c r="L21" s="91">
        <f>SUM(L20,L17)</f>
        <v>369</v>
      </c>
      <c r="M21" s="92">
        <f>SUM(B21:L21)</f>
        <v>6759</v>
      </c>
    </row>
    <row r="22" spans="1:13" ht="13.5" thickBot="1" x14ac:dyDescent="0.25"/>
    <row r="23" spans="1:13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">
      <c r="A25" s="43" t="s">
        <v>37</v>
      </c>
      <c r="B25" s="89">
        <f>[3]Pinnacle!$IX$47</f>
        <v>0</v>
      </c>
      <c r="C25" s="81">
        <f>[3]MESA_UA!$IX$47</f>
        <v>0</v>
      </c>
      <c r="D25" s="89">
        <f>'[3]Sky West'!$IX$47</f>
        <v>0</v>
      </c>
      <c r="E25" s="89">
        <f>'[3]Sky West_UA'!$IX$47</f>
        <v>0</v>
      </c>
      <c r="F25" s="89">
        <f>'[3]Sky West_AS'!$IX$47</f>
        <v>0</v>
      </c>
      <c r="G25" s="89">
        <f>'[3]Sky West_AA'!$IX$47</f>
        <v>2</v>
      </c>
      <c r="H25" s="89">
        <f>[3]Republic!$IX$47</f>
        <v>2620</v>
      </c>
      <c r="I25" s="89">
        <f>[3]Republic_UA!$IX$47</f>
        <v>0</v>
      </c>
      <c r="J25" s="89">
        <f>'[3]Sky Regional'!$IX$47</f>
        <v>0</v>
      </c>
      <c r="K25" s="89">
        <f>'[3]American Eagle'!$IX$47</f>
        <v>1003</v>
      </c>
      <c r="L25" s="89">
        <f>'Other Regional'!L25</f>
        <v>1715.8</v>
      </c>
      <c r="M25" s="82">
        <f>SUM(B25:L25)</f>
        <v>5340.8</v>
      </c>
    </row>
    <row r="26" spans="1:13" x14ac:dyDescent="0.2">
      <c r="A26" s="43" t="s">
        <v>38</v>
      </c>
      <c r="B26" s="89">
        <f>[3]Pinnacle!$IX$48</f>
        <v>0</v>
      </c>
      <c r="C26" s="81">
        <f>[3]MESA_UA!$IX$48</f>
        <v>0</v>
      </c>
      <c r="D26" s="89">
        <f>'[3]Sky West'!$IX$48</f>
        <v>0</v>
      </c>
      <c r="E26" s="89">
        <f>'[3]Sky West_UA'!$IX$48</f>
        <v>0</v>
      </c>
      <c r="F26" s="89">
        <f>'[3]Sky West_AS'!$IX$48</f>
        <v>0</v>
      </c>
      <c r="G26" s="89">
        <f>'[3]Sky West_AA'!$IX$48</f>
        <v>0</v>
      </c>
      <c r="H26" s="89">
        <f>[3]Republic!$IX$48</f>
        <v>0</v>
      </c>
      <c r="I26" s="89">
        <f>[3]Republic_UA!$IX$48</f>
        <v>0</v>
      </c>
      <c r="J26" s="89">
        <f>'[3]Sky Regional'!$IX$48</f>
        <v>0</v>
      </c>
      <c r="K26" s="89">
        <f>'[3]American Eagle'!$IX$48</f>
        <v>0</v>
      </c>
      <c r="L26" s="89">
        <f>'Other Regional'!L26</f>
        <v>0</v>
      </c>
      <c r="M26" s="82">
        <f>SUM(B26:L26)</f>
        <v>0</v>
      </c>
    </row>
    <row r="27" spans="1:13" ht="15" thickBot="1" x14ac:dyDescent="0.2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2</v>
      </c>
      <c r="H27" s="99">
        <f t="shared" si="13"/>
        <v>2620</v>
      </c>
      <c r="I27" s="99">
        <f t="shared" si="13"/>
        <v>0</v>
      </c>
      <c r="J27" s="99">
        <f t="shared" si="13"/>
        <v>0</v>
      </c>
      <c r="K27" s="99">
        <f t="shared" si="13"/>
        <v>1003</v>
      </c>
      <c r="L27" s="99">
        <f t="shared" si="13"/>
        <v>1715.8</v>
      </c>
      <c r="M27" s="100">
        <f>SUM(B27:L27)</f>
        <v>5340.8</v>
      </c>
    </row>
    <row r="28" spans="1:13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">
      <c r="A30" s="43" t="s">
        <v>59</v>
      </c>
      <c r="B30" s="89">
        <f>[3]Pinnacle!$IX$52</f>
        <v>0</v>
      </c>
      <c r="C30" s="81">
        <f>[3]MESA_UA!$IX$52</f>
        <v>0</v>
      </c>
      <c r="D30" s="89">
        <f>'[3]Sky West'!$IX$52</f>
        <v>0</v>
      </c>
      <c r="E30" s="89">
        <f>'[3]Sky West_UA'!$IX$52</f>
        <v>0</v>
      </c>
      <c r="F30" s="89">
        <f>'[3]Sky West_AS'!$IX$52</f>
        <v>0</v>
      </c>
      <c r="G30" s="89">
        <f>'[3]Sky West_AA'!$IX$52</f>
        <v>0</v>
      </c>
      <c r="H30" s="89">
        <f>[3]Republic!$IX$52</f>
        <v>200</v>
      </c>
      <c r="I30" s="89">
        <f>[3]Republic_UA!$IX$52</f>
        <v>0</v>
      </c>
      <c r="J30" s="89">
        <f>'[3]Sky Regional'!$IX$52</f>
        <v>0</v>
      </c>
      <c r="K30" s="89">
        <f>'[3]American Eagle'!$IX$52</f>
        <v>0</v>
      </c>
      <c r="L30" s="89">
        <f>'Other Regional'!L30</f>
        <v>2657.5</v>
      </c>
      <c r="M30" s="82">
        <f t="shared" ref="M30:M37" si="15">SUM(B30:L30)</f>
        <v>2857.5</v>
      </c>
    </row>
    <row r="31" spans="1:13" x14ac:dyDescent="0.2">
      <c r="A31" s="43" t="s">
        <v>60</v>
      </c>
      <c r="B31" s="89">
        <f>[3]Pinnacle!$IX$53</f>
        <v>0</v>
      </c>
      <c r="C31" s="81">
        <f>[3]MESA_UA!$IX$53</f>
        <v>0</v>
      </c>
      <c r="D31" s="89">
        <f>'[3]Sky West'!$IX$53</f>
        <v>0</v>
      </c>
      <c r="E31" s="89">
        <f>'[3]Sky West_UA'!$IX$53</f>
        <v>0</v>
      </c>
      <c r="F31" s="89">
        <f>'[3]Sky West_AS'!$IX$53</f>
        <v>0</v>
      </c>
      <c r="G31" s="89">
        <f>'[3]Sky West_AA'!$IX$53</f>
        <v>0</v>
      </c>
      <c r="H31" s="89">
        <f>[3]Republic!$IX$53</f>
        <v>0</v>
      </c>
      <c r="I31" s="89">
        <f>[3]Republic_UA!$IX$53</f>
        <v>0</v>
      </c>
      <c r="J31" s="89">
        <f>'[3]Sky Regional'!$IX$53</f>
        <v>0</v>
      </c>
      <c r="K31" s="89">
        <f>'[3]American Eagle'!$IX$53</f>
        <v>0</v>
      </c>
      <c r="L31" s="89">
        <f>'Other Regional'!L31</f>
        <v>0</v>
      </c>
      <c r="M31" s="82">
        <f t="shared" si="15"/>
        <v>0</v>
      </c>
    </row>
    <row r="32" spans="1:13" ht="15" thickBot="1" x14ac:dyDescent="0.2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200</v>
      </c>
      <c r="I32" s="99">
        <f t="shared" si="16"/>
        <v>0</v>
      </c>
      <c r="J32" s="99">
        <f t="shared" si="16"/>
        <v>0</v>
      </c>
      <c r="K32" s="99">
        <f t="shared" si="16"/>
        <v>0</v>
      </c>
      <c r="L32" s="99">
        <f>SUM(L30:L31)</f>
        <v>2657.5</v>
      </c>
      <c r="M32" s="100">
        <f t="shared" si="15"/>
        <v>2857.5</v>
      </c>
    </row>
    <row r="33" spans="1:13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.5" hidden="1" thickTop="1" x14ac:dyDescent="0.2">
      <c r="A35" s="43" t="s">
        <v>37</v>
      </c>
      <c r="B35" s="89">
        <f>[3]Pinnacle!$IX$57</f>
        <v>0</v>
      </c>
      <c r="C35" s="81">
        <f>[3]MESA_UA!$IX$57</f>
        <v>0</v>
      </c>
      <c r="D35" s="89">
        <f>'[3]Sky West'!$IX$57</f>
        <v>0</v>
      </c>
      <c r="E35" s="89">
        <f>'[3]Sky West_UA'!$IX$57</f>
        <v>0</v>
      </c>
      <c r="F35" s="89">
        <f>'[3]Sky West_AS'!$IX$57</f>
        <v>0</v>
      </c>
      <c r="G35" s="89">
        <f>'[3]Sky West_AA'!$IX$57</f>
        <v>0</v>
      </c>
      <c r="H35" s="89">
        <f>[3]Republic!$IX$57</f>
        <v>0</v>
      </c>
      <c r="I35" s="89">
        <f>[3]Republic!$IX$57</f>
        <v>0</v>
      </c>
      <c r="J35" s="89">
        <f>[3]Republic!$IX$57</f>
        <v>0</v>
      </c>
      <c r="K35" s="89">
        <f>'[3]American Eagle'!$IX$57</f>
        <v>0</v>
      </c>
      <c r="L35" s="89">
        <f>'Other Regional'!L35</f>
        <v>0</v>
      </c>
      <c r="M35" s="82">
        <f t="shared" si="15"/>
        <v>0</v>
      </c>
    </row>
    <row r="36" spans="1:13" ht="13.5" hidden="1" thickTop="1" x14ac:dyDescent="0.2">
      <c r="A36" s="43" t="s">
        <v>38</v>
      </c>
      <c r="B36" s="89">
        <f>[3]Pinnacle!$IX$58</f>
        <v>0</v>
      </c>
      <c r="C36" s="81">
        <f>[3]MESA_UA!$IX$58</f>
        <v>0</v>
      </c>
      <c r="D36" s="89">
        <f>'[3]Sky West'!$IX$58</f>
        <v>0</v>
      </c>
      <c r="E36" s="89">
        <f>'[3]Sky West_UA'!$IX$58</f>
        <v>0</v>
      </c>
      <c r="F36" s="89">
        <f>'[3]Sky West_AS'!$IX$58</f>
        <v>0</v>
      </c>
      <c r="G36" s="89">
        <f>'[3]Sky West_AA'!$IX$58</f>
        <v>0</v>
      </c>
      <c r="H36" s="89">
        <f>[3]Republic!$IX$58</f>
        <v>0</v>
      </c>
      <c r="I36" s="89">
        <f>[3]Republic!$IX$58</f>
        <v>0</v>
      </c>
      <c r="J36" s="89">
        <f>[3]Republic!$IX$58</f>
        <v>0</v>
      </c>
      <c r="K36" s="89">
        <f>'[3]American Eagle'!$IX$58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2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2</v>
      </c>
      <c r="H40" s="89">
        <f t="shared" si="20"/>
        <v>2820</v>
      </c>
      <c r="I40" s="89">
        <f t="shared" si="20"/>
        <v>0</v>
      </c>
      <c r="J40" s="89">
        <f t="shared" si="20"/>
        <v>0</v>
      </c>
      <c r="K40" s="89">
        <f>SUM(K35,K30,K25)</f>
        <v>1003</v>
      </c>
      <c r="L40" s="89">
        <f>L35+L30+L25</f>
        <v>4373.3</v>
      </c>
      <c r="M40" s="82">
        <f>SUM(B40:L40)</f>
        <v>8198.2999999999993</v>
      </c>
    </row>
    <row r="41" spans="1:13" x14ac:dyDescent="0.2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5" thickBot="1" x14ac:dyDescent="0.2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2</v>
      </c>
      <c r="H42" s="102">
        <f t="shared" si="20"/>
        <v>2820</v>
      </c>
      <c r="I42" s="102">
        <f t="shared" si="20"/>
        <v>0</v>
      </c>
      <c r="J42" s="102">
        <f t="shared" si="20"/>
        <v>0</v>
      </c>
      <c r="K42" s="102">
        <f>SUM(K37,K32,K27)</f>
        <v>1003</v>
      </c>
      <c r="L42" s="102">
        <f>SUM(L37,L32,L27)</f>
        <v>4373.3</v>
      </c>
      <c r="M42" s="103">
        <f>SUM(B42:L42)</f>
        <v>8198.2999999999993</v>
      </c>
    </row>
    <row r="44" spans="1:13" x14ac:dyDescent="0.2">
      <c r="A44" s="268" t="s">
        <v>120</v>
      </c>
      <c r="B44" s="233">
        <f>[3]Pinnacle!$IX$70+[3]Pinnacle!$IX$73</f>
        <v>17438</v>
      </c>
      <c r="D44" s="234">
        <f>'[3]Sky West'!$IX$70+'[3]Sky West'!$IX$73</f>
        <v>35558</v>
      </c>
      <c r="E44" s="2"/>
      <c r="F44" s="2"/>
      <c r="G44" s="2"/>
      <c r="L44" s="234">
        <f>+'Other Regional'!L46</f>
        <v>0</v>
      </c>
      <c r="M44" s="223">
        <f>SUM(B44:L44)</f>
        <v>52996</v>
      </c>
    </row>
    <row r="45" spans="1:13" x14ac:dyDescent="0.2">
      <c r="A45" s="281" t="s">
        <v>121</v>
      </c>
      <c r="B45" s="233">
        <f>[3]Pinnacle!$IX$71+[3]Pinnacle!$IX$74</f>
        <v>32588</v>
      </c>
      <c r="D45" s="234">
        <f>'[3]Sky West'!$IX$71+'[3]Sky West'!$IX$74</f>
        <v>81939</v>
      </c>
      <c r="E45" s="2"/>
      <c r="F45" s="2"/>
      <c r="G45" s="2"/>
      <c r="L45" s="234">
        <f>+'Other Regional'!L47</f>
        <v>0</v>
      </c>
      <c r="M45" s="223">
        <f>SUM(B45:L45)</f>
        <v>114527</v>
      </c>
    </row>
    <row r="46" spans="1:13" x14ac:dyDescent="0.2">
      <c r="A46" s="224" t="s">
        <v>122</v>
      </c>
      <c r="B46" s="225">
        <f>SUM(B44:B45)</f>
        <v>50026</v>
      </c>
      <c r="L46" s="2"/>
      <c r="M46" s="209"/>
    </row>
    <row r="47" spans="1:13" x14ac:dyDescent="0.2">
      <c r="A47" s="226"/>
      <c r="B47" s="227" t="b">
        <f>IF(B46=B6,TRUE,FALSE)</f>
        <v>1</v>
      </c>
    </row>
    <row r="50" spans="13:13" x14ac:dyDescent="0.2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May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Q42" sqref="Q4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77"/>
    </row>
    <row r="2" spans="1:12" ht="55.5" customHeight="1" thickBot="1" x14ac:dyDescent="0.25">
      <c r="A2" s="388">
        <v>45413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5" x14ac:dyDescent="0.25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">
      <c r="A5" s="43" t="s">
        <v>30</v>
      </c>
      <c r="B5" s="81">
        <f>'[3]Shuttle America'!$IX$22</f>
        <v>0</v>
      </c>
      <c r="C5" s="81">
        <f>'[3]Shuttle America_Delta'!$IX$22</f>
        <v>0</v>
      </c>
      <c r="D5" s="325">
        <f>[3]Horizon_AS!$IX$22+[3]Horizon_AS!$IX$32</f>
        <v>0</v>
      </c>
      <c r="E5" s="325">
        <f>'[3]Air Wisconsin'!$IX$22</f>
        <v>0</v>
      </c>
      <c r="F5" s="325">
        <f>[3]Jazz_AC!$IX$22+[3]Jazz_AC!$IX$32</f>
        <v>6428</v>
      </c>
      <c r="G5" s="325">
        <f>[3]PSA!$IX$22</f>
        <v>4224</v>
      </c>
      <c r="H5" s="81">
        <f>'[3]Atlantic Southeast'!$IX$22+'[3]Atlantic Southeast'!$IX$32</f>
        <v>0</v>
      </c>
      <c r="I5" s="81">
        <f>'[3]Continental Express'!$IX$22</f>
        <v>0</v>
      </c>
      <c r="J5" s="89">
        <f>'[3]Go Jet_UA'!$IX$22</f>
        <v>0</v>
      </c>
      <c r="K5" s="11">
        <f>'[3]Go Jet'!$IX$22+'[3]Go Jet'!$IX$32</f>
        <v>0</v>
      </c>
      <c r="L5" s="82">
        <f>SUM(B5:K5)</f>
        <v>10652</v>
      </c>
    </row>
    <row r="6" spans="1:12" s="6" customFormat="1" x14ac:dyDescent="0.2">
      <c r="A6" s="43" t="s">
        <v>31</v>
      </c>
      <c r="B6" s="81">
        <f>'[3]Shuttle America'!$IX$23</f>
        <v>0</v>
      </c>
      <c r="C6" s="81">
        <f>'[3]Shuttle America_Delta'!$IX$23</f>
        <v>0</v>
      </c>
      <c r="D6" s="325">
        <f>[3]Horizon_AS!$IX$23+[3]Horizon_AS!$IX$33</f>
        <v>0</v>
      </c>
      <c r="E6" s="325">
        <f>'[3]Air Wisconsin'!$IX$23</f>
        <v>0</v>
      </c>
      <c r="F6" s="325">
        <f>[3]Jazz_AC!$IX$23+[3]Jazz_AC!$IX$33</f>
        <v>6992</v>
      </c>
      <c r="G6" s="325">
        <f>[3]PSA!$IX$23</f>
        <v>4111</v>
      </c>
      <c r="H6" s="81">
        <f>'[3]Atlantic Southeast'!$IX$23+'[3]Atlantic Southeast'!$IX$33</f>
        <v>0</v>
      </c>
      <c r="I6" s="81">
        <f>'[3]Continental Express'!$IX$23</f>
        <v>0</v>
      </c>
      <c r="J6" s="89">
        <f>'[3]Go Jet_UA'!$IX$23</f>
        <v>0</v>
      </c>
      <c r="K6" s="7">
        <f>'[3]Go Jet'!$IX$23+'[3]Go Jet'!$IX$33</f>
        <v>0</v>
      </c>
      <c r="L6" s="86">
        <f>SUM(B6:K6)</f>
        <v>11103</v>
      </c>
    </row>
    <row r="7" spans="1:12" ht="15" thickBot="1" x14ac:dyDescent="0.2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13420</v>
      </c>
      <c r="G7" s="99">
        <f t="shared" si="0"/>
        <v>8335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21755</v>
      </c>
    </row>
    <row r="8" spans="1:12" ht="13.5" thickTop="1" x14ac:dyDescent="0.2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">
      <c r="A10" s="43" t="s">
        <v>30</v>
      </c>
      <c r="B10" s="81">
        <f>'[3]Shuttle America'!$IX$27</f>
        <v>0</v>
      </c>
      <c r="C10" s="81">
        <f>'[3]Shuttle America_Delta'!$IX$27</f>
        <v>0</v>
      </c>
      <c r="D10" s="325">
        <f>[3]Horizon_AS!$IX$27+[3]Horizon_AS!$IX$37</f>
        <v>0</v>
      </c>
      <c r="E10" s="325">
        <f>'[3]Air Wisconsin'!$IX$27</f>
        <v>0</v>
      </c>
      <c r="F10" s="325">
        <f>[3]Jazz_AC!$IX$27+[3]Jazz_AC!$IX$37</f>
        <v>100</v>
      </c>
      <c r="G10" s="325">
        <f>[3]PSA!$IX$27</f>
        <v>76</v>
      </c>
      <c r="H10" s="11">
        <f>'[3]Atlantic Southeast'!$IX$27+'[3]Atlantic Southeast'!$IX$37</f>
        <v>0</v>
      </c>
      <c r="I10" s="81">
        <f>'[3]Continental Express'!$IX$27</f>
        <v>0</v>
      </c>
      <c r="J10" s="89">
        <f>'[3]Go Jet_UA'!$IX$27</f>
        <v>0</v>
      </c>
      <c r="K10" s="11">
        <f>'[3]Go Jet'!$IX$27+'[3]Go Jet'!$IX$37</f>
        <v>0</v>
      </c>
      <c r="L10" s="82">
        <f>SUM(B10:K10)</f>
        <v>176</v>
      </c>
    </row>
    <row r="11" spans="1:12" x14ac:dyDescent="0.2">
      <c r="A11" s="43" t="s">
        <v>33</v>
      </c>
      <c r="B11" s="81">
        <f>'[3]Shuttle America'!$IX$28</f>
        <v>0</v>
      </c>
      <c r="C11" s="81">
        <f>'[3]Shuttle America_Delta'!$IX$28</f>
        <v>0</v>
      </c>
      <c r="D11" s="325">
        <f>[3]Horizon_AS!$IX$28+[3]Horizon_AS!$IX$38</f>
        <v>0</v>
      </c>
      <c r="E11" s="325">
        <f>'[3]Air Wisconsin'!$IX$28</f>
        <v>0</v>
      </c>
      <c r="F11" s="325">
        <f>[3]Jazz_AC!$IX$28+[3]Jazz_AC!$IX$38</f>
        <v>104</v>
      </c>
      <c r="G11" s="325">
        <f>[3]PSA!$IX$28</f>
        <v>66</v>
      </c>
      <c r="H11" s="7">
        <f>'[3]Atlantic Southeast'!$IX$28+'[3]Atlantic Southeast'!$IX$38</f>
        <v>0</v>
      </c>
      <c r="I11" s="81">
        <f>'[3]Continental Express'!$IX$28</f>
        <v>0</v>
      </c>
      <c r="J11" s="89">
        <f>'[3]Go Jet_UA'!$IX$28</f>
        <v>0</v>
      </c>
      <c r="K11" s="7">
        <f>'[3]Go Jet'!$IX$28+'[3]Go Jet'!$IX$38</f>
        <v>0</v>
      </c>
      <c r="L11" s="86">
        <f>SUM(B11:K11)</f>
        <v>170</v>
      </c>
    </row>
    <row r="12" spans="1:12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204</v>
      </c>
      <c r="G12" s="102">
        <f t="shared" si="2"/>
        <v>142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346</v>
      </c>
    </row>
    <row r="13" spans="1:12" ht="6" customHeight="1" thickBot="1" x14ac:dyDescent="0.25"/>
    <row r="14" spans="1:12" ht="15.75" thickTop="1" x14ac:dyDescent="0.25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">
      <c r="A15" s="43" t="s">
        <v>53</v>
      </c>
      <c r="B15" s="79">
        <f>'[3]Shuttle America'!$IX$4</f>
        <v>0</v>
      </c>
      <c r="C15" s="79">
        <f>'[3]Shuttle America_Delta'!$IX$4</f>
        <v>0</v>
      </c>
      <c r="D15" s="326">
        <f>[3]Horizon_AS!$IX$4</f>
        <v>0</v>
      </c>
      <c r="E15" s="326">
        <f>'[3]Air Wisconsin'!$IX$4</f>
        <v>0</v>
      </c>
      <c r="F15" s="326">
        <f>[3]Jazz_AC!$IX$4+[3]Jazz_AC!$IX$15</f>
        <v>120</v>
      </c>
      <c r="G15" s="326">
        <f>[3]PSA!$IX$4</f>
        <v>64</v>
      </c>
      <c r="H15" s="80">
        <f>'[3]Atlantic Southeast'!$IX$4+'[3]Atlantic Southeast'!$IX$15</f>
        <v>0</v>
      </c>
      <c r="I15" s="80">
        <f>'[3]Continental Express'!$IX$4</f>
        <v>0</v>
      </c>
      <c r="J15" s="79">
        <f>'[3]Go Jet_UA'!$IX$4</f>
        <v>0</v>
      </c>
      <c r="K15" s="11">
        <f>'[3]Go Jet'!$IX$4+'[3]Go Jet'!$IX$15</f>
        <v>0</v>
      </c>
      <c r="L15" s="82">
        <f t="shared" ref="L15:L20" si="6">SUM(B15:K15)</f>
        <v>184</v>
      </c>
    </row>
    <row r="16" spans="1:12" x14ac:dyDescent="0.2">
      <c r="A16" s="43" t="s">
        <v>54</v>
      </c>
      <c r="B16" s="83">
        <f>'[3]Shuttle America'!$IX$5</f>
        <v>0</v>
      </c>
      <c r="C16" s="83">
        <f>'[3]Shuttle America_Delta'!$IX$5</f>
        <v>0</v>
      </c>
      <c r="D16" s="327">
        <f>[3]Horizon_AS!$IX$5</f>
        <v>0</v>
      </c>
      <c r="E16" s="327">
        <f>'[3]Air Wisconsin'!$IX$5</f>
        <v>0</v>
      </c>
      <c r="F16" s="327">
        <f>[3]Jazz_AC!$IX$5+[3]Jazz_AC!$IX$16</f>
        <v>120</v>
      </c>
      <c r="G16" s="327">
        <f>[3]PSA!$IX$5</f>
        <v>65</v>
      </c>
      <c r="H16" s="84">
        <f>'[3]Atlantic Southeast'!$IX$5+'[3]Atlantic Southeast'!$IX$16</f>
        <v>0</v>
      </c>
      <c r="I16" s="84">
        <f>'[3]Continental Express'!$IX$5</f>
        <v>0</v>
      </c>
      <c r="J16" s="83">
        <f>'[3]Go Jet_UA'!$IX$5</f>
        <v>0</v>
      </c>
      <c r="K16" s="7">
        <f>'[3]Go Jet'!$IX$5+'[3]Go Jet'!$IX$16</f>
        <v>0</v>
      </c>
      <c r="L16" s="86">
        <f t="shared" si="6"/>
        <v>185</v>
      </c>
    </row>
    <row r="17" spans="1:15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240</v>
      </c>
      <c r="G17" s="87">
        <f t="shared" si="7"/>
        <v>129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369</v>
      </c>
    </row>
    <row r="18" spans="1:15" x14ac:dyDescent="0.2">
      <c r="A18" s="43" t="s">
        <v>56</v>
      </c>
      <c r="B18" s="89">
        <f>'[3]Shuttle America'!$IX$8</f>
        <v>0</v>
      </c>
      <c r="C18" s="89">
        <f>'[3]Shuttle America_Delta'!$IX$8</f>
        <v>0</v>
      </c>
      <c r="D18" s="89">
        <f>[3]Horizon_AS!$IX$8</f>
        <v>0</v>
      </c>
      <c r="E18" s="89">
        <f>'[3]Air Wisconsin'!$IX$8</f>
        <v>0</v>
      </c>
      <c r="F18" s="89">
        <f>[3]Jazz_AC!$IX$8</f>
        <v>0</v>
      </c>
      <c r="G18" s="89">
        <f>[3]PSA!$IX$8</f>
        <v>0</v>
      </c>
      <c r="H18" s="81">
        <f>'[3]Atlantic Southeast'!$IX$8</f>
        <v>0</v>
      </c>
      <c r="I18" s="81">
        <f>'[3]Continental Express'!$IX$8</f>
        <v>0</v>
      </c>
      <c r="J18" s="89">
        <f>'[3]Go Jet_UA'!$IX$8</f>
        <v>0</v>
      </c>
      <c r="K18" s="11">
        <f>'[3]Go Jet'!$IX$8</f>
        <v>0</v>
      </c>
      <c r="L18" s="82">
        <f t="shared" si="6"/>
        <v>0</v>
      </c>
      <c r="O18" s="271"/>
    </row>
    <row r="19" spans="1:15" x14ac:dyDescent="0.2">
      <c r="A19" s="43" t="s">
        <v>57</v>
      </c>
      <c r="B19" s="90">
        <f>'[3]Shuttle America'!$IX$9</f>
        <v>0</v>
      </c>
      <c r="C19" s="90">
        <f>'[3]Shuttle America_Delta'!$IX$9</f>
        <v>0</v>
      </c>
      <c r="D19" s="90">
        <f>[3]Horizon_AS!$IX$9</f>
        <v>0</v>
      </c>
      <c r="E19" s="90">
        <f>'[3]Air Wisconsin'!$IX$9</f>
        <v>0</v>
      </c>
      <c r="F19" s="90">
        <f>[3]Jazz_AC!$IX$9</f>
        <v>0</v>
      </c>
      <c r="G19" s="90">
        <f>[3]PSA!$IX$9</f>
        <v>0</v>
      </c>
      <c r="H19" s="85">
        <f>'[3]Atlantic Southeast'!$IX$9</f>
        <v>0</v>
      </c>
      <c r="I19" s="85">
        <f>'[3]Continental Express'!$IX$9</f>
        <v>0</v>
      </c>
      <c r="J19" s="90">
        <f>'[3]Go Jet_UA'!$IX$9</f>
        <v>0</v>
      </c>
      <c r="K19" s="7">
        <f>'[3]Go Jet'!$IX$9</f>
        <v>0</v>
      </c>
      <c r="L19" s="86">
        <f t="shared" si="6"/>
        <v>0</v>
      </c>
    </row>
    <row r="20" spans="1:15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240</v>
      </c>
      <c r="G21" s="91">
        <f t="shared" si="13"/>
        <v>129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369</v>
      </c>
    </row>
    <row r="22" spans="1:15" ht="3.75" customHeight="1" thickBot="1" x14ac:dyDescent="0.25"/>
    <row r="23" spans="1:15" ht="15.75" thickTop="1" x14ac:dyDescent="0.25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">
      <c r="A25" s="43" t="s">
        <v>37</v>
      </c>
      <c r="B25" s="89">
        <f>'[3]Shuttle America'!$IX$47</f>
        <v>0</v>
      </c>
      <c r="C25" s="89">
        <f>'[3]Shuttle America_Delta'!$IX$47</f>
        <v>0</v>
      </c>
      <c r="D25" s="89">
        <f>[3]Horizon_AS!$IX$47</f>
        <v>0</v>
      </c>
      <c r="E25" s="89">
        <f>'[3]Air Wisconsin'!$IX$47</f>
        <v>0</v>
      </c>
      <c r="F25" s="89">
        <f>[3]Jazz_AC!$IX$47</f>
        <v>1715.8</v>
      </c>
      <c r="G25" s="89">
        <f>[3]PSA!$IX$47</f>
        <v>0</v>
      </c>
      <c r="H25" s="81">
        <f>'[3]Atlantic Southeast'!$IX$47</f>
        <v>0</v>
      </c>
      <c r="I25" s="81">
        <f>'[3]Continental Express'!$IX$47</f>
        <v>0</v>
      </c>
      <c r="J25" s="89">
        <f>'[3]Go Jet_UA'!$IX$47</f>
        <v>0</v>
      </c>
      <c r="K25" s="89">
        <f>'[3]Go Jet'!$IX$47</f>
        <v>0</v>
      </c>
      <c r="L25" s="82">
        <f>SUM(B25:K25)</f>
        <v>1715.8</v>
      </c>
    </row>
    <row r="26" spans="1:15" x14ac:dyDescent="0.2">
      <c r="A26" s="43" t="s">
        <v>38</v>
      </c>
      <c r="B26" s="89">
        <f>'[3]Shuttle America'!$IX$48</f>
        <v>0</v>
      </c>
      <c r="C26" s="89">
        <f>'[3]Shuttle America_Delta'!$IX$48</f>
        <v>0</v>
      </c>
      <c r="D26" s="89">
        <f>[3]Horizon_AS!$IX$48</f>
        <v>0</v>
      </c>
      <c r="E26" s="89">
        <f>'[3]Air Wisconsin'!$IX$48</f>
        <v>0</v>
      </c>
      <c r="F26" s="89">
        <f>[3]Jazz_AC!$IX$48</f>
        <v>0</v>
      </c>
      <c r="G26" s="89">
        <f>[3]PSA!$IX$48</f>
        <v>0</v>
      </c>
      <c r="H26" s="81">
        <f>'[3]Atlantic Southeast'!$IX$48</f>
        <v>0</v>
      </c>
      <c r="I26" s="81">
        <f>'[3]Continental Express'!$IX$48</f>
        <v>0</v>
      </c>
      <c r="J26" s="89">
        <f>'[3]Go Jet_UA'!$IX$48</f>
        <v>0</v>
      </c>
      <c r="K26" s="89">
        <f>'[3]Go Jet'!$IX$48</f>
        <v>0</v>
      </c>
      <c r="L26" s="82">
        <f>SUM(B26:K26)</f>
        <v>0</v>
      </c>
    </row>
    <row r="27" spans="1:15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1715.8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1715.8</v>
      </c>
    </row>
    <row r="28" spans="1:15" ht="7.5" customHeight="1" thickTop="1" x14ac:dyDescent="0.2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">
      <c r="A30" s="43" t="s">
        <v>59</v>
      </c>
      <c r="B30" s="89">
        <f>'[3]Shuttle America'!$IX$52</f>
        <v>0</v>
      </c>
      <c r="C30" s="89">
        <f>'[3]Shuttle America_Delta'!$IX$52</f>
        <v>0</v>
      </c>
      <c r="D30" s="89">
        <f>[3]Horizon_AS!$IX$52</f>
        <v>0</v>
      </c>
      <c r="E30" s="89">
        <f>'[3]Air Wisconsin'!$IX$52</f>
        <v>0</v>
      </c>
      <c r="F30" s="89">
        <f>[3]Jazz_AC!$IX$52</f>
        <v>2657.5</v>
      </c>
      <c r="G30" s="89">
        <f>[3]PSA!$IX$52</f>
        <v>0</v>
      </c>
      <c r="H30" s="81">
        <f>'[3]Atlantic Southeast'!$IX$52</f>
        <v>0</v>
      </c>
      <c r="I30" s="81">
        <f>'[3]Continental Express'!$IX$52</f>
        <v>0</v>
      </c>
      <c r="J30" s="89">
        <f>'[3]Go Jet_UA'!$IX$52</f>
        <v>0</v>
      </c>
      <c r="K30" s="89">
        <f>'[3]Go Jet'!$IX$52</f>
        <v>0</v>
      </c>
      <c r="L30" s="82">
        <f>SUM(B30:K30)</f>
        <v>2657.5</v>
      </c>
    </row>
    <row r="31" spans="1:15" x14ac:dyDescent="0.2">
      <c r="A31" s="43" t="s">
        <v>60</v>
      </c>
      <c r="B31" s="89">
        <f>'[3]Shuttle America'!$IX$53</f>
        <v>0</v>
      </c>
      <c r="C31" s="89">
        <f>'[3]Shuttle America_Delta'!$IX$53</f>
        <v>0</v>
      </c>
      <c r="D31" s="89">
        <f>[3]Horizon_AS!$IX$53</f>
        <v>0</v>
      </c>
      <c r="E31" s="89">
        <f>'[3]Air Wisconsin'!$IX$53</f>
        <v>0</v>
      </c>
      <c r="F31" s="89">
        <f>[3]Jazz_AC!$IX$53</f>
        <v>0</v>
      </c>
      <c r="G31" s="89">
        <f>[3]PSA!$IX$53</f>
        <v>0</v>
      </c>
      <c r="H31" s="81">
        <f>'[3]Atlantic Southeast'!$IX$53</f>
        <v>0</v>
      </c>
      <c r="I31" s="81">
        <f>'[3]Continental Express'!$IX$53</f>
        <v>0</v>
      </c>
      <c r="J31" s="89">
        <f>'[3]Go Jet_UA'!$IX$53</f>
        <v>0</v>
      </c>
      <c r="K31" s="89">
        <f>'[3]Go Jet'!$IX$53</f>
        <v>0</v>
      </c>
      <c r="L31" s="82">
        <f>SUM(B31:K31)</f>
        <v>0</v>
      </c>
    </row>
    <row r="32" spans="1:15" ht="15" thickBot="1" x14ac:dyDescent="0.2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2657.5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2657.5</v>
      </c>
    </row>
    <row r="33" spans="1:12" ht="13.5" hidden="1" thickTop="1" x14ac:dyDescent="0.2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.5" hidden="1" thickTop="1" x14ac:dyDescent="0.2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.5" hidden="1" thickTop="1" x14ac:dyDescent="0.2">
      <c r="A35" s="43" t="s">
        <v>37</v>
      </c>
      <c r="B35" s="89">
        <f>'[3]Shuttle America'!$IX$57</f>
        <v>0</v>
      </c>
      <c r="C35" s="89">
        <f>'[3]Shuttle America_Delta'!$IX$57</f>
        <v>0</v>
      </c>
      <c r="D35" s="89">
        <f>[3]Horizon_AS!$IX$57</f>
        <v>0</v>
      </c>
      <c r="E35" s="89">
        <f>'[3]Air Wisconsin'!$IX$57</f>
        <v>0</v>
      </c>
      <c r="F35" s="89">
        <f>[3]Jazz_AC!$IX$57</f>
        <v>0</v>
      </c>
      <c r="G35" s="89">
        <f>[3]PSA!$IX$57</f>
        <v>0</v>
      </c>
      <c r="H35" s="81">
        <f>'[3]Atlantic Southeast'!$IX$57</f>
        <v>0</v>
      </c>
      <c r="I35" s="81">
        <f>'[3]Continental Express'!$IX$57</f>
        <v>0</v>
      </c>
      <c r="J35" s="89">
        <f>'[3]Go Jet_UA'!$AJ$57</f>
        <v>0</v>
      </c>
      <c r="K35" s="89">
        <f>'[3]Go Jet'!$IX$57</f>
        <v>0</v>
      </c>
      <c r="L35" s="82">
        <f>SUM(B35:K35)</f>
        <v>0</v>
      </c>
    </row>
    <row r="36" spans="1:12" ht="13.5" hidden="1" thickTop="1" x14ac:dyDescent="0.2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4373.3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4373.3</v>
      </c>
    </row>
    <row r="41" spans="1:12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4373.3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4373.3</v>
      </c>
    </row>
    <row r="43" spans="1:12" ht="4.5" customHeight="1" x14ac:dyDescent="0.2"/>
    <row r="44" spans="1:12" hidden="1" x14ac:dyDescent="0.2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idden="1" x14ac:dyDescent="0.2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x14ac:dyDescent="0.2">
      <c r="A46" s="268" t="s">
        <v>120</v>
      </c>
      <c r="C46" s="234">
        <f>'[3]Shuttle America_Delta'!$IX$70+'[3]Shuttle America_Delta'!$IX$73</f>
        <v>0</v>
      </c>
      <c r="D46" s="2"/>
      <c r="E46" s="2"/>
      <c r="H46" s="234">
        <f>'[3]Atlantic Southeast'!$IX$70+'[3]Atlantic Southeast'!$IX$73</f>
        <v>0</v>
      </c>
      <c r="K46" s="234">
        <f>'[3]Go Jet'!$IX$70+'[3]Go Jet'!$IX$73</f>
        <v>0</v>
      </c>
      <c r="L46" s="280">
        <f>SUM(B46:K46)</f>
        <v>0</v>
      </c>
    </row>
    <row r="47" spans="1:12" x14ac:dyDescent="0.2">
      <c r="A47" s="281" t="s">
        <v>121</v>
      </c>
      <c r="C47" s="234">
        <f>'[3]Shuttle America_Delta'!$IX$71+'[3]Shuttle America_Delta'!$IX$74</f>
        <v>0</v>
      </c>
      <c r="D47" s="2"/>
      <c r="E47" s="2"/>
      <c r="H47" s="234">
        <f>'[3]Atlantic Southeast'!$IX$71+'[3]Atlantic Southeast'!$IX$74</f>
        <v>0</v>
      </c>
      <c r="K47" s="234">
        <f>'[3]Go Jet'!$IX$71+'[3]Go Jet'!$IX$74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May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12" sqref="B12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8">
        <v>45413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5">
        <f>'[3]Charter Misc'!$IX$22</f>
        <v>46</v>
      </c>
      <c r="C5" s="145">
        <f>[3]Ryan!$IX$22</f>
        <v>0</v>
      </c>
      <c r="D5" s="145">
        <f>'[3]Charter Misc'!$IX$32</f>
        <v>0</v>
      </c>
      <c r="E5" s="145">
        <f>[3]Omni!$IX$32+[3]Omni!$IX$22</f>
        <v>0</v>
      </c>
      <c r="F5" s="145">
        <f>'[3]Red Way'!$IX$32+'[3]Red Way'!$IX$22</f>
        <v>0</v>
      </c>
      <c r="G5" s="145">
        <f>[3]Xtra!$IX$32+[3]Xtra!$IX$22</f>
        <v>0</v>
      </c>
      <c r="H5" s="241">
        <f>SUM(B5:G5)</f>
        <v>46</v>
      </c>
    </row>
    <row r="6" spans="1:18" x14ac:dyDescent="0.2">
      <c r="A6" s="43" t="s">
        <v>31</v>
      </c>
      <c r="B6" s="306">
        <f>'[3]Charter Misc'!$IX$23+'[3]Charter Misc'!$IX$33+'[3]Charter Misc'!$IX$28+'[3]Charter Misc'!$IX$38</f>
        <v>99</v>
      </c>
      <c r="C6" s="148">
        <f>[3]Ryan!$IX$23</f>
        <v>0</v>
      </c>
      <c r="D6" s="148">
        <f>'[3]Charter Misc'!$IX$33</f>
        <v>0</v>
      </c>
      <c r="E6" s="148">
        <f>[3]Omni!$IX$23+[3]Omni!$IX$33+[3]Omni!$IX$28+[3]Omni!$IX$38</f>
        <v>0</v>
      </c>
      <c r="F6" s="148">
        <f>'[3]Red Way'!$IX$33+'[3]Red Way'!$IX$23</f>
        <v>0</v>
      </c>
      <c r="G6" s="148">
        <f>[3]Xtra!$IX$33+[3]Xtra!$IX$23</f>
        <v>0</v>
      </c>
      <c r="H6" s="241">
        <f>SUM(B6:G6)</f>
        <v>99</v>
      </c>
    </row>
    <row r="7" spans="1:18" ht="15.75" thickBot="1" x14ac:dyDescent="0.3">
      <c r="A7" s="144" t="s">
        <v>7</v>
      </c>
      <c r="B7" s="307">
        <f t="shared" ref="B7:G7" si="0">SUM(B5:B6)</f>
        <v>145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145</v>
      </c>
    </row>
    <row r="8" spans="1:18" ht="13.5" thickBot="1" x14ac:dyDescent="0.25"/>
    <row r="9" spans="1:18" x14ac:dyDescent="0.2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5">
        <f>'[3]Charter Misc'!$IX$4</f>
        <v>1</v>
      </c>
      <c r="C10" s="145">
        <f>[3]Ryan!$IX$4</f>
        <v>0</v>
      </c>
      <c r="D10" s="145">
        <f>'[3]Charter Misc'!$IX$15</f>
        <v>0</v>
      </c>
      <c r="E10" s="145">
        <f>[3]Omni!$IX$15+[3]Omni!$IX$4</f>
        <v>0</v>
      </c>
      <c r="F10" s="145">
        <f>'[3]Red Way'!$IX$15+'[3]Red Way'!$IX$4</f>
        <v>0</v>
      </c>
      <c r="G10" s="145">
        <f>[3]Xtra!$IX$15+[3]Xtra!$IX$4</f>
        <v>0</v>
      </c>
      <c r="H10" s="240">
        <f>SUM(B10:G10)</f>
        <v>1</v>
      </c>
    </row>
    <row r="11" spans="1:18" x14ac:dyDescent="0.2">
      <c r="A11" s="143" t="s">
        <v>80</v>
      </c>
      <c r="B11" s="305">
        <f>'[3]Charter Misc'!$IX$5</f>
        <v>1</v>
      </c>
      <c r="C11" s="145">
        <f>[3]Ryan!$IX$5</f>
        <v>0</v>
      </c>
      <c r="D11" s="145">
        <f>'[3]Charter Misc'!$IX$16</f>
        <v>0</v>
      </c>
      <c r="E11" s="145">
        <f>[3]Omni!$IX$16+[3]Omni!$IX$5</f>
        <v>0</v>
      </c>
      <c r="F11" s="145">
        <f>'[3]Red Way'!$IX$16+'[3]Red Way'!$IX$5</f>
        <v>0</v>
      </c>
      <c r="G11" s="145">
        <f>[3]Xtra!$IX$16+[3]Xtra!$IX$5</f>
        <v>0</v>
      </c>
      <c r="H11" s="240">
        <f>SUM(B11:G11)</f>
        <v>1</v>
      </c>
    </row>
    <row r="12" spans="1:18" ht="15.75" thickBot="1" x14ac:dyDescent="0.3">
      <c r="A12" s="193" t="s">
        <v>28</v>
      </c>
      <c r="B12" s="309">
        <f t="shared" ref="B12:G12" si="1">SUM(B10:B11)</f>
        <v>2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2</v>
      </c>
      <c r="R12" s="89"/>
    </row>
    <row r="17" spans="1:19" x14ac:dyDescent="0.2">
      <c r="B17" s="463" t="s">
        <v>148</v>
      </c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5"/>
    </row>
    <row r="18" spans="1:19" ht="13.5" thickBot="1" x14ac:dyDescent="0.25">
      <c r="A18" s="229"/>
      <c r="E18" s="163"/>
      <c r="G18" s="163"/>
      <c r="H18" s="163"/>
      <c r="L18" s="167"/>
      <c r="N18" s="4"/>
    </row>
    <row r="19" spans="1:19" ht="13.5" customHeight="1" thickBot="1" x14ac:dyDescent="0.25">
      <c r="A19" s="295"/>
      <c r="B19" s="466" t="s">
        <v>117</v>
      </c>
      <c r="C19" s="467"/>
      <c r="D19" s="467"/>
      <c r="E19" s="468"/>
      <c r="G19" s="466" t="s">
        <v>118</v>
      </c>
      <c r="H19" s="469"/>
      <c r="I19" s="469"/>
      <c r="J19" s="470"/>
      <c r="L19" s="471" t="s">
        <v>119</v>
      </c>
      <c r="M19" s="472"/>
      <c r="N19" s="472"/>
      <c r="O19" s="473"/>
      <c r="S19" s="383"/>
    </row>
    <row r="20" spans="1:19" ht="13.5" thickBot="1" x14ac:dyDescent="0.25">
      <c r="A20" s="169" t="s">
        <v>99</v>
      </c>
      <c r="B20" s="425" t="s">
        <v>100</v>
      </c>
      <c r="C20" s="425" t="s">
        <v>101</v>
      </c>
      <c r="D20" s="425" t="s">
        <v>240</v>
      </c>
      <c r="E20" s="425" t="s">
        <v>224</v>
      </c>
      <c r="F20" s="425" t="s">
        <v>96</v>
      </c>
      <c r="G20" s="425" t="s">
        <v>100</v>
      </c>
      <c r="H20" s="425" t="s">
        <v>101</v>
      </c>
      <c r="I20" s="425" t="s">
        <v>240</v>
      </c>
      <c r="J20" s="425" t="s">
        <v>224</v>
      </c>
      <c r="K20" s="425" t="s">
        <v>96</v>
      </c>
      <c r="L20" s="425" t="s">
        <v>100</v>
      </c>
      <c r="M20" s="425" t="s">
        <v>101</v>
      </c>
      <c r="N20" s="425" t="s">
        <v>240</v>
      </c>
      <c r="O20" s="425" t="s">
        <v>224</v>
      </c>
      <c r="P20" s="425" t="s">
        <v>96</v>
      </c>
      <c r="S20" s="383"/>
    </row>
    <row r="21" spans="1:19" ht="14.1" customHeight="1" x14ac:dyDescent="0.2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>+[4]Charter!G21</f>
        <v>1099558</v>
      </c>
      <c r="H21" s="415">
        <f>+[4]Charter!H21</f>
        <v>1135273</v>
      </c>
      <c r="I21" s="415">
        <f t="shared" ref="I21" si="4">SUM(G21:H21)</f>
        <v>2234831</v>
      </c>
      <c r="J21" s="424">
        <f>[5]Charter!I21</f>
        <v>2136976</v>
      </c>
      <c r="K21" s="421">
        <f t="shared" ref="K21:K32" si="5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6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" customHeight="1" x14ac:dyDescent="0.2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7">SUM(B22:C22)</f>
        <v>330142</v>
      </c>
      <c r="E22" s="415">
        <f>[7]Charter!D22</f>
        <v>251121</v>
      </c>
      <c r="F22" s="454">
        <f t="shared" si="3"/>
        <v>0.31467300624001976</v>
      </c>
      <c r="G22" s="415">
        <f t="shared" ref="G22" si="8">L22-B22</f>
        <v>1107911</v>
      </c>
      <c r="H22" s="415">
        <f t="shared" ref="H22" si="9">M22-C22</f>
        <v>1145758</v>
      </c>
      <c r="I22" s="415">
        <f t="shared" ref="I22" si="10">SUM(G22:H22)</f>
        <v>2253669</v>
      </c>
      <c r="J22" s="415">
        <f>[7]Charter!I22</f>
        <v>2010512</v>
      </c>
      <c r="K22" s="422">
        <f t="shared" si="5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1">SUM(L22:M22)</f>
        <v>2583811</v>
      </c>
      <c r="O22" s="415">
        <f>[7]Charter!N22</f>
        <v>2261633</v>
      </c>
      <c r="P22" s="455">
        <f t="shared" ref="P22:P32" si="12">(N22-O22)/O22</f>
        <v>0.14245370491145115</v>
      </c>
      <c r="S22" s="383"/>
    </row>
    <row r="23" spans="1:19" ht="14.1" customHeight="1" x14ac:dyDescent="0.2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3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4">L23-B23</f>
        <v>1415478</v>
      </c>
      <c r="H23" s="415">
        <f t="shared" ref="H23" si="15">M23-C23</f>
        <v>1419160</v>
      </c>
      <c r="I23" s="415">
        <f t="shared" ref="I23" si="16">SUM(G23:H23)</f>
        <v>2834638</v>
      </c>
      <c r="J23" s="415">
        <f>[9]Charter!I23</f>
        <v>2692997</v>
      </c>
      <c r="K23" s="422">
        <f t="shared" si="5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7">SUM(L23:M23)</f>
        <v>3248062</v>
      </c>
      <c r="O23" s="415">
        <f>[9]Charter!N23</f>
        <v>3034560</v>
      </c>
      <c r="P23" s="455">
        <f t="shared" si="12"/>
        <v>7.0356822735421279E-2</v>
      </c>
      <c r="S23" s="383"/>
    </row>
    <row r="24" spans="1:19" ht="14.1" customHeight="1" x14ac:dyDescent="0.2">
      <c r="A24" s="175" t="s">
        <v>105</v>
      </c>
      <c r="B24" s="415">
        <f>+[2]Charter!B24</f>
        <v>149790</v>
      </c>
      <c r="C24" s="415">
        <f>+[2]Charter!C24</f>
        <v>125929</v>
      </c>
      <c r="D24" s="415">
        <f t="shared" ref="D24" si="18">SUM(B24:C24)</f>
        <v>275719</v>
      </c>
      <c r="E24" s="415">
        <f>[10]Charter!D24</f>
        <v>249458</v>
      </c>
      <c r="F24" s="422">
        <f t="shared" si="3"/>
        <v>0.10527223019506289</v>
      </c>
      <c r="G24" s="415">
        <f t="shared" ref="G24" si="19">L24-B24</f>
        <v>1402982</v>
      </c>
      <c r="H24" s="415">
        <f t="shared" ref="H24" si="20">M24-C24</f>
        <v>1325088</v>
      </c>
      <c r="I24" s="415">
        <f t="shared" ref="I24" si="21">SUM(G24:H24)</f>
        <v>2728070</v>
      </c>
      <c r="J24" s="415">
        <f>[10]Charter!I24</f>
        <v>2532647</v>
      </c>
      <c r="K24" s="422">
        <f t="shared" si="5"/>
        <v>7.7161562586495466E-2</v>
      </c>
      <c r="L24" s="415">
        <f>+[2]Charter!L24</f>
        <v>1552772</v>
      </c>
      <c r="M24" s="415">
        <f>+[2]Charter!M24</f>
        <v>1451017</v>
      </c>
      <c r="N24" s="424">
        <f t="shared" ref="N24" si="22">SUM(L24:M24)</f>
        <v>3003789</v>
      </c>
      <c r="O24" s="415">
        <f>[10]Charter!N24</f>
        <v>2782105</v>
      </c>
      <c r="P24" s="455">
        <f t="shared" si="12"/>
        <v>7.9682111207161482E-2</v>
      </c>
    </row>
    <row r="25" spans="1:19" ht="14.1" customHeight="1" x14ac:dyDescent="0.2">
      <c r="A25" s="168" t="s">
        <v>75</v>
      </c>
      <c r="B25" s="415">
        <f>+'Intl Detail'!$Q$4+'Intl Detail'!$Q$9</f>
        <v>122093</v>
      </c>
      <c r="C25" s="415">
        <f>+'Intl Detail'!$Q$5+'Intl Detail'!$Q$10</f>
        <v>135876</v>
      </c>
      <c r="D25" s="415">
        <f t="shared" ref="D25" si="23">SUM(B25:C25)</f>
        <v>257969</v>
      </c>
      <c r="E25" s="415">
        <f>[1]Charter!D25</f>
        <v>214242</v>
      </c>
      <c r="F25" s="423">
        <f t="shared" si="3"/>
        <v>0.20410096993119931</v>
      </c>
      <c r="G25" s="415">
        <f t="shared" ref="G25" si="24">L25-B25</f>
        <v>1491835</v>
      </c>
      <c r="H25" s="415">
        <f t="shared" ref="H25" si="25">M25-C25</f>
        <v>1451735</v>
      </c>
      <c r="I25" s="415">
        <f t="shared" ref="I25" si="26">SUM(G25:H25)</f>
        <v>2943570</v>
      </c>
      <c r="J25" s="415">
        <f>[1]Charter!I25</f>
        <v>2648712</v>
      </c>
      <c r="K25" s="423">
        <f>(I25-J25)/J25</f>
        <v>0.11132127615233366</v>
      </c>
      <c r="L25" s="415">
        <f>+'Monthly Summary'!$B$11</f>
        <v>1613928</v>
      </c>
      <c r="M25" s="415">
        <f>+'Monthly Summary'!$C$11</f>
        <v>1587611</v>
      </c>
      <c r="N25" s="424">
        <f t="shared" ref="N25" si="27">SUM(L25:M25)</f>
        <v>3201539</v>
      </c>
      <c r="O25" s="415">
        <f>[1]Charter!N25</f>
        <v>2862954</v>
      </c>
      <c r="P25" s="456">
        <f t="shared" si="12"/>
        <v>0.1182642124183623</v>
      </c>
    </row>
    <row r="26" spans="1:19" ht="14.1" customHeight="1" x14ac:dyDescent="0.2">
      <c r="A26" s="175" t="s">
        <v>106</v>
      </c>
      <c r="B26" s="424"/>
      <c r="C26" s="424"/>
      <c r="D26" s="415"/>
      <c r="E26" s="415"/>
      <c r="F26" s="417" t="e">
        <f t="shared" si="3"/>
        <v>#DIV/0!</v>
      </c>
      <c r="G26" s="415"/>
      <c r="H26" s="415"/>
      <c r="I26" s="415"/>
      <c r="J26" s="415"/>
      <c r="K26" s="422" t="e">
        <f t="shared" si="5"/>
        <v>#DIV/0!</v>
      </c>
      <c r="L26" s="424"/>
      <c r="M26" s="424"/>
      <c r="N26" s="424"/>
      <c r="O26" s="415"/>
      <c r="P26" s="412" t="e">
        <f t="shared" si="12"/>
        <v>#DIV/0!</v>
      </c>
    </row>
    <row r="27" spans="1:19" ht="14.1" customHeight="1" x14ac:dyDescent="0.2">
      <c r="A27" s="168" t="s">
        <v>107</v>
      </c>
      <c r="B27" s="424"/>
      <c r="C27" s="424"/>
      <c r="D27" s="415"/>
      <c r="E27" s="415"/>
      <c r="F27" s="418" t="e">
        <f t="shared" si="3"/>
        <v>#DIV/0!</v>
      </c>
      <c r="G27" s="415"/>
      <c r="H27" s="415"/>
      <c r="I27" s="415"/>
      <c r="J27" s="415"/>
      <c r="K27" s="423" t="e">
        <f t="shared" si="5"/>
        <v>#DIV/0!</v>
      </c>
      <c r="L27" s="424"/>
      <c r="M27" s="424"/>
      <c r="N27" s="424"/>
      <c r="O27" s="415"/>
      <c r="P27" s="413" t="e">
        <f t="shared" si="12"/>
        <v>#DIV/0!</v>
      </c>
    </row>
    <row r="28" spans="1:19" ht="14.1" customHeight="1" x14ac:dyDescent="0.2">
      <c r="A28" s="175" t="s">
        <v>108</v>
      </c>
      <c r="B28" s="424"/>
      <c r="C28" s="424"/>
      <c r="D28" s="415"/>
      <c r="E28" s="415"/>
      <c r="F28" s="417" t="e">
        <f t="shared" si="3"/>
        <v>#DIV/0!</v>
      </c>
      <c r="G28" s="415"/>
      <c r="H28" s="415"/>
      <c r="I28" s="415"/>
      <c r="J28" s="415"/>
      <c r="K28" s="422" t="e">
        <f t="shared" si="5"/>
        <v>#DIV/0!</v>
      </c>
      <c r="L28" s="424"/>
      <c r="M28" s="424"/>
      <c r="N28" s="424"/>
      <c r="O28" s="415"/>
      <c r="P28" s="412" t="e">
        <f t="shared" si="12"/>
        <v>#DIV/0!</v>
      </c>
    </row>
    <row r="29" spans="1:19" ht="14.1" customHeight="1" x14ac:dyDescent="0.2">
      <c r="A29" s="168" t="s">
        <v>109</v>
      </c>
      <c r="B29" s="424"/>
      <c r="C29" s="424"/>
      <c r="D29" s="415"/>
      <c r="E29" s="415"/>
      <c r="F29" s="418" t="e">
        <f t="shared" si="3"/>
        <v>#DIV/0!</v>
      </c>
      <c r="G29" s="415"/>
      <c r="H29" s="415"/>
      <c r="I29" s="415"/>
      <c r="J29" s="415"/>
      <c r="K29" s="423" t="e">
        <f t="shared" si="5"/>
        <v>#DIV/0!</v>
      </c>
      <c r="L29" s="424"/>
      <c r="M29" s="424"/>
      <c r="N29" s="424"/>
      <c r="O29" s="415"/>
      <c r="P29" s="413" t="e">
        <f t="shared" si="12"/>
        <v>#DIV/0!</v>
      </c>
    </row>
    <row r="30" spans="1:19" ht="14.1" customHeight="1" x14ac:dyDescent="0.2">
      <c r="A30" s="175" t="s">
        <v>110</v>
      </c>
      <c r="B30" s="424"/>
      <c r="C30" s="424"/>
      <c r="D30" s="415"/>
      <c r="E30" s="415"/>
      <c r="F30" s="417" t="e">
        <f t="shared" si="3"/>
        <v>#DIV/0!</v>
      </c>
      <c r="G30" s="415"/>
      <c r="H30" s="415"/>
      <c r="I30" s="415"/>
      <c r="J30" s="415"/>
      <c r="K30" s="422" t="e">
        <f t="shared" si="5"/>
        <v>#DIV/0!</v>
      </c>
      <c r="L30" s="424"/>
      <c r="M30" s="424"/>
      <c r="N30" s="424"/>
      <c r="O30" s="415"/>
      <c r="P30" s="412" t="e">
        <f t="shared" si="12"/>
        <v>#DIV/0!</v>
      </c>
    </row>
    <row r="31" spans="1:19" ht="14.1" customHeight="1" x14ac:dyDescent="0.2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5"/>
        <v>#DIV/0!</v>
      </c>
      <c r="L31" s="424"/>
      <c r="M31" s="424"/>
      <c r="N31" s="424"/>
      <c r="O31" s="415"/>
      <c r="P31" s="413" t="e">
        <f t="shared" si="12"/>
        <v>#DIV/0!</v>
      </c>
    </row>
    <row r="32" spans="1:19" ht="14.1" customHeight="1" x14ac:dyDescent="0.2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5"/>
        <v>#DIV/0!</v>
      </c>
      <c r="L32" s="415"/>
      <c r="M32" s="415"/>
      <c r="N32" s="424"/>
      <c r="O32" s="415"/>
      <c r="P32" s="414" t="e">
        <f t="shared" si="12"/>
        <v>#DIV/0!</v>
      </c>
    </row>
    <row r="33" spans="1:16" ht="13.5" thickBot="1" x14ac:dyDescent="0.25">
      <c r="A33" s="173" t="s">
        <v>76</v>
      </c>
      <c r="B33" s="179">
        <f>SUM(B21:B32)</f>
        <v>797249</v>
      </c>
      <c r="C33" s="180">
        <f>SUM(C21:C32)</f>
        <v>788902</v>
      </c>
      <c r="D33" s="180">
        <f>SUM(D21:D32)</f>
        <v>1586151</v>
      </c>
      <c r="E33" s="181">
        <f>SUM(E21:E32)</f>
        <v>1312338</v>
      </c>
      <c r="F33" s="171">
        <f>(D33-E33)/E33</f>
        <v>0.20864518134809781</v>
      </c>
      <c r="G33" s="182">
        <f>SUM(G21:G32)</f>
        <v>6517764</v>
      </c>
      <c r="H33" s="180">
        <f>SUM(H21:H32)</f>
        <v>6477014</v>
      </c>
      <c r="I33" s="180">
        <f>SUM(I21:I32)</f>
        <v>12994778</v>
      </c>
      <c r="J33" s="183">
        <f>SUM(J21:J32)</f>
        <v>12021844</v>
      </c>
      <c r="K33" s="172">
        <f>(I33-J33)/J33</f>
        <v>8.093051282315758E-2</v>
      </c>
      <c r="L33" s="182">
        <f>SUM(L21:L32)</f>
        <v>7315013</v>
      </c>
      <c r="M33" s="180">
        <f>SUM(M21:M32)</f>
        <v>7265916</v>
      </c>
      <c r="N33" s="180">
        <f>SUM(N21:N32)</f>
        <v>14580929</v>
      </c>
      <c r="O33" s="181">
        <f>SUM(O21:O32)</f>
        <v>13334182</v>
      </c>
      <c r="P33" s="170">
        <f>(N33-O33)/O33</f>
        <v>9.3500073720307705E-2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May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4" t="s">
        <v>195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6"/>
    </row>
    <row r="2" spans="1:23" s="26" customFormat="1" ht="43.5" customHeight="1" thickBot="1" x14ac:dyDescent="0.25">
      <c r="A2" s="388">
        <v>45413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5" x14ac:dyDescent="0.25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x14ac:dyDescent="0.2">
      <c r="A4" s="36" t="s">
        <v>53</v>
      </c>
      <c r="B4" s="177">
        <f>'[3]Atlas Air'!$IX$4</f>
        <v>1</v>
      </c>
      <c r="C4" s="126">
        <f>[3]DHL!$IX$8+[3]DHL!$IX$4</f>
        <v>20</v>
      </c>
      <c r="D4" s="126">
        <f>[3]Airborne!$IX$4+[3]Airborne!$IX$15</f>
        <v>5</v>
      </c>
      <c r="E4" s="89">
        <f>[3]DHL_Bemidji!$IX$4</f>
        <v>41</v>
      </c>
      <c r="F4" s="89">
        <f>[3]Bemidji!$IX$4</f>
        <v>175</v>
      </c>
      <c r="G4" s="126">
        <f>[3]DHL_Encore!$IX$4+[3]DHL_Encore!$IX$15</f>
        <v>0</v>
      </c>
      <c r="H4" s="126">
        <f>[3]DHL_Mesa!$IX$4+[3]DHL_Mesa!$IX$15</f>
        <v>0</v>
      </c>
      <c r="I4" s="126">
        <f>[3]Encore!$IX$4+[3]Encore!$IX$15</f>
        <v>0</v>
      </c>
      <c r="J4" s="126">
        <f>[3]FedEx!$IX$4+[3]FedEx!$IX$15</f>
        <v>98</v>
      </c>
      <c r="K4" s="126">
        <f>[3]IFL!$IX$4+[3]IFL!$IX$15</f>
        <v>18</v>
      </c>
      <c r="L4" s="126">
        <f>[3]DHL_Kalitta!$IX$4+[3]DHL_Kalitta!$IX$15</f>
        <v>0</v>
      </c>
      <c r="M4" s="89">
        <f>'[3]Mountain Cargo'!$IX$4</f>
        <v>23</v>
      </c>
      <c r="N4" s="126">
        <f>[3]DHL_Amerijet!$IX$4+[3]DHL_Amerijet!$IX$15</f>
        <v>0</v>
      </c>
      <c r="O4" s="126">
        <f>[3]DHL_Swift!$IX$4+[3]DHL_Swift!$IX$15</f>
        <v>0</v>
      </c>
      <c r="P4" s="126">
        <f>+'[3]Sun Country Cargo'!$IX$4+'[3]Sun Country Cargo'!$IX$8+'[3]Sun Country Cargo'!$IX$15</f>
        <v>94</v>
      </c>
      <c r="Q4" s="126">
        <f>[3]UPS!$IX$4+[3]UPS!$IX$15</f>
        <v>95</v>
      </c>
      <c r="R4" s="89">
        <f>'[3]Misc Cargo'!$IX$4</f>
        <v>0</v>
      </c>
      <c r="S4" s="360">
        <f>SUM(B4:R4)</f>
        <v>570</v>
      </c>
      <c r="U4" s="332"/>
      <c r="V4" s="332"/>
      <c r="W4" s="209"/>
    </row>
    <row r="5" spans="1:23" x14ac:dyDescent="0.2">
      <c r="A5" s="36" t="s">
        <v>54</v>
      </c>
      <c r="B5" s="361">
        <f>'[3]Atlas Air'!$IX$5</f>
        <v>1</v>
      </c>
      <c r="C5" s="150">
        <f>[3]DHL!$IX$9+[3]DHL!$IX$5</f>
        <v>20</v>
      </c>
      <c r="D5" s="150">
        <f>[3]Airborne!$IX$5</f>
        <v>5</v>
      </c>
      <c r="E5" s="90">
        <f>[3]DHL_Bemidji!$IX$5</f>
        <v>41</v>
      </c>
      <c r="F5" s="90">
        <f>[3]Bemidji!$IX$5</f>
        <v>175</v>
      </c>
      <c r="G5" s="150">
        <f>[3]DHL_Encore!$IX$5</f>
        <v>0</v>
      </c>
      <c r="H5" s="150">
        <f>[3]DHL_Mesa!$IX$5</f>
        <v>0</v>
      </c>
      <c r="I5" s="150">
        <f>[3]Encore!$IX$5</f>
        <v>0</v>
      </c>
      <c r="J5" s="150">
        <f>[3]FedEx!$IX$5</f>
        <v>98</v>
      </c>
      <c r="K5" s="150">
        <f>[3]IFL!$IX$5</f>
        <v>18</v>
      </c>
      <c r="L5" s="150">
        <f>[3]DHL_Kalitta!$IX$5+[3]DHL_Kalitta!$IX$16</f>
        <v>0</v>
      </c>
      <c r="M5" s="90">
        <f>'[3]Mountain Cargo'!$IX$5</f>
        <v>23</v>
      </c>
      <c r="N5" s="150">
        <f>[3]DHL_Amerijet!$IX$5</f>
        <v>0</v>
      </c>
      <c r="O5" s="150">
        <f>[3]DHL_Swift!$IX$5</f>
        <v>0</v>
      </c>
      <c r="P5" s="150">
        <f>+'[3]Sun Country Cargo'!$IX$5+'[3]Sun Country Cargo'!$IX$9+'[3]Sun Country Cargo'!$IX$16</f>
        <v>94</v>
      </c>
      <c r="Q5" s="150">
        <f>[3]UPS!$IX$5+[3]UPS!$IX$16</f>
        <v>96</v>
      </c>
      <c r="R5" s="90">
        <f>'[3]Misc Cargo'!$IX$5</f>
        <v>0</v>
      </c>
      <c r="S5" s="360">
        <f>SUM(B5:R5)</f>
        <v>571</v>
      </c>
      <c r="U5" s="332"/>
      <c r="V5" s="332"/>
      <c r="W5" s="209"/>
    </row>
    <row r="6" spans="1:23" s="149" customFormat="1" x14ac:dyDescent="0.2">
      <c r="A6" s="153" t="s">
        <v>55</v>
      </c>
      <c r="B6" s="362">
        <f t="shared" ref="B6:R6" si="0">SUM(B4:B5)</f>
        <v>2</v>
      </c>
      <c r="C6" s="363">
        <f t="shared" si="0"/>
        <v>40</v>
      </c>
      <c r="D6" s="363">
        <f t="shared" ref="D6:E6" si="1">SUM(D4:D5)</f>
        <v>10</v>
      </c>
      <c r="E6" s="87">
        <f t="shared" si="1"/>
        <v>82</v>
      </c>
      <c r="F6" s="87">
        <f t="shared" si="0"/>
        <v>350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196</v>
      </c>
      <c r="K6" s="363">
        <f t="shared" si="0"/>
        <v>36</v>
      </c>
      <c r="L6" s="363">
        <f t="shared" si="0"/>
        <v>0</v>
      </c>
      <c r="M6" s="87">
        <f t="shared" si="0"/>
        <v>46</v>
      </c>
      <c r="N6" s="363">
        <f t="shared" si="0"/>
        <v>0</v>
      </c>
      <c r="O6" s="363">
        <f t="shared" si="0"/>
        <v>0</v>
      </c>
      <c r="P6" s="363">
        <f t="shared" si="0"/>
        <v>188</v>
      </c>
      <c r="Q6" s="363">
        <f t="shared" si="0"/>
        <v>191</v>
      </c>
      <c r="R6" s="87">
        <f t="shared" si="0"/>
        <v>0</v>
      </c>
      <c r="S6" s="360">
        <f t="shared" ref="S6:S10" si="3">SUM(B6:R6)</f>
        <v>1141</v>
      </c>
      <c r="W6" s="279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Cargo'!$IX$8</f>
        <v>0</v>
      </c>
      <c r="S8" s="360">
        <f t="shared" si="3"/>
        <v>0</v>
      </c>
      <c r="U8" s="332"/>
      <c r="V8" s="332"/>
      <c r="W8" s="209"/>
    </row>
    <row r="9" spans="1:23" ht="15" x14ac:dyDescent="0.25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Cargo'!$IX$9</f>
        <v>0</v>
      </c>
      <c r="S9" s="360">
        <f t="shared" si="3"/>
        <v>0</v>
      </c>
      <c r="U9" s="332"/>
      <c r="V9" s="8"/>
      <c r="W9" s="209"/>
    </row>
    <row r="10" spans="1:23" s="149" customFormat="1" x14ac:dyDescent="0.2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25">
      <c r="A12" s="154" t="s">
        <v>28</v>
      </c>
      <c r="B12" s="365">
        <f t="shared" ref="B12:R12" si="7">B6+B10</f>
        <v>2</v>
      </c>
      <c r="C12" s="155">
        <f t="shared" si="7"/>
        <v>40</v>
      </c>
      <c r="D12" s="155">
        <f t="shared" ref="D12:E12" si="8">D6+D10</f>
        <v>10</v>
      </c>
      <c r="E12" s="156">
        <f t="shared" si="8"/>
        <v>82</v>
      </c>
      <c r="F12" s="156">
        <f t="shared" si="7"/>
        <v>350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196</v>
      </c>
      <c r="K12" s="155">
        <f t="shared" si="7"/>
        <v>36</v>
      </c>
      <c r="L12" s="155">
        <f t="shared" si="7"/>
        <v>0</v>
      </c>
      <c r="M12" s="156">
        <f t="shared" si="7"/>
        <v>46</v>
      </c>
      <c r="N12" s="155">
        <f t="shared" si="7"/>
        <v>0</v>
      </c>
      <c r="O12" s="155">
        <f t="shared" si="7"/>
        <v>0</v>
      </c>
      <c r="P12" s="155">
        <f t="shared" si="7"/>
        <v>188</v>
      </c>
      <c r="Q12" s="155">
        <f t="shared" si="7"/>
        <v>191</v>
      </c>
      <c r="R12" s="156">
        <f t="shared" si="7"/>
        <v>0</v>
      </c>
      <c r="S12" s="366">
        <f>SUM(B12:R12)</f>
        <v>1141</v>
      </c>
      <c r="U12" s="332"/>
      <c r="V12" s="332"/>
      <c r="W12" s="209"/>
    </row>
    <row r="13" spans="1:23" ht="18" customHeight="1" thickBot="1" x14ac:dyDescent="0.2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5" x14ac:dyDescent="0.25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2">
      <c r="A16" s="36" t="s">
        <v>37</v>
      </c>
      <c r="B16" s="177">
        <f>'[3]Atlas Air'!$IX$47</f>
        <v>33674</v>
      </c>
      <c r="C16" s="126">
        <f>[3]DHL!$IX$47</f>
        <v>742785</v>
      </c>
      <c r="D16" s="126">
        <f>[3]Airborne!$IX$47</f>
        <v>249462</v>
      </c>
      <c r="E16" s="126">
        <f>[3]DHL_Bemidji!$IX$47</f>
        <v>48219</v>
      </c>
      <c r="F16" s="477" t="s">
        <v>86</v>
      </c>
      <c r="G16" s="126">
        <f>[3]DHL_Encore!$IX$47</f>
        <v>0</v>
      </c>
      <c r="H16" s="126">
        <f>[3]DHL_Mesa!$IX$47</f>
        <v>0</v>
      </c>
      <c r="I16" s="126">
        <f>[3]Encore!$IX$47</f>
        <v>0</v>
      </c>
      <c r="J16" s="126">
        <f>[3]FedEx!$IX$47</f>
        <v>7668881</v>
      </c>
      <c r="K16" s="126">
        <f>[3]IFL!$IX$47</f>
        <v>55915</v>
      </c>
      <c r="L16" s="126">
        <f>[3]DHL_Kalitta!$IX$47</f>
        <v>0</v>
      </c>
      <c r="M16" s="89">
        <f>'[3]Mountain Cargo'!$IX$47</f>
        <v>0</v>
      </c>
      <c r="N16" s="126">
        <f>[3]DHL_Amerijet!$IX$47</f>
        <v>0</v>
      </c>
      <c r="O16" s="126">
        <f>[3]DHL_Swift!$IX$47</f>
        <v>0</v>
      </c>
      <c r="P16" s="126">
        <f>+'[3]Sun Country Cargo'!$IX$47</f>
        <v>1785273</v>
      </c>
      <c r="Q16" s="126">
        <f>[3]UPS!$IX$47</f>
        <v>5466508</v>
      </c>
      <c r="R16" s="89">
        <f>'[3]Misc Cargo'!$IX$47</f>
        <v>0</v>
      </c>
      <c r="S16" s="360">
        <f>SUM(B16:E16)+SUM(G16:R16)</f>
        <v>16050717</v>
      </c>
      <c r="U16" s="332"/>
      <c r="V16" s="332"/>
      <c r="W16" s="209"/>
    </row>
    <row r="17" spans="1:23" x14ac:dyDescent="0.2">
      <c r="A17" s="36" t="s">
        <v>38</v>
      </c>
      <c r="B17" s="177">
        <f>'[3]Atlas Air'!$IX$48</f>
        <v>0</v>
      </c>
      <c r="C17" s="126">
        <f>[3]DHL!$IX$48</f>
        <v>0</v>
      </c>
      <c r="D17" s="126">
        <f>[3]Airborne!$IX$48</f>
        <v>0</v>
      </c>
      <c r="E17" s="126">
        <f>[3]DHL_Bemidji!$IX$48</f>
        <v>0</v>
      </c>
      <c r="F17" s="478"/>
      <c r="G17" s="126">
        <f>[3]DHL_Encore!$IX$48</f>
        <v>0</v>
      </c>
      <c r="H17" s="126">
        <f>[3]DHL_Mesa!$IX$48</f>
        <v>0</v>
      </c>
      <c r="I17" s="126">
        <f>[3]Encore!$IX$48</f>
        <v>0</v>
      </c>
      <c r="J17" s="126">
        <f>[3]FedEx!$IX$48</f>
        <v>0</v>
      </c>
      <c r="K17" s="126">
        <f>[3]IFL!$IX$48</f>
        <v>0</v>
      </c>
      <c r="L17" s="126">
        <f>[3]DHL_Kalitta!$IX$48</f>
        <v>0</v>
      </c>
      <c r="M17" s="89">
        <f>'[3]Mountain Cargo'!$IX$48</f>
        <v>68459</v>
      </c>
      <c r="N17" s="126">
        <f>[3]DHL_Amerijet!$IX$48</f>
        <v>0</v>
      </c>
      <c r="O17" s="126">
        <f>[3]DHL_Swift!$IX$48</f>
        <v>0</v>
      </c>
      <c r="P17" s="126">
        <f>+'[3]Sun Country Cargo'!$IX$48</f>
        <v>0</v>
      </c>
      <c r="Q17" s="126">
        <f>[3]UPS!$IX$48</f>
        <v>275344</v>
      </c>
      <c r="R17" s="89">
        <f>'[3]Misc Cargo'!$IX$48</f>
        <v>0</v>
      </c>
      <c r="S17" s="360">
        <f>SUM(B17:E17)+SUM(G17:R17)</f>
        <v>343803</v>
      </c>
      <c r="U17" s="332"/>
      <c r="V17" s="332"/>
      <c r="W17" s="209"/>
    </row>
    <row r="18" spans="1:23" ht="18" customHeight="1" x14ac:dyDescent="0.2">
      <c r="A18" s="160" t="s">
        <v>39</v>
      </c>
      <c r="B18" s="371">
        <f>SUM(B16:B17)</f>
        <v>33674</v>
      </c>
      <c r="C18" s="215">
        <f>SUM(C16:C17)</f>
        <v>742785</v>
      </c>
      <c r="D18" s="215">
        <f>SUM(D16:D17)</f>
        <v>249462</v>
      </c>
      <c r="E18" s="215">
        <f>SUM(E16:E17)</f>
        <v>48219</v>
      </c>
      <c r="F18" s="478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7668881</v>
      </c>
      <c r="K18" s="215">
        <f>SUM(K16:K17)</f>
        <v>55915</v>
      </c>
      <c r="L18" s="215">
        <f t="shared" ref="L18:R18" si="10">SUM(L16:L17)</f>
        <v>0</v>
      </c>
      <c r="M18" s="216">
        <f t="shared" si="10"/>
        <v>68459</v>
      </c>
      <c r="N18" s="215">
        <f t="shared" si="10"/>
        <v>0</v>
      </c>
      <c r="O18" s="215">
        <f t="shared" si="10"/>
        <v>0</v>
      </c>
      <c r="P18" s="215">
        <f t="shared" si="10"/>
        <v>1785273</v>
      </c>
      <c r="Q18" s="215">
        <f t="shared" si="10"/>
        <v>5741852</v>
      </c>
      <c r="R18" s="216">
        <f t="shared" si="10"/>
        <v>0</v>
      </c>
      <c r="S18" s="372">
        <f>SUM(B18:D18)+SUM(G18:R18)</f>
        <v>16346301</v>
      </c>
      <c r="U18" s="332"/>
      <c r="V18" s="332"/>
      <c r="W18" s="209"/>
    </row>
    <row r="19" spans="1:23" x14ac:dyDescent="0.2">
      <c r="A19" s="36"/>
      <c r="B19" s="177"/>
      <c r="C19" s="126"/>
      <c r="D19" s="126"/>
      <c r="E19" s="126"/>
      <c r="F19" s="478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78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x14ac:dyDescent="0.2">
      <c r="A21" s="36" t="s">
        <v>59</v>
      </c>
      <c r="B21" s="177">
        <f>'[3]Atlas Air'!$IX$52</f>
        <v>39189</v>
      </c>
      <c r="C21" s="126">
        <f>[3]DHL!$IX$52</f>
        <v>511324</v>
      </c>
      <c r="D21" s="126">
        <f>[3]Airborne!$IX$52</f>
        <v>172482</v>
      </c>
      <c r="E21" s="126">
        <f>[3]DHL_Bemidji!$IX$52</f>
        <v>44888</v>
      </c>
      <c r="F21" s="478"/>
      <c r="G21" s="126">
        <f>[3]DHL_Encore!$IX$52</f>
        <v>0</v>
      </c>
      <c r="H21" s="126">
        <f>[3]DHL_Mesa!$IX$52</f>
        <v>0</v>
      </c>
      <c r="I21" s="126">
        <f>[3]Encore!$IX$52</f>
        <v>0</v>
      </c>
      <c r="J21" s="126">
        <f>[3]FedEx!$IX$52</f>
        <v>6136160</v>
      </c>
      <c r="K21" s="126">
        <f>[3]IFL!$IX$52</f>
        <v>0</v>
      </c>
      <c r="L21" s="126">
        <f>[3]DHL_Kalitta!$IX$52</f>
        <v>0</v>
      </c>
      <c r="M21" s="89">
        <f>'[3]Mountain Cargo'!$IX$52</f>
        <v>0</v>
      </c>
      <c r="N21" s="126">
        <f>[3]DHL_Amerijet!$IX$52</f>
        <v>0</v>
      </c>
      <c r="O21" s="126">
        <f>[3]DHL_Swift!$IX$52</f>
        <v>0</v>
      </c>
      <c r="P21" s="126">
        <f>+'[3]Sun Country Cargo'!$IX$52</f>
        <v>2246608</v>
      </c>
      <c r="Q21" s="126">
        <f>[3]UPS!$IX$52</f>
        <v>4215885</v>
      </c>
      <c r="R21" s="89">
        <f>'[3]Misc Cargo'!$IX$52</f>
        <v>0</v>
      </c>
      <c r="S21" s="360">
        <f>SUM(B21:E21)+SUM(G21:R21)</f>
        <v>13366536</v>
      </c>
      <c r="U21" s="332"/>
      <c r="V21" s="332"/>
      <c r="W21" s="209"/>
    </row>
    <row r="22" spans="1:23" x14ac:dyDescent="0.2">
      <c r="A22" s="36" t="s">
        <v>60</v>
      </c>
      <c r="B22" s="177">
        <f>'[3]Atlas Air'!$IX$53</f>
        <v>0</v>
      </c>
      <c r="C22" s="126">
        <f>[3]DHL!$IX$53</f>
        <v>0</v>
      </c>
      <c r="D22" s="126">
        <f>[3]Airborne!$IX$53</f>
        <v>0</v>
      </c>
      <c r="E22" s="126">
        <f>[3]DHL_Bemidji!$IX$53</f>
        <v>0</v>
      </c>
      <c r="F22" s="478"/>
      <c r="G22" s="126">
        <f>[3]DHL_Encore!$IX$53</f>
        <v>0</v>
      </c>
      <c r="H22" s="126">
        <f>[3]DHL_Mesa!$IX$53</f>
        <v>0</v>
      </c>
      <c r="I22" s="126">
        <f>[3]Encore!$IX$53</f>
        <v>0</v>
      </c>
      <c r="J22" s="126">
        <f>[3]FedEx!$IX$53</f>
        <v>0</v>
      </c>
      <c r="K22" s="126">
        <f>[3]IFL!$IX$53</f>
        <v>0</v>
      </c>
      <c r="L22" s="126">
        <f>[3]DHL_Kalitta!$IX$53</f>
        <v>0</v>
      </c>
      <c r="M22" s="89">
        <f>'[3]Mountain Cargo'!$IX$53</f>
        <v>114167</v>
      </c>
      <c r="N22" s="126">
        <f>[3]DHL_Amerijet!$IX$53</f>
        <v>0</v>
      </c>
      <c r="O22" s="126">
        <f>[3]DHL_Swift!$IX$53</f>
        <v>0</v>
      </c>
      <c r="P22" s="126">
        <f>+'[3]Sun Country Cargo'!$IX$53</f>
        <v>0</v>
      </c>
      <c r="Q22" s="126">
        <f>[3]UPS!$IX$53</f>
        <v>124665</v>
      </c>
      <c r="R22" s="89">
        <f>'[3]Misc Cargo'!$IX$53</f>
        <v>0</v>
      </c>
      <c r="S22" s="360">
        <f>SUM(B22:E22)+SUM(G22:R22)</f>
        <v>238832</v>
      </c>
      <c r="U22" s="332"/>
      <c r="V22" s="332"/>
      <c r="W22" s="209"/>
    </row>
    <row r="23" spans="1:23" ht="18" customHeight="1" x14ac:dyDescent="0.2">
      <c r="A23" s="160" t="s">
        <v>41</v>
      </c>
      <c r="B23" s="371">
        <f>SUM(B21:B22)</f>
        <v>39189</v>
      </c>
      <c r="C23" s="215">
        <f>SUM(C21:C22)</f>
        <v>511324</v>
      </c>
      <c r="D23" s="215">
        <f t="shared" ref="D23:E23" si="11">SUM(D21:D22)</f>
        <v>172482</v>
      </c>
      <c r="E23" s="215">
        <f t="shared" si="11"/>
        <v>44888</v>
      </c>
      <c r="F23" s="478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6136160</v>
      </c>
      <c r="K23" s="215">
        <f t="shared" si="12"/>
        <v>0</v>
      </c>
      <c r="L23" s="215">
        <f t="shared" si="12"/>
        <v>0</v>
      </c>
      <c r="M23" s="216">
        <f t="shared" si="12"/>
        <v>114167</v>
      </c>
      <c r="N23" s="215">
        <f t="shared" si="12"/>
        <v>0</v>
      </c>
      <c r="O23" s="215">
        <f t="shared" si="12"/>
        <v>0</v>
      </c>
      <c r="P23" s="215">
        <f t="shared" si="12"/>
        <v>2246608</v>
      </c>
      <c r="Q23" s="215">
        <f t="shared" si="12"/>
        <v>4340550</v>
      </c>
      <c r="R23" s="216">
        <f t="shared" si="12"/>
        <v>0</v>
      </c>
      <c r="S23" s="372">
        <f>SUM(B23:D23)+SUM(G23:R23)</f>
        <v>13560480</v>
      </c>
      <c r="U23" s="332"/>
      <c r="V23" s="332"/>
      <c r="W23" s="209"/>
    </row>
    <row r="24" spans="1:23" x14ac:dyDescent="0.2">
      <c r="A24" s="36"/>
      <c r="B24" s="177"/>
      <c r="C24" s="126"/>
      <c r="D24" s="126"/>
      <c r="E24" s="126"/>
      <c r="F24" s="478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78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x14ac:dyDescent="0.2">
      <c r="A26" s="36" t="s">
        <v>59</v>
      </c>
      <c r="B26" s="177">
        <f>'[3]Atlas Air'!$IX$57</f>
        <v>0</v>
      </c>
      <c r="C26" s="126">
        <f>[3]DHL!$IX$57</f>
        <v>0</v>
      </c>
      <c r="D26" s="126">
        <f>[3]Airborne!$IX$57</f>
        <v>0</v>
      </c>
      <c r="E26" s="126">
        <f>[3]DHL_Bemidji!$IX$57</f>
        <v>0</v>
      </c>
      <c r="F26" s="478"/>
      <c r="G26" s="126">
        <f>[3]DHL_Encore!$IX$57</f>
        <v>0</v>
      </c>
      <c r="H26" s="126">
        <f>[3]DHL_Mesa!$IX$57</f>
        <v>0</v>
      </c>
      <c r="I26" s="126">
        <f>[3]Encore!$IX$57</f>
        <v>0</v>
      </c>
      <c r="J26" s="126">
        <f>[3]FedEx!$IX$57</f>
        <v>0</v>
      </c>
      <c r="K26" s="126">
        <f>[3]IFL!$IX$57</f>
        <v>0</v>
      </c>
      <c r="L26" s="126">
        <f>[3]DHL_Kalitta!$IX$57</f>
        <v>0</v>
      </c>
      <c r="M26" s="89">
        <f>'[3]Mountain Cargo'!$IX$57</f>
        <v>0</v>
      </c>
      <c r="N26" s="126">
        <f>[3]DHL_Amerijet!$IX$57</f>
        <v>0</v>
      </c>
      <c r="O26" s="126">
        <f>[3]DHL_Swift!$IX$57</f>
        <v>0</v>
      </c>
      <c r="P26" s="126">
        <f>+'[3]Sun Country Cargo'!$IX$57</f>
        <v>0</v>
      </c>
      <c r="Q26" s="126">
        <f>[3]UPS!$IX$57</f>
        <v>0</v>
      </c>
      <c r="R26" s="89">
        <f>'[3]Misc Cargo'!$IX$57</f>
        <v>0</v>
      </c>
      <c r="S26" s="360">
        <f>SUM(B26:D26)+SUM(G26:R26)</f>
        <v>0</v>
      </c>
      <c r="U26" s="332"/>
      <c r="V26" s="332"/>
      <c r="W26" s="332"/>
    </row>
    <row r="27" spans="1:23" x14ac:dyDescent="0.2">
      <c r="A27" s="36" t="s">
        <v>60</v>
      </c>
      <c r="B27" s="177">
        <f>'[3]Atlas Air'!$IX$58</f>
        <v>0</v>
      </c>
      <c r="C27" s="126">
        <f>[3]DHL!$IX$58</f>
        <v>0</v>
      </c>
      <c r="D27" s="126">
        <f>[3]Airborne!$IX$58</f>
        <v>0</v>
      </c>
      <c r="E27" s="126">
        <f>[3]DHL_Bemidji!$IX$58</f>
        <v>0</v>
      </c>
      <c r="F27" s="478"/>
      <c r="G27" s="126">
        <f>[3]DHL_Encore!$IX$58</f>
        <v>0</v>
      </c>
      <c r="H27" s="126">
        <f>[3]DHL_Mesa!$IX$58</f>
        <v>0</v>
      </c>
      <c r="I27" s="126">
        <f>[3]Encore!$IX$58</f>
        <v>0</v>
      </c>
      <c r="J27" s="126">
        <f>[3]FedEx!$IX$58</f>
        <v>0</v>
      </c>
      <c r="K27" s="126">
        <f>[3]IFL!$IX$58</f>
        <v>0</v>
      </c>
      <c r="L27" s="126">
        <f>[3]DHL_Kalitta!$IX$58</f>
        <v>0</v>
      </c>
      <c r="M27" s="89">
        <f>'[3]Mountain Cargo'!$IX$58</f>
        <v>0</v>
      </c>
      <c r="N27" s="126">
        <f>[3]DHL_Amerijet!$IX$58</f>
        <v>0</v>
      </c>
      <c r="O27" s="126">
        <f>[3]DHL_Swift!$IX$58</f>
        <v>0</v>
      </c>
      <c r="P27" s="126">
        <f>+'[3]Sun Country Cargo'!$IX$58</f>
        <v>0</v>
      </c>
      <c r="Q27" s="126">
        <f>[3]UPS!$IX$58</f>
        <v>0</v>
      </c>
      <c r="R27" s="89">
        <f>'[3]Misc Cargo'!$IX$58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2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8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x14ac:dyDescent="0.2">
      <c r="A29" s="36"/>
      <c r="B29" s="177"/>
      <c r="C29" s="126"/>
      <c r="D29" s="126"/>
      <c r="E29" s="126"/>
      <c r="F29" s="478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x14ac:dyDescent="0.2">
      <c r="A30" s="161" t="s">
        <v>44</v>
      </c>
      <c r="B30" s="177"/>
      <c r="C30" s="126"/>
      <c r="D30" s="126"/>
      <c r="E30" s="126"/>
      <c r="F30" s="478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x14ac:dyDescent="0.2">
      <c r="A31" s="36" t="s">
        <v>88</v>
      </c>
      <c r="B31" s="177">
        <f>B26+B21+B16</f>
        <v>72863</v>
      </c>
      <c r="C31" s="126">
        <f t="shared" ref="C31:R33" si="17">C26+C21+C16</f>
        <v>1254109</v>
      </c>
      <c r="D31" s="126">
        <f t="shared" si="17"/>
        <v>421944</v>
      </c>
      <c r="E31" s="126">
        <f t="shared" si="17"/>
        <v>93107</v>
      </c>
      <c r="F31" s="478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13805041</v>
      </c>
      <c r="K31" s="126">
        <f t="shared" si="18"/>
        <v>55915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4031881</v>
      </c>
      <c r="Q31" s="126">
        <f t="shared" si="17"/>
        <v>9682393</v>
      </c>
      <c r="R31" s="89">
        <f>R26+R21+R16</f>
        <v>0</v>
      </c>
      <c r="S31" s="360">
        <f>SUM(B31:E31)+SUM(G31:R31)</f>
        <v>29417253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9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182626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400009</v>
      </c>
      <c r="R32" s="89">
        <f>R27+R22+R17</f>
        <v>0</v>
      </c>
      <c r="S32" s="360">
        <f>SUM(B32:E32)+SUM(G32:R32)</f>
        <v>582635</v>
      </c>
    </row>
    <row r="33" spans="1:19" ht="18" customHeight="1" thickBot="1" x14ac:dyDescent="0.25">
      <c r="A33" s="154" t="s">
        <v>46</v>
      </c>
      <c r="B33" s="365">
        <f>B28+B23+B18</f>
        <v>72863</v>
      </c>
      <c r="C33" s="155">
        <f t="shared" ref="C33:I33" si="21">C28+C23+C18</f>
        <v>1254109</v>
      </c>
      <c r="D33" s="155">
        <f t="shared" si="21"/>
        <v>421944</v>
      </c>
      <c r="E33" s="155">
        <f t="shared" si="21"/>
        <v>93107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13805041</v>
      </c>
      <c r="K33" s="155">
        <f t="shared" si="18"/>
        <v>55915</v>
      </c>
      <c r="L33" s="155">
        <f t="shared" si="18"/>
        <v>0</v>
      </c>
      <c r="M33" s="156">
        <f>M28+M23+M18</f>
        <v>182626</v>
      </c>
      <c r="N33" s="155">
        <f t="shared" si="18"/>
        <v>0</v>
      </c>
      <c r="O33" s="155">
        <f t="shared" si="18"/>
        <v>0</v>
      </c>
      <c r="P33" s="155">
        <f t="shared" si="17"/>
        <v>4031881</v>
      </c>
      <c r="Q33" s="155">
        <f t="shared" si="17"/>
        <v>10082402</v>
      </c>
      <c r="R33" s="156">
        <f t="shared" si="17"/>
        <v>0</v>
      </c>
      <c r="S33" s="366">
        <f>SUM(B33:E33)+SUM(G33:R33)</f>
        <v>29999888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May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30" zoomScaleNormal="130" workbookViewId="0">
      <selection activeCell="D4" sqref="D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3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25">
      <c r="A2" s="388">
        <v>45413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Stats'!K28</f>
        <v>4261815</v>
      </c>
      <c r="C5" s="89">
        <f>'Regional Major'!M25</f>
        <v>5340.8</v>
      </c>
      <c r="D5" s="89">
        <f>Cargo!S16</f>
        <v>16050717</v>
      </c>
      <c r="E5" s="89">
        <f>SUM(B5:D5)</f>
        <v>20317872.800000001</v>
      </c>
      <c r="F5" s="89">
        <f>E5*0.00045359237</f>
        <v>9216.0320767105368</v>
      </c>
      <c r="G5" s="89">
        <f>'[1]Cargo Summary'!F5</f>
        <v>9049.1712288020117</v>
      </c>
      <c r="H5" s="73">
        <f>(F5-G5)/G5</f>
        <v>1.8439351371475288E-2</v>
      </c>
      <c r="I5" s="89">
        <f>+F5+'[2]Cargo Summary'!I5</f>
        <v>43088.160240476733</v>
      </c>
      <c r="J5" s="89">
        <f>+'[1]Cargo Summary'!I5</f>
        <v>42732.358847428251</v>
      </c>
      <c r="K5" s="63">
        <f>(I5-J5)/J5</f>
        <v>8.3262755121671535E-3</v>
      </c>
      <c r="M5" s="12"/>
      <c r="O5" s="392"/>
    </row>
    <row r="6" spans="1:18" x14ac:dyDescent="0.2">
      <c r="A6" s="43" t="s">
        <v>16</v>
      </c>
      <c r="B6" s="133">
        <f>'Major Airline Stats'!K29</f>
        <v>228707</v>
      </c>
      <c r="C6" s="89">
        <f>'Regional Major'!M26</f>
        <v>0</v>
      </c>
      <c r="D6" s="89">
        <f>Cargo!S17</f>
        <v>343803</v>
      </c>
      <c r="E6" s="89">
        <f>SUM(B6:D6)</f>
        <v>572510</v>
      </c>
      <c r="F6" s="89">
        <f>E6*0.00045359237</f>
        <v>259.68616774869997</v>
      </c>
      <c r="G6" s="89">
        <f>'[1]Cargo Summary'!F6</f>
        <v>524.36366593688001</v>
      </c>
      <c r="H6" s="3">
        <f>(F6-G6)/G6</f>
        <v>-0.50475941675951375</v>
      </c>
      <c r="I6" s="89">
        <f>+F6+'[2]Cargo Summary'!I6</f>
        <v>879.29379876106987</v>
      </c>
      <c r="J6" s="89">
        <f>+'[1]Cargo Summary'!I6</f>
        <v>3097.2357501593201</v>
      </c>
      <c r="K6" s="63">
        <f>(I6-J6)/J6</f>
        <v>-0.71610369061643453</v>
      </c>
      <c r="M6" s="12"/>
    </row>
    <row r="7" spans="1:18" ht="18" customHeight="1" thickBot="1" x14ac:dyDescent="0.25">
      <c r="A7" s="52" t="s">
        <v>71</v>
      </c>
      <c r="B7" s="135">
        <f>SUM(B5:B6)</f>
        <v>4490522</v>
      </c>
      <c r="C7" s="99">
        <f t="shared" ref="C7:J7" si="0">SUM(C5:C6)</f>
        <v>5340.8</v>
      </c>
      <c r="D7" s="99">
        <f t="shared" si="0"/>
        <v>16394520</v>
      </c>
      <c r="E7" s="99">
        <f t="shared" si="0"/>
        <v>20890382.800000001</v>
      </c>
      <c r="F7" s="99">
        <f t="shared" si="0"/>
        <v>9475.7182444592363</v>
      </c>
      <c r="G7" s="99">
        <f t="shared" si="0"/>
        <v>9573.534894738892</v>
      </c>
      <c r="H7" s="27">
        <f>(F7-G7)/G7</f>
        <v>-1.0217401550749095E-2</v>
      </c>
      <c r="I7" s="99">
        <f t="shared" si="0"/>
        <v>43967.454039237804</v>
      </c>
      <c r="J7" s="99">
        <f t="shared" si="0"/>
        <v>45829.594597587573</v>
      </c>
      <c r="K7" s="230">
        <f>(I7-J7)/J7</f>
        <v>-4.0631835710102274E-2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Stats'!K33</f>
        <v>2005073</v>
      </c>
      <c r="C10" s="89">
        <f>'Regional Major'!M30</f>
        <v>2857.5</v>
      </c>
      <c r="D10" s="89">
        <f>Cargo!S21</f>
        <v>13366536</v>
      </c>
      <c r="E10" s="89">
        <f>SUM(B10:D10)</f>
        <v>15374466.5</v>
      </c>
      <c r="F10" s="89">
        <f>E10*0.00045359237</f>
        <v>6973.7406972206045</v>
      </c>
      <c r="G10" s="89">
        <f>'[1]Cargo Summary'!F10</f>
        <v>7296.654420841478</v>
      </c>
      <c r="H10" s="3">
        <f>(F10-G10)/G10</f>
        <v>-4.4255038678895506E-2</v>
      </c>
      <c r="I10" s="89">
        <f>+F10+'[2]Cargo Summary'!I10</f>
        <v>33937.521804642063</v>
      </c>
      <c r="J10" s="89">
        <f>+'[1]Cargo Summary'!I10</f>
        <v>35666.803162012402</v>
      </c>
      <c r="K10" s="63">
        <f>(I10-J10)/J10</f>
        <v>-4.8484338490199827E-2</v>
      </c>
      <c r="M10" s="12"/>
      <c r="O10" s="392"/>
    </row>
    <row r="11" spans="1:18" x14ac:dyDescent="0.2">
      <c r="A11" s="43" t="s">
        <v>16</v>
      </c>
      <c r="B11" s="133">
        <f>'Major Airline Stats'!K34</f>
        <v>131856</v>
      </c>
      <c r="C11" s="89">
        <f>'Regional Major'!M31</f>
        <v>0</v>
      </c>
      <c r="D11" s="89">
        <f>Cargo!S22</f>
        <v>238832</v>
      </c>
      <c r="E11" s="89">
        <f>SUM(B11:D11)</f>
        <v>370688</v>
      </c>
      <c r="F11" s="89">
        <f>E11*0.00045359237</f>
        <v>168.14124845056</v>
      </c>
      <c r="G11" s="89">
        <f>'[1]Cargo Summary'!F11</f>
        <v>384.29298130376998</v>
      </c>
      <c r="H11" s="24">
        <f>(F11-G11)/G11</f>
        <v>-0.56246599175421763</v>
      </c>
      <c r="I11" s="89">
        <f>+F11+'[2]Cargo Summary'!I11</f>
        <v>810.23980353700995</v>
      </c>
      <c r="J11" s="89">
        <f>+'[1]Cargo Summary'!I11</f>
        <v>2879.2546792778999</v>
      </c>
      <c r="K11" s="63">
        <f>(I11-J11)/J11</f>
        <v>-0.71859390926119338</v>
      </c>
      <c r="M11" s="12"/>
    </row>
    <row r="12" spans="1:18" ht="18" customHeight="1" thickBot="1" x14ac:dyDescent="0.25">
      <c r="A12" s="52" t="s">
        <v>72</v>
      </c>
      <c r="B12" s="135">
        <f>SUM(B10:B11)</f>
        <v>2136929</v>
      </c>
      <c r="C12" s="99">
        <f t="shared" ref="C12:J12" si="1">SUM(C10:C11)</f>
        <v>2857.5</v>
      </c>
      <c r="D12" s="99">
        <f t="shared" si="1"/>
        <v>13605368</v>
      </c>
      <c r="E12" s="99">
        <f t="shared" si="1"/>
        <v>15745154.5</v>
      </c>
      <c r="F12" s="99">
        <f t="shared" si="1"/>
        <v>7141.8819456711644</v>
      </c>
      <c r="G12" s="99">
        <f t="shared" si="1"/>
        <v>7680.9474021452479</v>
      </c>
      <c r="H12" s="27">
        <f>(F12-G12)/G12</f>
        <v>-7.0182156998435552E-2</v>
      </c>
      <c r="I12" s="99">
        <f>SUM(I10:I11)</f>
        <v>34747.761608179077</v>
      </c>
      <c r="J12" s="99">
        <f t="shared" si="1"/>
        <v>38546.057841290305</v>
      </c>
      <c r="K12" s="230">
        <f>(I12-J12)/J12</f>
        <v>-9.8539161870984285E-2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Stats'!K38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">
      <c r="A16" s="43" t="s">
        <v>16</v>
      </c>
      <c r="B16" s="133">
        <f>'Major Airline Stats'!K39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6266888</v>
      </c>
      <c r="C20" s="89">
        <f t="shared" si="3"/>
        <v>8198.2999999999993</v>
      </c>
      <c r="D20" s="89">
        <f t="shared" si="3"/>
        <v>29417253</v>
      </c>
      <c r="E20" s="89">
        <f>SUM(B20:D20)</f>
        <v>35692339.299999997</v>
      </c>
      <c r="F20" s="89">
        <f>E20*0.00045359237</f>
        <v>16189.772773931139</v>
      </c>
      <c r="G20" s="89">
        <f>'[1]Cargo Summary'!F20</f>
        <v>16345.82564964349</v>
      </c>
      <c r="H20" s="3">
        <f>(F20-G20)/G20</f>
        <v>-9.5469558440906162E-3</v>
      </c>
      <c r="I20" s="89">
        <f>+F20+'[2]Cargo Summary'!I20</f>
        <v>77025.68204511881</v>
      </c>
      <c r="J20" s="89">
        <f>+'[1]Cargo Summary'!I20</f>
        <v>78399.162009440653</v>
      </c>
      <c r="K20" s="63">
        <f>(I20-J20)/J20</f>
        <v>-1.7519064351178289E-2</v>
      </c>
      <c r="M20" s="12"/>
    </row>
    <row r="21" spans="1:13" x14ac:dyDescent="0.2">
      <c r="A21" s="43" t="s">
        <v>16</v>
      </c>
      <c r="B21" s="133">
        <f t="shared" si="3"/>
        <v>360563</v>
      </c>
      <c r="C21" s="90">
        <f t="shared" si="3"/>
        <v>0</v>
      </c>
      <c r="D21" s="90">
        <f t="shared" si="3"/>
        <v>582635</v>
      </c>
      <c r="E21" s="89">
        <f>SUM(B21:D21)</f>
        <v>943198</v>
      </c>
      <c r="F21" s="89">
        <f>E21*0.00045359237</f>
        <v>427.82741619925997</v>
      </c>
      <c r="G21" s="89">
        <f>'[1]Cargo Summary'!F21</f>
        <v>908.65664724064993</v>
      </c>
      <c r="H21" s="3">
        <f>(F21-G21)/G21</f>
        <v>-0.5291649299012352</v>
      </c>
      <c r="I21" s="89">
        <f>+F21+'[2]Cargo Summary'!I21</f>
        <v>1689.5336022980798</v>
      </c>
      <c r="J21" s="89">
        <f>+'[1]Cargo Summary'!I21</f>
        <v>5976.4904294372209</v>
      </c>
      <c r="K21" s="63">
        <f>(I21-J21)/J21</f>
        <v>-0.71730338695494644</v>
      </c>
      <c r="M21" s="12"/>
    </row>
    <row r="22" spans="1:13" ht="18" customHeight="1" thickBot="1" x14ac:dyDescent="0.25">
      <c r="A22" s="65" t="s">
        <v>62</v>
      </c>
      <c r="B22" s="136">
        <f>SUM(B20:B21)</f>
        <v>6627451</v>
      </c>
      <c r="C22" s="137">
        <f t="shared" ref="C22:J22" si="4">SUM(C20:C21)</f>
        <v>8198.2999999999993</v>
      </c>
      <c r="D22" s="137">
        <f t="shared" si="4"/>
        <v>29999888</v>
      </c>
      <c r="E22" s="137">
        <f t="shared" si="4"/>
        <v>36635537.299999997</v>
      </c>
      <c r="F22" s="137">
        <f t="shared" si="4"/>
        <v>16617.600190130401</v>
      </c>
      <c r="G22" s="137">
        <f t="shared" si="4"/>
        <v>17254.48229688414</v>
      </c>
      <c r="H22" s="236">
        <f>(F22-G22)/G22</f>
        <v>-3.6911110736063582E-2</v>
      </c>
      <c r="I22" s="137">
        <f>SUM(I20:I21)</f>
        <v>78715.215647416888</v>
      </c>
      <c r="J22" s="137">
        <f t="shared" si="4"/>
        <v>84375.652438877878</v>
      </c>
      <c r="K22" s="237">
        <f>(I22-J22)/J22</f>
        <v>-6.7086139518286236E-2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May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J12" sqref="J1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25" thickBot="1" x14ac:dyDescent="0.25">
      <c r="A2" s="486" t="s">
        <v>182</v>
      </c>
      <c r="B2" s="487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86" t="s">
        <v>178</v>
      </c>
      <c r="K2" s="487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25">
      <c r="A3" s="488">
        <v>45413</v>
      </c>
      <c r="B3" s="489"/>
      <c r="C3" s="490" t="s">
        <v>9</v>
      </c>
      <c r="D3" s="491"/>
      <c r="E3" s="491"/>
      <c r="F3" s="491"/>
      <c r="G3" s="491"/>
      <c r="H3" s="492"/>
      <c r="I3" s="357"/>
      <c r="J3" s="488">
        <f>+A3</f>
        <v>45413</v>
      </c>
      <c r="K3" s="489"/>
      <c r="L3" s="483" t="s">
        <v>179</v>
      </c>
      <c r="M3" s="484"/>
      <c r="N3" s="484"/>
      <c r="O3" s="484"/>
      <c r="P3" s="484"/>
      <c r="Q3" s="484"/>
      <c r="R3" s="485"/>
      <c r="T3" s="384"/>
    </row>
    <row r="4" spans="1:20" x14ac:dyDescent="0.2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" customHeight="1" x14ac:dyDescent="0.2">
      <c r="A5" s="250" t="s">
        <v>200</v>
      </c>
      <c r="B5" s="37"/>
      <c r="C5" s="374">
        <f>SUM(C6:C7)</f>
        <v>190</v>
      </c>
      <c r="D5" s="374">
        <f>SUM(D6:D7)</f>
        <v>186</v>
      </c>
      <c r="E5" s="375">
        <f>(C5-D5)/D5</f>
        <v>2.1505376344086023E-2</v>
      </c>
      <c r="F5" s="374">
        <f>SUM(F6:F7)</f>
        <v>1098</v>
      </c>
      <c r="G5" s="374">
        <f>SUM(G6:G7)</f>
        <v>894</v>
      </c>
      <c r="H5" s="376">
        <f>(F5-G5)/G5</f>
        <v>0.22818791946308725</v>
      </c>
      <c r="I5" s="375">
        <f>+F5/$F$34</f>
        <v>0.19603642206748795</v>
      </c>
      <c r="J5" s="250" t="s">
        <v>200</v>
      </c>
      <c r="K5" s="37"/>
      <c r="L5" s="374">
        <f>SUM(L6:L7)</f>
        <v>4104744</v>
      </c>
      <c r="M5" s="374">
        <f>SUM(M6:M7)</f>
        <v>5946033</v>
      </c>
      <c r="N5" s="375">
        <f>(L5-M5)/M5</f>
        <v>-0.30966679801474362</v>
      </c>
      <c r="O5" s="374">
        <f>SUM(O6:O7)</f>
        <v>24898220</v>
      </c>
      <c r="P5" s="374">
        <f>SUM(P6:P7)</f>
        <v>28067939</v>
      </c>
      <c r="Q5" s="376">
        <f>(O5-P5)/P5</f>
        <v>-0.11293023687987921</v>
      </c>
      <c r="R5" s="375">
        <f>O5/$O$34</f>
        <v>0.17584600404963455</v>
      </c>
      <c r="T5" s="383"/>
    </row>
    <row r="6" spans="1:20" ht="14.1" customHeight="1" x14ac:dyDescent="0.2">
      <c r="A6" s="36"/>
      <c r="B6" s="310" t="s">
        <v>201</v>
      </c>
      <c r="C6" s="314">
        <f>+'[3]Atlas Air'!$IX$19</f>
        <v>2</v>
      </c>
      <c r="D6" s="209">
        <f>+'[3]Atlas Air'!$IJ$19</f>
        <v>62</v>
      </c>
      <c r="E6" s="316">
        <f>(C6-D6)/D6</f>
        <v>-0.967741935483871</v>
      </c>
      <c r="F6" s="314">
        <f>+SUM('[3]Atlas Air'!$IT$19:$IX$19)</f>
        <v>20</v>
      </c>
      <c r="G6" s="209">
        <f>+SUM('[3]Atlas Air'!$IF$19:$IJ$19)</f>
        <v>302</v>
      </c>
      <c r="H6" s="315">
        <f>(F6-G6)/G6</f>
        <v>-0.93377483443708609</v>
      </c>
      <c r="I6" s="316">
        <f>+F6/$F$34</f>
        <v>3.5707909301910374E-3</v>
      </c>
      <c r="J6" s="36"/>
      <c r="K6" s="310" t="s">
        <v>201</v>
      </c>
      <c r="L6" s="314">
        <f>+'[3]Atlas Air'!$IX$64</f>
        <v>72863</v>
      </c>
      <c r="M6" s="209">
        <f>+'[3]Atlas Air'!$IJ$64</f>
        <v>3120511</v>
      </c>
      <c r="N6" s="316">
        <f>(L6-M6)/M6</f>
        <v>-0.97665029862096309</v>
      </c>
      <c r="O6" s="209">
        <f>+SUM('[3]Atlas Air'!$IT$64:$IX$64)</f>
        <v>636466</v>
      </c>
      <c r="P6" s="209">
        <f>+SUM('[3]Atlas Air'!$IF$64:$IJ$64)</f>
        <v>14469376</v>
      </c>
      <c r="Q6" s="315">
        <f>(O6-P6)/P6</f>
        <v>-0.95601289233205355</v>
      </c>
      <c r="R6" s="316">
        <f>O6/$O$34</f>
        <v>4.4951005659623344E-3</v>
      </c>
      <c r="T6" s="383"/>
    </row>
    <row r="7" spans="1:20" ht="14.1" customHeight="1" x14ac:dyDescent="0.2">
      <c r="A7" s="36"/>
      <c r="B7" s="310" t="s">
        <v>49</v>
      </c>
      <c r="C7" s="314">
        <f>+'[3]Sun Country Cargo'!$IX$19</f>
        <v>188</v>
      </c>
      <c r="D7" s="209">
        <f>+'[3]Sun Country Cargo'!$IJ$19</f>
        <v>124</v>
      </c>
      <c r="E7" s="316">
        <f>(C7-D7)/D7</f>
        <v>0.5161290322580645</v>
      </c>
      <c r="F7" s="314">
        <f>+SUM('[3]Sun Country Cargo'!$IT$19:$IX$19)</f>
        <v>1078</v>
      </c>
      <c r="G7" s="209">
        <f>+SUM('[3]Sun Country Cargo'!$IF$19:$IJ$19)</f>
        <v>592</v>
      </c>
      <c r="H7" s="315">
        <f>(F7-G7)/G7</f>
        <v>0.82094594594594594</v>
      </c>
      <c r="I7" s="316">
        <f>+F7/$F$34</f>
        <v>0.19246563113729692</v>
      </c>
      <c r="J7" s="36"/>
      <c r="K7" s="310" t="s">
        <v>49</v>
      </c>
      <c r="L7" s="314">
        <f>+'[3]Sun Country Cargo'!$IX$64</f>
        <v>4031881</v>
      </c>
      <c r="M7" s="209">
        <f>+'[3]Sun Country Cargo'!$IJ$64</f>
        <v>2825522</v>
      </c>
      <c r="N7" s="316">
        <f>(L7-M7)/M7</f>
        <v>0.42695084306545833</v>
      </c>
      <c r="O7" s="209">
        <f>+SUM('[3]Sun Country Cargo'!$IT$64:$IX$64)</f>
        <v>24261754</v>
      </c>
      <c r="P7" s="209">
        <f>+SUM('[3]Sun Country Cargo'!$IF$64:$IJ$64)</f>
        <v>13598563</v>
      </c>
      <c r="Q7" s="315">
        <f>(O7-P7)/P7</f>
        <v>0.7841410154881806</v>
      </c>
      <c r="R7" s="316">
        <f>O7/$O$34</f>
        <v>0.17135090348367221</v>
      </c>
      <c r="T7" s="383"/>
    </row>
    <row r="8" spans="1:20" ht="14.1" customHeight="1" x14ac:dyDescent="0.2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" customHeight="1" x14ac:dyDescent="0.2">
      <c r="A9" s="250" t="s">
        <v>202</v>
      </c>
      <c r="B9" s="37"/>
      <c r="C9" s="374">
        <f>SUM(C10:C18)</f>
        <v>132</v>
      </c>
      <c r="D9" s="374">
        <f>SUM(D10:D18)</f>
        <v>166</v>
      </c>
      <c r="E9" s="375">
        <f>(C9-D9)/D9</f>
        <v>-0.20481927710843373</v>
      </c>
      <c r="F9" s="374">
        <f>SUM(F10:F18)</f>
        <v>612</v>
      </c>
      <c r="G9" s="374">
        <f>SUM(G10:G18)</f>
        <v>686</v>
      </c>
      <c r="H9" s="376">
        <f>(F9-G9)/G9</f>
        <v>-0.10787172011661808</v>
      </c>
      <c r="I9" s="375">
        <f t="shared" ref="I9:I18" si="0">+F9/$F$34</f>
        <v>0.10926620246384575</v>
      </c>
      <c r="J9" s="250" t="s">
        <v>202</v>
      </c>
      <c r="K9" s="37"/>
      <c r="L9" s="374">
        <f>SUM(L10:L18)</f>
        <v>1769160</v>
      </c>
      <c r="M9" s="374">
        <f>SUM(M10:M18)</f>
        <v>1640241</v>
      </c>
      <c r="N9" s="375">
        <f t="shared" ref="N9:N18" si="1">(L9-M9)/M9</f>
        <v>7.8597596328832162E-2</v>
      </c>
      <c r="O9" s="374">
        <f>SUM(O10:O18)</f>
        <v>6761948</v>
      </c>
      <c r="P9" s="374">
        <f>SUM(P10:P18)</f>
        <v>7156747</v>
      </c>
      <c r="Q9" s="376">
        <f t="shared" ref="Q9:Q18" si="2">(O9-P9)/P9</f>
        <v>-5.5164588045378715E-2</v>
      </c>
      <c r="R9" s="375">
        <f t="shared" ref="R9:R18" si="3">O9/$O$34</f>
        <v>4.7756889263225175E-2</v>
      </c>
      <c r="T9" s="383"/>
    </row>
    <row r="10" spans="1:20" ht="14.1" customHeight="1" x14ac:dyDescent="0.2">
      <c r="A10" s="250"/>
      <c r="B10" s="310" t="s">
        <v>203</v>
      </c>
      <c r="C10" s="314">
        <f>+[3]Airborne!$IX$19</f>
        <v>10</v>
      </c>
      <c r="D10" s="209">
        <f>+[3]Airborne!$IJ$19</f>
        <v>8</v>
      </c>
      <c r="E10" s="316">
        <f>(C10-D10)/D10</f>
        <v>0.25</v>
      </c>
      <c r="F10" s="314">
        <f>+SUM([3]Airborne!$IT$19:$IX$19)</f>
        <v>38</v>
      </c>
      <c r="G10" s="209">
        <f>+SUM([3]Airborne!$IF$19:$IJ$19)</f>
        <v>22</v>
      </c>
      <c r="H10" s="315">
        <f>(F10-G10)/G10</f>
        <v>0.72727272727272729</v>
      </c>
      <c r="I10" s="316">
        <f t="shared" si="0"/>
        <v>6.7845027673629713E-3</v>
      </c>
      <c r="J10" s="250"/>
      <c r="K10" s="310" t="s">
        <v>203</v>
      </c>
      <c r="L10" s="314">
        <f>+[3]Airborne!$IX$64</f>
        <v>421944</v>
      </c>
      <c r="M10" s="209">
        <f>+[3]Airborne!$IJ$64</f>
        <v>248229</v>
      </c>
      <c r="N10" s="316">
        <f t="shared" si="1"/>
        <v>0.69981750722115466</v>
      </c>
      <c r="O10" s="314">
        <f>+SUM([3]Airborne!$IT$64:$IX$64)</f>
        <v>1562372</v>
      </c>
      <c r="P10" s="209">
        <f>+SUM([3]Airborne!$IF$64:$IJ$64)</f>
        <v>554446</v>
      </c>
      <c r="Q10" s="315">
        <f t="shared" si="2"/>
        <v>1.8178975048967798</v>
      </c>
      <c r="R10" s="316">
        <f t="shared" si="3"/>
        <v>1.1034398163364113E-2</v>
      </c>
      <c r="T10" s="383"/>
    </row>
    <row r="11" spans="1:20" ht="14.1" customHeight="1" x14ac:dyDescent="0.2">
      <c r="A11" s="250"/>
      <c r="B11" s="37" t="s">
        <v>201</v>
      </c>
      <c r="C11" s="314">
        <f>+[3]DHL_Atlas!$IX$19</f>
        <v>0</v>
      </c>
      <c r="D11" s="209">
        <f>+[3]DHL_Atlas!$IJ$19</f>
        <v>0</v>
      </c>
      <c r="E11" s="316" t="e">
        <f t="shared" ref="E11:E18" si="4">(C11-D11)/D11</f>
        <v>#DIV/0!</v>
      </c>
      <c r="F11" s="314">
        <f>+SUM([3]DHL_Atlas!$IT$19:$IX$19)</f>
        <v>0</v>
      </c>
      <c r="G11" s="209">
        <f>+SUM([3]DHL_Atlas!$IF$19:$IJ$19)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+[3]DHL_Atlas!$IX$64</f>
        <v>0</v>
      </c>
      <c r="M11" s="209">
        <f>+[3]DHL_Atlas!$IJ$64</f>
        <v>0</v>
      </c>
      <c r="N11" s="316" t="e">
        <f t="shared" si="1"/>
        <v>#DIV/0!</v>
      </c>
      <c r="O11" s="314">
        <f>+SUM([3]DHL_Atlas!$IT$64:$IX$64)</f>
        <v>0</v>
      </c>
      <c r="P11" s="209">
        <f>+SUM([3]DHL_Atlas!$IF$64:$IJ$64)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" customHeight="1" x14ac:dyDescent="0.2">
      <c r="A12" s="250"/>
      <c r="B12" s="37" t="s">
        <v>204</v>
      </c>
      <c r="C12" s="314">
        <f>+[3]DHL!$IX$19</f>
        <v>40</v>
      </c>
      <c r="D12" s="209">
        <f>+[3]DHL!$IJ$19</f>
        <v>2</v>
      </c>
      <c r="E12" s="316">
        <f t="shared" si="4"/>
        <v>19</v>
      </c>
      <c r="F12" s="314">
        <f>+SUM([3]DHL!$IT$19:$IX$19)</f>
        <v>88</v>
      </c>
      <c r="G12" s="209">
        <f>+SUM([3]DHL!$IF$19:$IJ$19)</f>
        <v>6</v>
      </c>
      <c r="H12" s="315">
        <f t="shared" si="5"/>
        <v>13.666666666666666</v>
      </c>
      <c r="I12" s="316">
        <f t="shared" si="0"/>
        <v>1.5711480092840565E-2</v>
      </c>
      <c r="J12" s="250"/>
      <c r="K12" s="37" t="s">
        <v>204</v>
      </c>
      <c r="L12" s="314">
        <f>+[3]DHL!$IX$64</f>
        <v>1254109</v>
      </c>
      <c r="M12" s="209">
        <f>+[3]DHL!$IJ$64</f>
        <v>28874</v>
      </c>
      <c r="N12" s="316">
        <f t="shared" si="1"/>
        <v>42.433850522961833</v>
      </c>
      <c r="O12" s="314">
        <f>+SUM([3]DHL!$IT$64:$IX$64)</f>
        <v>2051415</v>
      </c>
      <c r="P12" s="209">
        <f>+SUM([3]DHL!$IF$64:$IJ$64)</f>
        <v>131916</v>
      </c>
      <c r="Q12" s="315">
        <f t="shared" si="2"/>
        <v>14.550918766487765</v>
      </c>
      <c r="R12" s="316">
        <f t="shared" si="3"/>
        <v>1.4488310023667598E-2</v>
      </c>
      <c r="T12" s="383"/>
    </row>
    <row r="13" spans="1:20" ht="14.1" customHeight="1" x14ac:dyDescent="0.2">
      <c r="A13" s="250"/>
      <c r="B13" s="310" t="s">
        <v>83</v>
      </c>
      <c r="C13" s="314">
        <f>+[3]DHL_Bemidji!$IX$19</f>
        <v>82</v>
      </c>
      <c r="D13" s="209">
        <f>+[3]DHL_Bemidji!$IJ$19</f>
        <v>82</v>
      </c>
      <c r="E13" s="316">
        <f>(C13-D13)/D13</f>
        <v>0</v>
      </c>
      <c r="F13" s="314">
        <f>+SUM([3]DHL_Bemidji!$IT$19:$IX$19)</f>
        <v>386</v>
      </c>
      <c r="G13" s="209">
        <f>+SUM([3]DHL_Bemidji!$IF$19:$IJ$19)</f>
        <v>346</v>
      </c>
      <c r="H13" s="315">
        <f t="shared" si="5"/>
        <v>0.11560693641618497</v>
      </c>
      <c r="I13" s="316">
        <f t="shared" si="0"/>
        <v>6.8916264952687017E-2</v>
      </c>
      <c r="J13" s="250"/>
      <c r="K13" s="310" t="s">
        <v>83</v>
      </c>
      <c r="L13" s="314">
        <f>+[3]DHL_Bemidji!$IX$64</f>
        <v>93107</v>
      </c>
      <c r="M13" s="209">
        <f>+[3]DHL_Bemidji!$IJ$64</f>
        <v>95454</v>
      </c>
      <c r="N13" s="316">
        <f t="shared" ref="N13" si="6">(L13-M13)/M13</f>
        <v>-2.4587759549102185E-2</v>
      </c>
      <c r="O13" s="314">
        <f>+SUM([3]DHL_Bemidji!$IT$64:$IX$64)</f>
        <v>468211</v>
      </c>
      <c r="P13" s="209">
        <f>+SUM([3]DHL_Bemidji!$IF$64:$IJ$64)</f>
        <v>442391</v>
      </c>
      <c r="Q13" s="315">
        <f t="shared" ref="Q13" si="7">(O13-P13)/P13</f>
        <v>5.8364659317210341E-2</v>
      </c>
      <c r="R13" s="316">
        <f t="shared" si="3"/>
        <v>3.3067839147570967E-3</v>
      </c>
      <c r="T13" s="383"/>
    </row>
    <row r="14" spans="1:20" ht="14.1" customHeight="1" x14ac:dyDescent="0.2">
      <c r="A14" s="250"/>
      <c r="B14" s="37" t="s">
        <v>192</v>
      </c>
      <c r="C14" s="314">
        <f>+[3]Encore!$IX$19+[3]DHL_Encore!$IX$12</f>
        <v>0</v>
      </c>
      <c r="D14" s="209">
        <f>+[3]Encore!$IJ$19+[3]DHL_Encore!$IJ$19</f>
        <v>0</v>
      </c>
      <c r="E14" s="316" t="e">
        <f t="shared" si="4"/>
        <v>#DIV/0!</v>
      </c>
      <c r="F14" s="314">
        <f>+SUM([3]Encore!$IT$19:$IX$19)+SUM([3]DHL_Encore!$IT$19:$IX$19)</f>
        <v>0</v>
      </c>
      <c r="G14" s="209">
        <f>+SUM([3]Encore!$IF$19:$IJ$19)+SUM([3]DHL_Encore!$IF$19:$IJ$19)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+[3]Encore!$IX$64+[3]DHL_Encore!$IX$64</f>
        <v>0</v>
      </c>
      <c r="M14" s="209">
        <f>+[3]Encore!$IJ$64+[3]DHL_Encore!$IJ$64</f>
        <v>0</v>
      </c>
      <c r="N14" s="316" t="e">
        <f t="shared" si="1"/>
        <v>#DIV/0!</v>
      </c>
      <c r="O14" s="314">
        <f>+SUM([3]Encore!$IT$64:$IX$64)+SUM([3]DHL_Encore!$IT$64:$IX$64)</f>
        <v>0</v>
      </c>
      <c r="P14" s="209">
        <f>+SUM([3]Encore!$IF$64:$IJ$64)+SUM([3]DHL_Encore!$IF$64:$IJ$64)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" customHeight="1" x14ac:dyDescent="0.2">
      <c r="A15" s="250"/>
      <c r="B15" s="37" t="s">
        <v>205</v>
      </c>
      <c r="C15" s="314">
        <f>+[3]DHL_Kalitta!$IX$19</f>
        <v>0</v>
      </c>
      <c r="D15" s="209">
        <f>+[3]DHL_Kalitta!$IJ$19</f>
        <v>0</v>
      </c>
      <c r="E15" s="316" t="e">
        <f t="shared" si="4"/>
        <v>#DIV/0!</v>
      </c>
      <c r="F15" s="314">
        <f>+SUM([3]DHL_Kalitta!$IT$19:$IX$19)</f>
        <v>96</v>
      </c>
      <c r="G15" s="209">
        <f>+SUM([3]DHL_Kalitta!$IF$19:$IJ$19)</f>
        <v>0</v>
      </c>
      <c r="H15" s="315" t="e">
        <f t="shared" si="5"/>
        <v>#DIV/0!</v>
      </c>
      <c r="I15" s="316">
        <f t="shared" si="0"/>
        <v>1.7139796464916979E-2</v>
      </c>
      <c r="J15" s="250"/>
      <c r="K15" s="37" t="s">
        <v>205</v>
      </c>
      <c r="L15" s="314">
        <f>+[3]DHL_Kalitta!$IX$64</f>
        <v>0</v>
      </c>
      <c r="M15" s="209">
        <f>+[3]DHL_Kalitta!$IJ$64</f>
        <v>0</v>
      </c>
      <c r="N15" s="316" t="e">
        <f t="shared" si="1"/>
        <v>#DIV/0!</v>
      </c>
      <c r="O15" s="314">
        <f>+SUM([3]DHL_Kalitta!$IT$64:$IX$64)</f>
        <v>2603803</v>
      </c>
      <c r="P15" s="209">
        <f>+SUM([3]DHL_Kalitta!$IF$64:$IJ$64)</f>
        <v>0</v>
      </c>
      <c r="Q15" s="315" t="e">
        <f t="shared" si="2"/>
        <v>#DIV/0!</v>
      </c>
      <c r="R15" s="316">
        <f t="shared" si="3"/>
        <v>1.8389601862400226E-2</v>
      </c>
      <c r="T15" s="383"/>
    </row>
    <row r="16" spans="1:20" ht="14.1" customHeight="1" x14ac:dyDescent="0.2">
      <c r="A16" s="250"/>
      <c r="B16" s="37" t="s">
        <v>51</v>
      </c>
      <c r="C16" s="314">
        <f>+[3]DHL_Mesa!$IX$19</f>
        <v>0</v>
      </c>
      <c r="D16" s="209">
        <f>+[3]DHL_Mesa!$IJ$19</f>
        <v>0</v>
      </c>
      <c r="E16" s="316" t="e">
        <f t="shared" ref="E16" si="8">(C16-D16)/D16</f>
        <v>#DIV/0!</v>
      </c>
      <c r="F16" s="314">
        <f>+SUM([3]DHL_Mesa!$IT$19:$IX$19)</f>
        <v>2</v>
      </c>
      <c r="G16" s="209">
        <f>+SUM([3]DHL_Mesa!$IF$19:$IJ$19)</f>
        <v>136</v>
      </c>
      <c r="H16" s="315">
        <f t="shared" ref="H16" si="9">(F16-G16)/G16</f>
        <v>-0.98529411764705888</v>
      </c>
      <c r="I16" s="316">
        <f t="shared" ref="I16" si="10">+F16/$F$34</f>
        <v>3.5707909301910371E-4</v>
      </c>
      <c r="J16" s="250"/>
      <c r="K16" s="37" t="s">
        <v>51</v>
      </c>
      <c r="L16" s="314">
        <f>+[3]DHL_Mesa!$IX$64</f>
        <v>0</v>
      </c>
      <c r="M16" s="209">
        <f>+[3]DHL_Mesa!$IJ$64</f>
        <v>0</v>
      </c>
      <c r="N16" s="316" t="e">
        <f t="shared" ref="N16" si="11">(L16-M16)/M16</f>
        <v>#DIV/0!</v>
      </c>
      <c r="O16" s="314">
        <f>+SUM([3]DHL_Mesa!$IT$64:$IX$64)</f>
        <v>22802</v>
      </c>
      <c r="P16" s="209">
        <f>+SUM([3]DHL_Mesa!$IF$64:$IJ$64)</f>
        <v>2287846</v>
      </c>
      <c r="Q16" s="315">
        <f t="shared" ref="Q16" si="12">(O16-P16)/P16</f>
        <v>-0.99003342008159645</v>
      </c>
      <c r="R16" s="316">
        <f t="shared" ref="R16" si="13">O16/$O$34</f>
        <v>1.6104125452902926E-4</v>
      </c>
      <c r="T16" s="383"/>
    </row>
    <row r="17" spans="1:20" x14ac:dyDescent="0.2">
      <c r="A17" s="250"/>
      <c r="B17" s="37" t="s">
        <v>227</v>
      </c>
      <c r="C17" s="314">
        <f>+[3]DHL_Amerijet!$IX$19</f>
        <v>0</v>
      </c>
      <c r="D17" s="209">
        <f>+[3]DHL_Amerijet!$IJ$19</f>
        <v>6</v>
      </c>
      <c r="E17" s="316">
        <f t="shared" si="4"/>
        <v>-1</v>
      </c>
      <c r="F17" s="314">
        <f>+SUM([3]DHL_Amerijet!$IT$19:$IX$19)</f>
        <v>0</v>
      </c>
      <c r="G17" s="209">
        <f>+SUM([3]DHL_Amerijet!$IF$19:$IJ$19)</f>
        <v>78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+[3]DHL_Amerijet!$IX$64</f>
        <v>0</v>
      </c>
      <c r="M17" s="209">
        <f>+[3]DHL_Amerijet!$IJ$64</f>
        <v>183753</v>
      </c>
      <c r="N17" s="316">
        <f t="shared" si="1"/>
        <v>-1</v>
      </c>
      <c r="O17" s="314">
        <f>+SUM([3]DHL_Amerijet!$IT$64:$IX$64)</f>
        <v>0</v>
      </c>
      <c r="P17" s="209">
        <f>+SUM([3]DHL_Amerijet!$IF$64:$IJ$64)</f>
        <v>2222014</v>
      </c>
      <c r="Q17" s="315">
        <f t="shared" si="2"/>
        <v>-1</v>
      </c>
      <c r="R17" s="316">
        <f t="shared" si="3"/>
        <v>0</v>
      </c>
      <c r="T17" s="383"/>
    </row>
    <row r="18" spans="1:20" ht="14.1" customHeight="1" x14ac:dyDescent="0.2">
      <c r="A18" s="250"/>
      <c r="B18" s="37" t="s">
        <v>206</v>
      </c>
      <c r="C18" s="314">
        <f>+[3]DHL_Swift!$IX$19</f>
        <v>0</v>
      </c>
      <c r="D18" s="209">
        <f>+[3]DHL_Swift!$IJ$19</f>
        <v>68</v>
      </c>
      <c r="E18" s="316">
        <f t="shared" si="4"/>
        <v>-1</v>
      </c>
      <c r="F18" s="314">
        <f>+SUM([3]DHL_Swift!$IT$19:$IX$19)</f>
        <v>2</v>
      </c>
      <c r="G18" s="209">
        <f>+SUM([3]DHL_Swift!$IF$19:$IJ$19)</f>
        <v>98</v>
      </c>
      <c r="H18" s="315">
        <f t="shared" si="5"/>
        <v>-0.97959183673469385</v>
      </c>
      <c r="I18" s="316">
        <f t="shared" si="0"/>
        <v>3.5707909301910371E-4</v>
      </c>
      <c r="J18" s="250"/>
      <c r="K18" s="37" t="s">
        <v>206</v>
      </c>
      <c r="L18" s="314">
        <f>+[3]DHL_Swift!$IX$64</f>
        <v>0</v>
      </c>
      <c r="M18" s="209">
        <f>+[3]DHL_Swift!$IJ$64</f>
        <v>1083931</v>
      </c>
      <c r="N18" s="316">
        <f t="shared" si="1"/>
        <v>-1</v>
      </c>
      <c r="O18" s="314">
        <f>+SUM([3]DHL_Swift!$IT$64:$IX$64)</f>
        <v>53345</v>
      </c>
      <c r="P18" s="209">
        <f>+SUM([3]DHL_Swift!$IF$64:$IJ$64)</f>
        <v>1518134</v>
      </c>
      <c r="Q18" s="315">
        <f t="shared" si="2"/>
        <v>-0.96486146809174944</v>
      </c>
      <c r="R18" s="316">
        <f t="shared" si="3"/>
        <v>3.7675404450710756E-4</v>
      </c>
      <c r="T18" s="383"/>
    </row>
    <row r="19" spans="1:20" ht="14.1" customHeight="1" x14ac:dyDescent="0.2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" customHeight="1" x14ac:dyDescent="0.2">
      <c r="A20" s="250" t="s">
        <v>180</v>
      </c>
      <c r="B20" s="37"/>
      <c r="C20" s="378">
        <f>SUM(C21:C24)</f>
        <v>278</v>
      </c>
      <c r="D20" s="374">
        <f>SUM(D21:D24)</f>
        <v>250</v>
      </c>
      <c r="E20" s="375">
        <f>(C20-D20)/D20</f>
        <v>0.112</v>
      </c>
      <c r="F20" s="378">
        <f>SUM(F21:F24)</f>
        <v>1294</v>
      </c>
      <c r="G20" s="374">
        <f>SUM(G21:G24)</f>
        <v>1308</v>
      </c>
      <c r="H20" s="376">
        <f t="shared" ref="H20:H21" si="14">(F20-G20)/G20</f>
        <v>-1.0703363914373088E-2</v>
      </c>
      <c r="I20" s="375">
        <f>+F20/$F$34</f>
        <v>0.23103017318336011</v>
      </c>
      <c r="J20" s="250" t="s">
        <v>180</v>
      </c>
      <c r="K20" s="37"/>
      <c r="L20" s="378">
        <f>SUM(L21:L24)</f>
        <v>14043582</v>
      </c>
      <c r="M20" s="374">
        <f>SUM(M21:M24)</f>
        <v>12608144</v>
      </c>
      <c r="N20" s="375">
        <f>(L20-M20)/M20</f>
        <v>0.11385006389520932</v>
      </c>
      <c r="O20" s="378">
        <f>SUM(O21:O24)</f>
        <v>64812761</v>
      </c>
      <c r="P20" s="374">
        <f>SUM(P21:P24)</f>
        <v>62751309</v>
      </c>
      <c r="Q20" s="376">
        <f t="shared" ref="Q20:Q22" si="15">(O20-P20)/P20</f>
        <v>3.2851139408103823E-2</v>
      </c>
      <c r="R20" s="375">
        <f>O20/$O$34</f>
        <v>0.45774617756907909</v>
      </c>
      <c r="T20" s="383"/>
    </row>
    <row r="21" spans="1:20" ht="14.1" customHeight="1" x14ac:dyDescent="0.2">
      <c r="A21" s="36"/>
      <c r="B21" s="310" t="s">
        <v>180</v>
      </c>
      <c r="C21" s="314">
        <f>+[3]FedEx!$IX$19</f>
        <v>196</v>
      </c>
      <c r="D21" s="209">
        <f>+[3]FedEx!$IJ$19</f>
        <v>174</v>
      </c>
      <c r="E21" s="316">
        <f>(C21-D21)/D21</f>
        <v>0.12643678160919541</v>
      </c>
      <c r="F21" s="314">
        <f>+SUM([3]FedEx!$IT$19:$IX$19)</f>
        <v>916</v>
      </c>
      <c r="G21" s="209">
        <f>+SUM([3]FedEx!$IF$19:$IJ$19)</f>
        <v>966</v>
      </c>
      <c r="H21" s="315">
        <f t="shared" si="14"/>
        <v>-5.1759834368530024E-2</v>
      </c>
      <c r="I21" s="316">
        <f>+F21/$F$34</f>
        <v>0.1635422246027495</v>
      </c>
      <c r="J21" s="250"/>
      <c r="K21" s="310" t="s">
        <v>180</v>
      </c>
      <c r="L21" s="314">
        <f>+[3]FedEx!$IX$64</f>
        <v>13805041</v>
      </c>
      <c r="M21" s="209">
        <f>+[3]FedEx!$IJ$64</f>
        <v>12383891</v>
      </c>
      <c r="N21" s="316">
        <f>(L21-M21)/M21</f>
        <v>0.11475795450719002</v>
      </c>
      <c r="O21" s="314">
        <f>+SUM([3]FedEx!$IT$64:$IX$64)</f>
        <v>63854021</v>
      </c>
      <c r="P21" s="209">
        <f>+SUM([3]FedEx!$IF$64:$IJ$64)</f>
        <v>61751188</v>
      </c>
      <c r="Q21" s="315">
        <f t="shared" si="15"/>
        <v>3.4053320561217383E-2</v>
      </c>
      <c r="R21" s="316">
        <f>O21/$O$34</f>
        <v>0.45097498678023767</v>
      </c>
      <c r="T21" s="383"/>
    </row>
    <row r="22" spans="1:20" ht="14.1" customHeight="1" x14ac:dyDescent="0.2">
      <c r="A22" s="36"/>
      <c r="B22" s="310" t="s">
        <v>207</v>
      </c>
      <c r="C22" s="314">
        <f>+'[3]Mountain Cargo'!$IX$19</f>
        <v>46</v>
      </c>
      <c r="D22" s="209">
        <f>+'[3]Mountain Cargo'!$IJ$19</f>
        <v>42</v>
      </c>
      <c r="E22" s="316">
        <f>(C22-D22)/D22</f>
        <v>9.5238095238095233E-2</v>
      </c>
      <c r="F22" s="314">
        <f>+SUM('[3]Mountain Cargo'!$IT$19:$IX$19)</f>
        <v>212</v>
      </c>
      <c r="G22" s="209">
        <f>+SUM('[3]Mountain Cargo'!$IF$19:$IJ$19)</f>
        <v>202</v>
      </c>
      <c r="H22" s="315">
        <f>(F22-G22)/G22</f>
        <v>4.9504950495049507E-2</v>
      </c>
      <c r="I22" s="316">
        <f>+F22/$F$34</f>
        <v>3.7850383860024997E-2</v>
      </c>
      <c r="J22" s="355"/>
      <c r="K22" s="310" t="s">
        <v>207</v>
      </c>
      <c r="L22" s="314">
        <f>+'[3]Mountain Cargo'!$IX$64</f>
        <v>182626</v>
      </c>
      <c r="M22" s="209">
        <f>+'[3]Mountain Cargo'!$IJ$64</f>
        <v>164971</v>
      </c>
      <c r="N22" s="316">
        <f>(L22-M22)/M22</f>
        <v>0.10701880936649472</v>
      </c>
      <c r="O22" s="314">
        <f>+SUM('[3]Mountain Cargo'!$IT$64:$IX$64)</f>
        <v>671106</v>
      </c>
      <c r="P22" s="209">
        <f>+SUM('[3]Mountain Cargo'!$IF$64:$IJ$64)</f>
        <v>719981</v>
      </c>
      <c r="Q22" s="315">
        <f t="shared" si="15"/>
        <v>-6.7883735820806382E-2</v>
      </c>
      <c r="R22" s="316">
        <f>O22/$O$34</f>
        <v>4.739748801068271E-3</v>
      </c>
      <c r="T22" s="383"/>
    </row>
    <row r="23" spans="1:20" ht="14.1" customHeight="1" x14ac:dyDescent="0.2">
      <c r="A23" s="36"/>
      <c r="B23" s="310" t="s">
        <v>174</v>
      </c>
      <c r="C23" s="314">
        <f>+[3]IFL!$IX$19</f>
        <v>36</v>
      </c>
      <c r="D23" s="209">
        <f>+[3]IFL!$IJ$19</f>
        <v>34</v>
      </c>
      <c r="E23" s="316">
        <f>(C23-D23)/D23</f>
        <v>5.8823529411764705E-2</v>
      </c>
      <c r="F23" s="314">
        <f>+SUM([3]IFL!$IT$19:$IX$19)</f>
        <v>166</v>
      </c>
      <c r="G23" s="209">
        <f>+SUM([3]IFL!$IF$19:$IJ$19)</f>
        <v>140</v>
      </c>
      <c r="H23" s="315">
        <f>(F23-G23)/G23</f>
        <v>0.18571428571428572</v>
      </c>
      <c r="I23" s="316">
        <f>+F23/$F$34</f>
        <v>2.963756472058561E-2</v>
      </c>
      <c r="J23" s="355"/>
      <c r="K23" s="310" t="s">
        <v>174</v>
      </c>
      <c r="L23" s="314">
        <f>+[3]IFL!$IX$64</f>
        <v>55915</v>
      </c>
      <c r="M23" s="209">
        <f>+[3]IFL!$IJ$64</f>
        <v>59282</v>
      </c>
      <c r="N23" s="316">
        <f>(L23-M23)/M23</f>
        <v>-5.6796329408589454E-2</v>
      </c>
      <c r="O23" s="314">
        <f>+SUM([3]IFL!$IT$64:$IX$64)</f>
        <v>287634</v>
      </c>
      <c r="P23" s="209">
        <f>+SUM([3]IFL!$IF$64:$IJ$64)</f>
        <v>280140</v>
      </c>
      <c r="Q23" s="315">
        <f>(O23-P23)/P23</f>
        <v>2.6750910259156137E-2</v>
      </c>
      <c r="R23" s="316">
        <f>O23/$O$34</f>
        <v>2.0314419877731252E-3</v>
      </c>
      <c r="T23" s="383"/>
    </row>
    <row r="24" spans="1:20" ht="14.1" customHeight="1" x14ac:dyDescent="0.2">
      <c r="A24" s="250"/>
      <c r="B24" s="310" t="s">
        <v>84</v>
      </c>
      <c r="C24" s="314">
        <f>+'[3]CSA Air'!$IX$19</f>
        <v>0</v>
      </c>
      <c r="D24" s="209">
        <f>+'[3]CSA Air'!$IJ$19</f>
        <v>0</v>
      </c>
      <c r="E24" s="316" t="e">
        <f>(C24-D24)/D24</f>
        <v>#DIV/0!</v>
      </c>
      <c r="F24" s="314">
        <f>+SUM('[3]CSA Air'!$IT$19:$IX$19)</f>
        <v>0</v>
      </c>
      <c r="G24" s="209">
        <f>+SUM('[3]CSA Air'!$IF$19:$IJ$19)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Air'!$IX$64</f>
        <v>0</v>
      </c>
      <c r="M24" s="209">
        <f>+'[3]CSA Air'!$IJ$64</f>
        <v>0</v>
      </c>
      <c r="N24" s="316" t="e">
        <f>(L24-M24)/M24</f>
        <v>#DIV/0!</v>
      </c>
      <c r="O24" s="314">
        <f>+SUM('[3]CSA Air'!$IT$64:$IX$64)</f>
        <v>0</v>
      </c>
      <c r="P24" s="209">
        <f>+SUM('[3]CSA Air'!$IF$64:$IJ$64)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" customHeight="1" x14ac:dyDescent="0.2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" customHeight="1" x14ac:dyDescent="0.2">
      <c r="A26" s="250" t="s">
        <v>82</v>
      </c>
      <c r="B26" s="37"/>
      <c r="C26" s="374">
        <f>SUM(C27:C28)</f>
        <v>541</v>
      </c>
      <c r="D26" s="374">
        <f>SUM(D27:D28)</f>
        <v>616</v>
      </c>
      <c r="E26" s="375">
        <f>(C26-D26)/D26</f>
        <v>-0.12175324675324675</v>
      </c>
      <c r="F26" s="374">
        <f>SUM(F27:F28)</f>
        <v>2597</v>
      </c>
      <c r="G26" s="374">
        <f>SUM(G27:G28)</f>
        <v>2966</v>
      </c>
      <c r="H26" s="376">
        <f>(F26-G26)/G26</f>
        <v>-0.12440997977073499</v>
      </c>
      <c r="I26" s="375">
        <f>+F26/$F$34</f>
        <v>0.46366720228530617</v>
      </c>
      <c r="J26" s="250" t="s">
        <v>82</v>
      </c>
      <c r="K26" s="37"/>
      <c r="L26" s="374">
        <f>SUM(L27:L28)</f>
        <v>10082402</v>
      </c>
      <c r="M26" s="374">
        <f>SUM(M27:M28)</f>
        <v>10949924</v>
      </c>
      <c r="N26" s="375">
        <f>(L26-M26)/M26</f>
        <v>-7.9226303305849427E-2</v>
      </c>
      <c r="O26" s="374">
        <f>SUM(O27:O28)</f>
        <v>45118119</v>
      </c>
      <c r="P26" s="374">
        <f>SUM(P27:P28)</f>
        <v>52941503</v>
      </c>
      <c r="Q26" s="376">
        <f>(O26-P26)/P26</f>
        <v>-0.14777411967317966</v>
      </c>
      <c r="R26" s="375">
        <f>O26/$O$34</f>
        <v>0.3186509291180612</v>
      </c>
      <c r="S26" s="332"/>
      <c r="T26" s="385"/>
    </row>
    <row r="27" spans="1:20" ht="14.1" customHeight="1" x14ac:dyDescent="0.2">
      <c r="A27" s="250"/>
      <c r="B27" s="310" t="s">
        <v>82</v>
      </c>
      <c r="C27" s="314">
        <f>+[3]UPS!$IX$19</f>
        <v>191</v>
      </c>
      <c r="D27" s="209">
        <f>+[3]UPS!$IJ$19</f>
        <v>250</v>
      </c>
      <c r="E27" s="316">
        <f>(C27-D27)/D27</f>
        <v>-0.23599999999999999</v>
      </c>
      <c r="F27" s="314">
        <f>+SUM([3]UPS!$IT$19:$IX$19)</f>
        <v>889</v>
      </c>
      <c r="G27" s="209">
        <f>+SUM([3]UPS!$IF$19:$IJ$19)</f>
        <v>1228</v>
      </c>
      <c r="H27" s="315">
        <f>(F27-G27)/G27</f>
        <v>-0.27605863192182412</v>
      </c>
      <c r="I27" s="316">
        <f>+F27/$F$34</f>
        <v>0.1587216568469916</v>
      </c>
      <c r="J27" s="250"/>
      <c r="K27" s="310" t="s">
        <v>82</v>
      </c>
      <c r="L27" s="314">
        <f>+[3]UPS!$IX$64</f>
        <v>10082402</v>
      </c>
      <c r="M27" s="209">
        <f>+[3]UPS!$IJ$64</f>
        <v>10949924</v>
      </c>
      <c r="N27" s="316">
        <f>(L27-M27)/M27</f>
        <v>-7.9226303305849427E-2</v>
      </c>
      <c r="O27" s="314">
        <f>+SUM([3]UPS!$IT$64:$IX$64)</f>
        <v>45118119</v>
      </c>
      <c r="P27" s="209">
        <f>+SUM([3]UPS!$IF$64:$IJ$64)</f>
        <v>52941503</v>
      </c>
      <c r="Q27" s="315">
        <f>(O27-P27)/P27</f>
        <v>-0.14777411967317966</v>
      </c>
      <c r="R27" s="316">
        <f>O27/$O$34</f>
        <v>0.3186509291180612</v>
      </c>
      <c r="S27" s="332"/>
      <c r="T27" s="385"/>
    </row>
    <row r="28" spans="1:20" x14ac:dyDescent="0.2">
      <c r="A28" s="250"/>
      <c r="B28" s="310" t="s">
        <v>83</v>
      </c>
      <c r="C28" s="314">
        <f>+[3]Bemidji!$IX$19</f>
        <v>350</v>
      </c>
      <c r="D28" s="209">
        <f>+[3]Bemidji!$IJ$19</f>
        <v>366</v>
      </c>
      <c r="E28" s="316">
        <f>(C28-D28)/D28</f>
        <v>-4.3715846994535519E-2</v>
      </c>
      <c r="F28" s="314">
        <f>+SUM([3]Bemidji!$IT$19:$IX$19)</f>
        <v>1708</v>
      </c>
      <c r="G28" s="209">
        <f>+SUM([3]Bemidji!$IF$19:$IJ$19)</f>
        <v>1738</v>
      </c>
      <c r="H28" s="315">
        <f t="shared" ref="H28" si="18">(F28-G28)/G28</f>
        <v>-1.7261219792865361E-2</v>
      </c>
      <c r="I28" s="316">
        <f>+F28/$F$34</f>
        <v>0.30494554543831459</v>
      </c>
      <c r="J28" s="250"/>
      <c r="K28" s="310" t="s">
        <v>83</v>
      </c>
      <c r="L28" s="480" t="s">
        <v>183</v>
      </c>
      <c r="M28" s="481"/>
      <c r="N28" s="481"/>
      <c r="O28" s="481"/>
      <c r="P28" s="481"/>
      <c r="Q28" s="481"/>
      <c r="R28" s="482"/>
      <c r="T28" s="383"/>
    </row>
    <row r="29" spans="1:20" x14ac:dyDescent="0.2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x14ac:dyDescent="0.2">
      <c r="A30" s="250" t="s">
        <v>126</v>
      </c>
      <c r="B30" s="37"/>
      <c r="C30" s="378">
        <f>+'[3]Misc Cargo'!$IX$19</f>
        <v>0</v>
      </c>
      <c r="D30" s="374">
        <f>+'[3]Misc Cargo'!$IJ$19</f>
        <v>0</v>
      </c>
      <c r="E30" s="375" t="e">
        <f>(C30-D30)/D30</f>
        <v>#DIV/0!</v>
      </c>
      <c r="F30" s="378">
        <f>+SUM('[3]Misc Cargo'!$IT$19:$IX$19)</f>
        <v>0</v>
      </c>
      <c r="G30" s="374">
        <f>+SUM('[3]Misc Cargo'!$IF$19:$IJ$19)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Cargo'!$IX$64</f>
        <v>0</v>
      </c>
      <c r="M30" s="374">
        <f>+'[3]Misc Cargo'!$IJ$64</f>
        <v>0</v>
      </c>
      <c r="N30" s="375" t="e">
        <f>(L30-M30)/M30</f>
        <v>#DIV/0!</v>
      </c>
      <c r="O30" s="378">
        <f>+SUM('[3]Misc Cargo'!$IT$64:$IX$64)</f>
        <v>0</v>
      </c>
      <c r="P30" s="374">
        <f>+SUM('[3]Misc Cargo'!$IF$64:$IJ$64)</f>
        <v>0</v>
      </c>
      <c r="Q30" s="376" t="e">
        <f>(O30-P30)/P30</f>
        <v>#DIV/0!</v>
      </c>
      <c r="R30" s="375">
        <f>O30/$O$34</f>
        <v>0</v>
      </c>
      <c r="T30" s="383"/>
    </row>
    <row r="31" spans="1:20" x14ac:dyDescent="0.2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2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.5" thickBot="1" x14ac:dyDescent="0.25">
      <c r="C33" s="2"/>
      <c r="D33" s="3"/>
      <c r="E33" s="3"/>
      <c r="F33" s="2"/>
      <c r="L33" s="2"/>
      <c r="T33" s="383"/>
    </row>
    <row r="34" spans="2:20" ht="15.75" thickBot="1" x14ac:dyDescent="0.3">
      <c r="B34" s="335" t="s">
        <v>181</v>
      </c>
      <c r="C34" s="336">
        <f>+C30+C26+C20+C9+C5</f>
        <v>1141</v>
      </c>
      <c r="D34" s="336">
        <f>+D30+D26+D20+D9+D5</f>
        <v>1218</v>
      </c>
      <c r="E34" s="337">
        <f>(C34-D34)/D34</f>
        <v>-6.3218390804597707E-2</v>
      </c>
      <c r="F34" s="336">
        <f>+F30+F26+F20+F9+F5</f>
        <v>5601</v>
      </c>
      <c r="G34" s="336">
        <f>+G30+G26+G20+G9+G5</f>
        <v>5854</v>
      </c>
      <c r="H34" s="338">
        <f>(F34-G34)/G34</f>
        <v>-4.3218312265117867E-2</v>
      </c>
      <c r="I34" s="344"/>
      <c r="K34" s="335" t="s">
        <v>181</v>
      </c>
      <c r="L34" s="336">
        <f>+L30+L26+L20+L9+L5</f>
        <v>29999888</v>
      </c>
      <c r="M34" s="336">
        <f>+M30+M26+M20+M9+M5</f>
        <v>31144342</v>
      </c>
      <c r="N34" s="339">
        <f>(L34-M34)/M34</f>
        <v>-3.6746770890198933E-2</v>
      </c>
      <c r="O34" s="336">
        <f>+O30+O26+O20+O9+O5</f>
        <v>141591048</v>
      </c>
      <c r="P34" s="336">
        <f>+P30+P26+P20+P9+P5</f>
        <v>150917498</v>
      </c>
      <c r="Q34" s="338">
        <f t="shared" ref="Q34" si="19">(O34-P34)/P34</f>
        <v>-6.1798334345564088E-2</v>
      </c>
      <c r="R34" s="344"/>
      <c r="T34" s="383"/>
    </row>
    <row r="35" spans="2:20" x14ac:dyDescent="0.2">
      <c r="C35" s="2"/>
      <c r="D35" s="3"/>
      <c r="E35" s="3"/>
      <c r="T35" s="383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May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2025-01-13T19:38:23Z</dcterms:modified>
</cp:coreProperties>
</file>