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A472A7BD-B952-437A-B65D-B47F51ADC386}" xr6:coauthVersionLast="47" xr6:coauthVersionMax="47" xr10:uidLastSave="{00000000-0000-0000-0000-000000000000}"/>
  <bookViews>
    <workbookView xWindow="28680" yWindow="-255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9" i="7"/>
  <c r="J29" i="7"/>
  <c r="E29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B29" i="7" l="1"/>
  <c r="C29" i="7"/>
  <c r="D29" i="7" s="1"/>
  <c r="H18" i="8"/>
  <c r="H31" i="8"/>
  <c r="H32" i="8"/>
  <c r="H28" i="8"/>
  <c r="H33" i="8" l="1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K17" i="2"/>
  <c r="L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C20" i="5" l="1"/>
  <c r="F18" i="1"/>
  <c r="F7" i="1"/>
  <c r="D16" i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B8" i="1"/>
  <c r="D6" i="1"/>
  <c r="C8" i="1"/>
  <c r="C11" i="1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M29" i="7" l="1"/>
  <c r="H29" i="7" s="1"/>
  <c r="H27" i="7"/>
  <c r="H26" i="7"/>
  <c r="B11" i="1"/>
  <c r="L29" i="7" s="1"/>
  <c r="D27" i="1"/>
  <c r="D22" i="1"/>
  <c r="B22" i="1"/>
  <c r="C33" i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N29" i="7" l="1"/>
  <c r="G29" i="7"/>
  <c r="I29" i="7" s="1"/>
  <c r="G27" i="7"/>
  <c r="I27" i="7" s="1"/>
  <c r="N27" i="7"/>
  <c r="P27" i="7" s="1"/>
  <c r="G26" i="7"/>
  <c r="D11" i="1"/>
  <c r="F11" i="1" s="1"/>
  <c r="F22" i="1"/>
  <c r="H22" i="7"/>
  <c r="I22" i="7" s="1"/>
  <c r="P29" i="7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6" i="7" l="1"/>
  <c r="P32" i="7"/>
  <c r="K31" i="7"/>
  <c r="K30" i="7"/>
  <c r="K29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B33" i="7" s="1"/>
  <c r="D28" i="7" l="1"/>
  <c r="C33" i="7"/>
  <c r="F28" i="7" l="1"/>
  <c r="D33" i="7"/>
  <c r="F33" i="7" s="1"/>
  <c r="G20" i="1" l="1"/>
  <c r="I20" i="1" s="1"/>
  <c r="G21" i="1" l="1"/>
  <c r="I21" i="1" s="1"/>
  <c r="D33" i="1"/>
  <c r="I16" i="5"/>
  <c r="G18" i="1" l="1"/>
  <c r="I18" i="1" s="1"/>
  <c r="G7" i="1"/>
  <c r="I7" i="1" s="1"/>
  <c r="G19" i="1"/>
  <c r="I19" i="1" s="1"/>
  <c r="G17" i="1"/>
  <c r="I17" i="1" s="1"/>
  <c r="I5" i="5"/>
  <c r="K5" i="5" l="1"/>
  <c r="M28" i="7"/>
  <c r="G5" i="1"/>
  <c r="G16" i="1"/>
  <c r="G6" i="1"/>
  <c r="I6" i="1" s="1"/>
  <c r="G27" i="1"/>
  <c r="D32" i="1"/>
  <c r="D34" i="1" s="1"/>
  <c r="I6" i="5"/>
  <c r="K6" i="5" s="1"/>
  <c r="I10" i="5"/>
  <c r="G28" i="1"/>
  <c r="I28" i="1" s="1"/>
  <c r="I11" i="5"/>
  <c r="K11" i="5" s="1"/>
  <c r="I15" i="5"/>
  <c r="I16" i="1" l="1"/>
  <c r="G22" i="1"/>
  <c r="I22" i="1" s="1"/>
  <c r="I5" i="1"/>
  <c r="G8" i="1"/>
  <c r="E32" i="1"/>
  <c r="E33" i="1"/>
  <c r="H28" i="7"/>
  <c r="H33" i="7" s="1"/>
  <c r="M33" i="7"/>
  <c r="K10" i="5"/>
  <c r="I12" i="5"/>
  <c r="K12" i="5" s="1"/>
  <c r="I27" i="1"/>
  <c r="G29" i="1"/>
  <c r="I29" i="1" s="1"/>
  <c r="I7" i="5"/>
  <c r="K7" i="5" s="1"/>
  <c r="I17" i="5"/>
  <c r="K17" i="5" s="1"/>
  <c r="K15" i="5"/>
  <c r="G10" i="1"/>
  <c r="I10" i="1" s="1"/>
  <c r="L28" i="7"/>
  <c r="I21" i="5"/>
  <c r="K21" i="5" s="1"/>
  <c r="I20" i="5"/>
  <c r="G11" i="1" l="1"/>
  <c r="I11" i="1" s="1"/>
  <c r="I8" i="1"/>
  <c r="N28" i="7"/>
  <c r="G28" i="7"/>
  <c r="L33" i="7"/>
  <c r="K20" i="5"/>
  <c r="I22" i="5"/>
  <c r="K22" i="5" s="1"/>
  <c r="P28" i="7" l="1"/>
  <c r="N33" i="7"/>
  <c r="P33" i="7" s="1"/>
  <c r="I28" i="7"/>
  <c r="G33" i="7"/>
  <c r="K28" i="7" l="1"/>
  <c r="I33" i="7"/>
  <c r="K33" i="7" s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<sst xmlns="http://schemas.openxmlformats.org/spreadsheetml/2006/main" count="739" uniqueCount="253">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</sst>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2443638</v>
          </cell>
          <cell r="G5">
            <v>22426373</v>
          </cell>
        </row>
        <row r="6">
          <cell r="D6">
            <v>333032</v>
          </cell>
          <cell r="G6">
            <v>3058461</v>
          </cell>
        </row>
        <row r="7">
          <cell r="D7">
            <v>0</v>
          </cell>
          <cell r="G7">
            <v>3390</v>
          </cell>
        </row>
        <row r="10">
          <cell r="D10">
            <v>80418</v>
          </cell>
          <cell r="G10">
            <v>723764</v>
          </cell>
        </row>
        <row r="16">
          <cell r="D16">
            <v>18073</v>
          </cell>
          <cell r="G16">
            <v>161554</v>
          </cell>
        </row>
        <row r="17">
          <cell r="D17">
            <v>6226</v>
          </cell>
          <cell r="G17">
            <v>56072</v>
          </cell>
        </row>
        <row r="18">
          <cell r="D18">
            <v>0</v>
          </cell>
          <cell r="G18">
            <v>58</v>
          </cell>
        </row>
        <row r="19">
          <cell r="D19">
            <v>1125</v>
          </cell>
          <cell r="G19">
            <v>10373</v>
          </cell>
        </row>
        <row r="20">
          <cell r="D20">
            <v>1673</v>
          </cell>
          <cell r="G20">
            <v>13411</v>
          </cell>
        </row>
        <row r="21">
          <cell r="D21">
            <v>69</v>
          </cell>
          <cell r="G21">
            <v>495</v>
          </cell>
        </row>
        <row r="27">
          <cell r="D27">
            <v>15722.701543782696</v>
          </cell>
          <cell r="G27">
            <v>141100.79821241074</v>
          </cell>
        </row>
        <row r="28">
          <cell r="D28">
            <v>1333.38194522148</v>
          </cell>
          <cell r="G28">
            <v>9029.64561948757</v>
          </cell>
        </row>
        <row r="32">
          <cell r="B32">
            <v>935671</v>
          </cell>
          <cell r="D32">
            <v>8645735</v>
          </cell>
        </row>
        <row r="33">
          <cell r="B33">
            <v>464743</v>
          </cell>
          <cell r="D33">
            <v>4051879</v>
          </cell>
        </row>
      </sheetData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>
        <row r="5">
          <cell r="F5">
            <v>9194.7278863540869</v>
          </cell>
          <cell r="I5">
            <v>78106.240176198073</v>
          </cell>
        </row>
        <row r="6">
          <cell r="F6">
            <v>1132.51945038386</v>
          </cell>
          <cell r="I6">
            <v>5113.6516010826399</v>
          </cell>
        </row>
        <row r="10">
          <cell r="F10">
            <v>6527.973657428608</v>
          </cell>
          <cell r="I10">
            <v>62994.558036212649</v>
          </cell>
        </row>
        <row r="11">
          <cell r="F11">
            <v>200.86249483762001</v>
          </cell>
          <cell r="I11">
            <v>3915.9940184049296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15722.701543782694</v>
          </cell>
          <cell r="I20">
            <v>141100.79821241074</v>
          </cell>
        </row>
        <row r="21">
          <cell r="F21">
            <v>1333.38194522148</v>
          </cell>
          <cell r="I21">
            <v>9029.64561948757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  <cell r="G5">
            <v>21681116</v>
          </cell>
        </row>
        <row r="6">
          <cell r="G6">
            <v>2996203</v>
          </cell>
        </row>
        <row r="7">
          <cell r="G7">
            <v>1599</v>
          </cell>
        </row>
        <row r="10">
          <cell r="G10">
            <v>669905</v>
          </cell>
        </row>
        <row r="16">
          <cell r="G16">
            <v>155366</v>
          </cell>
        </row>
        <row r="17">
          <cell r="G17">
            <v>51954</v>
          </cell>
        </row>
        <row r="18">
          <cell r="G18">
            <v>18</v>
          </cell>
        </row>
        <row r="19">
          <cell r="G19">
            <v>8779</v>
          </cell>
        </row>
        <row r="20">
          <cell r="G20">
            <v>11856</v>
          </cell>
        </row>
        <row r="21">
          <cell r="G21">
            <v>669</v>
          </cell>
        </row>
        <row r="27">
          <cell r="G27">
            <v>124144.09636261711</v>
          </cell>
        </row>
        <row r="28">
          <cell r="G28">
            <v>3531.7622720711097</v>
          </cell>
        </row>
        <row r="32">
          <cell r="D32">
            <v>8540142</v>
          </cell>
        </row>
        <row r="33">
          <cell r="D33">
            <v>3752433</v>
          </cell>
        </row>
      </sheetData>
      <sheetData sheetId="1"/>
      <sheetData sheetId="2"/>
      <sheetData sheetId="3"/>
      <sheetData sheetId="4"/>
      <sheetData sheetId="5">
        <row r="28">
          <cell r="B28">
            <v>159405</v>
          </cell>
          <cell r="C28">
            <v>147465</v>
          </cell>
          <cell r="L28">
            <v>1823053</v>
          </cell>
          <cell r="M28">
            <v>1797431</v>
          </cell>
        </row>
      </sheetData>
      <sheetData sheetId="6"/>
      <sheetData sheetId="7">
        <row r="5">
          <cell r="I5">
            <v>70141.708956212969</v>
          </cell>
        </row>
        <row r="6">
          <cell r="I6">
            <v>1995.1323897381799</v>
          </cell>
        </row>
        <row r="10">
          <cell r="I10">
            <v>54002.38740640413</v>
          </cell>
        </row>
        <row r="11">
          <cell r="I11">
            <v>1536.6298823329298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108651.38292880618</v>
          </cell>
        </row>
        <row r="21">
          <cell r="I21">
            <v>2955.2363907689696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JB8"/>
        </row>
        <row r="9">
          <cell r="JB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</row>
        <row r="47">
          <cell r="JB47">
            <v>460730</v>
          </cell>
        </row>
        <row r="48">
          <cell r="JB48"/>
        </row>
        <row r="52">
          <cell r="JB52">
            <v>10908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</row>
      </sheetData>
      <sheetData sheetId="5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6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</row>
      </sheetData>
      <sheetData sheetId="7">
        <row r="4">
          <cell r="JB4">
            <v>128</v>
          </cell>
        </row>
        <row r="5">
          <cell r="JB5">
            <v>129</v>
          </cell>
        </row>
        <row r="8">
          <cell r="JB8"/>
        </row>
        <row r="9">
          <cell r="JB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</row>
        <row r="22">
          <cell r="JB22">
            <v>17018</v>
          </cell>
        </row>
        <row r="23">
          <cell r="JB23">
            <v>15834</v>
          </cell>
        </row>
        <row r="27">
          <cell r="JB27">
            <v>477</v>
          </cell>
        </row>
        <row r="28">
          <cell r="JB28">
            <v>552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</row>
        <row r="47">
          <cell r="JB47">
            <v>39242</v>
          </cell>
        </row>
        <row r="48">
          <cell r="JB48">
            <v>143</v>
          </cell>
        </row>
        <row r="52">
          <cell r="JB52">
            <v>11708</v>
          </cell>
        </row>
        <row r="53">
          <cell r="JB53">
            <v>21</v>
          </cell>
        </row>
        <row r="57">
          <cell r="JB57"/>
        </row>
        <row r="58">
          <cell r="JB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</row>
      </sheetData>
      <sheetData sheetId="8"/>
      <sheetData sheetId="9">
        <row r="4">
          <cell r="JB4">
            <v>434</v>
          </cell>
        </row>
        <row r="5">
          <cell r="JB5">
            <v>432</v>
          </cell>
        </row>
        <row r="8">
          <cell r="JB8"/>
        </row>
        <row r="9">
          <cell r="JB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</row>
        <row r="22">
          <cell r="JB22">
            <v>56490</v>
          </cell>
        </row>
        <row r="23">
          <cell r="JB23">
            <v>55484</v>
          </cell>
        </row>
        <row r="27">
          <cell r="JB27">
            <v>1998</v>
          </cell>
        </row>
        <row r="28">
          <cell r="JB28">
            <v>2167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</row>
        <row r="47">
          <cell r="JB47">
            <v>30689</v>
          </cell>
        </row>
        <row r="48">
          <cell r="JB48">
            <v>48</v>
          </cell>
        </row>
        <row r="52">
          <cell r="JB52">
            <v>5128</v>
          </cell>
        </row>
        <row r="53">
          <cell r="JB53">
            <v>545</v>
          </cell>
        </row>
        <row r="57">
          <cell r="JB57"/>
        </row>
        <row r="58">
          <cell r="JB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</row>
      </sheetData>
      <sheetData sheetId="10"/>
      <sheetData sheetId="11"/>
      <sheetData sheetId="12">
        <row r="5">
          <cell r="JB5"/>
        </row>
        <row r="8">
          <cell r="JB8"/>
        </row>
        <row r="9">
          <cell r="JB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</row>
        <row r="47">
          <cell r="JB47">
            <v>626</v>
          </cell>
        </row>
        <row r="48">
          <cell r="JB48"/>
        </row>
        <row r="52">
          <cell r="JB52">
            <v>57168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</row>
      </sheetData>
      <sheetData sheetId="13">
        <row r="4">
          <cell r="JB4">
            <v>5974</v>
          </cell>
        </row>
        <row r="5">
          <cell r="JB5">
            <v>5974</v>
          </cell>
        </row>
        <row r="8">
          <cell r="JB8">
            <v>1</v>
          </cell>
        </row>
        <row r="9">
          <cell r="JB9">
            <v>9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</row>
        <row r="22">
          <cell r="JB22">
            <v>780873</v>
          </cell>
        </row>
        <row r="23">
          <cell r="JB23">
            <v>799491</v>
          </cell>
        </row>
        <row r="27">
          <cell r="JB27">
            <v>24092</v>
          </cell>
        </row>
        <row r="28">
          <cell r="JB28">
            <v>24187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</row>
        <row r="47">
          <cell r="JB47">
            <v>3908086</v>
          </cell>
        </row>
        <row r="48">
          <cell r="JB48">
            <v>67277</v>
          </cell>
        </row>
        <row r="52">
          <cell r="JB52">
            <v>2161600</v>
          </cell>
        </row>
        <row r="53">
          <cell r="JB53">
            <v>63659</v>
          </cell>
        </row>
        <row r="57">
          <cell r="JB57"/>
        </row>
        <row r="58">
          <cell r="JB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</row>
        <row r="70">
          <cell r="JB70">
            <v>459551</v>
          </cell>
        </row>
        <row r="71">
          <cell r="JB71">
            <v>339940</v>
          </cell>
        </row>
        <row r="73">
          <cell r="JB73">
            <v>47693</v>
          </cell>
        </row>
        <row r="74">
          <cell r="JB74">
            <v>35279</v>
          </cell>
        </row>
      </sheetData>
      <sheetData sheetId="14">
        <row r="4">
          <cell r="JB4">
            <v>78</v>
          </cell>
        </row>
        <row r="5">
          <cell r="JB5">
            <v>78</v>
          </cell>
        </row>
        <row r="8">
          <cell r="JB8"/>
        </row>
        <row r="9">
          <cell r="JB9"/>
        </row>
        <row r="15">
          <cell r="JB15"/>
        </row>
        <row r="16">
          <cell r="JB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</row>
        <row r="22">
          <cell r="JB22">
            <v>879</v>
          </cell>
        </row>
        <row r="23">
          <cell r="JB23">
            <v>879</v>
          </cell>
        </row>
        <row r="27">
          <cell r="JB27">
            <v>26</v>
          </cell>
        </row>
        <row r="28">
          <cell r="JB28">
            <v>25</v>
          </cell>
        </row>
        <row r="32">
          <cell r="JB32"/>
        </row>
        <row r="33">
          <cell r="JB33"/>
        </row>
        <row r="37">
          <cell r="JB37"/>
        </row>
        <row r="38">
          <cell r="JB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15">
        <row r="4">
          <cell r="JB4">
            <v>119</v>
          </cell>
        </row>
        <row r="5">
          <cell r="JB5">
            <v>119</v>
          </cell>
        </row>
        <row r="8">
          <cell r="JB8"/>
        </row>
        <row r="9">
          <cell r="JB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</row>
        <row r="22">
          <cell r="JB22">
            <v>17564</v>
          </cell>
        </row>
        <row r="23">
          <cell r="JB23">
            <v>18120</v>
          </cell>
        </row>
        <row r="27">
          <cell r="JB27">
            <v>121</v>
          </cell>
        </row>
        <row r="28">
          <cell r="JB28">
            <v>120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16">
        <row r="8">
          <cell r="JB8"/>
        </row>
        <row r="9">
          <cell r="JB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</row>
        <row r="47">
          <cell r="JB47">
            <v>3940</v>
          </cell>
        </row>
        <row r="48">
          <cell r="JB48">
            <v>64</v>
          </cell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</row>
      </sheetData>
      <sheetData sheetId="17">
        <row r="4">
          <cell r="JB4">
            <v>30</v>
          </cell>
        </row>
        <row r="5">
          <cell r="JB5">
            <v>30</v>
          </cell>
        </row>
        <row r="8">
          <cell r="JB8"/>
        </row>
        <row r="9">
          <cell r="JB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</row>
        <row r="22">
          <cell r="JB22">
            <v>2793</v>
          </cell>
        </row>
        <row r="23">
          <cell r="JB23">
            <v>2751</v>
          </cell>
        </row>
        <row r="27">
          <cell r="JB27">
            <v>68</v>
          </cell>
        </row>
        <row r="28">
          <cell r="JB28">
            <v>49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18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</row>
        <row r="47">
          <cell r="JB47">
            <v>273410</v>
          </cell>
        </row>
        <row r="48">
          <cell r="JB48"/>
        </row>
        <row r="52">
          <cell r="JB52">
            <v>25049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</row>
      </sheetData>
      <sheetData sheetId="19"/>
      <sheetData sheetId="20"/>
      <sheetData sheetId="21"/>
      <sheetData sheetId="22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</row>
        <row r="47">
          <cell r="JB47">
            <v>419024</v>
          </cell>
        </row>
        <row r="48">
          <cell r="JB48"/>
        </row>
        <row r="52">
          <cell r="JB52">
            <v>17753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</row>
      </sheetData>
      <sheetData sheetId="23">
        <row r="4">
          <cell r="JB4">
            <v>587</v>
          </cell>
        </row>
        <row r="5">
          <cell r="JB5">
            <v>586</v>
          </cell>
        </row>
        <row r="8">
          <cell r="JB8"/>
        </row>
        <row r="9">
          <cell r="JB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</row>
        <row r="22">
          <cell r="JB22">
            <v>66805</v>
          </cell>
        </row>
        <row r="23">
          <cell r="JB23">
            <v>69812</v>
          </cell>
        </row>
        <row r="27">
          <cell r="JB27">
            <v>1668</v>
          </cell>
        </row>
        <row r="28">
          <cell r="JB28">
            <v>1887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</row>
        <row r="47">
          <cell r="JB47">
            <v>165944</v>
          </cell>
        </row>
        <row r="48">
          <cell r="JB48"/>
        </row>
        <row r="52">
          <cell r="JB52">
            <v>47682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</row>
        <row r="70">
          <cell r="JB70">
            <v>69541</v>
          </cell>
        </row>
        <row r="71">
          <cell r="JB71">
            <v>271</v>
          </cell>
        </row>
        <row r="73">
          <cell r="JB73"/>
        </row>
        <row r="74">
          <cell r="JB74"/>
        </row>
      </sheetData>
      <sheetData sheetId="24">
        <row r="4">
          <cell r="JB4">
            <v>96</v>
          </cell>
        </row>
        <row r="5">
          <cell r="JB5">
            <v>96</v>
          </cell>
        </row>
        <row r="8">
          <cell r="JB8"/>
        </row>
        <row r="9">
          <cell r="JB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</row>
        <row r="22">
          <cell r="JB22">
            <v>10703</v>
          </cell>
        </row>
        <row r="23">
          <cell r="JB23">
            <v>12192</v>
          </cell>
        </row>
        <row r="27">
          <cell r="JB27">
            <v>106</v>
          </cell>
        </row>
        <row r="28">
          <cell r="JB28">
            <v>145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/>
        </row>
        <row r="71">
          <cell r="JB71"/>
        </row>
        <row r="73">
          <cell r="JB73"/>
        </row>
        <row r="74">
          <cell r="JB74"/>
        </row>
      </sheetData>
      <sheetData sheetId="25">
        <row r="4">
          <cell r="JB4">
            <v>723</v>
          </cell>
        </row>
        <row r="5">
          <cell r="JB5">
            <v>712</v>
          </cell>
        </row>
        <row r="8">
          <cell r="JB8">
            <v>54</v>
          </cell>
        </row>
        <row r="9">
          <cell r="JB9">
            <v>52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</row>
        <row r="22">
          <cell r="JB22">
            <v>102904</v>
          </cell>
        </row>
        <row r="23">
          <cell r="JB23">
            <v>99749</v>
          </cell>
        </row>
        <row r="27">
          <cell r="JB27">
            <v>2470</v>
          </cell>
        </row>
        <row r="28">
          <cell r="JB28">
            <v>2446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/>
        </row>
        <row r="71">
          <cell r="JB71"/>
        </row>
        <row r="73">
          <cell r="JB73"/>
        </row>
        <row r="74">
          <cell r="JB74"/>
        </row>
      </sheetData>
      <sheetData sheetId="26"/>
      <sheetData sheetId="27"/>
      <sheetData sheetId="28">
        <row r="4">
          <cell r="JB4">
            <v>532</v>
          </cell>
        </row>
        <row r="5">
          <cell r="JB5">
            <v>530</v>
          </cell>
        </row>
        <row r="8">
          <cell r="JB8">
            <v>5</v>
          </cell>
        </row>
        <row r="9">
          <cell r="JB9">
            <v>7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</row>
        <row r="22">
          <cell r="JB22">
            <v>63776</v>
          </cell>
        </row>
        <row r="23">
          <cell r="JB23">
            <v>62596</v>
          </cell>
        </row>
        <row r="27">
          <cell r="JB27">
            <v>2578</v>
          </cell>
        </row>
        <row r="28">
          <cell r="JB28">
            <v>2771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</row>
        <row r="47">
          <cell r="JB47">
            <v>80599</v>
          </cell>
        </row>
        <row r="48">
          <cell r="JB48"/>
        </row>
        <row r="52">
          <cell r="JB52">
            <v>69774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</row>
      </sheetData>
      <sheetData sheetId="29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JB15">
            <v>108</v>
          </cell>
        </row>
        <row r="16">
          <cell r="JB16">
            <v>108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JB32">
            <v>10433</v>
          </cell>
        </row>
        <row r="33">
          <cell r="JB33">
            <v>10601</v>
          </cell>
        </row>
        <row r="37">
          <cell r="JB37"/>
        </row>
        <row r="38">
          <cell r="JB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1">
        <row r="4">
          <cell r="JB4">
            <v>81</v>
          </cell>
        </row>
        <row r="5">
          <cell r="JB5">
            <v>82</v>
          </cell>
        </row>
        <row r="8">
          <cell r="JB8"/>
        </row>
        <row r="9">
          <cell r="JB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</row>
        <row r="22">
          <cell r="JB22">
            <v>5094</v>
          </cell>
        </row>
        <row r="23">
          <cell r="JB23">
            <v>5412</v>
          </cell>
        </row>
        <row r="27">
          <cell r="JB27">
            <v>183</v>
          </cell>
        </row>
        <row r="28">
          <cell r="JB28">
            <v>171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</row>
      </sheetData>
      <sheetData sheetId="32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44">
        <row r="4">
          <cell r="JB4">
            <v>8</v>
          </cell>
        </row>
        <row r="5">
          <cell r="JB5">
            <v>8</v>
          </cell>
        </row>
        <row r="8">
          <cell r="JB8"/>
        </row>
        <row r="9">
          <cell r="JB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</row>
        <row r="22">
          <cell r="JB22">
            <v>569</v>
          </cell>
        </row>
        <row r="23">
          <cell r="JB23">
            <v>577</v>
          </cell>
        </row>
        <row r="27">
          <cell r="JB27">
            <v>10</v>
          </cell>
        </row>
        <row r="28">
          <cell r="JB28">
            <v>16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45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</row>
        <row r="47">
          <cell r="JB47">
            <v>1755.4</v>
          </cell>
        </row>
        <row r="48">
          <cell r="JB48"/>
        </row>
        <row r="52">
          <cell r="JB52">
            <v>1635.9</v>
          </cell>
        </row>
        <row r="53">
          <cell r="JB53"/>
        </row>
        <row r="57">
          <cell r="JB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</row>
      </sheetData>
      <sheetData sheetId="46">
        <row r="4">
          <cell r="JB4">
            <v>106</v>
          </cell>
        </row>
        <row r="5">
          <cell r="JB5">
            <v>106</v>
          </cell>
        </row>
        <row r="8">
          <cell r="JB8"/>
        </row>
        <row r="9">
          <cell r="JB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</row>
        <row r="22">
          <cell r="JB22">
            <v>6792</v>
          </cell>
        </row>
        <row r="23">
          <cell r="JB23">
            <v>6721</v>
          </cell>
        </row>
        <row r="27">
          <cell r="JB27">
            <v>209</v>
          </cell>
        </row>
        <row r="28">
          <cell r="JB28">
            <v>264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47"/>
      <sheetData sheetId="48"/>
      <sheetData sheetId="49">
        <row r="4">
          <cell r="JB4">
            <v>584</v>
          </cell>
        </row>
        <row r="5">
          <cell r="JB5">
            <v>582</v>
          </cell>
        </row>
        <row r="8">
          <cell r="JB8"/>
        </row>
        <row r="9">
          <cell r="JB9">
            <v>1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</row>
        <row r="22">
          <cell r="JB22">
            <v>36599</v>
          </cell>
        </row>
        <row r="23">
          <cell r="JB23">
            <v>36083</v>
          </cell>
        </row>
        <row r="27">
          <cell r="JB27">
            <v>891</v>
          </cell>
        </row>
        <row r="28">
          <cell r="JB28">
            <v>841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>
            <v>10570</v>
          </cell>
        </row>
        <row r="71">
          <cell r="JB71">
            <v>25513</v>
          </cell>
        </row>
        <row r="73">
          <cell r="JB73">
            <v>454</v>
          </cell>
        </row>
        <row r="74">
          <cell r="JB74">
            <v>1097</v>
          </cell>
        </row>
      </sheetData>
      <sheetData sheetId="50">
        <row r="4">
          <cell r="JB4">
            <v>32</v>
          </cell>
        </row>
        <row r="5">
          <cell r="JB5">
            <v>32</v>
          </cell>
        </row>
        <row r="8">
          <cell r="JB8"/>
        </row>
        <row r="9">
          <cell r="JB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</row>
        <row r="22">
          <cell r="JB22">
            <v>2074</v>
          </cell>
        </row>
        <row r="23">
          <cell r="JB23">
            <v>1941</v>
          </cell>
        </row>
        <row r="27">
          <cell r="JB27">
            <v>28</v>
          </cell>
        </row>
        <row r="28">
          <cell r="JB28">
            <v>46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</row>
      </sheetData>
      <sheetData sheetId="51">
        <row r="4">
          <cell r="JB4">
            <v>48</v>
          </cell>
        </row>
        <row r="5">
          <cell r="JB5">
            <v>47</v>
          </cell>
        </row>
        <row r="8">
          <cell r="JB8"/>
        </row>
        <row r="9">
          <cell r="JB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</row>
        <row r="22">
          <cell r="JB22">
            <v>4313</v>
          </cell>
        </row>
        <row r="23">
          <cell r="JB23">
            <v>5156</v>
          </cell>
        </row>
        <row r="27">
          <cell r="JB27">
            <v>135</v>
          </cell>
        </row>
        <row r="28">
          <cell r="JB28">
            <v>131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</row>
        <row r="47">
          <cell r="JB47">
            <v>2801</v>
          </cell>
        </row>
        <row r="48">
          <cell r="JB48"/>
        </row>
        <row r="52">
          <cell r="JB52">
            <v>0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</row>
      </sheetData>
      <sheetData sheetId="52">
        <row r="4">
          <cell r="JB4">
            <v>26</v>
          </cell>
        </row>
        <row r="5">
          <cell r="JB5">
            <v>26</v>
          </cell>
        </row>
        <row r="8">
          <cell r="JB8"/>
        </row>
        <row r="9">
          <cell r="JB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</row>
        <row r="22">
          <cell r="JB22">
            <v>1709</v>
          </cell>
        </row>
        <row r="23">
          <cell r="JB23">
            <v>1753</v>
          </cell>
        </row>
        <row r="27">
          <cell r="JB27">
            <v>67</v>
          </cell>
        </row>
        <row r="28">
          <cell r="JB28">
            <v>64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53"/>
      <sheetData sheetId="54">
        <row r="4">
          <cell r="JB4">
            <v>2080</v>
          </cell>
        </row>
        <row r="5">
          <cell r="JB5">
            <v>2079</v>
          </cell>
        </row>
        <row r="8">
          <cell r="JB8"/>
        </row>
        <row r="9">
          <cell r="JB9">
            <v>0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</row>
        <row r="22">
          <cell r="JB22">
            <v>115882</v>
          </cell>
        </row>
        <row r="23">
          <cell r="JB23">
            <v>113797</v>
          </cell>
        </row>
        <row r="27">
          <cell r="JB27">
            <v>3659</v>
          </cell>
        </row>
        <row r="28">
          <cell r="JB28">
            <v>3487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>
            <v>31149</v>
          </cell>
        </row>
        <row r="71">
          <cell r="JB71">
            <v>68650</v>
          </cell>
        </row>
        <row r="73">
          <cell r="JB73">
            <v>7082</v>
          </cell>
        </row>
        <row r="74">
          <cell r="JB74">
            <v>15608</v>
          </cell>
        </row>
      </sheetData>
      <sheetData sheetId="55"/>
      <sheetData sheetId="56">
        <row r="4">
          <cell r="JB4">
            <v>0</v>
          </cell>
        </row>
        <row r="5">
          <cell r="JB5">
            <v>0</v>
          </cell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</row>
        <row r="22">
          <cell r="JB22">
            <v>0</v>
          </cell>
        </row>
        <row r="23">
          <cell r="JB23">
            <v>0</v>
          </cell>
        </row>
        <row r="27">
          <cell r="JB27"/>
        </row>
        <row r="28">
          <cell r="JB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</row>
        <row r="47">
          <cell r="JB47">
            <v>0</v>
          </cell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57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B4"/>
        </row>
        <row r="5">
          <cell r="JB5"/>
        </row>
        <row r="15">
          <cell r="JB15"/>
        </row>
        <row r="16">
          <cell r="JB16"/>
        </row>
        <row r="22">
          <cell r="JB22"/>
        </row>
        <row r="23">
          <cell r="JB23"/>
        </row>
        <row r="32">
          <cell r="JB32"/>
        </row>
        <row r="33">
          <cell r="JB33"/>
        </row>
      </sheetData>
      <sheetData sheetId="65">
        <row r="4">
          <cell r="JB4"/>
        </row>
        <row r="5">
          <cell r="JB5"/>
        </row>
        <row r="15">
          <cell r="JB15"/>
        </row>
        <row r="16">
          <cell r="JB16"/>
        </row>
        <row r="22">
          <cell r="JB22"/>
        </row>
        <row r="23">
          <cell r="JB23"/>
        </row>
        <row r="32">
          <cell r="JB32"/>
        </row>
        <row r="33">
          <cell r="JB33"/>
        </row>
      </sheetData>
      <sheetData sheetId="66">
        <row r="4">
          <cell r="JB4"/>
        </row>
        <row r="5">
          <cell r="JB5"/>
        </row>
        <row r="15">
          <cell r="IT15"/>
          <cell r="IU15"/>
          <cell r="IV15"/>
          <cell r="IW15"/>
          <cell r="IX15"/>
          <cell r="IZ15"/>
          <cell r="JA15"/>
          <cell r="JB15"/>
        </row>
        <row r="16">
          <cell r="IT16"/>
          <cell r="IU16"/>
          <cell r="IV16"/>
          <cell r="IW16"/>
          <cell r="IX16"/>
          <cell r="IZ16"/>
          <cell r="JA16"/>
          <cell r="JB16"/>
        </row>
        <row r="22">
          <cell r="JB22"/>
        </row>
        <row r="23">
          <cell r="JB23"/>
        </row>
        <row r="28">
          <cell r="JB28"/>
        </row>
        <row r="32">
          <cell r="IT32"/>
          <cell r="IU32"/>
          <cell r="IV32"/>
          <cell r="IW32"/>
          <cell r="IX32"/>
          <cell r="IY32"/>
          <cell r="IZ32"/>
          <cell r="JA32"/>
          <cell r="JB32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  <cell r="JB38"/>
        </row>
      </sheetData>
      <sheetData sheetId="67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</row>
        <row r="22">
          <cell r="JB22"/>
        </row>
        <row r="23">
          <cell r="JB23"/>
        </row>
        <row r="28">
          <cell r="JB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</row>
      </sheetData>
      <sheetData sheetId="68">
        <row r="4">
          <cell r="JB4"/>
        </row>
        <row r="5">
          <cell r="JB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</row>
      </sheetData>
      <sheetData sheetId="69">
        <row r="4">
          <cell r="JB4">
            <v>111</v>
          </cell>
        </row>
        <row r="5">
          <cell r="JB5">
            <v>111</v>
          </cell>
        </row>
        <row r="8">
          <cell r="JB8"/>
        </row>
        <row r="9">
          <cell r="JB9"/>
        </row>
        <row r="15">
          <cell r="JB15"/>
        </row>
        <row r="16">
          <cell r="JB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</row>
        <row r="47">
          <cell r="JB47">
            <v>2524371</v>
          </cell>
        </row>
        <row r="48">
          <cell r="JB48"/>
        </row>
        <row r="52">
          <cell r="JB52">
            <v>2705004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</row>
      </sheetData>
      <sheetData sheetId="70">
        <row r="4">
          <cell r="JB4">
            <v>4</v>
          </cell>
        </row>
        <row r="5">
          <cell r="JB5">
            <v>4</v>
          </cell>
        </row>
        <row r="15">
          <cell r="JB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</row>
        <row r="47">
          <cell r="JB47">
            <v>259312</v>
          </cell>
        </row>
        <row r="48">
          <cell r="JB48"/>
        </row>
        <row r="52">
          <cell r="JB52">
            <v>163607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</row>
      </sheetData>
      <sheetData sheetId="71">
        <row r="4">
          <cell r="JB4">
            <v>17</v>
          </cell>
        </row>
        <row r="5">
          <cell r="JB5">
            <v>17</v>
          </cell>
        </row>
        <row r="8">
          <cell r="JB8"/>
        </row>
        <row r="9">
          <cell r="JB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</row>
        <row r="47">
          <cell r="JB47">
            <v>657936</v>
          </cell>
        </row>
        <row r="48">
          <cell r="JB48"/>
        </row>
        <row r="52">
          <cell r="JB52">
            <v>415426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3">
        <row r="4">
          <cell r="JB4"/>
        </row>
        <row r="5">
          <cell r="JB5"/>
        </row>
        <row r="15">
          <cell r="JB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4">
        <row r="4">
          <cell r="JB4">
            <v>39</v>
          </cell>
        </row>
        <row r="5">
          <cell r="JB5">
            <v>39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0</v>
          </cell>
        </row>
      </sheetData>
      <sheetData sheetId="75">
        <row r="4">
          <cell r="JB4"/>
        </row>
        <row r="5">
          <cell r="JB5"/>
        </row>
        <row r="12">
          <cell r="JB12">
            <v>0</v>
          </cell>
        </row>
        <row r="15">
          <cell r="JB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6">
        <row r="4">
          <cell r="JB4"/>
        </row>
        <row r="5">
          <cell r="JB5"/>
        </row>
        <row r="15">
          <cell r="JB15"/>
        </row>
        <row r="16">
          <cell r="JB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7">
        <row r="4">
          <cell r="JB4"/>
        </row>
        <row r="5">
          <cell r="JB5"/>
        </row>
        <row r="15">
          <cell r="JB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8"/>
      <sheetData sheetId="79">
        <row r="4">
          <cell r="JB4"/>
        </row>
        <row r="5">
          <cell r="JB5"/>
        </row>
        <row r="15">
          <cell r="JB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81"/>
      <sheetData sheetId="82">
        <row r="4">
          <cell r="JB4">
            <v>98</v>
          </cell>
        </row>
        <row r="5">
          <cell r="JB5">
            <v>98</v>
          </cell>
        </row>
        <row r="15">
          <cell r="JB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</row>
        <row r="47">
          <cell r="JB47">
            <v>5990548</v>
          </cell>
        </row>
        <row r="48">
          <cell r="JB48"/>
        </row>
        <row r="52">
          <cell r="JB52">
            <v>5554748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</row>
      </sheetData>
      <sheetData sheetId="83">
        <row r="4">
          <cell r="JB4">
            <v>19</v>
          </cell>
        </row>
        <row r="5">
          <cell r="JB5">
            <v>19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</row>
        <row r="47">
          <cell r="JB47"/>
        </row>
        <row r="48">
          <cell r="JB48">
            <v>43551</v>
          </cell>
        </row>
        <row r="52">
          <cell r="JB52"/>
        </row>
        <row r="53">
          <cell r="JB53">
            <v>105026</v>
          </cell>
        </row>
        <row r="57">
          <cell r="JB57"/>
        </row>
        <row r="58">
          <cell r="JB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</row>
      </sheetData>
      <sheetData sheetId="84">
        <row r="4">
          <cell r="JB4">
            <v>14</v>
          </cell>
        </row>
        <row r="5">
          <cell r="JB5">
            <v>14</v>
          </cell>
        </row>
        <row r="15">
          <cell r="JB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</row>
        <row r="47">
          <cell r="JB47">
            <v>16219</v>
          </cell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</row>
      </sheetData>
      <sheetData sheetId="85">
        <row r="4">
          <cell r="JB4">
            <v>103</v>
          </cell>
        </row>
        <row r="5">
          <cell r="JB5">
            <v>87</v>
          </cell>
        </row>
        <row r="15">
          <cell r="JB15"/>
        </row>
        <row r="16">
          <cell r="JB16">
            <v>15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</row>
        <row r="47">
          <cell r="JB47">
            <v>4614756</v>
          </cell>
        </row>
        <row r="48">
          <cell r="JB48">
            <v>1638895</v>
          </cell>
        </row>
        <row r="52">
          <cell r="JB52">
            <v>3732406</v>
          </cell>
        </row>
        <row r="53">
          <cell r="JB53">
            <v>1642276</v>
          </cell>
        </row>
        <row r="57">
          <cell r="JB57"/>
        </row>
        <row r="58">
          <cell r="JB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</row>
      </sheetData>
      <sheetData sheetId="86"/>
      <sheetData sheetId="87"/>
      <sheetData sheetId="88"/>
      <sheetData sheetId="89">
        <row r="4">
          <cell r="JB4">
            <v>135</v>
          </cell>
        </row>
        <row r="5">
          <cell r="JB5">
            <v>135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91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92">
        <row r="4">
          <cell r="JB4">
            <v>45</v>
          </cell>
        </row>
        <row r="5">
          <cell r="JB5">
            <v>45</v>
          </cell>
        </row>
      </sheetData>
      <sheetData sheetId="93">
        <row r="4">
          <cell r="JB4">
            <v>852</v>
          </cell>
        </row>
        <row r="5">
          <cell r="JB5">
            <v>852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145395</v>
          </cell>
          <cell r="C24">
            <v>121092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</sheetData>
      <sheetData sheetId="1"/>
      <sheetData sheetId="2"/>
      <sheetData sheetId="3"/>
      <sheetData sheetId="4"/>
      <sheetData sheetId="5">
        <row r="25">
          <cell r="B25">
            <v>114085</v>
          </cell>
          <cell r="C25">
            <v>125421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</sheetData>
      <sheetData sheetId="1"/>
      <sheetData sheetId="2"/>
      <sheetData sheetId="3"/>
      <sheetData sheetId="4"/>
      <sheetData sheetId="5">
        <row r="26">
          <cell r="B26">
            <v>143577</v>
          </cell>
          <cell r="C26">
            <v>149158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</sheetData>
      <sheetData sheetId="1"/>
      <sheetData sheetId="2"/>
      <sheetData sheetId="3"/>
      <sheetData sheetId="4"/>
      <sheetData sheetId="5">
        <row r="27">
          <cell r="B27">
            <v>158042</v>
          </cell>
          <cell r="C27">
            <v>143065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L7" sqref="L7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45536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1233097</v>
      </c>
      <c r="C5" s="10">
        <f>'Major Airline Stats'!L5</f>
        <v>1252601</v>
      </c>
      <c r="D5" s="2">
        <f>'Major Airline Stats'!L6</f>
        <v>2485698</v>
      </c>
      <c r="E5" s="2">
        <f>'[1]Monthly Summary'!D5</f>
        <v>2443638</v>
      </c>
      <c r="F5" s="3">
        <f>(D5-E5)/E5</f>
        <v>1.721204204550756E-2</v>
      </c>
      <c r="G5" s="2">
        <f>'[2]Monthly Summary'!G5+D5</f>
        <v>24166814</v>
      </c>
      <c r="H5" s="2">
        <f>'[1]Monthly Summary'!G5</f>
        <v>22426373</v>
      </c>
      <c r="I5" s="63">
        <f>(G5-H5)/H5</f>
        <v>7.7606887212658057E-2</v>
      </c>
      <c r="J5" s="2"/>
    </row>
    <row r="6" spans="1:18" x14ac:dyDescent="0.2">
      <c r="A6" s="48" t="s">
        <v>5</v>
      </c>
      <c r="B6" s="209">
        <f>'Regional Major'!M5</f>
        <v>190174</v>
      </c>
      <c r="C6" s="209">
        <f>'Regional Major'!M6</f>
        <v>188881</v>
      </c>
      <c r="D6" s="2">
        <f>B6+C6</f>
        <v>379055</v>
      </c>
      <c r="E6" s="2">
        <f>'[1]Monthly Summary'!D6</f>
        <v>333032</v>
      </c>
      <c r="F6" s="3">
        <f>(D6-E6)/E6</f>
        <v>0.13819392731028851</v>
      </c>
      <c r="G6" s="2">
        <f>'[2]Monthly Summary'!G6+D6</f>
        <v>3375258</v>
      </c>
      <c r="H6" s="2">
        <f>'[1]Monthly Summary'!G6</f>
        <v>3058461</v>
      </c>
      <c r="I6" s="63">
        <f>(G6-H6)/H6</f>
        <v>0.10358052628429788</v>
      </c>
      <c r="K6" s="2"/>
    </row>
    <row r="7" spans="1:18" x14ac:dyDescent="0.2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 t="e">
        <f>(D7-E7)/E7</f>
        <v>#DIV/0!</v>
      </c>
      <c r="G7" s="2">
        <f>'[2]Monthly Summary'!G7+D7</f>
        <v>1599</v>
      </c>
      <c r="H7" s="2">
        <f>'[1]Monthly Summary'!G7</f>
        <v>3390</v>
      </c>
      <c r="I7" s="63">
        <f>(G7-H7)/H7</f>
        <v>-0.52831858407079646</v>
      </c>
      <c r="K7" s="2"/>
    </row>
    <row r="8" spans="1:18" x14ac:dyDescent="0.2">
      <c r="A8" s="50" t="s">
        <v>7</v>
      </c>
      <c r="B8" s="113">
        <f>SUM(B5:B7)</f>
        <v>1423271</v>
      </c>
      <c r="C8" s="113">
        <f>SUM(C5:C7)</f>
        <v>1441482</v>
      </c>
      <c r="D8" s="113">
        <f>SUM(D5:D7)</f>
        <v>2864753</v>
      </c>
      <c r="E8" s="113">
        <f>SUM(E5:E7)</f>
        <v>2776670</v>
      </c>
      <c r="F8" s="69">
        <f>(D8-E8)/E8</f>
        <v>3.1722530945340999E-2</v>
      </c>
      <c r="G8" s="113">
        <f>SUM(G5:G7)</f>
        <v>27543671</v>
      </c>
      <c r="H8" s="113">
        <f>SUM(H5:H7)</f>
        <v>25488224</v>
      </c>
      <c r="I8" s="68">
        <f>(G8-H8)/H8</f>
        <v>8.0643005962282813E-2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Stats'!L9+'Regional Major'!M10</f>
        <v>41214</v>
      </c>
      <c r="C10" s="437">
        <f>'Major Airline Stats'!L10+'Regional Major'!M11</f>
        <v>41827</v>
      </c>
      <c r="D10" s="438">
        <f>SUM(B10:C10)</f>
        <v>83041</v>
      </c>
      <c r="E10" s="394">
        <f>'[1]Monthly Summary'!D10</f>
        <v>80418</v>
      </c>
      <c r="F10" s="439">
        <f>(D10-E10)/E10</f>
        <v>3.2617075779054441E-2</v>
      </c>
      <c r="G10" s="394">
        <f>'[2]Monthly Summary'!G10+D10</f>
        <v>752946</v>
      </c>
      <c r="H10" s="394">
        <f>'[1]Monthly Summary'!G10</f>
        <v>723764</v>
      </c>
      <c r="I10" s="440">
        <f>(G10-H10)/H10</f>
        <v>4.0319772743601504E-2</v>
      </c>
      <c r="J10" s="163"/>
    </row>
    <row r="11" spans="1:18" ht="15.75" thickBot="1" x14ac:dyDescent="0.3">
      <c r="A11" s="49" t="s">
        <v>13</v>
      </c>
      <c r="B11" s="189">
        <f>B10+B8</f>
        <v>1464485</v>
      </c>
      <c r="C11" s="189">
        <f>C10+C8</f>
        <v>1483309</v>
      </c>
      <c r="D11" s="189">
        <f>D10+D8</f>
        <v>2947794</v>
      </c>
      <c r="E11" s="189">
        <f>E10+E8</f>
        <v>2857088</v>
      </c>
      <c r="F11" s="70">
        <f>(D11-E11)/E11</f>
        <v>3.1747709556023476E-2</v>
      </c>
      <c r="G11" s="189">
        <f>G8+G10</f>
        <v>28296617</v>
      </c>
      <c r="H11" s="189">
        <f>H8+H10</f>
        <v>26211988</v>
      </c>
      <c r="I11" s="72">
        <f>(G11-H11)/H11</f>
        <v>7.9529603019809103E-2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Stats'!L15+'Major Airline Stats'!L19</f>
        <v>9440</v>
      </c>
      <c r="C16" s="218">
        <f>'Major Airline Stats'!L16+'Major Airline Stats'!L20</f>
        <v>9428</v>
      </c>
      <c r="D16" s="30">
        <f>SUM(B16:C16)</f>
        <v>18868</v>
      </c>
      <c r="E16" s="2">
        <f>'[1]Monthly Summary'!D16</f>
        <v>18073</v>
      </c>
      <c r="F16" s="71">
        <f t="shared" ref="F16:F22" si="0">(D16-E16)/E16</f>
        <v>4.398826979472141E-2</v>
      </c>
      <c r="G16" s="2">
        <f>'[2]Monthly Summary'!G16+D16</f>
        <v>174234</v>
      </c>
      <c r="H16" s="2">
        <f>'[1]Monthly Summary'!G16</f>
        <v>161554</v>
      </c>
      <c r="I16" s="185">
        <f t="shared" ref="I16:I22" si="1">(G16-H16)/H16</f>
        <v>7.8487688327122815E-2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3254</v>
      </c>
      <c r="C17" s="30">
        <f>'Regional Major'!M16+'Regional Major'!M19</f>
        <v>3253</v>
      </c>
      <c r="D17" s="30">
        <f>SUM(B17:C17)</f>
        <v>6507</v>
      </c>
      <c r="E17" s="2">
        <f>'[1]Monthly Summary'!D17</f>
        <v>6226</v>
      </c>
      <c r="F17" s="71">
        <f t="shared" si="0"/>
        <v>4.5133311917764214E-2</v>
      </c>
      <c r="G17" s="2">
        <f>'[2]Monthly Summary'!G17+D17</f>
        <v>58461</v>
      </c>
      <c r="H17" s="2">
        <f>'[1]Monthly Summary'!G17</f>
        <v>56072</v>
      </c>
      <c r="I17" s="185">
        <f t="shared" si="1"/>
        <v>4.2605935226137821E-2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71" t="e">
        <f t="shared" si="0"/>
        <v>#DIV/0!</v>
      </c>
      <c r="G18" s="2">
        <f>'[2]Monthly Summary'!G18+D18</f>
        <v>18</v>
      </c>
      <c r="H18" s="2">
        <f>'[1]Monthly Summary'!G18</f>
        <v>58</v>
      </c>
      <c r="I18" s="185">
        <f t="shared" si="1"/>
        <v>-0.68965517241379315</v>
      </c>
      <c r="N18" s="332"/>
      <c r="Q18" s="427"/>
    </row>
    <row r="19" spans="1:17" x14ac:dyDescent="0.2">
      <c r="A19" s="48" t="s">
        <v>11</v>
      </c>
      <c r="B19" s="30">
        <f>Cargo!S4+Cargo!S8</f>
        <v>540</v>
      </c>
      <c r="C19" s="30">
        <f>Cargo!S5+Cargo!S9</f>
        <v>539</v>
      </c>
      <c r="D19" s="30">
        <f t="shared" si="2"/>
        <v>1079</v>
      </c>
      <c r="E19" s="2">
        <f>'[1]Monthly Summary'!D19</f>
        <v>1125</v>
      </c>
      <c r="F19" s="71">
        <f t="shared" si="0"/>
        <v>-4.0888888888888891E-2</v>
      </c>
      <c r="G19" s="2">
        <f>'[2]Monthly Summary'!G19+D19</f>
        <v>9858</v>
      </c>
      <c r="H19" s="2">
        <f>'[1]Monthly Summary'!G19</f>
        <v>10373</v>
      </c>
      <c r="I19" s="185">
        <f t="shared" si="1"/>
        <v>-4.9648124939747421E-2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Avation'!$JB$4</f>
        <v>852</v>
      </c>
      <c r="C20" s="30">
        <f>'[3]General Avation'!$JB$5</f>
        <v>852</v>
      </c>
      <c r="D20" s="30">
        <f t="shared" si="2"/>
        <v>1704</v>
      </c>
      <c r="E20" s="2">
        <f>'[1]Monthly Summary'!D20</f>
        <v>1673</v>
      </c>
      <c r="F20" s="71">
        <f t="shared" si="0"/>
        <v>1.852958756724447E-2</v>
      </c>
      <c r="G20" s="2">
        <f>'[2]Monthly Summary'!G20+D20</f>
        <v>13560</v>
      </c>
      <c r="H20" s="2">
        <f>'[1]Monthly Summary'!G20</f>
        <v>13411</v>
      </c>
      <c r="I20" s="185">
        <f t="shared" si="1"/>
        <v>1.1110282603832674E-2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'!$JB$4</f>
        <v>45</v>
      </c>
      <c r="C21" s="442">
        <f>'[3]Military '!$JB$5</f>
        <v>45</v>
      </c>
      <c r="D21" s="442">
        <f t="shared" si="2"/>
        <v>90</v>
      </c>
      <c r="E21" s="394">
        <f>'[1]Monthly Summary'!D21</f>
        <v>69</v>
      </c>
      <c r="F21" s="443">
        <f t="shared" si="0"/>
        <v>0.30434782608695654</v>
      </c>
      <c r="G21" s="394">
        <f>'[2]Monthly Summary'!G21+D21</f>
        <v>759</v>
      </c>
      <c r="H21" s="394">
        <f>'[1]Monthly Summary'!G21</f>
        <v>495</v>
      </c>
      <c r="I21" s="444">
        <f t="shared" si="1"/>
        <v>0.53333333333333333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14131</v>
      </c>
      <c r="C22" s="190">
        <f>SUM(C16:C21)</f>
        <v>14117</v>
      </c>
      <c r="D22" s="190">
        <f>SUM(D16:D21)</f>
        <v>28248</v>
      </c>
      <c r="E22" s="190">
        <f>SUM(E16:E21)</f>
        <v>27166</v>
      </c>
      <c r="F22" s="187">
        <f t="shared" si="0"/>
        <v>3.9829198262534053E-2</v>
      </c>
      <c r="G22" s="190">
        <f>SUM(G16:G21)</f>
        <v>256890</v>
      </c>
      <c r="H22" s="190">
        <f>SUM(H16:H21)</f>
        <v>241963</v>
      </c>
      <c r="I22" s="188">
        <f t="shared" si="1"/>
        <v>6.1691250315130827E-2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Major'!M25)*0.00045359237</f>
        <v>8822.3663348285063</v>
      </c>
      <c r="C27" s="12">
        <f>(Cargo!S21+'Major Airline Stats'!L33+'Regional Major'!M30)*0.00045359237</f>
        <v>6794.6308595156534</v>
      </c>
      <c r="D27" s="12">
        <f>SUM(B27:C27)</f>
        <v>15616.99719434416</v>
      </c>
      <c r="E27" s="2">
        <f>'[1]Monthly Summary'!D27</f>
        <v>15722.701543782696</v>
      </c>
      <c r="F27" s="73">
        <f>(D27-E27)/E27</f>
        <v>-6.7230398760787609E-3</v>
      </c>
      <c r="G27" s="2">
        <f>'[2]Monthly Summary'!G27+D27</f>
        <v>139761.09355696128</v>
      </c>
      <c r="H27" s="2">
        <f>'[1]Monthly Summary'!G27</f>
        <v>141100.79821241074</v>
      </c>
      <c r="I27" s="74">
        <f>(G27-H27)/H27</f>
        <v>-9.4946639028412189E-3</v>
      </c>
      <c r="N27" s="89"/>
    </row>
    <row r="28" spans="1:17" x14ac:dyDescent="0.2">
      <c r="A28" s="43" t="s">
        <v>16</v>
      </c>
      <c r="B28" s="447">
        <f>(Cargo!S17+'Major Airline Stats'!L29+'Regional Major'!M26)*0.00045359237</f>
        <v>793.77666846785996</v>
      </c>
      <c r="C28" s="448">
        <f>(Cargo!S22+'Major Airline Stats'!L34+'Regional Major'!M31)*0.00045359237</f>
        <v>821.69482524899001</v>
      </c>
      <c r="D28" s="448">
        <f>SUM(B28:C28)</f>
        <v>1615.4714937168501</v>
      </c>
      <c r="E28" s="394">
        <f>'[1]Monthly Summary'!D28</f>
        <v>1333.38194522148</v>
      </c>
      <c r="F28" s="449">
        <f>(D28-E28)/E28</f>
        <v>0.21155944814335542</v>
      </c>
      <c r="G28" s="394">
        <f>'[2]Monthly Summary'!G28+D28</f>
        <v>5147.2337657879598</v>
      </c>
      <c r="H28" s="394">
        <f>'[1]Monthly Summary'!G28</f>
        <v>9029.64561948757</v>
      </c>
      <c r="I28" s="450">
        <f>(G28-H28)/H28</f>
        <v>-0.4299628155196567</v>
      </c>
    </row>
    <row r="29" spans="1:17" ht="15.75" thickBot="1" x14ac:dyDescent="0.3">
      <c r="A29" s="44" t="s">
        <v>62</v>
      </c>
      <c r="B29" s="445">
        <f>SUM(B27:B28)</f>
        <v>9616.1430032963654</v>
      </c>
      <c r="C29" s="445">
        <f>SUM(C27:C28)</f>
        <v>7616.3256847646435</v>
      </c>
      <c r="D29" s="445">
        <f>SUM(D27:D28)</f>
        <v>17232.46868806101</v>
      </c>
      <c r="E29" s="445">
        <f>SUM(E27:E28)</f>
        <v>17056.083489004177</v>
      </c>
      <c r="F29" s="70">
        <f>(D29-E29)/E29</f>
        <v>1.0341483094319157E-2</v>
      </c>
      <c r="G29" s="445">
        <f>SUM(G27:G28)</f>
        <v>144908.32732274925</v>
      </c>
      <c r="H29" s="445">
        <f>SUM(H27:H28)</f>
        <v>150130.4438318983</v>
      </c>
      <c r="I29" s="446">
        <f>(G29-H29)/H29</f>
        <v>-3.478386112676974E-2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300"/>
      <c r="G31" s="301"/>
    </row>
    <row r="32" spans="1:17" x14ac:dyDescent="0.2">
      <c r="A32" s="282" t="s">
        <v>143</v>
      </c>
      <c r="B32" s="283">
        <f>C8-B33</f>
        <v>955124</v>
      </c>
      <c r="C32" s="284">
        <f>B32/C8</f>
        <v>0.66259863113101658</v>
      </c>
      <c r="D32" s="285">
        <f>+'[2]Monthly Summary'!D32+B32</f>
        <v>9495266</v>
      </c>
      <c r="E32" s="286">
        <f>+D32/D34</f>
        <v>0.69136643309402313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Stats'!L51+'Regional Major'!M45</f>
        <v>486358</v>
      </c>
      <c r="C33" s="289">
        <f>+B33/C8</f>
        <v>0.33740136886898348</v>
      </c>
      <c r="D33" s="290">
        <f>+'[2]Monthly Summary'!D33+B33</f>
        <v>4238791</v>
      </c>
      <c r="E33" s="291">
        <f>+D33/D34</f>
        <v>0.30863356690597687</v>
      </c>
      <c r="G33" s="222"/>
      <c r="H33" s="427"/>
      <c r="I33" s="299"/>
    </row>
    <row r="34" spans="1:14" ht="13.5" thickBot="1" x14ac:dyDescent="0.25">
      <c r="B34" s="222"/>
      <c r="D34" s="292">
        <f>SUM(D32:D33)</f>
        <v>13734057</v>
      </c>
      <c r="H34" s="392"/>
    </row>
    <row r="35" spans="1:14" ht="13.5" thickBot="1" x14ac:dyDescent="0.25">
      <c r="B35" s="455" t="s">
        <v>252</v>
      </c>
      <c r="C35" s="456"/>
      <c r="D35" s="457" t="s">
        <v>238</v>
      </c>
      <c r="E35" s="456"/>
    </row>
    <row r="36" spans="1:14" x14ac:dyDescent="0.2">
      <c r="A36" s="282" t="s">
        <v>143</v>
      </c>
      <c r="B36" s="283">
        <f>'[1]Monthly Summary'!$B$32</f>
        <v>935671</v>
      </c>
      <c r="C36" s="284">
        <f>+B36/B38</f>
        <v>0.66813885036853382</v>
      </c>
      <c r="D36" s="285">
        <f>+'[1]Monthly Summary'!D32</f>
        <v>8645735</v>
      </c>
      <c r="E36" s="286">
        <f>+D36/D38</f>
        <v>0.68089445780916003</v>
      </c>
    </row>
    <row r="37" spans="1:14" ht="13.5" thickBot="1" x14ac:dyDescent="0.25">
      <c r="A37" s="287" t="s">
        <v>144</v>
      </c>
      <c r="B37" s="288">
        <f>'[1]Monthly Summary'!$B$33</f>
        <v>464743</v>
      </c>
      <c r="C37" s="291">
        <f>+B37/B38</f>
        <v>0.33186114963146612</v>
      </c>
      <c r="D37" s="290">
        <f>+'[1]Monthly Summary'!D33</f>
        <v>4051879</v>
      </c>
      <c r="E37" s="291">
        <f>+D37/D38</f>
        <v>0.31910554219083997</v>
      </c>
      <c r="G37" s="222"/>
      <c r="M37" s="1"/>
    </row>
    <row r="38" spans="1:14" x14ac:dyDescent="0.2">
      <c r="B38" s="304">
        <f>+SUM(B36:B37)</f>
        <v>1400414</v>
      </c>
      <c r="D38" s="292">
        <f>SUM(D36:D37)</f>
        <v>12697614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B10" sqref="B10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8">
        <v>45536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[3]American!$JB$22</f>
        <v>56490</v>
      </c>
      <c r="C4" s="11">
        <f>[3]Delta!$JB$22+[3]Delta!$JB$32</f>
        <v>860755</v>
      </c>
      <c r="D4" s="11">
        <f>[3]United!$JB$22</f>
        <v>63776</v>
      </c>
      <c r="E4" s="11">
        <f>[3]Spirit!$JB$22</f>
        <v>10703</v>
      </c>
      <c r="F4" s="11">
        <f>[3]Condor!$JB$22+[3]Condor!$JB$32</f>
        <v>934</v>
      </c>
      <c r="G4" s="11">
        <f>'[3]Air France'!$JB$32</f>
        <v>5304</v>
      </c>
      <c r="H4" s="11">
        <f>'[3]Jet Blue'!$JB$22</f>
        <v>2793</v>
      </c>
      <c r="I4" s="11">
        <f>[3]KLM!$JB$22+[3]KLM!$JB$32</f>
        <v>3547</v>
      </c>
      <c r="J4" s="11">
        <f>[3]Lufthansa!$JB$22+[3]Lufthansa!$JB$32</f>
        <v>5223</v>
      </c>
      <c r="K4" s="11">
        <f>'Other Major Airline Stats'!K5</f>
        <v>223572</v>
      </c>
      <c r="L4" s="197">
        <f>SUM(B4:K4)</f>
        <v>1233097</v>
      </c>
    </row>
    <row r="5" spans="1:21" x14ac:dyDescent="0.2">
      <c r="A5" s="43" t="s">
        <v>31</v>
      </c>
      <c r="B5" s="7">
        <f>[3]American!$JB$23</f>
        <v>55484</v>
      </c>
      <c r="C5" s="7">
        <f>[3]Delta!$JB$23+[3]Delta!$JB$33</f>
        <v>882463</v>
      </c>
      <c r="D5" s="7">
        <f>[3]United!$JB$23</f>
        <v>62596</v>
      </c>
      <c r="E5" s="7">
        <f>[3]Spirit!$JB$23</f>
        <v>12192</v>
      </c>
      <c r="F5" s="7">
        <f>[3]Condor!$JB$23+[3]Condor!$JB$33</f>
        <v>884</v>
      </c>
      <c r="G5" s="7">
        <f>'[3]Air France'!$JB$33</f>
        <v>4742</v>
      </c>
      <c r="H5" s="7">
        <f>'[3]Jet Blue'!$JB$23</f>
        <v>2751</v>
      </c>
      <c r="I5" s="7">
        <f>[3]KLM!$JB$23+[3]KLM!$JB$33</f>
        <v>3456</v>
      </c>
      <c r="J5" s="7">
        <f>[3]Lufthansa!$JB$23+[3]Lufthansa!$JB$33</f>
        <v>4857</v>
      </c>
      <c r="K5" s="7">
        <f>'Other Major Airline Stats'!K6</f>
        <v>223176</v>
      </c>
      <c r="L5" s="198">
        <f>SUM(B5:K5)</f>
        <v>1252601</v>
      </c>
      <c r="N5" s="222"/>
      <c r="O5" s="222"/>
      <c r="P5" s="222"/>
      <c r="Q5" s="222"/>
      <c r="R5" s="222"/>
      <c r="S5" s="222"/>
      <c r="T5" s="222"/>
      <c r="U5" s="222"/>
    </row>
    <row r="6" spans="1:21" ht="15" x14ac:dyDescent="0.25">
      <c r="A6" s="41" t="s">
        <v>7</v>
      </c>
      <c r="B6" s="23">
        <f t="shared" ref="B6:E6" si="0">SUM(B4:B5)</f>
        <v>111974</v>
      </c>
      <c r="C6" s="23">
        <f t="shared" si="0"/>
        <v>1743218</v>
      </c>
      <c r="D6" s="23">
        <f t="shared" si="0"/>
        <v>126372</v>
      </c>
      <c r="E6" s="23">
        <f t="shared" si="0"/>
        <v>22895</v>
      </c>
      <c r="F6" s="23">
        <f t="shared" ref="F6:I6" si="1">SUM(F4:F5)</f>
        <v>1818</v>
      </c>
      <c r="G6" s="23">
        <f t="shared" si="1"/>
        <v>10046</v>
      </c>
      <c r="H6" s="23">
        <f t="shared" ref="H6" si="2">SUM(H4:H5)</f>
        <v>5544</v>
      </c>
      <c r="I6" s="23">
        <f t="shared" si="1"/>
        <v>7003</v>
      </c>
      <c r="J6" s="23">
        <f t="shared" ref="J6" si="3">SUM(J4:J5)</f>
        <v>10080</v>
      </c>
      <c r="K6" s="23">
        <f>SUM(K4:K5)</f>
        <v>446748</v>
      </c>
      <c r="L6" s="199">
        <f>SUM(B6:K6)</f>
        <v>2485698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[3]American!$JB$27</f>
        <v>1998</v>
      </c>
      <c r="C9" s="11">
        <f>[3]Delta!$JB$27+[3]Delta!$JB$37</f>
        <v>26105</v>
      </c>
      <c r="D9" s="11">
        <f>[3]United!$JB$27</f>
        <v>2578</v>
      </c>
      <c r="E9" s="11">
        <f>[3]Spirit!$JB$27</f>
        <v>106</v>
      </c>
      <c r="F9" s="11">
        <f>[3]Condor!$JB$27+[3]Condor!$JB$37</f>
        <v>2</v>
      </c>
      <c r="G9" s="11">
        <f>'[3]Air France'!$JB$37</f>
        <v>8</v>
      </c>
      <c r="H9" s="11">
        <f>'[3]Jet Blue'!$JB$27</f>
        <v>68</v>
      </c>
      <c r="I9" s="11">
        <f>[3]KLM!$JB$27+[3]KLM!$JB$37</f>
        <v>11</v>
      </c>
      <c r="J9" s="11">
        <f>[3]Lufthansa!$JB$27+[3]Lufthansa!$JB$37</f>
        <v>85</v>
      </c>
      <c r="K9" s="11">
        <f>'Other Major Airline Stats'!K10</f>
        <v>4839</v>
      </c>
      <c r="L9" s="197">
        <f>SUM(B9:K9)</f>
        <v>35800</v>
      </c>
      <c r="O9" s="222"/>
    </row>
    <row r="10" spans="1:21" x14ac:dyDescent="0.2">
      <c r="A10" s="43" t="s">
        <v>33</v>
      </c>
      <c r="B10" s="7">
        <f>[3]American!$JB$28</f>
        <v>2167</v>
      </c>
      <c r="C10" s="7">
        <f>[3]Delta!$JB$28+[3]Delta!$JB$38</f>
        <v>26207</v>
      </c>
      <c r="D10" s="7">
        <f>[3]United!$JB$28</f>
        <v>2771</v>
      </c>
      <c r="E10" s="7">
        <f>[3]Spirit!$JB$28</f>
        <v>145</v>
      </c>
      <c r="F10" s="7">
        <f>[3]Condor!$JB$28+[3]Condor!$JB$38</f>
        <v>0</v>
      </c>
      <c r="G10" s="7">
        <f>'[3]Air France'!$JB$38</f>
        <v>0</v>
      </c>
      <c r="H10" s="7">
        <f>'[3]Jet Blue'!$JB$28</f>
        <v>49</v>
      </c>
      <c r="I10" s="7">
        <f>[3]KLM!$JB$28+[3]KLM!$JB$38</f>
        <v>0</v>
      </c>
      <c r="J10" s="7">
        <f>[3]Lufthansa!$JB$28+[3]Lufthansa!$JB$38</f>
        <v>92</v>
      </c>
      <c r="K10" s="7">
        <f>'Other Major Airline Stats'!K11</f>
        <v>5112</v>
      </c>
      <c r="L10" s="198">
        <f>SUM(B10:K10)</f>
        <v>36543</v>
      </c>
      <c r="O10" s="222"/>
    </row>
    <row r="11" spans="1:21" ht="15.75" thickBot="1" x14ac:dyDescent="0.3">
      <c r="A11" s="44" t="s">
        <v>34</v>
      </c>
      <c r="B11" s="200">
        <f t="shared" ref="B11:K11" si="4">SUM(B9:B10)</f>
        <v>4165</v>
      </c>
      <c r="C11" s="200">
        <f t="shared" si="4"/>
        <v>52312</v>
      </c>
      <c r="D11" s="200">
        <f t="shared" si="4"/>
        <v>5349</v>
      </c>
      <c r="E11" s="200">
        <f t="shared" si="4"/>
        <v>251</v>
      </c>
      <c r="F11" s="200">
        <f t="shared" ref="F11:I11" si="5">SUM(F9:F10)</f>
        <v>2</v>
      </c>
      <c r="G11" s="200">
        <f t="shared" si="5"/>
        <v>8</v>
      </c>
      <c r="H11" s="200">
        <f t="shared" ref="H11" si="6">SUM(H9:H10)</f>
        <v>117</v>
      </c>
      <c r="I11" s="200">
        <f t="shared" si="5"/>
        <v>11</v>
      </c>
      <c r="J11" s="200">
        <f t="shared" ref="J11" si="7">SUM(J9:J10)</f>
        <v>177</v>
      </c>
      <c r="K11" s="200">
        <f t="shared" si="4"/>
        <v>9951</v>
      </c>
      <c r="L11" s="201">
        <f>SUM(B11:K11)</f>
        <v>72343</v>
      </c>
    </row>
    <row r="12" spans="1:21" x14ac:dyDescent="0.2">
      <c r="O12" s="222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[3]American!$JB$4</f>
        <v>434</v>
      </c>
      <c r="C15" s="11">
        <f>[3]Delta!$JB$4+[3]Delta!$JB$15</f>
        <v>6424</v>
      </c>
      <c r="D15" s="11">
        <f>[3]United!$JB$4</f>
        <v>532</v>
      </c>
      <c r="E15" s="11">
        <f>[3]Spirit!$JB$4</f>
        <v>96</v>
      </c>
      <c r="F15" s="11">
        <f>[3]Condor!$JB$15</f>
        <v>6</v>
      </c>
      <c r="G15" s="11">
        <f>'[3]Air France'!$JB$15</f>
        <v>21</v>
      </c>
      <c r="H15" s="11">
        <f>'[3]Jet Blue'!$JB$4</f>
        <v>30</v>
      </c>
      <c r="I15" s="11">
        <f>[3]KLM!$JB$4+[3]KLM!$JB$15</f>
        <v>13</v>
      </c>
      <c r="J15" s="11">
        <f>[3]Lufthansa!$JB$4+[3]Lufthansa!$JB$15</f>
        <v>22</v>
      </c>
      <c r="K15" s="11">
        <f>'Other Major Airline Stats'!K16</f>
        <v>1802</v>
      </c>
      <c r="L15" s="16">
        <f>SUM(B15:K15)</f>
        <v>9380</v>
      </c>
    </row>
    <row r="16" spans="1:21" x14ac:dyDescent="0.2">
      <c r="A16" s="43" t="s">
        <v>23</v>
      </c>
      <c r="B16" s="7">
        <f>[3]American!$JB$5</f>
        <v>432</v>
      </c>
      <c r="C16" s="7">
        <f>[3]Delta!$JB$5+[3]Delta!$JB$16</f>
        <v>6421</v>
      </c>
      <c r="D16" s="7">
        <f>[3]United!$JB$5</f>
        <v>530</v>
      </c>
      <c r="E16" s="7">
        <f>[3]Spirit!$JB$5</f>
        <v>96</v>
      </c>
      <c r="F16" s="7">
        <f>[3]Condor!$JB$5+[3]Condor!$JB$16</f>
        <v>6</v>
      </c>
      <c r="G16" s="7">
        <f>'[3]Air France'!$JB$16</f>
        <v>21</v>
      </c>
      <c r="H16" s="7">
        <f>'[3]Jet Blue'!$JB$5</f>
        <v>30</v>
      </c>
      <c r="I16" s="7">
        <f>[3]KLM!$JB$5+[3]KLM!$JB$16</f>
        <v>13</v>
      </c>
      <c r="J16" s="7">
        <f>[3]Lufthansa!$JB$5+[3]Lufthansa!$JB$16</f>
        <v>22</v>
      </c>
      <c r="K16" s="7">
        <f>'Other Major Airline Stats'!K17</f>
        <v>1789</v>
      </c>
      <c r="L16" s="22">
        <f>SUM(B16:K16)</f>
        <v>9360</v>
      </c>
    </row>
    <row r="17" spans="1:12" x14ac:dyDescent="0.2">
      <c r="A17" s="43" t="s">
        <v>24</v>
      </c>
      <c r="B17" s="204">
        <f t="shared" ref="B17:K17" si="8">SUM(B15:B16)</f>
        <v>866</v>
      </c>
      <c r="C17" s="202">
        <f t="shared" si="8"/>
        <v>12845</v>
      </c>
      <c r="D17" s="202">
        <f t="shared" si="8"/>
        <v>1062</v>
      </c>
      <c r="E17" s="202">
        <f t="shared" si="8"/>
        <v>192</v>
      </c>
      <c r="F17" s="202">
        <f t="shared" ref="F17:I17" si="9">SUM(F15:F16)</f>
        <v>12</v>
      </c>
      <c r="G17" s="202">
        <f t="shared" si="9"/>
        <v>42</v>
      </c>
      <c r="H17" s="202">
        <f t="shared" ref="H17" si="10">SUM(H15:H16)</f>
        <v>60</v>
      </c>
      <c r="I17" s="202">
        <f t="shared" si="9"/>
        <v>26</v>
      </c>
      <c r="J17" s="202">
        <f t="shared" ref="J17" si="11">SUM(J15:J16)</f>
        <v>44</v>
      </c>
      <c r="K17" s="202">
        <f t="shared" si="8"/>
        <v>3591</v>
      </c>
      <c r="L17" s="203">
        <f>SUM(B17:K17)</f>
        <v>18740</v>
      </c>
    </row>
    <row r="18" spans="1:12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[3]American!$JB$8</f>
        <v>0</v>
      </c>
      <c r="C19" s="11">
        <f>[3]Delta!$JB$8</f>
        <v>1</v>
      </c>
      <c r="D19" s="11">
        <f>[3]United!$JB$8</f>
        <v>5</v>
      </c>
      <c r="E19" s="11">
        <f>[3]Spirit!$JB$8</f>
        <v>0</v>
      </c>
      <c r="F19" s="11">
        <f>[3]Condor!$JB$8</f>
        <v>0</v>
      </c>
      <c r="G19" s="11">
        <f>'[3]Air France'!$JB$8</f>
        <v>0</v>
      </c>
      <c r="H19" s="11">
        <f>'[3]Jet Blue'!$JB$8</f>
        <v>0</v>
      </c>
      <c r="I19" s="11">
        <f>[3]KLM!$JB$8</f>
        <v>0</v>
      </c>
      <c r="J19" s="11">
        <f>[3]Lufthansa!$JB$8</f>
        <v>0</v>
      </c>
      <c r="K19" s="11">
        <f>'Other Major Airline Stats'!K20</f>
        <v>54</v>
      </c>
      <c r="L19" s="16">
        <f>SUM(B19:K19)</f>
        <v>60</v>
      </c>
    </row>
    <row r="20" spans="1:12" x14ac:dyDescent="0.2">
      <c r="A20" s="43" t="s">
        <v>26</v>
      </c>
      <c r="B20" s="7">
        <f>[3]American!$JB$9</f>
        <v>0</v>
      </c>
      <c r="C20" s="7">
        <f>[3]Delta!$JB$9</f>
        <v>9</v>
      </c>
      <c r="D20" s="7">
        <f>[3]United!$JB$9</f>
        <v>7</v>
      </c>
      <c r="E20" s="7">
        <f>[3]Spirit!$JB$9</f>
        <v>0</v>
      </c>
      <c r="F20" s="7">
        <f>[3]Condor!$JB$9</f>
        <v>0</v>
      </c>
      <c r="G20" s="7">
        <f>'[3]Air France'!$JB$9</f>
        <v>0</v>
      </c>
      <c r="H20" s="7">
        <f>'[3]Jet Blue'!$JB$9</f>
        <v>0</v>
      </c>
      <c r="I20" s="7">
        <f>[3]KLM!$JB$9</f>
        <v>0</v>
      </c>
      <c r="J20" s="7">
        <f>[3]Lufthansa!$JB$9</f>
        <v>0</v>
      </c>
      <c r="K20" s="7">
        <f>'Other Major Airline Stats'!K21</f>
        <v>52</v>
      </c>
      <c r="L20" s="22">
        <f>SUM(B20:K20)</f>
        <v>68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10</v>
      </c>
      <c r="D21" s="202">
        <f t="shared" si="12"/>
        <v>12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106</v>
      </c>
      <c r="L21" s="139">
        <f>SUM(B21:K21)</f>
        <v>128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866</v>
      </c>
      <c r="C23" s="17">
        <f t="shared" si="16"/>
        <v>12855</v>
      </c>
      <c r="D23" s="17">
        <f t="shared" si="16"/>
        <v>1074</v>
      </c>
      <c r="E23" s="17">
        <f>E17+E21</f>
        <v>192</v>
      </c>
      <c r="F23" s="17">
        <f t="shared" ref="F23:I23" si="17">F17+F21</f>
        <v>12</v>
      </c>
      <c r="G23" s="17">
        <f t="shared" si="17"/>
        <v>42</v>
      </c>
      <c r="H23" s="17">
        <f t="shared" ref="H23" si="18">H17+H21</f>
        <v>60</v>
      </c>
      <c r="I23" s="17">
        <f t="shared" si="17"/>
        <v>26</v>
      </c>
      <c r="J23" s="17">
        <f t="shared" ref="J23" si="19">J17+J21</f>
        <v>44</v>
      </c>
      <c r="K23" s="17">
        <f t="shared" si="16"/>
        <v>3697</v>
      </c>
      <c r="L23" s="18">
        <f>SUM(B23:K23)</f>
        <v>18868</v>
      </c>
    </row>
    <row r="25" spans="1:12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[3]American!$JB$47</f>
        <v>30689</v>
      </c>
      <c r="C28" s="11">
        <f>[3]Delta!$JB$47</f>
        <v>3908086</v>
      </c>
      <c r="D28" s="11">
        <f>[3]United!$JB$47</f>
        <v>80599</v>
      </c>
      <c r="E28" s="11">
        <f>[3]Spirit!$JB$47</f>
        <v>0</v>
      </c>
      <c r="F28" s="11">
        <f>[3]Condor!$JB$47</f>
        <v>626</v>
      </c>
      <c r="G28" s="11">
        <f>'[3]Air France'!$JB$47</f>
        <v>460730</v>
      </c>
      <c r="H28" s="11">
        <f>'[3]Jet Blue'!$JB$47</f>
        <v>0</v>
      </c>
      <c r="I28" s="11">
        <f>[3]KLM!$JB$47</f>
        <v>273410</v>
      </c>
      <c r="J28" s="11">
        <f>[3]Lufthansa!$JB$47</f>
        <v>419024</v>
      </c>
      <c r="K28" s="11">
        <f>'Other Major Airline Stats'!K28</f>
        <v>209126</v>
      </c>
      <c r="L28" s="16">
        <f>SUM(B28:K28)</f>
        <v>5382290</v>
      </c>
    </row>
    <row r="29" spans="1:12" x14ac:dyDescent="0.2">
      <c r="A29" s="43" t="s">
        <v>38</v>
      </c>
      <c r="B29" s="7">
        <f>[3]American!$JB$48</f>
        <v>48</v>
      </c>
      <c r="C29" s="7">
        <f>[3]Delta!$JB$48</f>
        <v>67277</v>
      </c>
      <c r="D29" s="7">
        <f>[3]United!$JB$48</f>
        <v>0</v>
      </c>
      <c r="E29" s="7">
        <f>[3]Spirit!$JB$48</f>
        <v>0</v>
      </c>
      <c r="F29" s="7">
        <f>[3]Condor!$JB$48</f>
        <v>0</v>
      </c>
      <c r="G29" s="7">
        <f>'[3]Air France'!$JB$48</f>
        <v>0</v>
      </c>
      <c r="H29" s="7">
        <f>'[3]Jet Blue'!$JB$48</f>
        <v>0</v>
      </c>
      <c r="I29" s="7">
        <f>[3]KLM!$JB$48</f>
        <v>0</v>
      </c>
      <c r="J29" s="7">
        <f>[3]Lufthansa!$JB$48</f>
        <v>0</v>
      </c>
      <c r="K29" s="7">
        <f>'Other Major Airline Stats'!K29</f>
        <v>207</v>
      </c>
      <c r="L29" s="22">
        <f>SUM(B29:K29)</f>
        <v>67532</v>
      </c>
    </row>
    <row r="30" spans="1:12" x14ac:dyDescent="0.2">
      <c r="A30" s="47" t="s">
        <v>39</v>
      </c>
      <c r="B30" s="204">
        <f t="shared" ref="B30:K30" si="20">SUM(B28:B29)</f>
        <v>30737</v>
      </c>
      <c r="C30" s="204">
        <f t="shared" si="20"/>
        <v>3975363</v>
      </c>
      <c r="D30" s="204">
        <f t="shared" si="20"/>
        <v>80599</v>
      </c>
      <c r="E30" s="204">
        <f t="shared" si="20"/>
        <v>0</v>
      </c>
      <c r="F30" s="204">
        <f t="shared" ref="F30:I30" si="21">SUM(F28:F29)</f>
        <v>626</v>
      </c>
      <c r="G30" s="204">
        <f t="shared" si="21"/>
        <v>460730</v>
      </c>
      <c r="H30" s="204">
        <f t="shared" ref="H30" si="22">SUM(H28:H29)</f>
        <v>0</v>
      </c>
      <c r="I30" s="204">
        <f t="shared" si="21"/>
        <v>273410</v>
      </c>
      <c r="J30" s="204">
        <f t="shared" ref="J30" si="23">SUM(J28:J29)</f>
        <v>419024</v>
      </c>
      <c r="K30" s="204">
        <f t="shared" si="20"/>
        <v>209333</v>
      </c>
      <c r="L30" s="16">
        <f>SUM(B30:K30)</f>
        <v>5449822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[3]American!$JB$52</f>
        <v>5128</v>
      </c>
      <c r="C33" s="11">
        <f>[3]Delta!$JB$52</f>
        <v>2161600</v>
      </c>
      <c r="D33" s="11">
        <f>[3]United!$JB$52</f>
        <v>69774</v>
      </c>
      <c r="E33" s="11">
        <f>[3]Spirit!$JB$52</f>
        <v>0</v>
      </c>
      <c r="F33" s="11">
        <f>[3]Condor!$JB$52</f>
        <v>57168</v>
      </c>
      <c r="G33" s="11">
        <f>'[3]Air France'!$JB$52</f>
        <v>10908</v>
      </c>
      <c r="H33" s="11">
        <f>'[3]Jet Blue'!$JB$52</f>
        <v>0</v>
      </c>
      <c r="I33" s="11">
        <f>[3]KLM!$JB$52</f>
        <v>25049</v>
      </c>
      <c r="J33" s="11">
        <f>[3]Lufthansa!$JB$52</f>
        <v>17753</v>
      </c>
      <c r="K33" s="11">
        <f>'Other Major Airline Stats'!K33</f>
        <v>59390</v>
      </c>
      <c r="L33" s="16">
        <f t="shared" si="24"/>
        <v>2406770</v>
      </c>
    </row>
    <row r="34" spans="1:12" x14ac:dyDescent="0.2">
      <c r="A34" s="43" t="s">
        <v>38</v>
      </c>
      <c r="B34" s="7">
        <f>[3]American!$JB$53</f>
        <v>545</v>
      </c>
      <c r="C34" s="7">
        <f>[3]Delta!$JB$53</f>
        <v>63659</v>
      </c>
      <c r="D34" s="7">
        <f>[3]United!$JB$53</f>
        <v>0</v>
      </c>
      <c r="E34" s="7">
        <f>[3]Spirit!$JB$53</f>
        <v>0</v>
      </c>
      <c r="F34" s="7">
        <f>[3]Condor!$JB$53</f>
        <v>0</v>
      </c>
      <c r="G34" s="7">
        <f>'[3]Air France'!$JB$53</f>
        <v>0</v>
      </c>
      <c r="H34" s="7">
        <f>'[3]Jet Blue'!$JB$53</f>
        <v>0</v>
      </c>
      <c r="I34" s="7">
        <f>[3]KLM!$JB$53</f>
        <v>0</v>
      </c>
      <c r="J34" s="7">
        <f>[3]Lufthansa!$JB$53</f>
        <v>0</v>
      </c>
      <c r="K34" s="7">
        <f>'Other Major Airline Stats'!K34</f>
        <v>21</v>
      </c>
      <c r="L34" s="22">
        <f t="shared" si="24"/>
        <v>64225</v>
      </c>
    </row>
    <row r="35" spans="1:12" x14ac:dyDescent="0.2">
      <c r="A35" s="47" t="s">
        <v>41</v>
      </c>
      <c r="B35" s="204">
        <f t="shared" ref="B35:K35" si="25">SUM(B33:B34)</f>
        <v>5673</v>
      </c>
      <c r="C35" s="204">
        <f t="shared" si="25"/>
        <v>2225259</v>
      </c>
      <c r="D35" s="204">
        <f t="shared" si="25"/>
        <v>69774</v>
      </c>
      <c r="E35" s="204">
        <f t="shared" si="25"/>
        <v>0</v>
      </c>
      <c r="F35" s="204">
        <f t="shared" ref="F35:I35" si="26">SUM(F33:F34)</f>
        <v>57168</v>
      </c>
      <c r="G35" s="204">
        <f t="shared" si="26"/>
        <v>10908</v>
      </c>
      <c r="H35" s="204">
        <f t="shared" ref="H35" si="27">SUM(H33:H34)</f>
        <v>0</v>
      </c>
      <c r="I35" s="204">
        <f t="shared" si="26"/>
        <v>25049</v>
      </c>
      <c r="J35" s="204">
        <f t="shared" ref="J35" si="28">SUM(J33:J34)</f>
        <v>17753</v>
      </c>
      <c r="K35" s="204">
        <f t="shared" si="25"/>
        <v>59411</v>
      </c>
      <c r="L35" s="16">
        <f t="shared" si="24"/>
        <v>2470995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[3]American!$JB$57</f>
        <v>0</v>
      </c>
      <c r="C38" s="11">
        <f>[3]Delta!$JB$57</f>
        <v>0</v>
      </c>
      <c r="D38" s="11">
        <f>[3]United!$JB$57</f>
        <v>0</v>
      </c>
      <c r="E38" s="11">
        <f>[3]Spirit!$JB$57</f>
        <v>0</v>
      </c>
      <c r="F38" s="11">
        <f>[3]Condor!$JB$57</f>
        <v>0</v>
      </c>
      <c r="G38" s="11">
        <f>'[3]Air France'!$JB$57</f>
        <v>0</v>
      </c>
      <c r="H38" s="11">
        <f>'[3]Jet Blue'!$JB$57</f>
        <v>0</v>
      </c>
      <c r="I38" s="11">
        <f>[3]KLM!$JB$57</f>
        <v>0</v>
      </c>
      <c r="J38" s="11">
        <f>[3]Lufthansa!$JB$57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[3]American!$JB$58</f>
        <v>0</v>
      </c>
      <c r="C39" s="7">
        <f>[3]Delta!$JB$58</f>
        <v>0</v>
      </c>
      <c r="D39" s="7">
        <f>[3]United!$JB$58</f>
        <v>0</v>
      </c>
      <c r="E39" s="7">
        <f>[3]Spirit!$JB$58</f>
        <v>0</v>
      </c>
      <c r="F39" s="7">
        <f>[3]Condor!$JB$58</f>
        <v>0</v>
      </c>
      <c r="G39" s="7">
        <f>'[3]Air France'!$JB$58</f>
        <v>0</v>
      </c>
      <c r="H39" s="7">
        <f>'[3]Jet Blue'!$JB$58</f>
        <v>0</v>
      </c>
      <c r="I39" s="7">
        <f>[3]KLM!$JB$58</f>
        <v>0</v>
      </c>
      <c r="J39" s="7">
        <f>[3]Lufthansa!$JB$58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35817</v>
      </c>
      <c r="C43" s="11">
        <f t="shared" si="33"/>
        <v>6069686</v>
      </c>
      <c r="D43" s="11">
        <f t="shared" si="33"/>
        <v>150373</v>
      </c>
      <c r="E43" s="11">
        <f>E28+E33+E38</f>
        <v>0</v>
      </c>
      <c r="F43" s="11">
        <f t="shared" ref="F43:I43" si="34">F28+F33+F38</f>
        <v>57794</v>
      </c>
      <c r="G43" s="11">
        <f t="shared" si="34"/>
        <v>471638</v>
      </c>
      <c r="H43" s="11">
        <f t="shared" ref="H43" si="35">H28+H33+H38</f>
        <v>0</v>
      </c>
      <c r="I43" s="11">
        <f t="shared" si="34"/>
        <v>298459</v>
      </c>
      <c r="J43" s="11">
        <f t="shared" ref="J43" si="36">J28+J33+J38</f>
        <v>436777</v>
      </c>
      <c r="K43" s="11">
        <f t="shared" si="33"/>
        <v>268516</v>
      </c>
      <c r="L43" s="16">
        <f>SUM(B43:K43)</f>
        <v>7789060</v>
      </c>
    </row>
    <row r="44" spans="1:12" x14ac:dyDescent="0.2">
      <c r="A44" s="43" t="s">
        <v>38</v>
      </c>
      <c r="B44" s="7">
        <f t="shared" si="33"/>
        <v>593</v>
      </c>
      <c r="C44" s="7">
        <f t="shared" si="33"/>
        <v>130936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228</v>
      </c>
      <c r="L44" s="16">
        <f>SUM(B44:K44)</f>
        <v>131757</v>
      </c>
    </row>
    <row r="45" spans="1:12" ht="15.75" thickBot="1" x14ac:dyDescent="0.3">
      <c r="A45" s="44" t="s">
        <v>46</v>
      </c>
      <c r="B45" s="205">
        <f t="shared" ref="B45:K45" si="40">SUM(B43:B44)</f>
        <v>36410</v>
      </c>
      <c r="C45" s="205">
        <f t="shared" si="40"/>
        <v>6200622</v>
      </c>
      <c r="D45" s="205">
        <f t="shared" si="40"/>
        <v>150373</v>
      </c>
      <c r="E45" s="205">
        <f t="shared" si="40"/>
        <v>0</v>
      </c>
      <c r="F45" s="205">
        <f t="shared" ref="F45:I45" si="41">SUM(F43:F44)</f>
        <v>57794</v>
      </c>
      <c r="G45" s="205">
        <f t="shared" si="41"/>
        <v>471638</v>
      </c>
      <c r="H45" s="205">
        <f t="shared" ref="H45" si="42">SUM(H43:H44)</f>
        <v>0</v>
      </c>
      <c r="I45" s="205">
        <f t="shared" si="41"/>
        <v>298459</v>
      </c>
      <c r="J45" s="205">
        <f t="shared" ref="J45" si="43">SUM(J43:J44)</f>
        <v>436777</v>
      </c>
      <c r="K45" s="205">
        <f t="shared" si="40"/>
        <v>268744</v>
      </c>
      <c r="L45" s="206">
        <f>SUM(B45:K45)</f>
        <v>7920817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8" t="s">
        <v>120</v>
      </c>
      <c r="C47" s="231">
        <f>[3]Delta!$JB$70+[3]Delta!$JB$73</f>
        <v>507244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507244</v>
      </c>
    </row>
    <row r="48" spans="1:12" hidden="1" x14ac:dyDescent="0.2">
      <c r="A48" s="269" t="s">
        <v>121</v>
      </c>
      <c r="C48" s="231">
        <f>[3]Delta!$JB$71+[3]Delta!$JB$74</f>
        <v>375219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375219</v>
      </c>
    </row>
    <row r="49" spans="1:12" hidden="1" x14ac:dyDescent="0.2">
      <c r="A49" s="270" t="s">
        <v>122</v>
      </c>
      <c r="C49" s="232">
        <f>SUM(C47:C48)</f>
        <v>882463</v>
      </c>
      <c r="L49" s="220">
        <f>SUM(B49:K49)</f>
        <v>882463</v>
      </c>
    </row>
    <row r="50" spans="1:12" x14ac:dyDescent="0.2">
      <c r="A50" s="268" t="s">
        <v>120</v>
      </c>
      <c r="B50" s="279"/>
      <c r="C50" s="234">
        <f>[3]Delta!$JB$70+[3]Delta!$JB$73</f>
        <v>507244</v>
      </c>
      <c r="D50" s="279"/>
      <c r="E50" s="234">
        <f>[3]Spirit!$JB$70+[3]Spirit!$JB$73</f>
        <v>0</v>
      </c>
      <c r="F50" s="279"/>
      <c r="G50" s="279"/>
      <c r="H50" s="279"/>
      <c r="I50" s="279"/>
      <c r="J50" s="279"/>
      <c r="K50" s="233">
        <f>'Other Major Airline Stats'!K48</f>
        <v>69541</v>
      </c>
      <c r="L50" s="223">
        <f>SUM(B50:K50)</f>
        <v>576785</v>
      </c>
    </row>
    <row r="51" spans="1:12" x14ac:dyDescent="0.2">
      <c r="A51" s="281" t="s">
        <v>121</v>
      </c>
      <c r="B51" s="279"/>
      <c r="C51" s="234">
        <f>[3]Delta!$JB$71+[3]Delta!$JB$74</f>
        <v>375219</v>
      </c>
      <c r="D51" s="279"/>
      <c r="E51" s="234">
        <f>[3]Spirit!$JB$71+[3]Spirit!$JB$74</f>
        <v>0</v>
      </c>
      <c r="F51" s="279"/>
      <c r="G51" s="279"/>
      <c r="H51" s="279"/>
      <c r="I51" s="279"/>
      <c r="J51" s="279"/>
      <c r="K51" s="233">
        <f>+'Other Major Airline Stats'!K49</f>
        <v>271</v>
      </c>
      <c r="L51" s="223">
        <f>SUM(B51:K51)</f>
        <v>375490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M11" sqref="M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45536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[3]Frontier!$JB$22+[3]Frontier!$JB$32</f>
        <v>17564</v>
      </c>
      <c r="C5" s="89">
        <f>'[3]Allegiant '!$JB$22</f>
        <v>0</v>
      </c>
      <c r="D5" s="89">
        <f>'[3]Aer Lingus'!$JB$22+'[3]Aer Lingus'!$JB$32</f>
        <v>2424</v>
      </c>
      <c r="E5" s="89">
        <f>'[3]Denver Air'!$JB$22+'[3]Denver Air'!$JB$32</f>
        <v>879</v>
      </c>
      <c r="F5" s="89">
        <f>[3]WestJet!$JB$22+[3]WestJet!$JB$32</f>
        <v>10433</v>
      </c>
      <c r="G5" s="89">
        <f>[3]Icelandair!$JB$32</f>
        <v>5050</v>
      </c>
      <c r="H5" s="89">
        <f>[3]Southwest!$JB$22</f>
        <v>66805</v>
      </c>
      <c r="I5" s="89">
        <f>'[3]Sun Country'!$JB$22+'[3]Sun Country'!$JB$32</f>
        <v>103399</v>
      </c>
      <c r="J5" s="89">
        <f>[3]Alaska!$JB$22</f>
        <v>17018</v>
      </c>
      <c r="K5" s="112">
        <f>SUM(B5:J5)</f>
        <v>223572</v>
      </c>
      <c r="N5" s="89"/>
    </row>
    <row r="6" spans="1:14" x14ac:dyDescent="0.2">
      <c r="A6" s="43" t="s">
        <v>31</v>
      </c>
      <c r="B6" s="89">
        <f>[3]Frontier!$JB$23+[3]Frontier!$JB$33</f>
        <v>18120</v>
      </c>
      <c r="C6" s="89">
        <f>'[3]Allegiant '!$JB$23</f>
        <v>0</v>
      </c>
      <c r="D6" s="89">
        <f>'[3]Aer Lingus'!$JB$23+'[3]Aer Lingus'!$JB$33</f>
        <v>2641</v>
      </c>
      <c r="E6" s="89">
        <f>'[3]Denver Air'!$JB$23+'[3]Denver Air'!$JB$33</f>
        <v>879</v>
      </c>
      <c r="F6" s="89">
        <f>[3]WestJet!$JB$23+[3]WestJet!$JB$33</f>
        <v>10601</v>
      </c>
      <c r="G6" s="89">
        <f>[3]Icelandair!$JB$33</f>
        <v>4913</v>
      </c>
      <c r="H6" s="89">
        <f>[3]Southwest!$JB$23</f>
        <v>69812</v>
      </c>
      <c r="I6" s="89">
        <f>'[3]Sun Country'!$JB$23+'[3]Sun Country'!$JB$33</f>
        <v>100376</v>
      </c>
      <c r="J6" s="89">
        <f>[3]Alaska!$JB$23</f>
        <v>15834</v>
      </c>
      <c r="K6" s="112">
        <f>SUM(B6:J6)</f>
        <v>223176</v>
      </c>
    </row>
    <row r="7" spans="1:14" ht="15" x14ac:dyDescent="0.25">
      <c r="A7" s="41" t="s">
        <v>7</v>
      </c>
      <c r="B7" s="120">
        <f>SUM(B5:B6)</f>
        <v>35684</v>
      </c>
      <c r="C7" s="120">
        <f t="shared" ref="C7:F7" si="0">SUM(C5:C6)</f>
        <v>0</v>
      </c>
      <c r="D7" s="120">
        <f>SUM(D5:D6)</f>
        <v>5065</v>
      </c>
      <c r="E7" s="120">
        <f>SUM(E5:E6)</f>
        <v>1758</v>
      </c>
      <c r="F7" s="120">
        <f t="shared" si="0"/>
        <v>21034</v>
      </c>
      <c r="G7" s="120">
        <f t="shared" ref="G7:J7" si="1">SUM(G5:G6)</f>
        <v>9963</v>
      </c>
      <c r="H7" s="120">
        <f t="shared" si="1"/>
        <v>136617</v>
      </c>
      <c r="I7" s="120">
        <f>SUM(I5:I6)</f>
        <v>203775</v>
      </c>
      <c r="J7" s="120">
        <f t="shared" si="1"/>
        <v>32852</v>
      </c>
      <c r="K7" s="121">
        <f>SUM(B7:J7)</f>
        <v>446748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[3]Frontier!$JB$27+[3]Frontier!$JB$37</f>
        <v>121</v>
      </c>
      <c r="C10" s="119">
        <f>'[3]Allegiant '!$JB$27</f>
        <v>0</v>
      </c>
      <c r="D10" s="351">
        <f>'[3]Aer Lingus'!$JB$27+'[3]Aer Lingus'!$JB$37</f>
        <v>19</v>
      </c>
      <c r="E10" s="119">
        <f>'[3]Denver Air'!$JB$27+'[3]Denver Air'!$JB$37</f>
        <v>26</v>
      </c>
      <c r="F10" s="119">
        <f>[3]WestJet!$JB$27+[3]WestJet!$JB$37</f>
        <v>0</v>
      </c>
      <c r="G10" s="119">
        <f>[3]Icelandair!$JB$37</f>
        <v>18</v>
      </c>
      <c r="H10" s="119">
        <f>[3]Southwest!$JB$27</f>
        <v>1668</v>
      </c>
      <c r="I10" s="119">
        <f>'[3]Sun Country'!$JB$27+'[3]Sun Country'!$JB$37</f>
        <v>2510</v>
      </c>
      <c r="J10" s="119">
        <f>[3]Alaska!$JB$27</f>
        <v>477</v>
      </c>
      <c r="K10" s="112">
        <f>SUM(B10:J10)</f>
        <v>4839</v>
      </c>
    </row>
    <row r="11" spans="1:14" x14ac:dyDescent="0.2">
      <c r="A11" s="43" t="s">
        <v>33</v>
      </c>
      <c r="B11" s="122">
        <f>[3]Frontier!$JB$28+[3]Frontier!$JB$38</f>
        <v>120</v>
      </c>
      <c r="C11" s="122">
        <f>'[3]Allegiant '!$JB$28</f>
        <v>0</v>
      </c>
      <c r="D11" s="122">
        <f>'[3]Aer Lingus'!$JB$28+'[3]Aer Lingus'!$JB$38</f>
        <v>14</v>
      </c>
      <c r="E11" s="122">
        <f>'[3]Denver Air'!$JB$28+'[3]Denver Air'!$JB$38</f>
        <v>25</v>
      </c>
      <c r="F11" s="122">
        <f>[3]WestJet!$JB$28+[3]WestJet!$JB$38</f>
        <v>0</v>
      </c>
      <c r="G11" s="122">
        <f>[3]Icelandair!$JB$38</f>
        <v>22</v>
      </c>
      <c r="H11" s="122">
        <f>[3]Southwest!$JB$28</f>
        <v>1887</v>
      </c>
      <c r="I11" s="122">
        <f>'[3]Sun Country'!$JB$28+'[3]Sun Country'!$JB$38</f>
        <v>2492</v>
      </c>
      <c r="J11" s="122">
        <f>[3]Alaska!$JB$28</f>
        <v>552</v>
      </c>
      <c r="K11" s="112">
        <f>SUM(B11:J11)</f>
        <v>5112</v>
      </c>
    </row>
    <row r="12" spans="1:14" ht="15.75" thickBot="1" x14ac:dyDescent="0.3">
      <c r="A12" s="44" t="s">
        <v>34</v>
      </c>
      <c r="B12" s="115">
        <f>SUM(B10:B11)</f>
        <v>241</v>
      </c>
      <c r="C12" s="115">
        <f t="shared" ref="C12:F12" si="2">SUM(C10:C11)</f>
        <v>0</v>
      </c>
      <c r="D12" s="115">
        <f>SUM(D10:D11)</f>
        <v>33</v>
      </c>
      <c r="E12" s="115">
        <f>SUM(E10:E11)</f>
        <v>51</v>
      </c>
      <c r="F12" s="115">
        <f t="shared" si="2"/>
        <v>0</v>
      </c>
      <c r="G12" s="115">
        <f t="shared" ref="G12:J12" si="3">SUM(G10:G11)</f>
        <v>40</v>
      </c>
      <c r="H12" s="115">
        <f t="shared" si="3"/>
        <v>3555</v>
      </c>
      <c r="I12" s="115">
        <f>SUM(I10:I11)</f>
        <v>5002</v>
      </c>
      <c r="J12" s="115">
        <f t="shared" si="3"/>
        <v>1029</v>
      </c>
      <c r="K12" s="123">
        <f>SUM(B12:J12)</f>
        <v>9951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[3]Frontier!$JB$4+[3]Frontier!$JB$15</f>
        <v>119</v>
      </c>
      <c r="C16" s="79">
        <f>'[3]Allegiant '!$JB$4</f>
        <v>0</v>
      </c>
      <c r="D16" s="89">
        <f>'[3]Aer Lingus'!$JB$4+'[3]Aer Lingus'!$JB$15</f>
        <v>17</v>
      </c>
      <c r="E16" s="89">
        <f>'[3]Denver Air'!$JB$4+'[3]Denver Air'!$JB$15</f>
        <v>78</v>
      </c>
      <c r="F16" s="79">
        <f>[3]WestJet!$JB$4+[3]WestJet!$JB$15</f>
        <v>108</v>
      </c>
      <c r="G16" s="89">
        <f>[3]Icelandair!$JB$15</f>
        <v>30</v>
      </c>
      <c r="H16" s="79">
        <f>[3]Southwest!$JB$4</f>
        <v>587</v>
      </c>
      <c r="I16" s="89">
        <f>'[3]Sun Country'!$JB$4+'[3]Sun Country'!$JB$15</f>
        <v>735</v>
      </c>
      <c r="J16" s="89">
        <f>[3]Alaska!$JB$4</f>
        <v>128</v>
      </c>
      <c r="K16" s="112">
        <f>SUM(B16:J16)</f>
        <v>1802</v>
      </c>
    </row>
    <row r="17" spans="1:258" x14ac:dyDescent="0.2">
      <c r="A17" s="43" t="s">
        <v>23</v>
      </c>
      <c r="B17" s="89">
        <f>[3]Frontier!$JB$5+[3]Frontier!$JB$16</f>
        <v>119</v>
      </c>
      <c r="C17" s="79">
        <f>'[3]Allegiant '!$JB$5</f>
        <v>0</v>
      </c>
      <c r="D17" s="89">
        <f>'[3]Aer Lingus'!$JB$5+'[3]Aer Lingus'!$JB$16</f>
        <v>17</v>
      </c>
      <c r="E17" s="89">
        <f>'[3]Denver Air'!$JB$5+'[3]Denver Air'!$JB$16</f>
        <v>78</v>
      </c>
      <c r="F17" s="79">
        <f>[3]WestJet!$JB$5+[3]WestJet!$JB$16</f>
        <v>108</v>
      </c>
      <c r="G17" s="89">
        <f>[3]Icelandair!$JB$16</f>
        <v>30</v>
      </c>
      <c r="H17" s="79">
        <f>[3]Southwest!$JB$5</f>
        <v>586</v>
      </c>
      <c r="I17" s="89">
        <f>'[3]Sun Country'!$JB$5+'[3]Sun Country'!$JB$16</f>
        <v>722</v>
      </c>
      <c r="J17" s="89">
        <f>[3]Alaska!$JB$5</f>
        <v>129</v>
      </c>
      <c r="K17" s="112">
        <f>SUM(B17:J17)</f>
        <v>1789</v>
      </c>
    </row>
    <row r="18" spans="1:258" x14ac:dyDescent="0.2">
      <c r="A18" s="47" t="s">
        <v>24</v>
      </c>
      <c r="B18" s="113">
        <f t="shared" ref="B18" si="4">SUM(B16:B17)</f>
        <v>238</v>
      </c>
      <c r="C18" s="113">
        <f t="shared" ref="C18:F18" si="5">SUM(C16:C17)</f>
        <v>0</v>
      </c>
      <c r="D18" s="113">
        <f t="shared" si="5"/>
        <v>34</v>
      </c>
      <c r="E18" s="113">
        <f t="shared" si="5"/>
        <v>156</v>
      </c>
      <c r="F18" s="113">
        <f t="shared" si="5"/>
        <v>216</v>
      </c>
      <c r="G18" s="113">
        <f t="shared" ref="G18:J18" si="6">SUM(G16:G17)</f>
        <v>60</v>
      </c>
      <c r="H18" s="113">
        <f t="shared" si="6"/>
        <v>1173</v>
      </c>
      <c r="I18" s="113">
        <f t="shared" si="6"/>
        <v>1457</v>
      </c>
      <c r="J18" s="113">
        <f t="shared" si="6"/>
        <v>257</v>
      </c>
      <c r="K18" s="114">
        <f>SUM(B18:J18)</f>
        <v>3591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[3]Frontier!$JB$8</f>
        <v>0</v>
      </c>
      <c r="C20" s="89">
        <f>'[3]Allegiant '!$JB$8</f>
        <v>0</v>
      </c>
      <c r="D20" s="89">
        <f>'[3]Aer Lingus'!$JB$8</f>
        <v>0</v>
      </c>
      <c r="E20" s="89">
        <f>'[3]Denver Air'!$JB$8</f>
        <v>0</v>
      </c>
      <c r="F20" s="89">
        <f>[3]WestJet!$JB$8</f>
        <v>0</v>
      </c>
      <c r="G20" s="89">
        <f>[3]Icelandair!$JB$8</f>
        <v>0</v>
      </c>
      <c r="H20" s="89">
        <f>[3]Southwest!$JB$8</f>
        <v>0</v>
      </c>
      <c r="I20" s="89">
        <f>'[3]Sun Country'!$JB$8</f>
        <v>54</v>
      </c>
      <c r="J20" s="89">
        <f>[3]Alaska!$JB$8</f>
        <v>0</v>
      </c>
      <c r="K20" s="112">
        <f>SUM(B20:J20)</f>
        <v>54</v>
      </c>
    </row>
    <row r="21" spans="1:258" x14ac:dyDescent="0.2">
      <c r="A21" s="43" t="s">
        <v>26</v>
      </c>
      <c r="B21" s="89">
        <f>[3]Frontier!$JB$9</f>
        <v>0</v>
      </c>
      <c r="C21" s="89">
        <f>'[3]Allegiant '!$JB$9</f>
        <v>0</v>
      </c>
      <c r="D21" s="89">
        <f>'[3]Aer Lingus'!$JB$9</f>
        <v>0</v>
      </c>
      <c r="E21" s="89">
        <f>'[3]Denver Air'!$JB$9</f>
        <v>0</v>
      </c>
      <c r="F21" s="89">
        <f>[3]WestJet!$JB$9</f>
        <v>0</v>
      </c>
      <c r="G21" s="89">
        <f>[3]Icelandair!$JB$9</f>
        <v>0</v>
      </c>
      <c r="H21" s="89">
        <f>[3]Southwest!$JB$9</f>
        <v>0</v>
      </c>
      <c r="I21" s="89">
        <f>'[3]Sun Country'!$JB$9</f>
        <v>52</v>
      </c>
      <c r="J21" s="89">
        <f>[3]Alaska!$JB$9</f>
        <v>0</v>
      </c>
      <c r="K21" s="112">
        <f>SUM(B21:J21)</f>
        <v>52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106</v>
      </c>
      <c r="J22" s="113">
        <f t="shared" si="9"/>
        <v>0</v>
      </c>
      <c r="K22" s="114">
        <f>SUM(B22:J22)</f>
        <v>106</v>
      </c>
    </row>
    <row r="23" spans="1:258" ht="15.75" thickBot="1" x14ac:dyDescent="0.3">
      <c r="A23" s="44" t="s">
        <v>28</v>
      </c>
      <c r="B23" s="115">
        <f t="shared" ref="B23" si="10">B22+B18</f>
        <v>238</v>
      </c>
      <c r="C23" s="115">
        <f t="shared" ref="C23:F23" si="11">C22+C18</f>
        <v>0</v>
      </c>
      <c r="D23" s="115">
        <f t="shared" si="11"/>
        <v>34</v>
      </c>
      <c r="E23" s="115">
        <f t="shared" si="11"/>
        <v>156</v>
      </c>
      <c r="F23" s="115">
        <f t="shared" si="11"/>
        <v>216</v>
      </c>
      <c r="G23" s="115">
        <f t="shared" ref="G23:J23" si="12">G22+G18</f>
        <v>60</v>
      </c>
      <c r="H23" s="115">
        <f t="shared" si="12"/>
        <v>1173</v>
      </c>
      <c r="I23" s="115">
        <f>I22+I18</f>
        <v>1563</v>
      </c>
      <c r="J23" s="115">
        <f t="shared" si="12"/>
        <v>257</v>
      </c>
      <c r="K23" s="116">
        <f>SUM(B23:J23)</f>
        <v>3697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[3]Frontier!$JB$47</f>
        <v>0</v>
      </c>
      <c r="C28" s="89">
        <f>'[3]Allegiant '!$JB$47</f>
        <v>0</v>
      </c>
      <c r="D28" s="89">
        <f>'[3]Aer Lingus'!$JB$47</f>
        <v>0</v>
      </c>
      <c r="E28" s="89">
        <f>'[3]Denver Air'!$JB$47</f>
        <v>0</v>
      </c>
      <c r="F28" s="89">
        <f>[3]WestJet!$JB$47</f>
        <v>0</v>
      </c>
      <c r="G28" s="89">
        <f>[3]Icelandair!$JB$47</f>
        <v>3940</v>
      </c>
      <c r="H28" s="89">
        <f>[3]Southwest!$JB$47</f>
        <v>165944</v>
      </c>
      <c r="I28" s="89">
        <f>'[3]Sun Country'!$JB$47</f>
        <v>0</v>
      </c>
      <c r="J28" s="89">
        <f>[3]Alaska!$JB$47</f>
        <v>39242</v>
      </c>
      <c r="K28" s="112">
        <f>SUM(B28:J28)</f>
        <v>209126</v>
      </c>
    </row>
    <row r="29" spans="1:258" x14ac:dyDescent="0.2">
      <c r="A29" s="43" t="s">
        <v>38</v>
      </c>
      <c r="B29" s="89">
        <f>[3]Frontier!$JB$48</f>
        <v>0</v>
      </c>
      <c r="C29" s="89">
        <f>'[3]Allegiant '!$JB$48</f>
        <v>0</v>
      </c>
      <c r="D29" s="89">
        <f>'[3]Aer Lingus'!$JB$48</f>
        <v>0</v>
      </c>
      <c r="E29" s="89">
        <f>'[3]Denver Air'!$JB$48</f>
        <v>0</v>
      </c>
      <c r="F29" s="89">
        <f>[3]WestJet!$JB$48</f>
        <v>0</v>
      </c>
      <c r="G29" s="89">
        <f>[3]Icelandair!$JB$48</f>
        <v>64</v>
      </c>
      <c r="H29" s="89">
        <f>[3]Southwest!$JB$48</f>
        <v>0</v>
      </c>
      <c r="I29" s="89">
        <f>'[3]Sun Country'!$JB$48</f>
        <v>0</v>
      </c>
      <c r="J29" s="89">
        <f>[3]Alaska!$JB$48</f>
        <v>143</v>
      </c>
      <c r="K29" s="112">
        <f>SUM(B29:J29)</f>
        <v>207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4004</v>
      </c>
      <c r="H30" s="127">
        <f t="shared" si="15"/>
        <v>165944</v>
      </c>
      <c r="I30" s="127">
        <f t="shared" si="15"/>
        <v>0</v>
      </c>
      <c r="J30" s="127">
        <f t="shared" si="15"/>
        <v>39385</v>
      </c>
      <c r="K30" s="129">
        <f>SUM(B30:J30)</f>
        <v>209333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[3]Frontier!$JB$52</f>
        <v>0</v>
      </c>
      <c r="C33" s="89">
        <f>'[3]Allegiant '!$JB$52</f>
        <v>0</v>
      </c>
      <c r="D33" s="89">
        <f>'[3]Aer Lingus'!$JB$52</f>
        <v>0</v>
      </c>
      <c r="E33" s="89">
        <f>'[3]Denver Air'!$JB$52</f>
        <v>0</v>
      </c>
      <c r="F33" s="89">
        <f>[3]WestJet!$JB$52</f>
        <v>0</v>
      </c>
      <c r="G33" s="89">
        <f>[3]Icelandair!$JB$52</f>
        <v>0</v>
      </c>
      <c r="H33" s="89">
        <f>[3]Southwest!$JB$52</f>
        <v>47682</v>
      </c>
      <c r="I33" s="89">
        <f>'[3]Sun Country'!$JB$52</f>
        <v>0</v>
      </c>
      <c r="J33" s="89">
        <f>[3]Alaska!$JB$52</f>
        <v>11708</v>
      </c>
      <c r="K33" s="112">
        <f>SUM(B33:J33)</f>
        <v>59390</v>
      </c>
    </row>
    <row r="34" spans="1:11" x14ac:dyDescent="0.2">
      <c r="A34" s="43" t="s">
        <v>38</v>
      </c>
      <c r="B34" s="89">
        <f>[3]Frontier!$JB$53</f>
        <v>0</v>
      </c>
      <c r="C34" s="89">
        <f>'[3]Allegiant '!$JB$53</f>
        <v>0</v>
      </c>
      <c r="D34" s="89">
        <f>'[3]Aer Lingus'!$JB$53</f>
        <v>0</v>
      </c>
      <c r="E34" s="89">
        <f>'[3]Denver Air'!$JB$53</f>
        <v>0</v>
      </c>
      <c r="F34" s="89">
        <f>[3]WestJet!$JB$53</f>
        <v>0</v>
      </c>
      <c r="G34" s="89">
        <f>[3]Icelandair!$JB$53</f>
        <v>0</v>
      </c>
      <c r="H34" s="89">
        <f>[3]Southwest!$JB$53</f>
        <v>0</v>
      </c>
      <c r="I34" s="89">
        <f>'[3]Sun Country'!$JB$53</f>
        <v>0</v>
      </c>
      <c r="J34" s="89">
        <f>[3]Alaska!$JB$53</f>
        <v>21</v>
      </c>
      <c r="K34" s="128">
        <f>SUM(B34:J34)</f>
        <v>21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47682</v>
      </c>
      <c r="I35" s="113">
        <f t="shared" si="18"/>
        <v>0</v>
      </c>
      <c r="J35" s="113">
        <f t="shared" si="18"/>
        <v>11729</v>
      </c>
      <c r="K35" s="129">
        <f>SUM(B35:J35)</f>
        <v>59411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[3]Frontier!$JB$57</f>
        <v>0</v>
      </c>
      <c r="C38" s="119">
        <f>'[3]Allegiant '!$JB$57</f>
        <v>0</v>
      </c>
      <c r="D38" s="351">
        <f>'[3]Aer Lingus'!$JB$57</f>
        <v>0</v>
      </c>
      <c r="E38" s="119">
        <f>'[3]Denver Air'!$JB$57</f>
        <v>0</v>
      </c>
      <c r="F38" s="119">
        <f>[3]WestJet!$JB$57</f>
        <v>0</v>
      </c>
      <c r="G38" s="119">
        <f>[3]Icelandair!$JB$57</f>
        <v>0</v>
      </c>
      <c r="H38" s="119">
        <f>[3]Southwest!$JB$57</f>
        <v>0</v>
      </c>
      <c r="I38" s="119">
        <f>'[3]Sun Country'!$JB$57</f>
        <v>0</v>
      </c>
      <c r="J38" s="119">
        <f>[3]Alaska!$JB$57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[3]Frontier!$JB$58</f>
        <v>0</v>
      </c>
      <c r="C39" s="122">
        <f>'[3]Allegiant '!$JB$58</f>
        <v>0</v>
      </c>
      <c r="D39" s="122">
        <f>'[3]Aer Lingus'!$JB$58</f>
        <v>0</v>
      </c>
      <c r="E39" s="122">
        <f>'[3]Denver Air'!$JB$58</f>
        <v>0</v>
      </c>
      <c r="F39" s="122">
        <f>[3]WestJet!$JB$58</f>
        <v>0</v>
      </c>
      <c r="G39" s="122">
        <f>[3]Icelandair!$JB$58</f>
        <v>0</v>
      </c>
      <c r="H39" s="122">
        <f>[3]Southwest!$JB$58</f>
        <v>0</v>
      </c>
      <c r="I39" s="122">
        <f>'[3]Sun Country'!$JB$58</f>
        <v>0</v>
      </c>
      <c r="J39" s="122">
        <f>[3]Alaska!$JB$58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3940</v>
      </c>
      <c r="H43" s="119">
        <f t="shared" si="24"/>
        <v>213626</v>
      </c>
      <c r="I43" s="119">
        <f t="shared" si="24"/>
        <v>0</v>
      </c>
      <c r="J43" s="119">
        <f t="shared" si="24"/>
        <v>50950</v>
      </c>
      <c r="K43" s="112">
        <f>SUM(B43:J43)</f>
        <v>268516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64</v>
      </c>
      <c r="H44" s="122">
        <f t="shared" si="27"/>
        <v>0</v>
      </c>
      <c r="I44" s="122">
        <f t="shared" si="27"/>
        <v>0</v>
      </c>
      <c r="J44" s="122">
        <f t="shared" si="27"/>
        <v>164</v>
      </c>
      <c r="K44" s="112">
        <f>SUM(B44:J44)</f>
        <v>228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4004</v>
      </c>
      <c r="H45" s="131">
        <f t="shared" si="30"/>
        <v>213626</v>
      </c>
      <c r="I45" s="131">
        <f t="shared" si="30"/>
        <v>0</v>
      </c>
      <c r="J45" s="131">
        <f t="shared" si="30"/>
        <v>51114</v>
      </c>
      <c r="K45" s="132">
        <f>SUM(B45:J45)</f>
        <v>268744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[3]Southwest!$JB$70+[3]Southwest!$JB$73</f>
        <v>69541</v>
      </c>
      <c r="I48" s="234">
        <f>'[3]Sun Country'!$JB$70+'[3]Sun Country'!$JB$73</f>
        <v>0</v>
      </c>
      <c r="J48" s="279"/>
      <c r="K48" s="223">
        <f>SUM(B48:J48)</f>
        <v>69541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[3]Southwest!$JB$71+[3]Southwest!$JB$74</f>
        <v>271</v>
      </c>
      <c r="I49" s="234">
        <f>'[3]Sun Country'!$JB$71+'[3]Sun Country'!$JB$74</f>
        <v>0</v>
      </c>
      <c r="J49" s="279"/>
      <c r="K49" s="223">
        <f>SUM(B49:J49)</f>
        <v>271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September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R29" sqref="R29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45536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[3]Pinnacle!$JB$22+[3]Pinnacle!$JB$32</f>
        <v>38125</v>
      </c>
      <c r="C5" s="81">
        <f>[3]MESA_UA!$JB$22</f>
        <v>6792</v>
      </c>
      <c r="D5" s="89">
        <f>'[3]Sky West'!$JB$22+'[3]Sky West'!$JB$32</f>
        <v>124431</v>
      </c>
      <c r="E5" s="89">
        <f>'[3]Sky West_UA'!$JB$22</f>
        <v>569</v>
      </c>
      <c r="F5" s="89">
        <f>'[3]Sky West_AS'!$JB$22</f>
        <v>0</v>
      </c>
      <c r="G5" s="89">
        <f>'[3]Sky West_AA'!$JB$22</f>
        <v>0</v>
      </c>
      <c r="H5" s="89">
        <f>[3]Republic!$JB$22</f>
        <v>4313</v>
      </c>
      <c r="I5" s="89">
        <f>[3]Republic_UA!$JB$22</f>
        <v>1709</v>
      </c>
      <c r="J5" s="89">
        <f>'[3]Sky Regional'!$JB$32</f>
        <v>0</v>
      </c>
      <c r="K5" s="89">
        <f>'[3]American Eagle'!$JB$22</f>
        <v>5094</v>
      </c>
      <c r="L5" s="89">
        <f>'Other Regional'!L5</f>
        <v>9141</v>
      </c>
      <c r="M5" s="82">
        <f>SUM(B5:L5)</f>
        <v>190174</v>
      </c>
    </row>
    <row r="6" spans="1:16" s="6" customFormat="1" x14ac:dyDescent="0.2">
      <c r="A6" s="43" t="s">
        <v>31</v>
      </c>
      <c r="B6" s="81">
        <f>[3]Pinnacle!$JB$23+[3]Pinnacle!$JB$33</f>
        <v>37634</v>
      </c>
      <c r="C6" s="81">
        <f>[3]MESA_UA!$JB$23</f>
        <v>6721</v>
      </c>
      <c r="D6" s="89">
        <f>'[3]Sky West'!$JB$23+'[3]Sky West'!$JB$33</f>
        <v>122489</v>
      </c>
      <c r="E6" s="89">
        <f>'[3]Sky West_UA'!$JB$23</f>
        <v>577</v>
      </c>
      <c r="F6" s="89">
        <f>'[3]Sky West_AS'!$JB$23</f>
        <v>0</v>
      </c>
      <c r="G6" s="89">
        <f>'[3]Sky West_AA'!$JB$23</f>
        <v>0</v>
      </c>
      <c r="H6" s="89">
        <f>[3]Republic!$JB$23</f>
        <v>5156</v>
      </c>
      <c r="I6" s="89">
        <f>[3]Republic_UA!$JB$23</f>
        <v>1753</v>
      </c>
      <c r="J6" s="89">
        <f>'[3]Sky Regional'!$JB$33</f>
        <v>0</v>
      </c>
      <c r="K6" s="89">
        <f>'[3]American Eagle'!$JB$23</f>
        <v>5412</v>
      </c>
      <c r="L6" s="89">
        <f>'Other Regional'!L6</f>
        <v>9139</v>
      </c>
      <c r="M6" s="86">
        <f>SUM(B6:L6)</f>
        <v>188881</v>
      </c>
    </row>
    <row r="7" spans="1:16" ht="15" thickBot="1" x14ac:dyDescent="0.25">
      <c r="A7" s="52" t="s">
        <v>7</v>
      </c>
      <c r="B7" s="99">
        <f>SUM(B5:B6)</f>
        <v>75759</v>
      </c>
      <c r="C7" s="99">
        <f t="shared" ref="C7:L7" si="0">SUM(C5:C6)</f>
        <v>13513</v>
      </c>
      <c r="D7" s="99">
        <f t="shared" si="0"/>
        <v>246920</v>
      </c>
      <c r="E7" s="99">
        <f t="shared" si="0"/>
        <v>1146</v>
      </c>
      <c r="F7" s="99">
        <f t="shared" ref="F7:G7" si="1">SUM(F5:F6)</f>
        <v>0</v>
      </c>
      <c r="G7" s="99">
        <f t="shared" si="1"/>
        <v>0</v>
      </c>
      <c r="H7" s="99">
        <f t="shared" si="0"/>
        <v>9469</v>
      </c>
      <c r="I7" s="99">
        <f t="shared" si="0"/>
        <v>3462</v>
      </c>
      <c r="J7" s="99">
        <f t="shared" si="0"/>
        <v>0</v>
      </c>
      <c r="K7" s="99">
        <f t="shared" si="0"/>
        <v>10506</v>
      </c>
      <c r="L7" s="99">
        <f t="shared" si="0"/>
        <v>18280</v>
      </c>
      <c r="M7" s="100">
        <f>SUM(B7:L7)</f>
        <v>379055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[3]Pinnacle!$JB$27+[3]Pinnacle!$JB$37</f>
        <v>922</v>
      </c>
      <c r="C10" s="81">
        <f>[3]MESA_UA!$JB$27</f>
        <v>209</v>
      </c>
      <c r="D10" s="89">
        <f>'[3]Sky West'!$JB$27+'[3]Sky West'!$JB$37</f>
        <v>3778</v>
      </c>
      <c r="E10" s="89">
        <f>'[3]Sky West_UA'!$JB$27</f>
        <v>10</v>
      </c>
      <c r="F10" s="89">
        <f>'[3]Sky West_AS'!$JB$27</f>
        <v>0</v>
      </c>
      <c r="G10" s="89">
        <f>'[3]Sky West_AA'!$JB$27</f>
        <v>0</v>
      </c>
      <c r="H10" s="89">
        <f>[3]Republic!$JB$27</f>
        <v>135</v>
      </c>
      <c r="I10" s="89">
        <f>[3]Republic_UA!$JB$27</f>
        <v>67</v>
      </c>
      <c r="J10" s="89">
        <f>'[3]Sky Regional'!$JB$37</f>
        <v>0</v>
      </c>
      <c r="K10" s="89">
        <f>'[3]American Eagle'!$JB$27</f>
        <v>183</v>
      </c>
      <c r="L10" s="89">
        <f>'Other Regional'!L10</f>
        <v>110</v>
      </c>
      <c r="M10" s="82">
        <f>SUM(B10:L10)</f>
        <v>5414</v>
      </c>
    </row>
    <row r="11" spans="1:16" x14ac:dyDescent="0.2">
      <c r="A11" s="43" t="s">
        <v>33</v>
      </c>
      <c r="B11" s="81">
        <f>[3]Pinnacle!$JB$28+[3]Pinnacle!$JB$38</f>
        <v>870</v>
      </c>
      <c r="C11" s="81">
        <f>[3]MESA_UA!$JB$28</f>
        <v>264</v>
      </c>
      <c r="D11" s="89">
        <f>'[3]Sky West'!$JB$28+'[3]Sky West'!$JB$38</f>
        <v>3616</v>
      </c>
      <c r="E11" s="89">
        <f>'[3]Sky West_UA'!$JB$28</f>
        <v>16</v>
      </c>
      <c r="F11" s="89">
        <f>'[3]Sky West_AS'!$JB$28</f>
        <v>0</v>
      </c>
      <c r="G11" s="89">
        <f>'[3]Sky West_AA'!$JB$28</f>
        <v>0</v>
      </c>
      <c r="H11" s="89">
        <f>[3]Republic!$JB$28</f>
        <v>131</v>
      </c>
      <c r="I11" s="89">
        <f>[3]Republic_UA!$JB$28</f>
        <v>64</v>
      </c>
      <c r="J11" s="89">
        <f>'[3]Sky Regional'!$JB$38</f>
        <v>0</v>
      </c>
      <c r="K11" s="89">
        <f>'[3]American Eagle'!$JB$28</f>
        <v>171</v>
      </c>
      <c r="L11" s="89">
        <f>'Other Regional'!L11</f>
        <v>152</v>
      </c>
      <c r="M11" s="86">
        <f>SUM(B11:L11)</f>
        <v>5284</v>
      </c>
    </row>
    <row r="12" spans="1:16" ht="15" thickBot="1" x14ac:dyDescent="0.25">
      <c r="A12" s="53" t="s">
        <v>34</v>
      </c>
      <c r="B12" s="102">
        <f t="shared" ref="B12:L12" si="2">SUM(B10:B11)</f>
        <v>1792</v>
      </c>
      <c r="C12" s="102">
        <f t="shared" si="2"/>
        <v>473</v>
      </c>
      <c r="D12" s="102">
        <f t="shared" si="2"/>
        <v>7394</v>
      </c>
      <c r="E12" s="102">
        <f t="shared" si="2"/>
        <v>26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266</v>
      </c>
      <c r="I12" s="102">
        <f t="shared" si="2"/>
        <v>131</v>
      </c>
      <c r="J12" s="102">
        <f t="shared" si="2"/>
        <v>0</v>
      </c>
      <c r="K12" s="102">
        <f t="shared" si="2"/>
        <v>354</v>
      </c>
      <c r="L12" s="102">
        <f t="shared" si="2"/>
        <v>262</v>
      </c>
      <c r="M12" s="103">
        <f>SUM(B12:L12)</f>
        <v>10698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[3]Pinnacle!$JB$4+[3]Pinnacle!$JB$15</f>
        <v>607</v>
      </c>
      <c r="C15" s="80">
        <f>[3]MESA_UA!$JB$4</f>
        <v>106</v>
      </c>
      <c r="D15" s="79">
        <f>'[3]Sky West'!$JB$4+'[3]Sky West'!$JB$15</f>
        <v>2215</v>
      </c>
      <c r="E15" s="79">
        <f>'[3]Sky West_UA'!$JB$4</f>
        <v>8</v>
      </c>
      <c r="F15" s="79">
        <f>'[3]Sky West_AS'!$JB$4</f>
        <v>0</v>
      </c>
      <c r="G15" s="79">
        <f>'[3]Sky West_AA'!$JB$4</f>
        <v>0</v>
      </c>
      <c r="H15" s="81">
        <f>[3]Republic!$JB$4</f>
        <v>48</v>
      </c>
      <c r="I15" s="325">
        <f>[3]Republic_UA!$JB$4</f>
        <v>26</v>
      </c>
      <c r="J15" s="325">
        <f>'[3]Sky Regional'!$JB$15</f>
        <v>0</v>
      </c>
      <c r="K15" s="81">
        <f>'[3]American Eagle'!$JB$4</f>
        <v>81</v>
      </c>
      <c r="L15" s="80">
        <f>'Other Regional'!L15</f>
        <v>163</v>
      </c>
      <c r="M15" s="82">
        <f t="shared" ref="M15:M20" si="5">SUM(B15:L15)</f>
        <v>3254</v>
      </c>
    </row>
    <row r="16" spans="1:16" x14ac:dyDescent="0.2">
      <c r="A16" s="43" t="s">
        <v>54</v>
      </c>
      <c r="B16" s="7">
        <f>[3]Pinnacle!$JB$5+[3]Pinnacle!$JB$16</f>
        <v>606</v>
      </c>
      <c r="C16" s="84">
        <f>[3]MESA_UA!$JB$5</f>
        <v>106</v>
      </c>
      <c r="D16" s="83">
        <f>'[3]Sky West'!$JB$5+'[3]Sky West'!$JB$16</f>
        <v>2214</v>
      </c>
      <c r="E16" s="83">
        <f>'[3]Sky West_UA'!$JB$5</f>
        <v>8</v>
      </c>
      <c r="F16" s="83">
        <f>'[3]Sky West_AS'!$JB$5</f>
        <v>0</v>
      </c>
      <c r="G16" s="83">
        <f>'[3]Sky West_AA'!$JB$5</f>
        <v>0</v>
      </c>
      <c r="H16" s="85">
        <f>[3]Republic!$JB$5</f>
        <v>47</v>
      </c>
      <c r="I16" s="210">
        <f>[3]Republic_UA!$JB$5</f>
        <v>26</v>
      </c>
      <c r="J16" s="210">
        <f>'[3]Sky Regional'!$JB$16</f>
        <v>0</v>
      </c>
      <c r="K16" s="85">
        <f>'[3]American Eagle'!$JB$5</f>
        <v>82</v>
      </c>
      <c r="L16" s="84">
        <f>'Other Regional'!L16</f>
        <v>163</v>
      </c>
      <c r="M16" s="86">
        <f t="shared" si="5"/>
        <v>3252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1213</v>
      </c>
      <c r="C17" s="87">
        <f t="shared" si="6"/>
        <v>212</v>
      </c>
      <c r="D17" s="87">
        <f t="shared" si="6"/>
        <v>4429</v>
      </c>
      <c r="E17" s="87">
        <f t="shared" si="6"/>
        <v>16</v>
      </c>
      <c r="F17" s="87">
        <f t="shared" ref="F17:G17" si="7">SUM(F15:F16)</f>
        <v>0</v>
      </c>
      <c r="G17" s="87">
        <f t="shared" si="7"/>
        <v>0</v>
      </c>
      <c r="H17" s="87">
        <f>SUM(H15:H16)</f>
        <v>95</v>
      </c>
      <c r="I17" s="87">
        <f t="shared" ref="I17:J17" si="8">SUM(I15:I16)</f>
        <v>52</v>
      </c>
      <c r="J17" s="87">
        <f t="shared" si="8"/>
        <v>0</v>
      </c>
      <c r="K17" s="87">
        <f>SUM(K15:K16)</f>
        <v>163</v>
      </c>
      <c r="L17" s="87">
        <f>SUM(L15:L16)</f>
        <v>326</v>
      </c>
      <c r="M17" s="88">
        <f t="shared" si="5"/>
        <v>6506</v>
      </c>
    </row>
    <row r="18" spans="1:13" x14ac:dyDescent="0.2">
      <c r="A18" s="43" t="s">
        <v>56</v>
      </c>
      <c r="B18" s="89">
        <f>[3]Pinnacle!$JB$8</f>
        <v>0</v>
      </c>
      <c r="C18" s="81">
        <f>[3]MESA_UA!$JB$8</f>
        <v>0</v>
      </c>
      <c r="D18" s="89">
        <f>'[3]Sky West'!$JB$8</f>
        <v>0</v>
      </c>
      <c r="E18" s="89">
        <f>'[3]Sky West_UA'!$JB$8</f>
        <v>0</v>
      </c>
      <c r="F18" s="89">
        <f>'[3]Sky West_AS'!$JB$8</f>
        <v>0</v>
      </c>
      <c r="G18" s="89">
        <f>'[3]Sky West_AA'!$JB$8</f>
        <v>0</v>
      </c>
      <c r="H18" s="89">
        <f>[3]Republic!$JB$8</f>
        <v>0</v>
      </c>
      <c r="I18" s="89">
        <f>[3]Republic_UA!$JB$8</f>
        <v>0</v>
      </c>
      <c r="J18" s="89">
        <f>'[3]Sky Regional'!$JB$8</f>
        <v>0</v>
      </c>
      <c r="K18" s="89">
        <f>'[3]American Eagle'!$JB$8</f>
        <v>0</v>
      </c>
      <c r="L18" s="89">
        <f>'Other Regional'!L18</f>
        <v>0</v>
      </c>
      <c r="M18" s="82">
        <f t="shared" si="5"/>
        <v>0</v>
      </c>
    </row>
    <row r="19" spans="1:13" x14ac:dyDescent="0.2">
      <c r="A19" s="43" t="s">
        <v>57</v>
      </c>
      <c r="B19" s="90">
        <f>[3]Pinnacle!$JB$9</f>
        <v>1</v>
      </c>
      <c r="C19" s="85">
        <f>[3]MESA_UA!$JB$9</f>
        <v>0</v>
      </c>
      <c r="D19" s="90">
        <f>'[3]Sky West'!$JB$9</f>
        <v>0</v>
      </c>
      <c r="E19" s="90">
        <f>'[3]Sky West_UA'!$JB$9</f>
        <v>0</v>
      </c>
      <c r="F19" s="90">
        <f>'[3]Sky West_AS'!$JB$9</f>
        <v>0</v>
      </c>
      <c r="G19" s="90">
        <f>'[3]Sky West_AA'!$JB$9</f>
        <v>0</v>
      </c>
      <c r="H19" s="90">
        <f>[3]Republic!$JB$9</f>
        <v>0</v>
      </c>
      <c r="I19" s="90">
        <f>[3]Republic_UA!$JB$9</f>
        <v>0</v>
      </c>
      <c r="J19" s="90">
        <f>'[3]Sky Regional'!$JB$9</f>
        <v>0</v>
      </c>
      <c r="K19" s="90">
        <f>'[3]American Eagle'!$JB$9</f>
        <v>0</v>
      </c>
      <c r="L19" s="90">
        <f>'Other Regional'!L19</f>
        <v>0</v>
      </c>
      <c r="M19" s="86">
        <f t="shared" si="5"/>
        <v>1</v>
      </c>
    </row>
    <row r="20" spans="1:13" x14ac:dyDescent="0.2">
      <c r="A20" s="47" t="s">
        <v>58</v>
      </c>
      <c r="B20" s="87">
        <f t="shared" ref="B20:L20" si="9">SUM(B18:B19)</f>
        <v>1</v>
      </c>
      <c r="C20" s="87">
        <f t="shared" si="9"/>
        <v>0</v>
      </c>
      <c r="D20" s="87">
        <f t="shared" si="9"/>
        <v>0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1</v>
      </c>
    </row>
    <row r="21" spans="1:13" ht="15.75" thickBot="1" x14ac:dyDescent="0.3">
      <c r="A21" s="51" t="s">
        <v>28</v>
      </c>
      <c r="B21" s="91">
        <f>SUM(B20,B17)</f>
        <v>1214</v>
      </c>
      <c r="C21" s="91">
        <f t="shared" ref="C21:K21" si="11">SUM(C20,C17)</f>
        <v>212</v>
      </c>
      <c r="D21" s="91">
        <f t="shared" si="11"/>
        <v>4429</v>
      </c>
      <c r="E21" s="91">
        <f t="shared" si="11"/>
        <v>16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95</v>
      </c>
      <c r="I21" s="91">
        <f t="shared" si="11"/>
        <v>52</v>
      </c>
      <c r="J21" s="91">
        <f t="shared" si="11"/>
        <v>0</v>
      </c>
      <c r="K21" s="91">
        <f t="shared" si="11"/>
        <v>163</v>
      </c>
      <c r="L21" s="91">
        <f>SUM(L20,L17)</f>
        <v>326</v>
      </c>
      <c r="M21" s="92">
        <f>SUM(B21:L21)</f>
        <v>6507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[3]Pinnacle!$JB$47</f>
        <v>0</v>
      </c>
      <c r="C25" s="81">
        <f>[3]MESA_UA!$JB$47</f>
        <v>0</v>
      </c>
      <c r="D25" s="89">
        <f>'[3]Sky West'!$JB$47</f>
        <v>0</v>
      </c>
      <c r="E25" s="89">
        <f>'[3]Sky West_UA'!$JB$47</f>
        <v>0</v>
      </c>
      <c r="F25" s="89">
        <f>'[3]Sky West_AS'!$JB$47</f>
        <v>0</v>
      </c>
      <c r="G25" s="89">
        <f>'[3]Sky West_AA'!$JB$47</f>
        <v>0</v>
      </c>
      <c r="H25" s="89">
        <f>[3]Republic!$JB$47</f>
        <v>2801</v>
      </c>
      <c r="I25" s="89">
        <f>[3]Republic_UA!$JB$47</f>
        <v>0</v>
      </c>
      <c r="J25" s="89">
        <f>'[3]Sky Regional'!$JB$47</f>
        <v>0</v>
      </c>
      <c r="K25" s="89">
        <f>'[3]American Eagle'!$JB$47</f>
        <v>0</v>
      </c>
      <c r="L25" s="89">
        <f>'Other Regional'!L25</f>
        <v>1755.4</v>
      </c>
      <c r="M25" s="82">
        <f>SUM(B25:L25)</f>
        <v>4556.3999999999996</v>
      </c>
    </row>
    <row r="26" spans="1:13" x14ac:dyDescent="0.2">
      <c r="A26" s="43" t="s">
        <v>38</v>
      </c>
      <c r="B26" s="89">
        <f>[3]Pinnacle!$JB$48</f>
        <v>0</v>
      </c>
      <c r="C26" s="81">
        <f>[3]MESA_UA!$JB$48</f>
        <v>0</v>
      </c>
      <c r="D26" s="89">
        <f>'[3]Sky West'!$JB$48</f>
        <v>0</v>
      </c>
      <c r="E26" s="89">
        <f>'[3]Sky West_UA'!$JB$48</f>
        <v>0</v>
      </c>
      <c r="F26" s="89">
        <f>'[3]Sky West_AS'!$JB$48</f>
        <v>0</v>
      </c>
      <c r="G26" s="89">
        <f>'[3]Sky West_AA'!$JB$48</f>
        <v>0</v>
      </c>
      <c r="H26" s="89">
        <f>[3]Republic!$JB$48</f>
        <v>0</v>
      </c>
      <c r="I26" s="89">
        <f>[3]Republic_UA!$JB$48</f>
        <v>0</v>
      </c>
      <c r="J26" s="89">
        <f>'[3]Sky Regional'!$JB$48</f>
        <v>0</v>
      </c>
      <c r="K26" s="89">
        <f>'[3]American Eagle'!$JB$48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2801</v>
      </c>
      <c r="I27" s="99">
        <f t="shared" si="13"/>
        <v>0</v>
      </c>
      <c r="J27" s="99">
        <f t="shared" si="13"/>
        <v>0</v>
      </c>
      <c r="K27" s="99">
        <f t="shared" si="13"/>
        <v>0</v>
      </c>
      <c r="L27" s="99">
        <f t="shared" si="13"/>
        <v>1755.4</v>
      </c>
      <c r="M27" s="100">
        <f>SUM(B27:L27)</f>
        <v>4556.3999999999996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[3]Pinnacle!$JB$52</f>
        <v>0</v>
      </c>
      <c r="C30" s="81">
        <f>[3]MESA_UA!$JB$52</f>
        <v>0</v>
      </c>
      <c r="D30" s="89">
        <f>'[3]Sky West'!$JB$52</f>
        <v>0</v>
      </c>
      <c r="E30" s="89">
        <f>'[3]Sky West_UA'!$JB$52</f>
        <v>0</v>
      </c>
      <c r="F30" s="89">
        <f>'[3]Sky West_AS'!$JB$52</f>
        <v>0</v>
      </c>
      <c r="G30" s="89">
        <f>'[3]Sky West_AA'!$JB$52</f>
        <v>0</v>
      </c>
      <c r="H30" s="89">
        <f>[3]Republic!$JB$52</f>
        <v>0</v>
      </c>
      <c r="I30" s="89">
        <f>[3]Republic_UA!$JB$52</f>
        <v>0</v>
      </c>
      <c r="J30" s="89">
        <f>'[3]Sky Regional'!$JB$52</f>
        <v>0</v>
      </c>
      <c r="K30" s="89">
        <f>'[3]American Eagle'!$JB$52</f>
        <v>0</v>
      </c>
      <c r="L30" s="89">
        <f>'Other Regional'!L30</f>
        <v>1635.9</v>
      </c>
      <c r="M30" s="82">
        <f t="shared" ref="M30:M37" si="15">SUM(B30:L30)</f>
        <v>1635.9</v>
      </c>
    </row>
    <row r="31" spans="1:13" x14ac:dyDescent="0.2">
      <c r="A31" s="43" t="s">
        <v>60</v>
      </c>
      <c r="B31" s="89">
        <f>[3]Pinnacle!$JB$53</f>
        <v>0</v>
      </c>
      <c r="C31" s="81">
        <f>[3]MESA_UA!$JB$53</f>
        <v>0</v>
      </c>
      <c r="D31" s="89">
        <f>'[3]Sky West'!$JB$53</f>
        <v>0</v>
      </c>
      <c r="E31" s="89">
        <f>'[3]Sky West_UA'!$JB$53</f>
        <v>0</v>
      </c>
      <c r="F31" s="89">
        <f>'[3]Sky West_AS'!$JB$53</f>
        <v>0</v>
      </c>
      <c r="G31" s="89">
        <f>'[3]Sky West_AA'!$JB$53</f>
        <v>0</v>
      </c>
      <c r="H31" s="89">
        <f>[3]Republic!$JB$53</f>
        <v>0</v>
      </c>
      <c r="I31" s="89">
        <f>[3]Republic_UA!$JB$53</f>
        <v>0</v>
      </c>
      <c r="J31" s="89">
        <f>'[3]Sky Regional'!$JB$53</f>
        <v>0</v>
      </c>
      <c r="K31" s="89">
        <f>'[3]American Eagle'!$JB$53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1635.9</v>
      </c>
      <c r="M32" s="100">
        <f>SUM(B32:L32)</f>
        <v>1635.9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[3]Pinnacle!$JB$57</f>
        <v>0</v>
      </c>
      <c r="C35" s="81">
        <f>[3]MESA_UA!$JB$57</f>
        <v>0</v>
      </c>
      <c r="D35" s="89">
        <f>'[3]Sky West'!$JB$57</f>
        <v>0</v>
      </c>
      <c r="E35" s="89">
        <f>'[3]Sky West_UA'!$JB$57</f>
        <v>0</v>
      </c>
      <c r="F35" s="89">
        <f>'[3]Sky West_AS'!$JB$57</f>
        <v>0</v>
      </c>
      <c r="G35" s="89">
        <f>'[3]Sky West_AA'!$JB$57</f>
        <v>0</v>
      </c>
      <c r="H35" s="89">
        <f>[3]Republic!$JB$57</f>
        <v>0</v>
      </c>
      <c r="I35" s="89">
        <f>[3]Republic!$JB$57</f>
        <v>0</v>
      </c>
      <c r="J35" s="89">
        <f>[3]Republic!$JB$57</f>
        <v>0</v>
      </c>
      <c r="K35" s="89">
        <f>'[3]American Eagle'!$JB$57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[3]Pinnacle!$JB$58</f>
        <v>0</v>
      </c>
      <c r="C36" s="81">
        <f>[3]MESA_UA!$JB$58</f>
        <v>0</v>
      </c>
      <c r="D36" s="89">
        <f>'[3]Sky West'!$JB$58</f>
        <v>0</v>
      </c>
      <c r="E36" s="89">
        <f>'[3]Sky West_UA'!$JB$58</f>
        <v>0</v>
      </c>
      <c r="F36" s="89">
        <f>'[3]Sky West_AS'!$JB$58</f>
        <v>0</v>
      </c>
      <c r="G36" s="89">
        <f>'[3]Sky West_AA'!$JB$58</f>
        <v>0</v>
      </c>
      <c r="H36" s="89">
        <f>[3]Republic!$JB$58</f>
        <v>0</v>
      </c>
      <c r="I36" s="89">
        <f>[3]Republic!$JB$58</f>
        <v>0</v>
      </c>
      <c r="J36" s="89">
        <f>[3]Republic!$JB$58</f>
        <v>0</v>
      </c>
      <c r="K36" s="89">
        <f>'[3]American Eagle'!$JB$58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2801</v>
      </c>
      <c r="I40" s="89">
        <f t="shared" si="20"/>
        <v>0</v>
      </c>
      <c r="J40" s="89">
        <f t="shared" si="20"/>
        <v>0</v>
      </c>
      <c r="K40" s="89">
        <f>SUM(K35,K30,K25)</f>
        <v>0</v>
      </c>
      <c r="L40" s="89">
        <f>L35+L30+L25</f>
        <v>3391.3</v>
      </c>
      <c r="M40" s="82">
        <f>SUM(B40:L40)</f>
        <v>6192.3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2801</v>
      </c>
      <c r="I42" s="102">
        <f t="shared" si="20"/>
        <v>0</v>
      </c>
      <c r="J42" s="102">
        <f t="shared" si="20"/>
        <v>0</v>
      </c>
      <c r="K42" s="102">
        <f>SUM(K37,K32,K27)</f>
        <v>0</v>
      </c>
      <c r="L42" s="102">
        <f>SUM(L37,L32,L27)</f>
        <v>3391.3</v>
      </c>
      <c r="M42" s="103">
        <f>SUM(B42:L42)</f>
        <v>6192.3</v>
      </c>
    </row>
    <row r="44" spans="1:13" x14ac:dyDescent="0.2">
      <c r="A44" s="268" t="s">
        <v>120</v>
      </c>
      <c r="B44" s="233">
        <f>[3]Pinnacle!$JB$70+[3]Pinnacle!$JB$73</f>
        <v>11024</v>
      </c>
      <c r="D44" s="234">
        <f>'[3]Sky West'!$JB$70+'[3]Sky West'!$JB$73</f>
        <v>38231</v>
      </c>
      <c r="E44" s="2"/>
      <c r="F44" s="2"/>
      <c r="G44" s="2"/>
      <c r="L44" s="234">
        <f>+'Other Regional'!L46</f>
        <v>0</v>
      </c>
      <c r="M44" s="223">
        <f>SUM(B44:L44)</f>
        <v>49255</v>
      </c>
    </row>
    <row r="45" spans="1:13" x14ac:dyDescent="0.2">
      <c r="A45" s="281" t="s">
        <v>121</v>
      </c>
      <c r="B45" s="233">
        <f>[3]Pinnacle!$JB$71+[3]Pinnacle!$JB$74</f>
        <v>26610</v>
      </c>
      <c r="D45" s="234">
        <f>'[3]Sky West'!$JB$71+'[3]Sky West'!$JB$74</f>
        <v>84258</v>
      </c>
      <c r="E45" s="2"/>
      <c r="F45" s="2"/>
      <c r="G45" s="2"/>
      <c r="L45" s="234">
        <f>+'Other Regional'!L47</f>
        <v>0</v>
      </c>
      <c r="M45" s="223">
        <f>SUM(B45:L45)</f>
        <v>110868</v>
      </c>
    </row>
    <row r="46" spans="1:13" x14ac:dyDescent="0.2">
      <c r="A46" s="224" t="s">
        <v>122</v>
      </c>
      <c r="B46" s="225">
        <f>SUM(B44:B45)</f>
        <v>37634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September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N20" sqref="N20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45536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America'!$JB$22</f>
        <v>0</v>
      </c>
      <c r="C5" s="81">
        <f>'[3]Shuttle America_Delta'!$JB$22</f>
        <v>0</v>
      </c>
      <c r="D5" s="325">
        <f>[3]Horizon_AS!$JB$22+[3]Horizon_AS!$JB$32</f>
        <v>0</v>
      </c>
      <c r="E5" s="325">
        <f>'[3]Air Wisconsin'!$JB$22</f>
        <v>0</v>
      </c>
      <c r="F5" s="325">
        <f>[3]Jazz_AC!$JB$22+[3]Jazz_AC!$JB$32</f>
        <v>7067</v>
      </c>
      <c r="G5" s="325">
        <f>[3]PSA!$JB$22</f>
        <v>2074</v>
      </c>
      <c r="H5" s="81">
        <f>'[3]Atlantic Southeast'!$JB$22+'[3]Atlantic Southeast'!$JB$32</f>
        <v>0</v>
      </c>
      <c r="I5" s="81">
        <f>'[3]Continental Express'!$JB$22</f>
        <v>0</v>
      </c>
      <c r="J5" s="89">
        <f>'[3]Go Jet_UA'!$JB$22</f>
        <v>0</v>
      </c>
      <c r="K5" s="11">
        <f>'[3]Go Jet'!$JB$22+'[3]Go Jet'!$JB$32</f>
        <v>0</v>
      </c>
      <c r="L5" s="82">
        <f>SUM(B5:K5)</f>
        <v>9141</v>
      </c>
    </row>
    <row r="6" spans="1:12" s="6" customFormat="1" x14ac:dyDescent="0.2">
      <c r="A6" s="43" t="s">
        <v>31</v>
      </c>
      <c r="B6" s="81">
        <f>'[3]Shuttle America'!$JB$23</f>
        <v>0</v>
      </c>
      <c r="C6" s="81">
        <f>'[3]Shuttle America_Delta'!$JB$23</f>
        <v>0</v>
      </c>
      <c r="D6" s="325">
        <f>[3]Horizon_AS!$JB$23+[3]Horizon_AS!$JB$33</f>
        <v>0</v>
      </c>
      <c r="E6" s="325">
        <f>'[3]Air Wisconsin'!$JB$23</f>
        <v>0</v>
      </c>
      <c r="F6" s="325">
        <f>[3]Jazz_AC!$JB$23+[3]Jazz_AC!$JB$33</f>
        <v>7198</v>
      </c>
      <c r="G6" s="325">
        <f>[3]PSA!$JB$23</f>
        <v>1941</v>
      </c>
      <c r="H6" s="81">
        <f>'[3]Atlantic Southeast'!$JB$23+'[3]Atlantic Southeast'!$JB$33</f>
        <v>0</v>
      </c>
      <c r="I6" s="81">
        <f>'[3]Continental Express'!$JB$23</f>
        <v>0</v>
      </c>
      <c r="J6" s="89">
        <f>'[3]Go Jet_UA'!$JB$23</f>
        <v>0</v>
      </c>
      <c r="K6" s="7">
        <f>'[3]Go Jet'!$JB$23+'[3]Go Jet'!$JB$33</f>
        <v>0</v>
      </c>
      <c r="L6" s="86">
        <f>SUM(B6:K6)</f>
        <v>9139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14265</v>
      </c>
      <c r="G7" s="99">
        <f t="shared" si="0"/>
        <v>4015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18280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America'!$JB$27</f>
        <v>0</v>
      </c>
      <c r="C10" s="81">
        <f>'[3]Shuttle America_Delta'!$JB$27</f>
        <v>0</v>
      </c>
      <c r="D10" s="325">
        <f>[3]Horizon_AS!$JB$27+[3]Horizon_AS!$JB$37</f>
        <v>0</v>
      </c>
      <c r="E10" s="325">
        <f>'[3]Air Wisconsin'!$JB$27</f>
        <v>0</v>
      </c>
      <c r="F10" s="325">
        <f>[3]Jazz_AC!$JB$27+[3]Jazz_AC!$JB$37</f>
        <v>82</v>
      </c>
      <c r="G10" s="325">
        <f>[3]PSA!$JB$27</f>
        <v>28</v>
      </c>
      <c r="H10" s="11">
        <f>'[3]Atlantic Southeast'!$JB$27+'[3]Atlantic Southeast'!$JB$37</f>
        <v>0</v>
      </c>
      <c r="I10" s="81">
        <f>'[3]Continental Express'!$JB$27</f>
        <v>0</v>
      </c>
      <c r="J10" s="89">
        <f>'[3]Go Jet_UA'!$JB$27</f>
        <v>0</v>
      </c>
      <c r="K10" s="11">
        <f>'[3]Go Jet'!$JB$27+'[3]Go Jet'!$JB$37</f>
        <v>0</v>
      </c>
      <c r="L10" s="82">
        <f>SUM(B10:K10)</f>
        <v>110</v>
      </c>
    </row>
    <row r="11" spans="1:12" x14ac:dyDescent="0.2">
      <c r="A11" s="43" t="s">
        <v>33</v>
      </c>
      <c r="B11" s="81">
        <f>'[3]Shuttle America'!$JB$28</f>
        <v>0</v>
      </c>
      <c r="C11" s="81">
        <f>'[3]Shuttle America_Delta'!$JB$28</f>
        <v>0</v>
      </c>
      <c r="D11" s="325">
        <f>[3]Horizon_AS!$JB$28+[3]Horizon_AS!$JB$38</f>
        <v>0</v>
      </c>
      <c r="E11" s="325">
        <f>'[3]Air Wisconsin'!$JB$28</f>
        <v>0</v>
      </c>
      <c r="F11" s="325">
        <f>[3]Jazz_AC!$JB$28+[3]Jazz_AC!$JB$38</f>
        <v>106</v>
      </c>
      <c r="G11" s="325">
        <f>[3]PSA!$JB$28</f>
        <v>46</v>
      </c>
      <c r="H11" s="7">
        <f>'[3]Atlantic Southeast'!$JB$28+'[3]Atlantic Southeast'!$JB$38</f>
        <v>0</v>
      </c>
      <c r="I11" s="81">
        <f>'[3]Continental Express'!$JB$28</f>
        <v>0</v>
      </c>
      <c r="J11" s="89">
        <f>'[3]Go Jet_UA'!$JB$28</f>
        <v>0</v>
      </c>
      <c r="K11" s="7">
        <f>'[3]Go Jet'!$JB$28+'[3]Go Jet'!$JB$38</f>
        <v>0</v>
      </c>
      <c r="L11" s="86">
        <f>SUM(B11:K11)</f>
        <v>152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188</v>
      </c>
      <c r="G12" s="102">
        <f t="shared" si="2"/>
        <v>74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262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America'!$JB$4</f>
        <v>0</v>
      </c>
      <c r="C15" s="79">
        <f>'[3]Shuttle America_Delta'!$JB$4</f>
        <v>0</v>
      </c>
      <c r="D15" s="326">
        <f>[3]Horizon_AS!$JB$4</f>
        <v>0</v>
      </c>
      <c r="E15" s="326">
        <f>'[3]Air Wisconsin'!$JB$4</f>
        <v>0</v>
      </c>
      <c r="F15" s="326">
        <f>[3]Jazz_AC!$JB$4+[3]Jazz_AC!$JB$15</f>
        <v>131</v>
      </c>
      <c r="G15" s="326">
        <f>[3]PSA!$JB$4</f>
        <v>32</v>
      </c>
      <c r="H15" s="80">
        <f>'[3]Atlantic Southeast'!$JB$4+'[3]Atlantic Southeast'!$JB$15</f>
        <v>0</v>
      </c>
      <c r="I15" s="80">
        <f>'[3]Continental Express'!$JB$4</f>
        <v>0</v>
      </c>
      <c r="J15" s="79">
        <f>'[3]Go Jet_UA'!$JB$4</f>
        <v>0</v>
      </c>
      <c r="K15" s="11">
        <f>'[3]Go Jet'!$JB$4+'[3]Go Jet'!$JB$15</f>
        <v>0</v>
      </c>
      <c r="L15" s="82">
        <f t="shared" ref="L15:L20" si="6">SUM(B15:K15)</f>
        <v>163</v>
      </c>
    </row>
    <row r="16" spans="1:12" x14ac:dyDescent="0.2">
      <c r="A16" s="43" t="s">
        <v>54</v>
      </c>
      <c r="B16" s="83">
        <f>'[3]Shuttle America'!$JB$5</f>
        <v>0</v>
      </c>
      <c r="C16" s="83">
        <f>'[3]Shuttle America_Delta'!$JB$5</f>
        <v>0</v>
      </c>
      <c r="D16" s="327">
        <f>[3]Horizon_AS!$JB$5</f>
        <v>0</v>
      </c>
      <c r="E16" s="327">
        <f>'[3]Air Wisconsin'!$JB$5</f>
        <v>0</v>
      </c>
      <c r="F16" s="327">
        <f>[3]Jazz_AC!$JB$5+[3]Jazz_AC!$JB$16</f>
        <v>131</v>
      </c>
      <c r="G16" s="327">
        <f>[3]PSA!$JB$5</f>
        <v>32</v>
      </c>
      <c r="H16" s="84">
        <f>'[3]Atlantic Southeast'!$JB$5+'[3]Atlantic Southeast'!$JB$16</f>
        <v>0</v>
      </c>
      <c r="I16" s="84">
        <f>'[3]Continental Express'!$JB$5</f>
        <v>0</v>
      </c>
      <c r="J16" s="83">
        <f>'[3]Go Jet_UA'!$JB$5</f>
        <v>0</v>
      </c>
      <c r="K16" s="7">
        <f>'[3]Go Jet'!$JB$5+'[3]Go Jet'!$JB$16</f>
        <v>0</v>
      </c>
      <c r="L16" s="86">
        <f t="shared" si="6"/>
        <v>163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262</v>
      </c>
      <c r="G17" s="87">
        <f t="shared" si="7"/>
        <v>64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326</v>
      </c>
    </row>
    <row r="18" spans="1:15" x14ac:dyDescent="0.2">
      <c r="A18" s="43" t="s">
        <v>56</v>
      </c>
      <c r="B18" s="89">
        <f>'[3]Shuttle America'!$JB$8</f>
        <v>0</v>
      </c>
      <c r="C18" s="89">
        <f>'[3]Shuttle America_Delta'!$JB$8</f>
        <v>0</v>
      </c>
      <c r="D18" s="89">
        <f>[3]Horizon_AS!$JB$8</f>
        <v>0</v>
      </c>
      <c r="E18" s="89">
        <f>'[3]Air Wisconsin'!$JB$8</f>
        <v>0</v>
      </c>
      <c r="F18" s="89">
        <f>[3]Jazz_AC!$JB$8</f>
        <v>0</v>
      </c>
      <c r="G18" s="89">
        <f>[3]PSA!$JB$8</f>
        <v>0</v>
      </c>
      <c r="H18" s="81">
        <f>'[3]Atlantic Southeast'!$JB$8</f>
        <v>0</v>
      </c>
      <c r="I18" s="81">
        <f>'[3]Continental Express'!$JB$8</f>
        <v>0</v>
      </c>
      <c r="J18" s="89">
        <f>'[3]Go Jet_UA'!$JB$8</f>
        <v>0</v>
      </c>
      <c r="K18" s="11">
        <f>'[3]Go Jet'!$JB$8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America'!$JB$9</f>
        <v>0</v>
      </c>
      <c r="C19" s="90">
        <f>'[3]Shuttle America_Delta'!$JB$9</f>
        <v>0</v>
      </c>
      <c r="D19" s="90">
        <f>[3]Horizon_AS!$JB$9</f>
        <v>0</v>
      </c>
      <c r="E19" s="90">
        <f>'[3]Air Wisconsin'!$JB$9</f>
        <v>0</v>
      </c>
      <c r="F19" s="90">
        <f>[3]Jazz_AC!$JB$9</f>
        <v>0</v>
      </c>
      <c r="G19" s="90">
        <f>[3]PSA!$JB$9</f>
        <v>0</v>
      </c>
      <c r="H19" s="85">
        <f>'[3]Atlantic Southeast'!$JB$9</f>
        <v>0</v>
      </c>
      <c r="I19" s="85">
        <f>'[3]Continental Express'!$JB$9</f>
        <v>0</v>
      </c>
      <c r="J19" s="90">
        <f>'[3]Go Jet_UA'!$JB$9</f>
        <v>0</v>
      </c>
      <c r="K19" s="7">
        <f>'[3]Go Jet'!$JB$9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262</v>
      </c>
      <c r="G21" s="91">
        <f t="shared" si="13"/>
        <v>64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326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America'!$JB$47</f>
        <v>0</v>
      </c>
      <c r="C25" s="89">
        <f>'[3]Shuttle America_Delta'!$JB$47</f>
        <v>0</v>
      </c>
      <c r="D25" s="89">
        <f>[3]Horizon_AS!$JB$47</f>
        <v>0</v>
      </c>
      <c r="E25" s="89">
        <f>'[3]Air Wisconsin'!$JB$47</f>
        <v>0</v>
      </c>
      <c r="F25" s="89">
        <f>[3]Jazz_AC!$JB$47</f>
        <v>1755.4</v>
      </c>
      <c r="G25" s="89">
        <f>[3]PSA!$JB$47</f>
        <v>0</v>
      </c>
      <c r="H25" s="81">
        <f>'[3]Atlantic Southeast'!$JB$47</f>
        <v>0</v>
      </c>
      <c r="I25" s="81">
        <f>'[3]Continental Express'!$JB$47</f>
        <v>0</v>
      </c>
      <c r="J25" s="89">
        <f>'[3]Go Jet_UA'!$JB$47</f>
        <v>0</v>
      </c>
      <c r="K25" s="89">
        <f>'[3]Go Jet'!$JB$47</f>
        <v>0</v>
      </c>
      <c r="L25" s="82">
        <f>SUM(B25:K25)</f>
        <v>1755.4</v>
      </c>
    </row>
    <row r="26" spans="1:15" x14ac:dyDescent="0.2">
      <c r="A26" s="43" t="s">
        <v>38</v>
      </c>
      <c r="B26" s="89">
        <f>'[3]Shuttle America'!$JB$48</f>
        <v>0</v>
      </c>
      <c r="C26" s="89">
        <f>'[3]Shuttle America_Delta'!$JB$48</f>
        <v>0</v>
      </c>
      <c r="D26" s="89">
        <f>[3]Horizon_AS!$JB$48</f>
        <v>0</v>
      </c>
      <c r="E26" s="89">
        <f>'[3]Air Wisconsin'!$JB$48</f>
        <v>0</v>
      </c>
      <c r="F26" s="89">
        <f>[3]Jazz_AC!$JB$48</f>
        <v>0</v>
      </c>
      <c r="G26" s="89">
        <f>[3]PSA!$JB$48</f>
        <v>0</v>
      </c>
      <c r="H26" s="81">
        <f>'[3]Atlantic Southeast'!$JB$48</f>
        <v>0</v>
      </c>
      <c r="I26" s="81">
        <f>'[3]Continental Express'!$JB$48</f>
        <v>0</v>
      </c>
      <c r="J26" s="89">
        <f>'[3]Go Jet_UA'!$JB$48</f>
        <v>0</v>
      </c>
      <c r="K26" s="89">
        <f>'[3]Go Jet'!$JB$48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1755.4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1755.4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America'!$JB$52</f>
        <v>0</v>
      </c>
      <c r="C30" s="89">
        <f>'[3]Shuttle America_Delta'!$JB$52</f>
        <v>0</v>
      </c>
      <c r="D30" s="89">
        <f>[3]Horizon_AS!$JB$52</f>
        <v>0</v>
      </c>
      <c r="E30" s="89">
        <f>'[3]Air Wisconsin'!$JB$52</f>
        <v>0</v>
      </c>
      <c r="F30" s="89">
        <f>[3]Jazz_AC!$JB$52</f>
        <v>1635.9</v>
      </c>
      <c r="G30" s="89">
        <f>[3]PSA!$JB$52</f>
        <v>0</v>
      </c>
      <c r="H30" s="81">
        <f>'[3]Atlantic Southeast'!$JB$52</f>
        <v>0</v>
      </c>
      <c r="I30" s="81">
        <f>'[3]Continental Express'!$JB$52</f>
        <v>0</v>
      </c>
      <c r="J30" s="89">
        <f>'[3]Go Jet_UA'!$JB$52</f>
        <v>0</v>
      </c>
      <c r="K30" s="89">
        <f>'[3]Go Jet'!$JB$52</f>
        <v>0</v>
      </c>
      <c r="L30" s="82">
        <f>SUM(B30:K30)</f>
        <v>1635.9</v>
      </c>
    </row>
    <row r="31" spans="1:15" x14ac:dyDescent="0.2">
      <c r="A31" s="43" t="s">
        <v>60</v>
      </c>
      <c r="B31" s="89">
        <f>'[3]Shuttle America'!$JB$53</f>
        <v>0</v>
      </c>
      <c r="C31" s="89">
        <f>'[3]Shuttle America_Delta'!$JB$53</f>
        <v>0</v>
      </c>
      <c r="D31" s="89">
        <f>[3]Horizon_AS!$JB$53</f>
        <v>0</v>
      </c>
      <c r="E31" s="89">
        <f>'[3]Air Wisconsin'!$JB$53</f>
        <v>0</v>
      </c>
      <c r="F31" s="89">
        <f>[3]Jazz_AC!$JB$53</f>
        <v>0</v>
      </c>
      <c r="G31" s="89">
        <f>[3]PSA!$JB$53</f>
        <v>0</v>
      </c>
      <c r="H31" s="81">
        <f>'[3]Atlantic Southeast'!$JB$53</f>
        <v>0</v>
      </c>
      <c r="I31" s="81">
        <f>'[3]Continental Express'!$JB$53</f>
        <v>0</v>
      </c>
      <c r="J31" s="89">
        <f>'[3]Go Jet_UA'!$JB$53</f>
        <v>0</v>
      </c>
      <c r="K31" s="89">
        <f>'[3]Go Jet'!$JB$53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1635.9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1635.9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America'!$JB$57</f>
        <v>0</v>
      </c>
      <c r="C35" s="89">
        <f>'[3]Shuttle America_Delta'!$JB$57</f>
        <v>0</v>
      </c>
      <c r="D35" s="89">
        <f>[3]Horizon_AS!$JB$57</f>
        <v>0</v>
      </c>
      <c r="E35" s="89">
        <f>'[3]Air Wisconsin'!$JB$57</f>
        <v>0</v>
      </c>
      <c r="F35" s="89">
        <f>[3]Jazz_AC!$JB$57</f>
        <v>0</v>
      </c>
      <c r="G35" s="89">
        <f>[3]PSA!$JB$57</f>
        <v>0</v>
      </c>
      <c r="H35" s="81">
        <f>'[3]Atlantic Southeast'!$JB$57</f>
        <v>0</v>
      </c>
      <c r="I35" s="81">
        <f>'[3]Continental Express'!$JB$57</f>
        <v>0</v>
      </c>
      <c r="J35" s="89">
        <f>'[3]Go Jet_UA'!$AJ$57</f>
        <v>0</v>
      </c>
      <c r="K35" s="89">
        <f>'[3]Go Jet'!$JB$57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3391.3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3391.3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3391.3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3391.3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America_Delta'!$JB$70+'[3]Shuttle America_Delta'!$JB$73</f>
        <v>0</v>
      </c>
      <c r="D46" s="2"/>
      <c r="E46" s="2"/>
      <c r="H46" s="234">
        <f>'[3]Atlantic Southeast'!$JB$70+'[3]Atlantic Southeast'!$JB$73</f>
        <v>0</v>
      </c>
      <c r="K46" s="234">
        <f>'[3]Go Jet'!$JB$70+'[3]Go Jet'!$JB$73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America_Delta'!$JB$71+'[3]Shuttle America_Delta'!$JB$74</f>
        <v>0</v>
      </c>
      <c r="D47" s="2"/>
      <c r="E47" s="2"/>
      <c r="H47" s="234">
        <f>'[3]Atlantic Southeast'!$JB$71+'[3]Atlantic Southeast'!$JB$74</f>
        <v>0</v>
      </c>
      <c r="K47" s="234">
        <f>'[3]Go Jet'!$JB$71+'[3]Go Jet'!$JB$74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September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M29" sqref="M29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45536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Misc'!$JB$22</f>
        <v>0</v>
      </c>
      <c r="C5" s="145">
        <f>[3]Ryan!$JB$22</f>
        <v>0</v>
      </c>
      <c r="D5" s="145">
        <f>'[3]Charter Misc'!$JB$32</f>
        <v>0</v>
      </c>
      <c r="E5" s="145">
        <f>[3]Omni!$JB$32+[3]Omni!$JB$22</f>
        <v>0</v>
      </c>
      <c r="F5" s="145">
        <f>'[3]Red Way'!$JB$32+'[3]Red Way'!$JB$22</f>
        <v>0</v>
      </c>
      <c r="G5" s="145">
        <f>[3]Xtra!$JB$32+[3]Xtra!$JB$22</f>
        <v>0</v>
      </c>
      <c r="H5" s="241">
        <f>SUM(B5:G5)</f>
        <v>0</v>
      </c>
    </row>
    <row r="6" spans="1:18" x14ac:dyDescent="0.2">
      <c r="A6" s="43" t="s">
        <v>31</v>
      </c>
      <c r="B6" s="306">
        <f>'[3]Charter Misc'!$JB$23+'[3]Charter Misc'!$JB$28+'[3]Charter Misc'!$JB$38</f>
        <v>0</v>
      </c>
      <c r="C6" s="148">
        <f>[3]Ryan!$JB$23</f>
        <v>0</v>
      </c>
      <c r="D6" s="148">
        <f>'[3]Charter Misc'!$JB$33</f>
        <v>0</v>
      </c>
      <c r="E6" s="148">
        <f>[3]Omni!$JB$23+[3]Omni!$JB$33+[3]Omni!$JB$28+[3]Omni!$JB$38</f>
        <v>0</v>
      </c>
      <c r="F6" s="148">
        <f>'[3]Red Way'!$JB$33+'[3]Red Way'!$JB$23</f>
        <v>0</v>
      </c>
      <c r="G6" s="148">
        <f>[3]Xtra!$JB$33+[3]Xtra!$JB$23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Misc'!$JB$4+'[3]Charter Misc'!$JB$8+'[3]Charter Misc'!$JB$15</f>
        <v>0</v>
      </c>
      <c r="C10" s="145">
        <f>[3]Ryan!$JB$4</f>
        <v>0</v>
      </c>
      <c r="D10" s="145">
        <f>'[3]Charter Misc'!$JB$15</f>
        <v>0</v>
      </c>
      <c r="E10" s="145">
        <f>[3]Omni!$JB$15+[3]Omni!$JB$4</f>
        <v>0</v>
      </c>
      <c r="F10" s="145">
        <f>'[3]Red Way'!$JB$15+'[3]Red Way'!$JB$4</f>
        <v>0</v>
      </c>
      <c r="G10" s="145">
        <f>[3]Xtra!$JB$15+[3]Xtra!$JB$4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Misc'!$JB$5+'[3]Charter Misc'!$JB$9+'[3]Charter Misc'!$JB$16</f>
        <v>0</v>
      </c>
      <c r="C11" s="145">
        <f>[3]Ryan!$JB$5</f>
        <v>0</v>
      </c>
      <c r="D11" s="145">
        <f>'[3]Charter Misc'!$JB$16</f>
        <v>0</v>
      </c>
      <c r="E11" s="145">
        <f>[3]Omni!$JB$16+[3]Omni!$JB$5</f>
        <v>0</v>
      </c>
      <c r="F11" s="145">
        <f>'[3]Red Way'!$JB$16+'[3]Red Way'!$JB$5</f>
        <v>0</v>
      </c>
      <c r="G11" s="145">
        <f>[3]Xtra!$JB$16+[3]Xtra!$JB$5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 t="shared" ref="G21:G22" si="4">L21-B21</f>
        <v>1103358</v>
      </c>
      <c r="H21" s="415">
        <f t="shared" ref="H21:H22" si="5">M21-C21</f>
        <v>1138892</v>
      </c>
      <c r="I21" s="415">
        <f t="shared" ref="I21:I22" si="6">SUM(G21:H21)</f>
        <v>2242250</v>
      </c>
      <c r="J21" s="424">
        <f>[5]Charter!I21</f>
        <v>2136976</v>
      </c>
      <c r="K21" s="421">
        <f t="shared" ref="K21:K32" si="7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9">SUM(B22:C22)</f>
        <v>323025</v>
      </c>
      <c r="E22" s="415">
        <f>[7]Charter!D22</f>
        <v>251121</v>
      </c>
      <c r="F22" s="451">
        <f t="shared" si="3"/>
        <v>0.28633208692224066</v>
      </c>
      <c r="G22" s="415">
        <f t="shared" si="4"/>
        <v>1111463</v>
      </c>
      <c r="H22" s="415">
        <f t="shared" si="5"/>
        <v>1149323</v>
      </c>
      <c r="I22" s="415">
        <f t="shared" si="6"/>
        <v>2260786</v>
      </c>
      <c r="J22" s="415">
        <f>[7]Charter!I22</f>
        <v>2010512</v>
      </c>
      <c r="K22" s="422">
        <f t="shared" si="7"/>
        <v>0.1244827188298304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2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3">L23-B23</f>
        <v>1419372</v>
      </c>
      <c r="H23" s="415">
        <f t="shared" ref="H23" si="14">M23-C23</f>
        <v>1423162</v>
      </c>
      <c r="I23" s="415">
        <f t="shared" ref="I23" si="15">SUM(G23:H23)</f>
        <v>2842534</v>
      </c>
      <c r="J23" s="415">
        <f>[9]Charter!I23</f>
        <v>2692997</v>
      </c>
      <c r="K23" s="422">
        <f t="shared" si="7"/>
        <v>5.5528097506235614E-2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" customHeight="1" x14ac:dyDescent="0.2">
      <c r="A24" s="175" t="s">
        <v>105</v>
      </c>
      <c r="B24" s="415">
        <f>+[10]Charter!B24</f>
        <v>145395</v>
      </c>
      <c r="C24" s="415">
        <f>+[10]Charter!C24</f>
        <v>121092</v>
      </c>
      <c r="D24" s="415">
        <f t="shared" ref="D24" si="17">SUM(B24:C24)</f>
        <v>266487</v>
      </c>
      <c r="E24" s="415">
        <f>[11]Charter!D24</f>
        <v>249458</v>
      </c>
      <c r="F24" s="422">
        <f t="shared" si="3"/>
        <v>6.8263996344073957E-2</v>
      </c>
      <c r="G24" s="415">
        <f t="shared" ref="G24" si="18">L24-B24</f>
        <v>1407377</v>
      </c>
      <c r="H24" s="415">
        <f t="shared" ref="H24" si="19">M24-C24</f>
        <v>1329925</v>
      </c>
      <c r="I24" s="415">
        <f t="shared" ref="I24" si="20">SUM(G24:H24)</f>
        <v>2737302</v>
      </c>
      <c r="J24" s="415">
        <f>[11]Charter!I24</f>
        <v>2532647</v>
      </c>
      <c r="K24" s="422">
        <f t="shared" si="7"/>
        <v>8.0806760673714104E-2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" customHeight="1" x14ac:dyDescent="0.2">
      <c r="A25" s="168" t="s">
        <v>75</v>
      </c>
      <c r="B25" s="415">
        <f>+[12]Charter!B25</f>
        <v>114085</v>
      </c>
      <c r="C25" s="415">
        <f>+[12]Charter!C25</f>
        <v>125421</v>
      </c>
      <c r="D25" s="415">
        <f t="shared" ref="D25" si="22">SUM(B25:C25)</f>
        <v>239506</v>
      </c>
      <c r="E25" s="415">
        <f>[13]Charter!D25</f>
        <v>214242</v>
      </c>
      <c r="F25" s="423">
        <f t="shared" si="3"/>
        <v>0.1179227229021387</v>
      </c>
      <c r="G25" s="415">
        <f t="shared" ref="G25" si="23">L25-B25</f>
        <v>1499843</v>
      </c>
      <c r="H25" s="415">
        <f t="shared" ref="H25" si="24">M25-C25</f>
        <v>1462190</v>
      </c>
      <c r="I25" s="415">
        <f t="shared" ref="I25" si="25">SUM(G25:H25)</f>
        <v>2962033</v>
      </c>
      <c r="J25" s="415">
        <f>[13]Charter!I25</f>
        <v>2648712</v>
      </c>
      <c r="K25" s="423">
        <f>(I25-J25)/J25</f>
        <v>0.11829183391776833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" customHeight="1" x14ac:dyDescent="0.2">
      <c r="A26" s="175" t="s">
        <v>106</v>
      </c>
      <c r="B26" s="415">
        <f>+[14]Charter!B26</f>
        <v>143577</v>
      </c>
      <c r="C26" s="415">
        <f>+[14]Charter!C26</f>
        <v>149158</v>
      </c>
      <c r="D26" s="415">
        <f t="shared" ref="D26" si="27">SUM(B26:C26)</f>
        <v>292735</v>
      </c>
      <c r="E26" s="415">
        <f>[15]Charter!D26</f>
        <v>250278</v>
      </c>
      <c r="F26" s="417">
        <f t="shared" si="3"/>
        <v>0.16963936103053404</v>
      </c>
      <c r="G26" s="415">
        <f t="shared" ref="G26" si="28">L26-B26</f>
        <v>1632010</v>
      </c>
      <c r="H26" s="415">
        <f t="shared" ref="H26" si="29">M26-C26</f>
        <v>1612530</v>
      </c>
      <c r="I26" s="415">
        <f t="shared" ref="I26" si="30">SUM(G26:H26)</f>
        <v>3244540</v>
      </c>
      <c r="J26" s="415">
        <f>[15]Charter!I26</f>
        <v>3007302</v>
      </c>
      <c r="K26" s="422">
        <f t="shared" si="7"/>
        <v>7.8887321592576998E-2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" customHeight="1" x14ac:dyDescent="0.2">
      <c r="A27" s="168" t="s">
        <v>107</v>
      </c>
      <c r="B27" s="415">
        <f>+[16]Charter!B27</f>
        <v>158042</v>
      </c>
      <c r="C27" s="415">
        <f>+[16]Charter!C27</f>
        <v>143065</v>
      </c>
      <c r="D27" s="415">
        <f t="shared" ref="D27" si="32">SUM(B27:C27)</f>
        <v>301107</v>
      </c>
      <c r="E27" s="415">
        <f>[17]Charter!D27</f>
        <v>265615</v>
      </c>
      <c r="F27" s="418">
        <f t="shared" si="3"/>
        <v>0.13362197165069745</v>
      </c>
      <c r="G27" s="415">
        <f t="shared" ref="G27" si="33">L27-B27</f>
        <v>1646496</v>
      </c>
      <c r="H27" s="415">
        <f t="shared" ref="H27" si="34">M27-C27</f>
        <v>1662532</v>
      </c>
      <c r="I27" s="415">
        <f t="shared" ref="I27" si="35">SUM(G27:H27)</f>
        <v>3309028</v>
      </c>
      <c r="J27" s="415">
        <f>[17]Charter!I27</f>
        <v>3154132</v>
      </c>
      <c r="K27" s="423">
        <f t="shared" si="7"/>
        <v>4.9108914909077997E-2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" customHeight="1" x14ac:dyDescent="0.2">
      <c r="A28" s="175" t="s">
        <v>108</v>
      </c>
      <c r="B28" s="415">
        <f>+[2]Charter!B28</f>
        <v>159405</v>
      </c>
      <c r="C28" s="415">
        <f>+[2]Charter!C28</f>
        <v>147465</v>
      </c>
      <c r="D28" s="415">
        <f t="shared" ref="D28" si="37">SUM(B28:C28)</f>
        <v>306870</v>
      </c>
      <c r="E28" s="415">
        <f>[18]Charter!D28</f>
        <v>261890</v>
      </c>
      <c r="F28" s="417">
        <f t="shared" si="3"/>
        <v>0.171751498720837</v>
      </c>
      <c r="G28" s="415">
        <f t="shared" ref="G28" si="38">L28-B28</f>
        <v>1663648</v>
      </c>
      <c r="H28" s="415">
        <f t="shared" ref="H28" si="39">M28-C28</f>
        <v>1649966</v>
      </c>
      <c r="I28" s="415">
        <f t="shared" ref="I28" si="40">SUM(G28:H28)</f>
        <v>3313614</v>
      </c>
      <c r="J28" s="415">
        <f>[18]Charter!I28</f>
        <v>3081501</v>
      </c>
      <c r="K28" s="422">
        <f t="shared" si="7"/>
        <v>7.5324655095033236E-2</v>
      </c>
      <c r="L28" s="415">
        <f>+[2]Charter!L28</f>
        <v>1823053</v>
      </c>
      <c r="M28" s="415">
        <f>+[2]Charter!M28</f>
        <v>1797431</v>
      </c>
      <c r="N28" s="424">
        <f t="shared" ref="N28" si="41">SUM(L28:M28)</f>
        <v>3620484</v>
      </c>
      <c r="O28" s="415">
        <f>[18]Charter!N28</f>
        <v>3343391</v>
      </c>
      <c r="P28" s="412">
        <f t="shared" si="11"/>
        <v>8.2877832715347974E-2</v>
      </c>
    </row>
    <row r="29" spans="1:19" ht="14.1" customHeight="1" x14ac:dyDescent="0.2">
      <c r="A29" s="168" t="s">
        <v>109</v>
      </c>
      <c r="B29" s="415">
        <f>+'Intl Detail'!$R$4+'Intl Detail'!$R$9</f>
        <v>122429</v>
      </c>
      <c r="C29" s="415">
        <f>+'Intl Detail'!$R$5+'Intl Detail'!$R$10</f>
        <v>124991</v>
      </c>
      <c r="D29" s="415">
        <f t="shared" ref="D29" si="42">SUM(B29:C29)</f>
        <v>247420</v>
      </c>
      <c r="E29" s="415">
        <f>[1]Charter!D29</f>
        <v>227071</v>
      </c>
      <c r="F29" s="418">
        <f t="shared" si="3"/>
        <v>8.9615142400394587E-2</v>
      </c>
      <c r="G29" s="415">
        <f t="shared" ref="G29" si="43">L29-B29</f>
        <v>1342056</v>
      </c>
      <c r="H29" s="415">
        <f t="shared" ref="H29" si="44">M29-C29</f>
        <v>1358318</v>
      </c>
      <c r="I29" s="415">
        <f t="shared" ref="I29" si="45">SUM(G29:H29)</f>
        <v>2700374</v>
      </c>
      <c r="J29" s="415">
        <f>[1]Charter!I29</f>
        <v>2630017</v>
      </c>
      <c r="K29" s="423">
        <f t="shared" si="7"/>
        <v>2.6751538107928581E-2</v>
      </c>
      <c r="L29" s="415">
        <f>+'Monthly Summary'!$B$11</f>
        <v>1464485</v>
      </c>
      <c r="M29" s="415">
        <f>+'Monthly Summary'!$C$11</f>
        <v>1483309</v>
      </c>
      <c r="N29" s="424">
        <f t="shared" ref="N29" si="46">SUM(L29:M29)</f>
        <v>2947794</v>
      </c>
      <c r="O29" s="415">
        <f>[1]Charter!N29</f>
        <v>2857088</v>
      </c>
      <c r="P29" s="413">
        <f t="shared" si="11"/>
        <v>3.1747709556023476E-2</v>
      </c>
    </row>
    <row r="30" spans="1:19" ht="14.1" customHeight="1" x14ac:dyDescent="0.2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7"/>
        <v>#DIV/0!</v>
      </c>
      <c r="L30" s="424"/>
      <c r="M30" s="424"/>
      <c r="N30" s="424"/>
      <c r="O30" s="415"/>
      <c r="P30" s="412" t="e">
        <f t="shared" si="11"/>
        <v>#DIV/0!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 x14ac:dyDescent="0.25">
      <c r="A33" s="173" t="s">
        <v>76</v>
      </c>
      <c r="B33" s="179">
        <f>SUM(B21:B32)</f>
        <v>1357053</v>
      </c>
      <c r="C33" s="180">
        <f>SUM(C21:C32)</f>
        <v>1327103</v>
      </c>
      <c r="D33" s="180">
        <f>SUM(D21:D32)</f>
        <v>2684156</v>
      </c>
      <c r="E33" s="181">
        <f>SUM(E21:E32)</f>
        <v>2317192</v>
      </c>
      <c r="F33" s="171">
        <f>(D33-E33)/E33</f>
        <v>0.15836581517629958</v>
      </c>
      <c r="G33" s="182">
        <f>SUM(G21:G32)</f>
        <v>12825623</v>
      </c>
      <c r="H33" s="180">
        <f>SUM(H21:H32)</f>
        <v>12786838</v>
      </c>
      <c r="I33" s="180">
        <f>SUM(I21:I32)</f>
        <v>25612461</v>
      </c>
      <c r="J33" s="183">
        <f>SUM(J21:J32)</f>
        <v>23894796</v>
      </c>
      <c r="K33" s="172">
        <f>(I33-J33)/J33</f>
        <v>7.1884480620801286E-2</v>
      </c>
      <c r="L33" s="182">
        <f>SUM(L21:L32)</f>
        <v>14182676</v>
      </c>
      <c r="M33" s="180">
        <f>SUM(M21:M32)</f>
        <v>14113941</v>
      </c>
      <c r="N33" s="180">
        <f>SUM(N21:N32)</f>
        <v>28296617</v>
      </c>
      <c r="O33" s="181">
        <f>SUM(O21:O32)</f>
        <v>26211988</v>
      </c>
      <c r="P33" s="170">
        <f>(N33-O33)/O33</f>
        <v>7.9529603019809103E-2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September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8" sqref="H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710937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25">
      <c r="A2" s="388">
        <v>45536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Air'!$JB$4</f>
        <v>0</v>
      </c>
      <c r="C4" s="126">
        <f>[3]DHL!$JB$8+[3]DHL!$JB$4</f>
        <v>17</v>
      </c>
      <c r="D4" s="126">
        <f>[3]Airborne!$JB$4+[3]Airborne!$JB$15</f>
        <v>4</v>
      </c>
      <c r="E4" s="89">
        <f>[3]DHL_Bemidji!$JB$4</f>
        <v>39</v>
      </c>
      <c r="F4" s="89">
        <f>[3]Bemidji!$JB$4</f>
        <v>135</v>
      </c>
      <c r="G4" s="126">
        <f>[3]DHL_Encore!$JB$4+[3]DHL_Encore!$JB$15</f>
        <v>0</v>
      </c>
      <c r="H4" s="126">
        <f>[3]DHL_Mesa!$JB$4+[3]DHL_Mesa!$JB$15</f>
        <v>0</v>
      </c>
      <c r="I4" s="126">
        <f>[3]Encore!$JB$4+[3]Encore!$JB$15</f>
        <v>0</v>
      </c>
      <c r="J4" s="126">
        <f>[3]FedEx!$JB$4+[3]FedEx!$JB$15</f>
        <v>98</v>
      </c>
      <c r="K4" s="126">
        <f>[3]IFL!$JB$4+[3]IFL!$JB$15</f>
        <v>14</v>
      </c>
      <c r="L4" s="126">
        <f>[3]DHL_Kalitta!$JB$4+[3]DHL_Kalitta!$JB$15</f>
        <v>0</v>
      </c>
      <c r="M4" s="89">
        <f>'[3]Mountain Cargo'!$JB$4</f>
        <v>19</v>
      </c>
      <c r="N4" s="126">
        <f>[3]DHL_Amerijet!$JB$4+[3]DHL_Amerijet!$JB$15</f>
        <v>0</v>
      </c>
      <c r="O4" s="126">
        <f>[3]DHL_Swift!$JB$4+[3]DHL_Swift!$JB$15</f>
        <v>0</v>
      </c>
      <c r="P4" s="126">
        <f>+'[3]Sun Country Cargo'!$JB$4+'[3]Sun Country Cargo'!$JB$8+'[3]Sun Country Cargo'!$JB$15</f>
        <v>111</v>
      </c>
      <c r="Q4" s="126">
        <f>[3]UPS!$JB$4+[3]UPS!$JB$15</f>
        <v>103</v>
      </c>
      <c r="R4" s="89">
        <f>'[3]Misc Cargo'!$JB$4</f>
        <v>0</v>
      </c>
      <c r="S4" s="360">
        <f>SUM(B4:R4)</f>
        <v>540</v>
      </c>
      <c r="U4" s="332"/>
      <c r="V4" s="332"/>
      <c r="W4" s="209"/>
    </row>
    <row r="5" spans="1:23" x14ac:dyDescent="0.2">
      <c r="A5" s="36" t="s">
        <v>54</v>
      </c>
      <c r="B5" s="361">
        <f>'[3]Atlas Air'!$JB$5</f>
        <v>0</v>
      </c>
      <c r="C5" s="150">
        <f>[3]DHL!$JB$9+[3]DHL!$JB$5</f>
        <v>17</v>
      </c>
      <c r="D5" s="150">
        <f>[3]Airborne!$JB$5</f>
        <v>4</v>
      </c>
      <c r="E5" s="90">
        <f>[3]DHL_Bemidji!$JB$5</f>
        <v>39</v>
      </c>
      <c r="F5" s="90">
        <f>[3]Bemidji!$JB$5</f>
        <v>135</v>
      </c>
      <c r="G5" s="150">
        <f>[3]DHL_Encore!$JB$5</f>
        <v>0</v>
      </c>
      <c r="H5" s="150">
        <f>[3]DHL_Mesa!$JB$5</f>
        <v>0</v>
      </c>
      <c r="I5" s="150">
        <f>[3]Encore!$JB$5</f>
        <v>0</v>
      </c>
      <c r="J5" s="150">
        <f>[3]FedEx!$JB$5</f>
        <v>98</v>
      </c>
      <c r="K5" s="150">
        <f>[3]IFL!$JB$5</f>
        <v>14</v>
      </c>
      <c r="L5" s="150">
        <f>[3]DHL_Kalitta!$JB$5+[3]DHL_Kalitta!$JB$16</f>
        <v>0</v>
      </c>
      <c r="M5" s="90">
        <f>'[3]Mountain Cargo'!$JB$5</f>
        <v>19</v>
      </c>
      <c r="N5" s="150">
        <f>[3]DHL_Amerijet!$JB$5</f>
        <v>0</v>
      </c>
      <c r="O5" s="150">
        <f>[3]DHL_Swift!$JB$5</f>
        <v>0</v>
      </c>
      <c r="P5" s="150">
        <f>+'[3]Sun Country Cargo'!$JB$5+'[3]Sun Country Cargo'!$JB$9+'[3]Sun Country Cargo'!$JB$16</f>
        <v>111</v>
      </c>
      <c r="Q5" s="150">
        <f>[3]UPS!$JB$5+[3]UPS!$JB$16</f>
        <v>102</v>
      </c>
      <c r="R5" s="90">
        <f>'[3]Misc Cargo'!$JB$5</f>
        <v>0</v>
      </c>
      <c r="S5" s="360">
        <f>SUM(B5:R5)</f>
        <v>539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0</v>
      </c>
      <c r="C6" s="363">
        <f t="shared" si="0"/>
        <v>34</v>
      </c>
      <c r="D6" s="363">
        <f t="shared" ref="D6:E6" si="1">SUM(D4:D5)</f>
        <v>8</v>
      </c>
      <c r="E6" s="87">
        <f t="shared" si="1"/>
        <v>78</v>
      </c>
      <c r="F6" s="87">
        <f t="shared" si="0"/>
        <v>270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196</v>
      </c>
      <c r="K6" s="363">
        <f t="shared" si="0"/>
        <v>28</v>
      </c>
      <c r="L6" s="363">
        <f t="shared" si="0"/>
        <v>0</v>
      </c>
      <c r="M6" s="87">
        <f t="shared" si="0"/>
        <v>38</v>
      </c>
      <c r="N6" s="363">
        <f t="shared" si="0"/>
        <v>0</v>
      </c>
      <c r="O6" s="363">
        <f t="shared" si="0"/>
        <v>0</v>
      </c>
      <c r="P6" s="363">
        <f t="shared" si="0"/>
        <v>222</v>
      </c>
      <c r="Q6" s="363">
        <f t="shared" si="0"/>
        <v>205</v>
      </c>
      <c r="R6" s="87">
        <f t="shared" si="0"/>
        <v>0</v>
      </c>
      <c r="S6" s="360">
        <f t="shared" ref="S6:S10" si="3">SUM(B6:R6)</f>
        <v>1079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Cargo'!$JB$8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Cargo'!$JB$9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0</v>
      </c>
      <c r="C12" s="155">
        <f t="shared" si="7"/>
        <v>34</v>
      </c>
      <c r="D12" s="155">
        <f t="shared" ref="D12:E12" si="8">D6+D10</f>
        <v>8</v>
      </c>
      <c r="E12" s="156">
        <f t="shared" si="8"/>
        <v>78</v>
      </c>
      <c r="F12" s="156">
        <f t="shared" si="7"/>
        <v>270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196</v>
      </c>
      <c r="K12" s="155">
        <f t="shared" si="7"/>
        <v>28</v>
      </c>
      <c r="L12" s="155">
        <f t="shared" si="7"/>
        <v>0</v>
      </c>
      <c r="M12" s="156">
        <f t="shared" si="7"/>
        <v>38</v>
      </c>
      <c r="N12" s="155">
        <f t="shared" si="7"/>
        <v>0</v>
      </c>
      <c r="O12" s="155">
        <f t="shared" si="7"/>
        <v>0</v>
      </c>
      <c r="P12" s="155">
        <f t="shared" si="7"/>
        <v>222</v>
      </c>
      <c r="Q12" s="155">
        <f t="shared" si="7"/>
        <v>205</v>
      </c>
      <c r="R12" s="156">
        <f t="shared" si="7"/>
        <v>0</v>
      </c>
      <c r="S12" s="366">
        <f>SUM(B12:R12)</f>
        <v>1079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Air'!$JB$47</f>
        <v>0</v>
      </c>
      <c r="C16" s="126">
        <f>[3]DHL!$JB$47</f>
        <v>657936</v>
      </c>
      <c r="D16" s="126">
        <f>[3]Airborne!$JB$47</f>
        <v>259312</v>
      </c>
      <c r="E16" s="126">
        <f>[3]DHL_Bemidji!$JB$47</f>
        <v>0</v>
      </c>
      <c r="F16" s="475" t="s">
        <v>86</v>
      </c>
      <c r="G16" s="126">
        <f>[3]DHL_Encore!$JB$47</f>
        <v>0</v>
      </c>
      <c r="H16" s="126">
        <f>[3]DHL_Mesa!$JB$47</f>
        <v>0</v>
      </c>
      <c r="I16" s="126">
        <f>[3]Encore!$JB$47</f>
        <v>0</v>
      </c>
      <c r="J16" s="126">
        <f>[3]FedEx!$JB$47</f>
        <v>5990548</v>
      </c>
      <c r="K16" s="126">
        <f>[3]IFL!$JB$47</f>
        <v>16219</v>
      </c>
      <c r="L16" s="126">
        <f>[3]DHL_Kalitta!$JB$47</f>
        <v>0</v>
      </c>
      <c r="M16" s="89">
        <f>'[3]Mountain Cargo'!$JB$47</f>
        <v>0</v>
      </c>
      <c r="N16" s="126">
        <f>[3]DHL_Amerijet!$JB$47</f>
        <v>0</v>
      </c>
      <c r="O16" s="126">
        <f>[3]DHL_Swift!$JB$47</f>
        <v>0</v>
      </c>
      <c r="P16" s="126">
        <f>+'[3]Sun Country Cargo'!$JB$47</f>
        <v>2524371</v>
      </c>
      <c r="Q16" s="126">
        <f>[3]UPS!$JB$47</f>
        <v>4614756</v>
      </c>
      <c r="R16" s="89">
        <f>'[3]Misc Cargo'!$JB$47</f>
        <v>0</v>
      </c>
      <c r="S16" s="360">
        <f>SUM(B16:E16)+SUM(G16:R16)</f>
        <v>14063142</v>
      </c>
      <c r="U16" s="332"/>
      <c r="V16" s="332"/>
      <c r="W16" s="209"/>
    </row>
    <row r="17" spans="1:23" x14ac:dyDescent="0.2">
      <c r="A17" s="36" t="s">
        <v>38</v>
      </c>
      <c r="B17" s="177">
        <f>'[3]Atlas Air'!$JB$48</f>
        <v>0</v>
      </c>
      <c r="C17" s="126">
        <f>[3]DHL!$JB$48</f>
        <v>0</v>
      </c>
      <c r="D17" s="126">
        <f>[3]Airborne!$JB$48</f>
        <v>0</v>
      </c>
      <c r="E17" s="126">
        <f>[3]DHL_Bemidji!$JB$48</f>
        <v>0</v>
      </c>
      <c r="F17" s="476"/>
      <c r="G17" s="126">
        <f>[3]DHL_Encore!$JB$48</f>
        <v>0</v>
      </c>
      <c r="H17" s="126">
        <f>[3]DHL_Mesa!$JB$48</f>
        <v>0</v>
      </c>
      <c r="I17" s="126">
        <f>[3]Encore!$JB$48</f>
        <v>0</v>
      </c>
      <c r="J17" s="126">
        <f>[3]FedEx!$JB$48</f>
        <v>0</v>
      </c>
      <c r="K17" s="126">
        <f>[3]IFL!$JB$48</f>
        <v>0</v>
      </c>
      <c r="L17" s="126">
        <f>[3]DHL_Kalitta!$JB$48</f>
        <v>0</v>
      </c>
      <c r="M17" s="89">
        <f>'[3]Mountain Cargo'!$JB$48</f>
        <v>43551</v>
      </c>
      <c r="N17" s="126">
        <f>[3]DHL_Amerijet!$JB$48</f>
        <v>0</v>
      </c>
      <c r="O17" s="126">
        <f>[3]DHL_Swift!$JB$48</f>
        <v>0</v>
      </c>
      <c r="P17" s="126">
        <f>+'[3]Sun Country Cargo'!$JB$48</f>
        <v>0</v>
      </c>
      <c r="Q17" s="126">
        <f>[3]UPS!$JB$48</f>
        <v>1638895</v>
      </c>
      <c r="R17" s="89">
        <f>'[3]Misc Cargo'!$JB$48</f>
        <v>0</v>
      </c>
      <c r="S17" s="360">
        <f>SUM(B17:E17)+SUM(G17:R17)</f>
        <v>1682446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0</v>
      </c>
      <c r="C18" s="215">
        <f>SUM(C16:C17)</f>
        <v>657936</v>
      </c>
      <c r="D18" s="215">
        <f>SUM(D16:D17)</f>
        <v>259312</v>
      </c>
      <c r="E18" s="215">
        <f>SUM(E16:E17)</f>
        <v>0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5990548</v>
      </c>
      <c r="K18" s="215">
        <f>SUM(K16:K17)</f>
        <v>16219</v>
      </c>
      <c r="L18" s="215">
        <f t="shared" ref="L18:R18" si="10">SUM(L16:L17)</f>
        <v>0</v>
      </c>
      <c r="M18" s="216">
        <f t="shared" si="10"/>
        <v>43551</v>
      </c>
      <c r="N18" s="215">
        <f t="shared" si="10"/>
        <v>0</v>
      </c>
      <c r="O18" s="215">
        <f t="shared" si="10"/>
        <v>0</v>
      </c>
      <c r="P18" s="215">
        <f t="shared" si="10"/>
        <v>2524371</v>
      </c>
      <c r="Q18" s="215">
        <f t="shared" si="10"/>
        <v>6253651</v>
      </c>
      <c r="R18" s="216">
        <f t="shared" si="10"/>
        <v>0</v>
      </c>
      <c r="S18" s="372">
        <f>SUM(B18:D18)+SUM(G18:R18)</f>
        <v>15745588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Air'!$JB$52</f>
        <v>0</v>
      </c>
      <c r="C21" s="126">
        <f>[3]DHL!$JB$52</f>
        <v>415426</v>
      </c>
      <c r="D21" s="126">
        <f>[3]Airborne!$JB$52</f>
        <v>163607</v>
      </c>
      <c r="E21" s="126">
        <f>[3]DHL_Bemidji!$JB$52</f>
        <v>0</v>
      </c>
      <c r="F21" s="476"/>
      <c r="G21" s="126">
        <f>[3]DHL_Encore!$JB$52</f>
        <v>0</v>
      </c>
      <c r="H21" s="126">
        <f>[3]DHL_Mesa!$JB$52</f>
        <v>0</v>
      </c>
      <c r="I21" s="126">
        <f>[3]Encore!$JB$52</f>
        <v>0</v>
      </c>
      <c r="J21" s="126">
        <f>[3]FedEx!$JB$52</f>
        <v>5554748</v>
      </c>
      <c r="K21" s="126">
        <f>[3]IFL!$JB$52</f>
        <v>0</v>
      </c>
      <c r="L21" s="126">
        <f>[3]DHL_Kalitta!$JB$52</f>
        <v>0</v>
      </c>
      <c r="M21" s="89">
        <f>'[3]Mountain Cargo'!$JB$52</f>
        <v>0</v>
      </c>
      <c r="N21" s="126">
        <f>[3]DHL_Amerijet!$JB$52</f>
        <v>0</v>
      </c>
      <c r="O21" s="126">
        <f>[3]DHL_Swift!$JB$52</f>
        <v>0</v>
      </c>
      <c r="P21" s="126">
        <f>+'[3]Sun Country Cargo'!$JB$52</f>
        <v>2705004</v>
      </c>
      <c r="Q21" s="126">
        <f>[3]UPS!$JB$52</f>
        <v>3732406</v>
      </c>
      <c r="R21" s="89">
        <f>'[3]Misc Cargo'!$JB$52</f>
        <v>0</v>
      </c>
      <c r="S21" s="360">
        <f>SUM(B21:E21)+SUM(G21:R21)</f>
        <v>12571191</v>
      </c>
      <c r="U21" s="332"/>
      <c r="V21" s="332"/>
      <c r="W21" s="209"/>
    </row>
    <row r="22" spans="1:23" x14ac:dyDescent="0.2">
      <c r="A22" s="36" t="s">
        <v>60</v>
      </c>
      <c r="B22" s="177">
        <f>'[3]Atlas Air'!$JB$53</f>
        <v>0</v>
      </c>
      <c r="C22" s="126">
        <f>[3]DHL!$JB$53</f>
        <v>0</v>
      </c>
      <c r="D22" s="126">
        <f>[3]Airborne!$JB$53</f>
        <v>0</v>
      </c>
      <c r="E22" s="126">
        <f>[3]DHL_Bemidji!$JB$53</f>
        <v>0</v>
      </c>
      <c r="F22" s="476"/>
      <c r="G22" s="126">
        <f>[3]DHL_Encore!$JB$53</f>
        <v>0</v>
      </c>
      <c r="H22" s="126">
        <f>[3]DHL_Mesa!$JB$53</f>
        <v>0</v>
      </c>
      <c r="I22" s="126">
        <f>[3]Encore!$JB$53</f>
        <v>0</v>
      </c>
      <c r="J22" s="126">
        <f>[3]FedEx!$JB$53</f>
        <v>0</v>
      </c>
      <c r="K22" s="126">
        <f>[3]IFL!$JB$53</f>
        <v>0</v>
      </c>
      <c r="L22" s="126">
        <f>[3]DHL_Kalitta!$JB$53</f>
        <v>0</v>
      </c>
      <c r="M22" s="89">
        <f>'[3]Mountain Cargo'!$JB$53</f>
        <v>105026</v>
      </c>
      <c r="N22" s="126">
        <f>[3]DHL_Amerijet!$JB$53</f>
        <v>0</v>
      </c>
      <c r="O22" s="126">
        <f>[3]DHL_Swift!$JB$53</f>
        <v>0</v>
      </c>
      <c r="P22" s="126">
        <f>+'[3]Sun Country Cargo'!$JB$53</f>
        <v>0</v>
      </c>
      <c r="Q22" s="126">
        <f>[3]UPS!$JB$53</f>
        <v>1642276</v>
      </c>
      <c r="R22" s="89">
        <f>'[3]Misc Cargo'!$JB$53</f>
        <v>0</v>
      </c>
      <c r="S22" s="360">
        <f>SUM(B22:E22)+SUM(G22:R22)</f>
        <v>1747302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0</v>
      </c>
      <c r="C23" s="215">
        <f>SUM(C21:C22)</f>
        <v>415426</v>
      </c>
      <c r="D23" s="215">
        <f t="shared" ref="D23:E23" si="11">SUM(D21:D22)</f>
        <v>163607</v>
      </c>
      <c r="E23" s="215">
        <f t="shared" si="11"/>
        <v>0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5554748</v>
      </c>
      <c r="K23" s="215">
        <f t="shared" si="12"/>
        <v>0</v>
      </c>
      <c r="L23" s="215">
        <f t="shared" si="12"/>
        <v>0</v>
      </c>
      <c r="M23" s="216">
        <f t="shared" si="12"/>
        <v>105026</v>
      </c>
      <c r="N23" s="215">
        <f t="shared" si="12"/>
        <v>0</v>
      </c>
      <c r="O23" s="215">
        <f t="shared" si="12"/>
        <v>0</v>
      </c>
      <c r="P23" s="215">
        <f t="shared" si="12"/>
        <v>2705004</v>
      </c>
      <c r="Q23" s="215">
        <f t="shared" si="12"/>
        <v>5374682</v>
      </c>
      <c r="R23" s="216">
        <f t="shared" si="12"/>
        <v>0</v>
      </c>
      <c r="S23" s="372">
        <f>SUM(B23:D23)+SUM(G23:R23)</f>
        <v>14318493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Air'!$JB$57</f>
        <v>0</v>
      </c>
      <c r="C26" s="126">
        <f>[3]DHL!$JB$57</f>
        <v>0</v>
      </c>
      <c r="D26" s="126">
        <f>[3]Airborne!$JB$57</f>
        <v>0</v>
      </c>
      <c r="E26" s="126">
        <f>[3]DHL_Bemidji!$JB$57</f>
        <v>0</v>
      </c>
      <c r="F26" s="476"/>
      <c r="G26" s="126">
        <f>[3]DHL_Encore!$JB$57</f>
        <v>0</v>
      </c>
      <c r="H26" s="126">
        <f>[3]DHL_Mesa!$JB$57</f>
        <v>0</v>
      </c>
      <c r="I26" s="126">
        <f>[3]Encore!$JB$57</f>
        <v>0</v>
      </c>
      <c r="J26" s="126">
        <f>[3]FedEx!$JB$57</f>
        <v>0</v>
      </c>
      <c r="K26" s="126">
        <f>[3]IFL!$JB$57</f>
        <v>0</v>
      </c>
      <c r="L26" s="126">
        <f>[3]DHL_Kalitta!$JB$57</f>
        <v>0</v>
      </c>
      <c r="M26" s="89">
        <f>'[3]Mountain Cargo'!$JB$57</f>
        <v>0</v>
      </c>
      <c r="N26" s="126">
        <f>[3]DHL_Amerijet!$JB$57</f>
        <v>0</v>
      </c>
      <c r="O26" s="126">
        <f>[3]DHL_Swift!$JB$57</f>
        <v>0</v>
      </c>
      <c r="P26" s="126">
        <f>+'[3]Sun Country Cargo'!$JB$57</f>
        <v>0</v>
      </c>
      <c r="Q26" s="126">
        <f>[3]UPS!$JB$57</f>
        <v>0</v>
      </c>
      <c r="R26" s="89">
        <f>'[3]Misc Cargo'!$JB$57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Air'!$JB$58</f>
        <v>0</v>
      </c>
      <c r="C27" s="126">
        <f>[3]DHL!$JB$58</f>
        <v>0</v>
      </c>
      <c r="D27" s="126">
        <f>[3]Airborne!$JB$58</f>
        <v>0</v>
      </c>
      <c r="E27" s="126">
        <f>[3]DHL_Bemidji!$JB$58</f>
        <v>0</v>
      </c>
      <c r="F27" s="476"/>
      <c r="G27" s="126">
        <f>[3]DHL_Encore!$JB$58</f>
        <v>0</v>
      </c>
      <c r="H27" s="126">
        <f>[3]DHL_Mesa!$JB$58</f>
        <v>0</v>
      </c>
      <c r="I27" s="126">
        <f>[3]Encore!$JB$58</f>
        <v>0</v>
      </c>
      <c r="J27" s="126">
        <f>[3]FedEx!$JB$58</f>
        <v>0</v>
      </c>
      <c r="K27" s="126">
        <f>[3]IFL!$JB$58</f>
        <v>0</v>
      </c>
      <c r="L27" s="126">
        <f>[3]DHL_Kalitta!$JB$58</f>
        <v>0</v>
      </c>
      <c r="M27" s="89">
        <f>'[3]Mountain Cargo'!$JB$58</f>
        <v>0</v>
      </c>
      <c r="N27" s="126">
        <f>[3]DHL_Amerijet!$JB$58</f>
        <v>0</v>
      </c>
      <c r="O27" s="126">
        <f>[3]DHL_Swift!$JB$58</f>
        <v>0</v>
      </c>
      <c r="P27" s="126">
        <f>+'[3]Sun Country Cargo'!$JB$58</f>
        <v>0</v>
      </c>
      <c r="Q27" s="126">
        <f>[3]UPS!$JB$58</f>
        <v>0</v>
      </c>
      <c r="R27" s="89">
        <f>'[3]Misc Cargo'!$JB$58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0</v>
      </c>
      <c r="C31" s="126">
        <f t="shared" ref="C31:R33" si="17">C26+C21+C16</f>
        <v>1073362</v>
      </c>
      <c r="D31" s="126">
        <f t="shared" si="17"/>
        <v>422919</v>
      </c>
      <c r="E31" s="126">
        <f t="shared" si="17"/>
        <v>0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11545296</v>
      </c>
      <c r="K31" s="126">
        <f t="shared" si="18"/>
        <v>16219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5229375</v>
      </c>
      <c r="Q31" s="126">
        <f t="shared" si="17"/>
        <v>8347162</v>
      </c>
      <c r="R31" s="89">
        <f>R26+R21+R16</f>
        <v>0</v>
      </c>
      <c r="S31" s="360">
        <f>SUM(B31:E31)+SUM(G31:R31)</f>
        <v>26634333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148577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3281171</v>
      </c>
      <c r="R32" s="89">
        <f>R27+R22+R17</f>
        <v>0</v>
      </c>
      <c r="S32" s="360">
        <f>SUM(B32:E32)+SUM(G32:R32)</f>
        <v>3429748</v>
      </c>
    </row>
    <row r="33" spans="1:19" ht="18" customHeight="1" thickBot="1" x14ac:dyDescent="0.25">
      <c r="A33" s="154" t="s">
        <v>46</v>
      </c>
      <c r="B33" s="365">
        <f>B28+B23+B18</f>
        <v>0</v>
      </c>
      <c r="C33" s="155">
        <f t="shared" ref="C33:I33" si="21">C28+C23+C18</f>
        <v>1073362</v>
      </c>
      <c r="D33" s="155">
        <f t="shared" si="21"/>
        <v>422919</v>
      </c>
      <c r="E33" s="155">
        <f t="shared" si="21"/>
        <v>0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11545296</v>
      </c>
      <c r="K33" s="155">
        <f t="shared" si="18"/>
        <v>16219</v>
      </c>
      <c r="L33" s="155">
        <f t="shared" si="18"/>
        <v>0</v>
      </c>
      <c r="M33" s="156">
        <f>M28+M23+M18</f>
        <v>148577</v>
      </c>
      <c r="N33" s="155">
        <f t="shared" si="18"/>
        <v>0</v>
      </c>
      <c r="O33" s="155">
        <f t="shared" si="18"/>
        <v>0</v>
      </c>
      <c r="P33" s="155">
        <f t="shared" si="17"/>
        <v>5229375</v>
      </c>
      <c r="Q33" s="155">
        <f t="shared" si="17"/>
        <v>11628333</v>
      </c>
      <c r="R33" s="156">
        <f t="shared" si="17"/>
        <v>0</v>
      </c>
      <c r="S33" s="366">
        <f>SUM(B33:E33)+SUM(G33:R33)</f>
        <v>30064081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September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45536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5382290</v>
      </c>
      <c r="C5" s="89">
        <f>'Regional Major'!M25</f>
        <v>4556.3999999999996</v>
      </c>
      <c r="D5" s="89">
        <f>Cargo!S16</f>
        <v>14063142</v>
      </c>
      <c r="E5" s="89">
        <f>SUM(B5:D5)</f>
        <v>19449988.399999999</v>
      </c>
      <c r="F5" s="89">
        <f>E5*0.00045359237</f>
        <v>8822.3663348285063</v>
      </c>
      <c r="G5" s="89">
        <f>'[1]Cargo Summary'!F5</f>
        <v>9194.7278863540869</v>
      </c>
      <c r="H5" s="73">
        <f>(F5-G5)/G5</f>
        <v>-4.0497288895107279E-2</v>
      </c>
      <c r="I5" s="89">
        <f>+F5+'[2]Cargo Summary'!I5</f>
        <v>78964.075291041474</v>
      </c>
      <c r="J5" s="89">
        <f>+'[1]Cargo Summary'!I5</f>
        <v>78106.240176198073</v>
      </c>
      <c r="K5" s="63">
        <f>(I5-J5)/J5</f>
        <v>1.0982926753460808E-2</v>
      </c>
      <c r="M5" s="12"/>
      <c r="O5" s="392"/>
    </row>
    <row r="6" spans="1:18" x14ac:dyDescent="0.2">
      <c r="A6" s="43" t="s">
        <v>16</v>
      </c>
      <c r="B6" s="133">
        <f>'Major Airline Stats'!L29</f>
        <v>67532</v>
      </c>
      <c r="C6" s="89">
        <f>'Regional Major'!M26</f>
        <v>0</v>
      </c>
      <c r="D6" s="89">
        <f>Cargo!S17</f>
        <v>1682446</v>
      </c>
      <c r="E6" s="89">
        <f>SUM(B6:D6)</f>
        <v>1749978</v>
      </c>
      <c r="F6" s="89">
        <f>E6*0.00045359237</f>
        <v>793.77666846785996</v>
      </c>
      <c r="G6" s="89">
        <f>'[1]Cargo Summary'!F6</f>
        <v>1132.51945038386</v>
      </c>
      <c r="H6" s="3">
        <f>(F6-G6)/G6</f>
        <v>-0.29910548715184132</v>
      </c>
      <c r="I6" s="89">
        <f>+F6+'[2]Cargo Summary'!I6</f>
        <v>2788.9090582060398</v>
      </c>
      <c r="J6" s="89">
        <f>+'[1]Cargo Summary'!I6</f>
        <v>5113.6516010826399</v>
      </c>
      <c r="K6" s="63">
        <f>(I6-J6)/J6</f>
        <v>-0.45461496484907493</v>
      </c>
      <c r="M6" s="12"/>
    </row>
    <row r="7" spans="1:18" ht="18" customHeight="1" thickBot="1" x14ac:dyDescent="0.25">
      <c r="A7" s="52" t="s">
        <v>71</v>
      </c>
      <c r="B7" s="135">
        <f>SUM(B5:B6)</f>
        <v>5449822</v>
      </c>
      <c r="C7" s="99">
        <f t="shared" ref="C7:J7" si="0">SUM(C5:C6)</f>
        <v>4556.3999999999996</v>
      </c>
      <c r="D7" s="99">
        <f t="shared" si="0"/>
        <v>15745588</v>
      </c>
      <c r="E7" s="99">
        <f t="shared" si="0"/>
        <v>21199966.399999999</v>
      </c>
      <c r="F7" s="99">
        <f t="shared" si="0"/>
        <v>9616.1430032963654</v>
      </c>
      <c r="G7" s="99">
        <f t="shared" si="0"/>
        <v>10327.247336737946</v>
      </c>
      <c r="H7" s="27">
        <f>(F7-G7)/G7</f>
        <v>-6.8857102987348068E-2</v>
      </c>
      <c r="I7" s="99">
        <f t="shared" si="0"/>
        <v>81752.984349247519</v>
      </c>
      <c r="J7" s="99">
        <f t="shared" si="0"/>
        <v>83219.891777280718</v>
      </c>
      <c r="K7" s="230">
        <f>(I7-J7)/J7</f>
        <v>-1.7626884590994735E-2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2406770</v>
      </c>
      <c r="C10" s="89">
        <f>'Regional Major'!M30</f>
        <v>1635.9</v>
      </c>
      <c r="D10" s="89">
        <f>Cargo!S21</f>
        <v>12571191</v>
      </c>
      <c r="E10" s="89">
        <f>SUM(B10:D10)</f>
        <v>14979596.9</v>
      </c>
      <c r="F10" s="89">
        <f>E10*0.00045359237</f>
        <v>6794.6308595156534</v>
      </c>
      <c r="G10" s="89">
        <f>'[1]Cargo Summary'!F10</f>
        <v>6527.973657428608</v>
      </c>
      <c r="H10" s="3">
        <f>(F10-G10)/G10</f>
        <v>4.0848388195255457E-2</v>
      </c>
      <c r="I10" s="89">
        <f>+F10+'[2]Cargo Summary'!I10</f>
        <v>60797.018265919782</v>
      </c>
      <c r="J10" s="89">
        <f>+'[1]Cargo Summary'!I10</f>
        <v>62994.558036212649</v>
      </c>
      <c r="K10" s="63">
        <f>(I10-J10)/J10</f>
        <v>-3.4884597000102831E-2</v>
      </c>
      <c r="M10" s="12"/>
      <c r="O10" s="392"/>
    </row>
    <row r="11" spans="1:18" x14ac:dyDescent="0.2">
      <c r="A11" s="43" t="s">
        <v>16</v>
      </c>
      <c r="B11" s="133">
        <f>'Major Airline Stats'!L34</f>
        <v>64225</v>
      </c>
      <c r="C11" s="89">
        <f>'Regional Major'!M31</f>
        <v>0</v>
      </c>
      <c r="D11" s="89">
        <f>Cargo!S22</f>
        <v>1747302</v>
      </c>
      <c r="E11" s="89">
        <f>SUM(B11:D11)</f>
        <v>1811527</v>
      </c>
      <c r="F11" s="89">
        <f>E11*0.00045359237</f>
        <v>821.69482524899001</v>
      </c>
      <c r="G11" s="89">
        <f>'[1]Cargo Summary'!F11</f>
        <v>200.86249483762001</v>
      </c>
      <c r="H11" s="24">
        <f>(F11-G11)/G11</f>
        <v>3.0908325166092325</v>
      </c>
      <c r="I11" s="89">
        <f>+F11+'[2]Cargo Summary'!I11</f>
        <v>2358.3247075819199</v>
      </c>
      <c r="J11" s="89">
        <f>+'[1]Cargo Summary'!I11</f>
        <v>3915.9940184049296</v>
      </c>
      <c r="K11" s="63">
        <f>(I11-J11)/J11</f>
        <v>-0.39777111596750669</v>
      </c>
      <c r="M11" s="12"/>
    </row>
    <row r="12" spans="1:18" ht="18" customHeight="1" thickBot="1" x14ac:dyDescent="0.25">
      <c r="A12" s="52" t="s">
        <v>72</v>
      </c>
      <c r="B12" s="135">
        <f>SUM(B10:B11)</f>
        <v>2470995</v>
      </c>
      <c r="C12" s="99">
        <f t="shared" ref="C12:J12" si="1">SUM(C10:C11)</f>
        <v>1635.9</v>
      </c>
      <c r="D12" s="99">
        <f t="shared" si="1"/>
        <v>14318493</v>
      </c>
      <c r="E12" s="99">
        <f t="shared" si="1"/>
        <v>16791123.899999999</v>
      </c>
      <c r="F12" s="99">
        <f t="shared" si="1"/>
        <v>7616.3256847646435</v>
      </c>
      <c r="G12" s="99">
        <f t="shared" si="1"/>
        <v>6728.8361522662281</v>
      </c>
      <c r="H12" s="27">
        <f>(F12-G12)/G12</f>
        <v>0.13189346752031028</v>
      </c>
      <c r="I12" s="99">
        <f>SUM(I10:I11)</f>
        <v>63155.342973501698</v>
      </c>
      <c r="J12" s="99">
        <f t="shared" si="1"/>
        <v>66910.552054617583</v>
      </c>
      <c r="K12" s="230">
        <f>(I12-J12)/J12</f>
        <v>-5.6122823169215401E-2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7789060</v>
      </c>
      <c r="C20" s="89">
        <f>C15+C10+C5</f>
        <v>6192.2999999999993</v>
      </c>
      <c r="D20" s="89">
        <f t="shared" si="3"/>
        <v>26634333</v>
      </c>
      <c r="E20" s="89">
        <f>SUM(B20:D20)</f>
        <v>34429585.299999997</v>
      </c>
      <c r="F20" s="89">
        <f>E20*0.00045359237</f>
        <v>15616.99719434416</v>
      </c>
      <c r="G20" s="89">
        <f>'[1]Cargo Summary'!F20</f>
        <v>15722.701543782694</v>
      </c>
      <c r="H20" s="3">
        <f>(F20-G20)/G20</f>
        <v>-6.7230398760786455E-3</v>
      </c>
      <c r="I20" s="89">
        <f>+F20+'[2]Cargo Summary'!I20</f>
        <v>124268.38012315035</v>
      </c>
      <c r="J20" s="89">
        <f>+'[1]Cargo Summary'!I20</f>
        <v>141100.79821241074</v>
      </c>
      <c r="K20" s="63">
        <f>(I20-J20)/J20</f>
        <v>-0.1192935709968214</v>
      </c>
      <c r="M20" s="12"/>
    </row>
    <row r="21" spans="1:13" x14ac:dyDescent="0.2">
      <c r="A21" s="43" t="s">
        <v>16</v>
      </c>
      <c r="B21" s="133">
        <f t="shared" si="3"/>
        <v>131757</v>
      </c>
      <c r="C21" s="90">
        <f t="shared" si="3"/>
        <v>0</v>
      </c>
      <c r="D21" s="90">
        <f t="shared" si="3"/>
        <v>3429748</v>
      </c>
      <c r="E21" s="89">
        <f>SUM(B21:D21)</f>
        <v>3561505</v>
      </c>
      <c r="F21" s="89">
        <f>E21*0.00045359237</f>
        <v>1615.4714937168499</v>
      </c>
      <c r="G21" s="89">
        <f>'[1]Cargo Summary'!F21</f>
        <v>1333.38194522148</v>
      </c>
      <c r="H21" s="3">
        <f>(F21-G21)/G21</f>
        <v>0.21155944814335526</v>
      </c>
      <c r="I21" s="89">
        <f>+F21+'[2]Cargo Summary'!I21</f>
        <v>4570.7078844858197</v>
      </c>
      <c r="J21" s="89">
        <f>+'[1]Cargo Summary'!I21</f>
        <v>9029.64561948757</v>
      </c>
      <c r="K21" s="63">
        <f>(I21-J21)/J21</f>
        <v>-0.49381093377336704</v>
      </c>
      <c r="M21" s="12"/>
    </row>
    <row r="22" spans="1:13" ht="18" customHeight="1" thickBot="1" x14ac:dyDescent="0.25">
      <c r="A22" s="65" t="s">
        <v>62</v>
      </c>
      <c r="B22" s="136">
        <f>SUM(B20:B21)</f>
        <v>7920817</v>
      </c>
      <c r="C22" s="137">
        <f t="shared" ref="C22:J22" si="4">SUM(C20:C21)</f>
        <v>6192.2999999999993</v>
      </c>
      <c r="D22" s="137">
        <f t="shared" si="4"/>
        <v>30064081</v>
      </c>
      <c r="E22" s="137">
        <f t="shared" si="4"/>
        <v>37991090.299999997</v>
      </c>
      <c r="F22" s="137">
        <f t="shared" si="4"/>
        <v>17232.46868806101</v>
      </c>
      <c r="G22" s="137">
        <f t="shared" si="4"/>
        <v>17056.083489004173</v>
      </c>
      <c r="H22" s="236">
        <f>(F22-G22)/G22</f>
        <v>1.0341483094319372E-2</v>
      </c>
      <c r="I22" s="137">
        <f>SUM(I20:I21)</f>
        <v>128839.08800763616</v>
      </c>
      <c r="J22" s="137">
        <f t="shared" si="4"/>
        <v>150130.4438318983</v>
      </c>
      <c r="K22" s="237">
        <f>(I22-J22)/J22</f>
        <v>-0.14181904269930859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September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2" sqref="J12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6">
        <v>45536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45536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222</v>
      </c>
      <c r="D5" s="374">
        <f>SUM(D6:D7)</f>
        <v>201</v>
      </c>
      <c r="E5" s="375">
        <f>(C5-D5)/D5</f>
        <v>0.1044776119402985</v>
      </c>
      <c r="F5" s="374">
        <f>SUM(F6:F7)</f>
        <v>1842</v>
      </c>
      <c r="G5" s="374">
        <f>SUM(G6:G7)</f>
        <v>1611</v>
      </c>
      <c r="H5" s="376">
        <f>(F5-G5)/G5</f>
        <v>0.14338919925512103</v>
      </c>
      <c r="I5" s="375">
        <f>+F5/$F$34</f>
        <v>0.18685331710286063</v>
      </c>
      <c r="J5" s="250" t="s">
        <v>200</v>
      </c>
      <c r="K5" s="37"/>
      <c r="L5" s="374">
        <f>SUM(L6:L7)</f>
        <v>5229375</v>
      </c>
      <c r="M5" s="374">
        <f>SUM(M6:M7)</f>
        <v>5593471</v>
      </c>
      <c r="N5" s="375">
        <f>(L5-M5)/M5</f>
        <v>-6.5093034360954052E-2</v>
      </c>
      <c r="O5" s="374">
        <f>SUM(O6:O7)</f>
        <v>42133883</v>
      </c>
      <c r="P5" s="374">
        <f>SUM(P6:P7)</f>
        <v>47614487</v>
      </c>
      <c r="Q5" s="376">
        <f>(O5-P5)/P5</f>
        <v>-0.11510370782740975</v>
      </c>
      <c r="R5" s="375">
        <f>O5/$O$34</f>
        <v>0.16322723160620423</v>
      </c>
      <c r="T5" s="383"/>
    </row>
    <row r="6" spans="1:20" ht="14.1" customHeight="1" x14ac:dyDescent="0.2">
      <c r="A6" s="36"/>
      <c r="B6" s="310" t="s">
        <v>201</v>
      </c>
      <c r="C6" s="314">
        <f>+'[3]Atlas Air'!$JB$19</f>
        <v>0</v>
      </c>
      <c r="D6" s="209">
        <f>+'[3]Atlas Air'!$IN$19</f>
        <v>2</v>
      </c>
      <c r="E6" s="316">
        <f>(C6-D6)/D6</f>
        <v>-1</v>
      </c>
      <c r="F6" s="314">
        <f>+SUM('[3]Atlas Air'!$IT$19:$JB$19)</f>
        <v>24</v>
      </c>
      <c r="G6" s="209">
        <f>+SUM('[3]Atlas Air'!$IF$19:$IN$19)</f>
        <v>328</v>
      </c>
      <c r="H6" s="315">
        <f>(F6-G6)/G6</f>
        <v>-0.92682926829268297</v>
      </c>
      <c r="I6" s="316">
        <f>+F6/$F$34</f>
        <v>2.4345709068776629E-3</v>
      </c>
      <c r="J6" s="36"/>
      <c r="K6" s="310" t="s">
        <v>201</v>
      </c>
      <c r="L6" s="314">
        <f>+'[3]Atlas Air'!$JB$64</f>
        <v>0</v>
      </c>
      <c r="M6" s="209">
        <f>+'[3]Atlas Air'!$IN$64</f>
        <v>40044</v>
      </c>
      <c r="N6" s="316">
        <f>(L6-M6)/M6</f>
        <v>-1</v>
      </c>
      <c r="O6" s="209">
        <f>+SUM('[3]Atlas Air'!$IT$64:$JB$64)</f>
        <v>903874</v>
      </c>
      <c r="P6" s="209">
        <f>+SUM('[3]Atlas Air'!$IF$64:$IN$64)</f>
        <v>15592074</v>
      </c>
      <c r="Q6" s="315">
        <f>(O6-P6)/P6</f>
        <v>-0.94202990570722023</v>
      </c>
      <c r="R6" s="316">
        <f>O6/$O$34</f>
        <v>3.5016200795171489E-3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Cargo'!$JB$19</f>
        <v>222</v>
      </c>
      <c r="D7" s="209">
        <f>+'[3]Sun Country Cargo'!$IN$19</f>
        <v>199</v>
      </c>
      <c r="E7" s="316">
        <f>(C7-D7)/D7</f>
        <v>0.11557788944723618</v>
      </c>
      <c r="F7" s="314">
        <f>+SUM('[3]Sun Country Cargo'!$IT$19:$JB$19)</f>
        <v>1818</v>
      </c>
      <c r="G7" s="209">
        <f>+SUM('[3]Sun Country Cargo'!$IF$19:$IN$19)</f>
        <v>1283</v>
      </c>
      <c r="H7" s="315">
        <f>(F7-G7)/G7</f>
        <v>0.41699142634450509</v>
      </c>
      <c r="I7" s="316">
        <f>+F7/$F$34</f>
        <v>0.18441874619598295</v>
      </c>
      <c r="J7" s="36"/>
      <c r="K7" s="310" t="s">
        <v>49</v>
      </c>
      <c r="L7" s="314">
        <f>+'[3]Sun Country Cargo'!$JB$64</f>
        <v>5229375</v>
      </c>
      <c r="M7" s="209">
        <f>+'[3]Sun Country Cargo'!$IN$64</f>
        <v>5553427</v>
      </c>
      <c r="N7" s="316">
        <f>(L7-M7)/M7</f>
        <v>-5.8351716876804176E-2</v>
      </c>
      <c r="O7" s="209">
        <f>+SUM('[3]Sun Country Cargo'!$IT$64:$JB$64)</f>
        <v>41230009</v>
      </c>
      <c r="P7" s="209">
        <f>+SUM('[3]Sun Country Cargo'!$IF$64:$IN$64)</f>
        <v>32022413</v>
      </c>
      <c r="Q7" s="315">
        <f>(O7-P7)/P7</f>
        <v>0.28753598300040661</v>
      </c>
      <c r="R7" s="316">
        <f>O7/$O$34</f>
        <v>0.15972561152668707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120</v>
      </c>
      <c r="D9" s="374">
        <f>SUM(D10:D18)</f>
        <v>128</v>
      </c>
      <c r="E9" s="375">
        <f>(C9-D9)/D9</f>
        <v>-6.25E-2</v>
      </c>
      <c r="F9" s="374">
        <f>SUM(F10:F18)</f>
        <v>1096</v>
      </c>
      <c r="G9" s="374">
        <f>SUM(G10:G18)</f>
        <v>1244</v>
      </c>
      <c r="H9" s="376">
        <f>(F9-G9)/G9</f>
        <v>-0.11897106109324759</v>
      </c>
      <c r="I9" s="375">
        <f t="shared" ref="I9:I18" si="0">+F9/$F$34</f>
        <v>0.1111787380807466</v>
      </c>
      <c r="J9" s="250" t="s">
        <v>202</v>
      </c>
      <c r="K9" s="37"/>
      <c r="L9" s="374">
        <f>SUM(L10:L18)</f>
        <v>1496281</v>
      </c>
      <c r="M9" s="374">
        <f>SUM(M10:M18)</f>
        <v>1469550</v>
      </c>
      <c r="N9" s="375">
        <f t="shared" ref="N9:N18" si="1">(L9-M9)/M9</f>
        <v>1.8189922084992004E-2</v>
      </c>
      <c r="O9" s="374">
        <f>SUM(O10:O18)</f>
        <v>12966083</v>
      </c>
      <c r="P9" s="374">
        <f>SUM(P10:P18)</f>
        <v>13081060</v>
      </c>
      <c r="Q9" s="376">
        <f t="shared" ref="Q9:Q18" si="2">(O9-P9)/P9</f>
        <v>-8.7895782146095187E-3</v>
      </c>
      <c r="R9" s="375">
        <f t="shared" ref="R9:R18" si="3">O9/$O$34</f>
        <v>5.023078060159486E-2</v>
      </c>
      <c r="T9" s="383"/>
    </row>
    <row r="10" spans="1:20" ht="14.1" customHeight="1" x14ac:dyDescent="0.2">
      <c r="A10" s="250"/>
      <c r="B10" s="310" t="s">
        <v>203</v>
      </c>
      <c r="C10" s="314">
        <f>+[3]Airborne!$JB$19</f>
        <v>8</v>
      </c>
      <c r="D10" s="209">
        <f>+[3]Airborne!$IN$19</f>
        <v>8</v>
      </c>
      <c r="E10" s="316">
        <f>(C10-D10)/D10</f>
        <v>0</v>
      </c>
      <c r="F10" s="314">
        <f>+SUM([3]Airborne!$IT$19:$JB$19)</f>
        <v>60</v>
      </c>
      <c r="G10" s="209">
        <f>+SUM([3]Airborne!$IF$19:$IN$19)</f>
        <v>36</v>
      </c>
      <c r="H10" s="315">
        <f>(F10-G10)/G10</f>
        <v>0.66666666666666663</v>
      </c>
      <c r="I10" s="316">
        <f t="shared" si="0"/>
        <v>6.0864272671941567E-3</v>
      </c>
      <c r="J10" s="250"/>
      <c r="K10" s="310" t="s">
        <v>203</v>
      </c>
      <c r="L10" s="314">
        <f>+[3]Airborne!$JB$64</f>
        <v>422919</v>
      </c>
      <c r="M10" s="209">
        <f>+[3]Airborne!$IN$64</f>
        <v>252835</v>
      </c>
      <c r="N10" s="316">
        <f t="shared" si="1"/>
        <v>0.67270749698419918</v>
      </c>
      <c r="O10" s="314">
        <f>+SUM([3]Airborne!$IT$64:$JB$64)</f>
        <v>2554134</v>
      </c>
      <c r="P10" s="209">
        <f>+SUM([3]Airborne!$IF$64:$IN$64)</f>
        <v>977340</v>
      </c>
      <c r="Q10" s="315">
        <f t="shared" si="2"/>
        <v>1.6133525692184909</v>
      </c>
      <c r="R10" s="316">
        <f t="shared" si="3"/>
        <v>9.8947496002512007E-3</v>
      </c>
      <c r="T10" s="383"/>
    </row>
    <row r="11" spans="1:20" ht="14.1" customHeight="1" x14ac:dyDescent="0.2">
      <c r="A11" s="250"/>
      <c r="B11" s="37" t="s">
        <v>201</v>
      </c>
      <c r="C11" s="314">
        <f>+[3]DHL_Atlas!$JB$19</f>
        <v>0</v>
      </c>
      <c r="D11" s="209">
        <f>+[3]DHL_Atlas!$IN$19</f>
        <v>0</v>
      </c>
      <c r="E11" s="316" t="e">
        <f t="shared" ref="E11:E18" si="4">(C11-D11)/D11</f>
        <v>#DIV/0!</v>
      </c>
      <c r="F11" s="314">
        <f>+SUM([3]DHL_Atlas!$IT$19:$JB$19)</f>
        <v>0</v>
      </c>
      <c r="G11" s="209">
        <f>+SUM([3]DHL_Atlas!$IF$19:$IN$19)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+[3]DHL_Atlas!$JB$64</f>
        <v>0</v>
      </c>
      <c r="M11" s="209">
        <f>+[3]DHL_Atlas!$IN$64</f>
        <v>0</v>
      </c>
      <c r="N11" s="316" t="e">
        <f t="shared" si="1"/>
        <v>#DIV/0!</v>
      </c>
      <c r="O11" s="314">
        <f>+SUM([3]DHL_Atlas!$IT$64:$JB$64)</f>
        <v>0</v>
      </c>
      <c r="P11" s="209">
        <f>+SUM([3]DHL_Atlas!$IF$64:$IN$64)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251</v>
      </c>
      <c r="C12" s="314">
        <f>+[3]DHL!$JB$19</f>
        <v>34</v>
      </c>
      <c r="D12" s="209">
        <f>+[3]DHL!$IN$19</f>
        <v>2</v>
      </c>
      <c r="E12" s="316">
        <f t="shared" si="4"/>
        <v>16</v>
      </c>
      <c r="F12" s="314">
        <f>+SUM([3]DHL!$IT$19:$JB$19)</f>
        <v>242</v>
      </c>
      <c r="G12" s="209">
        <f>+SUM([3]DHL!$IF$19:$IN$19)</f>
        <v>14</v>
      </c>
      <c r="H12" s="315">
        <f t="shared" si="5"/>
        <v>16.285714285714285</v>
      </c>
      <c r="I12" s="316">
        <f t="shared" si="0"/>
        <v>2.45485899776831E-2</v>
      </c>
      <c r="J12" s="250"/>
      <c r="K12" s="37" t="s">
        <v>251</v>
      </c>
      <c r="L12" s="314">
        <f>+[3]DHL!$JB$64</f>
        <v>1073362</v>
      </c>
      <c r="M12" s="209">
        <f>+[3]DHL!$IN$64</f>
        <v>70279</v>
      </c>
      <c r="N12" s="316">
        <f t="shared" si="1"/>
        <v>14.272869562742782</v>
      </c>
      <c r="O12" s="314">
        <f>+SUM([3]DHL!$IT$64:$JB$64)</f>
        <v>7010241</v>
      </c>
      <c r="P12" s="209">
        <f>+SUM([3]DHL!$IF$64:$IN$64)</f>
        <v>397103</v>
      </c>
      <c r="Q12" s="315">
        <f t="shared" si="2"/>
        <v>16.653457667154367</v>
      </c>
      <c r="R12" s="316">
        <f t="shared" si="3"/>
        <v>2.7157768281701185E-2</v>
      </c>
      <c r="T12" s="383"/>
    </row>
    <row r="13" spans="1:20" ht="14.1" customHeight="1" x14ac:dyDescent="0.2">
      <c r="A13" s="250"/>
      <c r="B13" s="310" t="s">
        <v>83</v>
      </c>
      <c r="C13" s="314">
        <f>+[3]DHL_Bemidji!$JB$19</f>
        <v>78</v>
      </c>
      <c r="D13" s="209">
        <f>+[3]DHL_Bemidji!$IN$19</f>
        <v>74</v>
      </c>
      <c r="E13" s="316">
        <f>(C13-D13)/D13</f>
        <v>5.4054054054054057E-2</v>
      </c>
      <c r="F13" s="314">
        <f>+SUM([3]DHL_Bemidji!$IT$19:$JB$19)</f>
        <v>694</v>
      </c>
      <c r="G13" s="209">
        <f>+SUM([3]DHL_Bemidji!$IF$19:$IN$19)</f>
        <v>662</v>
      </c>
      <c r="H13" s="315">
        <f t="shared" si="5"/>
        <v>4.8338368580060423E-2</v>
      </c>
      <c r="I13" s="316">
        <f t="shared" si="0"/>
        <v>7.0399675390545743E-2</v>
      </c>
      <c r="J13" s="250"/>
      <c r="K13" s="310" t="s">
        <v>83</v>
      </c>
      <c r="L13" s="314">
        <f>+[3]DHL_Bemidji!$JB$64</f>
        <v>0</v>
      </c>
      <c r="M13" s="209">
        <f>+[3]DHL_Bemidji!$IN$64</f>
        <v>89053</v>
      </c>
      <c r="N13" s="316">
        <f t="shared" ref="N13" si="6">(L13-M13)/M13</f>
        <v>-1</v>
      </c>
      <c r="O13" s="314">
        <f>+SUM([3]DHL_Bemidji!$IT$64:$JB$64)</f>
        <v>721758</v>
      </c>
      <c r="P13" s="209">
        <f>+SUM([3]DHL_Bemidji!$IF$64:$IN$64)</f>
        <v>846503</v>
      </c>
      <c r="Q13" s="315">
        <f t="shared" ref="Q13" si="7">(O13-P13)/P13</f>
        <v>-0.1473651008915503</v>
      </c>
      <c r="R13" s="316">
        <f t="shared" si="3"/>
        <v>2.7961002367057116E-3</v>
      </c>
      <c r="T13" s="383"/>
    </row>
    <row r="14" spans="1:20" ht="14.1" customHeight="1" x14ac:dyDescent="0.2">
      <c r="A14" s="250"/>
      <c r="B14" s="37" t="s">
        <v>192</v>
      </c>
      <c r="C14" s="314">
        <f>+[3]Encore!$JB$19+[3]DHL_Encore!$JB$12</f>
        <v>0</v>
      </c>
      <c r="D14" s="209">
        <f>+[3]Encore!$IN$19+[3]DHL_Encore!$IN$19</f>
        <v>0</v>
      </c>
      <c r="E14" s="316" t="e">
        <f t="shared" si="4"/>
        <v>#DIV/0!</v>
      </c>
      <c r="F14" s="314">
        <f>+SUM([3]Encore!$IT$19:$JB$19)+SUM([3]DHL_Encore!$IT$19:$JB$19)</f>
        <v>0</v>
      </c>
      <c r="G14" s="209">
        <f>+SUM([3]Encore!$IF$19:$IN$19)+SUM([3]DHL_Encore!$IF$19:$IN$19)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+[3]Encore!$JB$64+[3]DHL_Encore!$JB$64</f>
        <v>0</v>
      </c>
      <c r="M14" s="209">
        <f>+[3]Encore!$IN$64+[3]DHL_Encore!$IN$64</f>
        <v>0</v>
      </c>
      <c r="N14" s="316" t="e">
        <f t="shared" si="1"/>
        <v>#DIV/0!</v>
      </c>
      <c r="O14" s="314">
        <f>+SUM([3]Encore!$IT$64:$JB$64)+SUM([3]DHL_Encore!$IT$64:$JB$64)</f>
        <v>0</v>
      </c>
      <c r="P14" s="209">
        <f>+SUM([3]Encore!$IF$64:$IN$64)+SUM([3]DHL_Encore!$IF$64:$IN$64)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204</v>
      </c>
      <c r="C15" s="314">
        <f>+[3]DHL_Kalitta!$JB$19</f>
        <v>0</v>
      </c>
      <c r="D15" s="209">
        <f>+[3]DHL_Kalitta!$IN$19</f>
        <v>2</v>
      </c>
      <c r="E15" s="316">
        <f t="shared" si="4"/>
        <v>-1</v>
      </c>
      <c r="F15" s="314">
        <f>+SUM([3]DHL_Kalitta!$IT$19:$JB$19)</f>
        <v>96</v>
      </c>
      <c r="G15" s="209">
        <f>+SUM([3]DHL_Kalitta!$IF$19:$IN$19)</f>
        <v>2</v>
      </c>
      <c r="H15" s="315">
        <f t="shared" si="5"/>
        <v>47</v>
      </c>
      <c r="I15" s="316">
        <f t="shared" si="0"/>
        <v>9.7382836275106514E-3</v>
      </c>
      <c r="J15" s="250"/>
      <c r="K15" s="37" t="s">
        <v>204</v>
      </c>
      <c r="L15" s="314">
        <f>+[3]DHL_Kalitta!$JB$64</f>
        <v>0</v>
      </c>
      <c r="M15" s="209">
        <f>+[3]DHL_Kalitta!$IN$64</f>
        <v>56330</v>
      </c>
      <c r="N15" s="316">
        <f t="shared" si="1"/>
        <v>-1</v>
      </c>
      <c r="O15" s="314">
        <f>+SUM([3]DHL_Kalitta!$IT$64:$JB$64)</f>
        <v>2603803</v>
      </c>
      <c r="P15" s="209">
        <f>+SUM([3]DHL_Kalitta!$IF$64:$IN$64)</f>
        <v>56330</v>
      </c>
      <c r="Q15" s="315">
        <f t="shared" si="2"/>
        <v>45.224090182851057</v>
      </c>
      <c r="R15" s="316">
        <f t="shared" si="3"/>
        <v>1.0087167976849639E-2</v>
      </c>
      <c r="T15" s="383"/>
    </row>
    <row r="16" spans="1:20" ht="14.1" customHeight="1" x14ac:dyDescent="0.2">
      <c r="A16" s="250"/>
      <c r="B16" s="37" t="s">
        <v>51</v>
      </c>
      <c r="C16" s="314">
        <f>+[3]DHL_Mesa!$JB$19</f>
        <v>0</v>
      </c>
      <c r="D16" s="209">
        <f>+[3]DHL_Mesa!$IN$19</f>
        <v>40</v>
      </c>
      <c r="E16" s="316">
        <f t="shared" ref="E16" si="8">(C16-D16)/D16</f>
        <v>-1</v>
      </c>
      <c r="F16" s="314">
        <f>+SUM([3]DHL_Mesa!$IT$19:$JB$19)</f>
        <v>2</v>
      </c>
      <c r="G16" s="209">
        <f>+SUM([3]DHL_Mesa!$IF$19:$IN$19)</f>
        <v>264</v>
      </c>
      <c r="H16" s="315">
        <f t="shared" ref="H16" si="9">(F16-G16)/G16</f>
        <v>-0.99242424242424243</v>
      </c>
      <c r="I16" s="316">
        <f t="shared" ref="I16" si="10">+F16/$F$34</f>
        <v>2.028809089064719E-4</v>
      </c>
      <c r="J16" s="250"/>
      <c r="K16" s="37" t="s">
        <v>51</v>
      </c>
      <c r="L16" s="314">
        <f>+[3]DHL_Mesa!$JB$64</f>
        <v>0</v>
      </c>
      <c r="M16" s="209">
        <f>+[3]DHL_Mesa!$IN$64</f>
        <v>949113</v>
      </c>
      <c r="N16" s="316">
        <f t="shared" ref="N16" si="11">(L16-M16)/M16</f>
        <v>-1</v>
      </c>
      <c r="O16" s="314">
        <f>+SUM([3]DHL_Mesa!$IT$64:$JB$64)</f>
        <v>22802</v>
      </c>
      <c r="P16" s="209">
        <f>+SUM([3]DHL_Mesa!$IF$64:$IN$64)</f>
        <v>5406361</v>
      </c>
      <c r="Q16" s="315">
        <f t="shared" ref="Q16" si="12">(O16-P16)/P16</f>
        <v>-0.99578237561272731</v>
      </c>
      <c r="R16" s="316">
        <f t="shared" ref="R16" si="13">O16/$O$34</f>
        <v>8.8335255857730199E-5</v>
      </c>
      <c r="T16" s="383"/>
    </row>
    <row r="17" spans="1:20" x14ac:dyDescent="0.2">
      <c r="A17" s="250"/>
      <c r="B17" s="37" t="s">
        <v>226</v>
      </c>
      <c r="C17" s="314">
        <f>+[3]DHL_Amerijet!$JB$19</f>
        <v>0</v>
      </c>
      <c r="D17" s="209">
        <f>+[3]DHL_Amerijet!$IN$19</f>
        <v>0</v>
      </c>
      <c r="E17" s="316" t="e">
        <f t="shared" si="4"/>
        <v>#DIV/0!</v>
      </c>
      <c r="F17" s="314">
        <f>+SUM([3]DHL_Amerijet!$IT$19:$JB$19)</f>
        <v>0</v>
      </c>
      <c r="G17" s="209">
        <f>+SUM([3]DHL_Amerijet!$IF$19:$IN$19)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+[3]DHL_Amerijet!$JB$64</f>
        <v>0</v>
      </c>
      <c r="M17" s="209">
        <f>+[3]DHL_Amerijet!$IN$64</f>
        <v>0</v>
      </c>
      <c r="N17" s="316" t="e">
        <f t="shared" si="1"/>
        <v>#DIV/0!</v>
      </c>
      <c r="O17" s="314">
        <f>+SUM([3]DHL_Amerijet!$IT$64:$JB$64)</f>
        <v>0</v>
      </c>
      <c r="P17" s="209">
        <f>+SUM([3]DHL_Amerijet!$IF$64:$IN$64)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205</v>
      </c>
      <c r="C18" s="314">
        <f>+[3]DHL_Swift!$JB$19</f>
        <v>0</v>
      </c>
      <c r="D18" s="209">
        <f>+[3]DHL_Swift!$IN$19</f>
        <v>2</v>
      </c>
      <c r="E18" s="316">
        <f t="shared" si="4"/>
        <v>-1</v>
      </c>
      <c r="F18" s="314">
        <f>+SUM([3]DHL_Swift!$IT$19:$JB$19)</f>
        <v>2</v>
      </c>
      <c r="G18" s="209">
        <f>+SUM([3]DHL_Swift!$IF$19:$IN$19)</f>
        <v>184</v>
      </c>
      <c r="H18" s="315">
        <f t="shared" si="5"/>
        <v>-0.98913043478260865</v>
      </c>
      <c r="I18" s="316">
        <f t="shared" si="0"/>
        <v>2.028809089064719E-4</v>
      </c>
      <c r="J18" s="250"/>
      <c r="K18" s="37" t="s">
        <v>205</v>
      </c>
      <c r="L18" s="314">
        <f>+[3]DHL_Swift!$JB$64</f>
        <v>0</v>
      </c>
      <c r="M18" s="209">
        <f>+[3]DHL_Swift!$IN$64</f>
        <v>51940</v>
      </c>
      <c r="N18" s="316">
        <f t="shared" si="1"/>
        <v>-1</v>
      </c>
      <c r="O18" s="314">
        <f>+SUM([3]DHL_Swift!$IT$64:$JB$64)</f>
        <v>53345</v>
      </c>
      <c r="P18" s="209">
        <f>+SUM([3]DHL_Swift!$IF$64:$IN$64)</f>
        <v>3049458</v>
      </c>
      <c r="Q18" s="315">
        <f t="shared" si="2"/>
        <v>-0.98250672742500467</v>
      </c>
      <c r="R18" s="316">
        <f t="shared" si="3"/>
        <v>2.0665925022939294E-4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262</v>
      </c>
      <c r="D20" s="374">
        <f>SUM(D21:D24)</f>
        <v>296</v>
      </c>
      <c r="E20" s="375">
        <f>(C20-D20)/D20</f>
        <v>-0.11486486486486487</v>
      </c>
      <c r="F20" s="378">
        <f>SUM(F21:F24)</f>
        <v>2300</v>
      </c>
      <c r="G20" s="374">
        <f>SUM(G21:G24)</f>
        <v>2370</v>
      </c>
      <c r="H20" s="376">
        <f t="shared" ref="H20:H21" si="14">(F20-G20)/G20</f>
        <v>-2.9535864978902954E-2</v>
      </c>
      <c r="I20" s="375">
        <f>+F20/$F$34</f>
        <v>0.23331304524244267</v>
      </c>
      <c r="J20" s="250" t="s">
        <v>180</v>
      </c>
      <c r="K20" s="37"/>
      <c r="L20" s="378">
        <f>SUM(L21:L24)</f>
        <v>11710092</v>
      </c>
      <c r="M20" s="374">
        <f>SUM(M21:M24)</f>
        <v>13722283</v>
      </c>
      <c r="N20" s="375">
        <f>(L20-M20)/M20</f>
        <v>-0.14663675133357912</v>
      </c>
      <c r="O20" s="378">
        <f>SUM(O21:O24)</f>
        <v>116122352</v>
      </c>
      <c r="P20" s="374">
        <f>SUM(P21:P24)</f>
        <v>115471684</v>
      </c>
      <c r="Q20" s="376">
        <f t="shared" ref="Q20:Q22" si="15">(O20-P20)/P20</f>
        <v>5.6348706233469324E-3</v>
      </c>
      <c r="R20" s="375">
        <f>O20/$O$34</f>
        <v>0.44985955945624984</v>
      </c>
      <c r="T20" s="383"/>
    </row>
    <row r="21" spans="1:20" ht="14.1" customHeight="1" x14ac:dyDescent="0.2">
      <c r="A21" s="36"/>
      <c r="B21" s="310" t="s">
        <v>180</v>
      </c>
      <c r="C21" s="314">
        <f>+[3]FedEx!$JB$19</f>
        <v>196</v>
      </c>
      <c r="D21" s="209">
        <f>+[3]FedEx!$IN$19</f>
        <v>220</v>
      </c>
      <c r="E21" s="316">
        <f>(C21-D21)/D21</f>
        <v>-0.10909090909090909</v>
      </c>
      <c r="F21" s="314">
        <f>+SUM([3]FedEx!$IT$19:$JB$19)</f>
        <v>1626</v>
      </c>
      <c r="G21" s="209">
        <f>+SUM([3]FedEx!$IF$19:$IN$19)</f>
        <v>1718</v>
      </c>
      <c r="H21" s="315">
        <f t="shared" si="14"/>
        <v>-5.3550640279394643E-2</v>
      </c>
      <c r="I21" s="316">
        <f>+F21/$F$34</f>
        <v>0.16494217894096166</v>
      </c>
      <c r="J21" s="250"/>
      <c r="K21" s="310" t="s">
        <v>180</v>
      </c>
      <c r="L21" s="314">
        <f>+[3]FedEx!$JB$64</f>
        <v>11545296</v>
      </c>
      <c r="M21" s="209">
        <f>+[3]FedEx!$IN$64</f>
        <v>13492483</v>
      </c>
      <c r="N21" s="316">
        <f>(L21-M21)/M21</f>
        <v>-0.14431643160121083</v>
      </c>
      <c r="O21" s="314">
        <f>+SUM([3]FedEx!$IT$64:$JB$64)</f>
        <v>114335158</v>
      </c>
      <c r="P21" s="209">
        <f>+SUM([3]FedEx!$IF$64:$IN$64)</f>
        <v>113536884</v>
      </c>
      <c r="Q21" s="315">
        <f t="shared" si="15"/>
        <v>7.0309662541029397E-3</v>
      </c>
      <c r="R21" s="316">
        <f>O21/$O$34</f>
        <v>0.44293594577072221</v>
      </c>
      <c r="T21" s="383"/>
    </row>
    <row r="22" spans="1:20" ht="14.1" customHeight="1" x14ac:dyDescent="0.2">
      <c r="A22" s="36"/>
      <c r="B22" s="310" t="s">
        <v>206</v>
      </c>
      <c r="C22" s="314">
        <f>+'[3]Mountain Cargo'!$JB$19</f>
        <v>38</v>
      </c>
      <c r="D22" s="209">
        <f>+'[3]Mountain Cargo'!$IN$19</f>
        <v>44</v>
      </c>
      <c r="E22" s="316">
        <f>(C22-D22)/D22</f>
        <v>-0.13636363636363635</v>
      </c>
      <c r="F22" s="314">
        <f>+SUM('[3]Mountain Cargo'!$IT$19:$JB$19)</f>
        <v>380</v>
      </c>
      <c r="G22" s="209">
        <f>+SUM('[3]Mountain Cargo'!$IF$19:$IN$19)</f>
        <v>378</v>
      </c>
      <c r="H22" s="315">
        <f>(F22-G22)/G22</f>
        <v>5.2910052910052907E-3</v>
      </c>
      <c r="I22" s="316">
        <f>+F22/$F$34</f>
        <v>3.8547372692229659E-2</v>
      </c>
      <c r="J22" s="355"/>
      <c r="K22" s="310" t="s">
        <v>206</v>
      </c>
      <c r="L22" s="314">
        <f>+'[3]Mountain Cargo'!$JB$64</f>
        <v>148577</v>
      </c>
      <c r="M22" s="209">
        <f>+'[3]Mountain Cargo'!$IN$64</f>
        <v>175699</v>
      </c>
      <c r="N22" s="316">
        <f>(L22-M22)/M22</f>
        <v>-0.15436627413929505</v>
      </c>
      <c r="O22" s="314">
        <f>+SUM('[3]Mountain Cargo'!$IT$64:$JB$64)</f>
        <v>1345055</v>
      </c>
      <c r="P22" s="209">
        <f>+SUM('[3]Mountain Cargo'!$IF$64:$IN$64)</f>
        <v>1431342</v>
      </c>
      <c r="Q22" s="315">
        <f t="shared" si="15"/>
        <v>-6.0283985239027428E-2</v>
      </c>
      <c r="R22" s="316">
        <f>O22/$O$34</f>
        <v>5.2107612300552279E-3</v>
      </c>
      <c r="T22" s="383"/>
    </row>
    <row r="23" spans="1:20" ht="14.1" customHeight="1" x14ac:dyDescent="0.2">
      <c r="A23" s="36"/>
      <c r="B23" s="310" t="s">
        <v>174</v>
      </c>
      <c r="C23" s="314">
        <f>+[3]IFL!$JB$19</f>
        <v>28</v>
      </c>
      <c r="D23" s="209">
        <f>+[3]IFL!$IN$19</f>
        <v>32</v>
      </c>
      <c r="E23" s="316">
        <f>(C23-D23)/D23</f>
        <v>-0.125</v>
      </c>
      <c r="F23" s="314">
        <f>+SUM([3]IFL!$IT$19:$JB$19)</f>
        <v>294</v>
      </c>
      <c r="G23" s="209">
        <f>+SUM([3]IFL!$IF$19:$IN$19)</f>
        <v>274</v>
      </c>
      <c r="H23" s="315">
        <f>(F23-G23)/G23</f>
        <v>7.2992700729927001E-2</v>
      </c>
      <c r="I23" s="316">
        <f>+F23/$F$34</f>
        <v>2.9823493609251371E-2</v>
      </c>
      <c r="J23" s="355"/>
      <c r="K23" s="310" t="s">
        <v>174</v>
      </c>
      <c r="L23" s="314">
        <f>+[3]IFL!$JB$64</f>
        <v>16219</v>
      </c>
      <c r="M23" s="209">
        <f>+[3]IFL!$IN$64</f>
        <v>54101</v>
      </c>
      <c r="N23" s="316">
        <f>(L23-M23)/M23</f>
        <v>-0.70020886859762299</v>
      </c>
      <c r="O23" s="314">
        <f>+SUM([3]IFL!$IT$64:$JB$64)</f>
        <v>442139</v>
      </c>
      <c r="P23" s="209">
        <f>+SUM([3]IFL!$IF$64:$IN$64)</f>
        <v>503458</v>
      </c>
      <c r="Q23" s="315">
        <f>(O23-P23)/P23</f>
        <v>-0.12179566120709176</v>
      </c>
      <c r="R23" s="316">
        <f>O23/$O$34</f>
        <v>1.7128524554723696E-3</v>
      </c>
      <c r="T23" s="383"/>
    </row>
    <row r="24" spans="1:20" ht="14.1" customHeight="1" x14ac:dyDescent="0.2">
      <c r="A24" s="250"/>
      <c r="B24" s="310" t="s">
        <v>84</v>
      </c>
      <c r="C24" s="314">
        <f>+'[3]CSA Air'!$JB$19</f>
        <v>0</v>
      </c>
      <c r="D24" s="209">
        <f>+'[3]CSA Air'!$IN$19</f>
        <v>0</v>
      </c>
      <c r="E24" s="316" t="e">
        <f>(C24-D24)/D24</f>
        <v>#DIV/0!</v>
      </c>
      <c r="F24" s="314">
        <f>+SUM('[3]CSA Air'!$IT$19:$JB$19)</f>
        <v>0</v>
      </c>
      <c r="G24" s="209">
        <f>+SUM('[3]CSA Air'!$IF$19:$IN$19)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Air'!$JB$64</f>
        <v>0</v>
      </c>
      <c r="M24" s="209">
        <f>+'[3]CSA Air'!$IN$64</f>
        <v>0</v>
      </c>
      <c r="N24" s="316" t="e">
        <f>(L24-M24)/M24</f>
        <v>#DIV/0!</v>
      </c>
      <c r="O24" s="314">
        <f>+SUM('[3]CSA Air'!$IT$64:$JB$64)</f>
        <v>0</v>
      </c>
      <c r="P24" s="209">
        <f>+SUM('[3]CSA Air'!$IF$64:$IN$64)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475</v>
      </c>
      <c r="D26" s="374">
        <f>SUM(D27:D28)</f>
        <v>500</v>
      </c>
      <c r="E26" s="375">
        <f>(C26-D26)/D26</f>
        <v>-0.05</v>
      </c>
      <c r="F26" s="374">
        <f>SUM(F27:F28)</f>
        <v>4620</v>
      </c>
      <c r="G26" s="374">
        <f>SUM(G27:G28)</f>
        <v>5150</v>
      </c>
      <c r="H26" s="376">
        <f>(F26-G26)/G26</f>
        <v>-0.1029126213592233</v>
      </c>
      <c r="I26" s="375">
        <f>+F26/$F$34</f>
        <v>0.46865489957395007</v>
      </c>
      <c r="J26" s="250" t="s">
        <v>82</v>
      </c>
      <c r="K26" s="37"/>
      <c r="L26" s="374">
        <f>SUM(L27:L28)</f>
        <v>11628333</v>
      </c>
      <c r="M26" s="374">
        <f>SUM(M27:M28)</f>
        <v>9423673</v>
      </c>
      <c r="N26" s="375">
        <f>(L26-M26)/M26</f>
        <v>0.23394911941447882</v>
      </c>
      <c r="O26" s="374">
        <f>SUM(O27:O28)</f>
        <v>86907913</v>
      </c>
      <c r="P26" s="374">
        <f>SUM(P27:P28)</f>
        <v>92655578</v>
      </c>
      <c r="Q26" s="376">
        <f>(O26-P26)/P26</f>
        <v>-6.203258480563361E-2</v>
      </c>
      <c r="R26" s="375">
        <f>O26/$O$34</f>
        <v>0.33668242833595108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+[3]UPS!$JB$19</f>
        <v>205</v>
      </c>
      <c r="D27" s="209">
        <f>+[3]UPS!$IN$19</f>
        <v>170</v>
      </c>
      <c r="E27" s="316">
        <f>(C27-D27)/D27</f>
        <v>0.20588235294117646</v>
      </c>
      <c r="F27" s="314">
        <f>+SUM([3]UPS!$IT$19:$JB$19)</f>
        <v>1668</v>
      </c>
      <c r="G27" s="209">
        <f>+SUM([3]UPS!$IF$19:$IN$19)</f>
        <v>2038</v>
      </c>
      <c r="H27" s="315">
        <f>(F27-G27)/G27</f>
        <v>-0.18155053974484789</v>
      </c>
      <c r="I27" s="316">
        <f>+F27/$F$34</f>
        <v>0.16920267802799757</v>
      </c>
      <c r="J27" s="250"/>
      <c r="K27" s="310" t="s">
        <v>82</v>
      </c>
      <c r="L27" s="314">
        <f>+[3]UPS!$JB$64</f>
        <v>11628333</v>
      </c>
      <c r="M27" s="209">
        <f>+[3]UPS!$IN$64</f>
        <v>9423673</v>
      </c>
      <c r="N27" s="316">
        <f>(L27-M27)/M27</f>
        <v>0.23394911941447882</v>
      </c>
      <c r="O27" s="314">
        <f>+SUM([3]UPS!$IT$64:$JB$64)</f>
        <v>86907913</v>
      </c>
      <c r="P27" s="209">
        <f>+SUM([3]UPS!$IF$64:$IN$64)</f>
        <v>92655578</v>
      </c>
      <c r="Q27" s="315">
        <f>(O27-P27)/P27</f>
        <v>-6.203258480563361E-2</v>
      </c>
      <c r="R27" s="316">
        <f>O27/$O$34</f>
        <v>0.33668242833595108</v>
      </c>
      <c r="S27" s="332"/>
      <c r="T27" s="385"/>
    </row>
    <row r="28" spans="1:20" x14ac:dyDescent="0.2">
      <c r="A28" s="250"/>
      <c r="B28" s="310" t="s">
        <v>83</v>
      </c>
      <c r="C28" s="314">
        <f>+[3]Bemidji!$JB$19</f>
        <v>270</v>
      </c>
      <c r="D28" s="209">
        <f>+[3]Bemidji!$IN$19</f>
        <v>330</v>
      </c>
      <c r="E28" s="316">
        <f>(C28-D28)/D28</f>
        <v>-0.18181818181818182</v>
      </c>
      <c r="F28" s="314">
        <f>+SUM([3]Bemidji!$IT$19:$JB$19)</f>
        <v>2952</v>
      </c>
      <c r="G28" s="209">
        <f>+SUM([3]Bemidji!$IF$19:$IN$19)</f>
        <v>3112</v>
      </c>
      <c r="H28" s="315">
        <f t="shared" ref="H28" si="18">(F28-G28)/G28</f>
        <v>-5.1413881748071981E-2</v>
      </c>
      <c r="I28" s="316">
        <f>+F28/$F$34</f>
        <v>0.29945222154595252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Cargo'!$JB$19</f>
        <v>0</v>
      </c>
      <c r="D30" s="374">
        <f>+'[3]Misc Cargo'!$IN$19</f>
        <v>0</v>
      </c>
      <c r="E30" s="375" t="e">
        <f>(C30-D30)/D30</f>
        <v>#DIV/0!</v>
      </c>
      <c r="F30" s="378">
        <f>+SUM('[3]Misc Cargo'!$IT$19:$JB$19)</f>
        <v>0</v>
      </c>
      <c r="G30" s="374">
        <f>+SUM('[3]Misc Cargo'!$IF$19:$IN$19)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Cargo'!$JB$64</f>
        <v>0</v>
      </c>
      <c r="M30" s="374">
        <f>+'[3]Misc Cargo'!$IN$64</f>
        <v>0</v>
      </c>
      <c r="N30" s="375" t="e">
        <f>(L30-M30)/M30</f>
        <v>#DIV/0!</v>
      </c>
      <c r="O30" s="378">
        <f>+SUM('[3]Misc Cargo'!$IT$64:$JB$64)</f>
        <v>0</v>
      </c>
      <c r="P30" s="374">
        <f>+SUM('[3]Misc Cargo'!$IF$64:$IN$64)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1079</v>
      </c>
      <c r="D34" s="336">
        <f>+D30+D26+D20+D9+D5</f>
        <v>1125</v>
      </c>
      <c r="E34" s="337">
        <f>(C34-D34)/D34</f>
        <v>-4.0888888888888891E-2</v>
      </c>
      <c r="F34" s="336">
        <f>+F30+F26+F20+F9+F5</f>
        <v>9858</v>
      </c>
      <c r="G34" s="336">
        <f>+G30+G26+G20+G9+G5</f>
        <v>10375</v>
      </c>
      <c r="H34" s="338">
        <f>(F34-G34)/G34</f>
        <v>-4.9831325301204821E-2</v>
      </c>
      <c r="I34" s="344"/>
      <c r="K34" s="335" t="s">
        <v>181</v>
      </c>
      <c r="L34" s="336">
        <f>+L30+L26+L20+L9+L5</f>
        <v>30064081</v>
      </c>
      <c r="M34" s="336">
        <f>+M30+M26+M20+M9+M5</f>
        <v>30208977</v>
      </c>
      <c r="N34" s="339">
        <f>(L34-M34)/M34</f>
        <v>-4.7964550405000476E-3</v>
      </c>
      <c r="O34" s="336">
        <f>+O30+O26+O20+O9+O5</f>
        <v>258130231</v>
      </c>
      <c r="P34" s="336">
        <f>+P30+P26+P20+P9+P5</f>
        <v>268822809</v>
      </c>
      <c r="Q34" s="338">
        <f t="shared" ref="Q34" si="19">(O34-P34)/P34</f>
        <v>-3.9775560860239353E-2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September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B3" sqref="A3:R42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8">
        <v>45536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[3]Delta!$JB$32</f>
        <v>79882</v>
      </c>
      <c r="C4" s="11">
        <f>'[3]Atlantic Southeast'!$JB$32</f>
        <v>0</v>
      </c>
      <c r="D4" s="11">
        <f>[3]Pinnacle!$JB$32</f>
        <v>1526</v>
      </c>
      <c r="E4" s="11">
        <f>'[3]Sky West'!$JB$32</f>
        <v>8549</v>
      </c>
      <c r="F4" s="11">
        <f>'[3]Go Jet'!$JB$32</f>
        <v>0</v>
      </c>
      <c r="G4" s="11">
        <f>'[3]Sun Country'!$JB$32</f>
        <v>495</v>
      </c>
      <c r="H4" s="11">
        <f>[3]Icelandair!$JB$32</f>
        <v>5050</v>
      </c>
      <c r="I4" s="11">
        <f>[3]KLM!$JB$32</f>
        <v>3547</v>
      </c>
      <c r="J4" s="11">
        <f>[3]Lufthansa!$JB$32</f>
        <v>5223</v>
      </c>
      <c r="K4" s="11">
        <f>[3]Jazz_AC!$JB$32</f>
        <v>7067</v>
      </c>
      <c r="L4" s="11">
        <f>'[3]Sky Regional'!$JB$32</f>
        <v>0</v>
      </c>
      <c r="M4" s="11">
        <f>[3]Condor!$JB$32</f>
        <v>934</v>
      </c>
      <c r="N4" s="11">
        <f>'[3]Aer Lingus'!$JB$32</f>
        <v>2424</v>
      </c>
      <c r="O4" s="11">
        <f>'[3]Air France'!$JB$32</f>
        <v>5304</v>
      </c>
      <c r="P4" s="11">
        <f>[3]Frontier!$JB$32</f>
        <v>0</v>
      </c>
      <c r="Q4" s="11">
        <f>'[3]Charter Misc'!$JB$32+[3]Ryan!$JB$32+[3]Omni!$JB$32</f>
        <v>0</v>
      </c>
      <c r="R4" s="197">
        <f>SUM(B4:Q4)</f>
        <v>120001</v>
      </c>
    </row>
    <row r="5" spans="1:20" x14ac:dyDescent="0.2">
      <c r="A5" s="43" t="s">
        <v>31</v>
      </c>
      <c r="B5" s="7">
        <f>[3]Delta!$JB$33</f>
        <v>82972</v>
      </c>
      <c r="C5" s="7">
        <f>'[3]Atlantic Southeast'!$JB$33</f>
        <v>0</v>
      </c>
      <c r="D5" s="7">
        <f>[3]Pinnacle!$JB$33</f>
        <v>1551</v>
      </c>
      <c r="E5" s="7">
        <f>'[3]Sky West'!$JB$33</f>
        <v>8692</v>
      </c>
      <c r="F5" s="7">
        <f>'[3]Go Jet'!$JB$33</f>
        <v>0</v>
      </c>
      <c r="G5" s="7">
        <f>'[3]Sun Country'!$JB$33</f>
        <v>627</v>
      </c>
      <c r="H5" s="7">
        <f>[3]Icelandair!$JB$33</f>
        <v>4913</v>
      </c>
      <c r="I5" s="7">
        <f>[3]KLM!$JB$33</f>
        <v>3456</v>
      </c>
      <c r="J5" s="7">
        <f>[3]Lufthansa!$JB$33</f>
        <v>4857</v>
      </c>
      <c r="K5" s="7">
        <f>[3]Jazz_AC!$JB$33</f>
        <v>7198</v>
      </c>
      <c r="L5" s="7">
        <f>'[3]Sky Regional'!$JB$33</f>
        <v>0</v>
      </c>
      <c r="M5" s="7">
        <f>[3]Condor!$JB$33</f>
        <v>884</v>
      </c>
      <c r="N5" s="7">
        <f>'[3]Aer Lingus'!$JB$33</f>
        <v>2641</v>
      </c>
      <c r="O5" s="7">
        <f>'[3]Air France'!$JB$33</f>
        <v>4742</v>
      </c>
      <c r="P5" s="7">
        <f>[3]Frontier!$JB$33</f>
        <v>0</v>
      </c>
      <c r="Q5" s="7">
        <f>'[3]Charter Misc'!$JB$33++[3]Ryan!$JB$33+[3]Omni!$JB$33</f>
        <v>0</v>
      </c>
      <c r="R5" s="198">
        <f>SUM(B5:Q5)</f>
        <v>122533</v>
      </c>
    </row>
    <row r="6" spans="1:20" ht="15" x14ac:dyDescent="0.25">
      <c r="A6" s="41" t="s">
        <v>7</v>
      </c>
      <c r="B6" s="23">
        <f t="shared" ref="B6:Q6" si="0">SUM(B4:B5)</f>
        <v>162854</v>
      </c>
      <c r="C6" s="23">
        <f t="shared" si="0"/>
        <v>0</v>
      </c>
      <c r="D6" s="23">
        <f t="shared" si="0"/>
        <v>3077</v>
      </c>
      <c r="E6" s="23">
        <f t="shared" si="0"/>
        <v>17241</v>
      </c>
      <c r="F6" s="23">
        <f t="shared" ref="F6" si="1">SUM(F4:F5)</f>
        <v>0</v>
      </c>
      <c r="G6" s="23">
        <f t="shared" si="0"/>
        <v>1122</v>
      </c>
      <c r="H6" s="23">
        <f t="shared" si="0"/>
        <v>9963</v>
      </c>
      <c r="I6" s="23">
        <f t="shared" ref="I6:J6" si="2">SUM(I4:I5)</f>
        <v>7003</v>
      </c>
      <c r="J6" s="23">
        <f t="shared" si="2"/>
        <v>10080</v>
      </c>
      <c r="K6" s="23">
        <f t="shared" si="0"/>
        <v>14265</v>
      </c>
      <c r="L6" s="23">
        <f t="shared" ref="L6" si="3">SUM(L4:L5)</f>
        <v>0</v>
      </c>
      <c r="M6" s="23">
        <f t="shared" ref="M6:N6" si="4">SUM(M4:M5)</f>
        <v>1818</v>
      </c>
      <c r="N6" s="23">
        <f t="shared" si="4"/>
        <v>5065</v>
      </c>
      <c r="O6" s="23">
        <f t="shared" si="0"/>
        <v>10046</v>
      </c>
      <c r="P6" s="23">
        <f t="shared" si="0"/>
        <v>0</v>
      </c>
      <c r="Q6" s="23">
        <f t="shared" si="0"/>
        <v>0</v>
      </c>
      <c r="R6" s="199">
        <f>SUM(B6:Q6)</f>
        <v>242534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[3]Delta!$JB$37</f>
        <v>2013</v>
      </c>
      <c r="C9" s="11">
        <f>'[3]Atlantic Southeast'!$JB$37</f>
        <v>0</v>
      </c>
      <c r="D9" s="11">
        <f>[3]Pinnacle!$JB$37</f>
        <v>31</v>
      </c>
      <c r="E9" s="11">
        <f>'[3]Sky West'!$JB$37</f>
        <v>119</v>
      </c>
      <c r="F9" s="11">
        <f>'[3]Go Jet'!$JB$37</f>
        <v>0</v>
      </c>
      <c r="G9" s="11">
        <f>'[3]Sun Country'!$JB$37</f>
        <v>40</v>
      </c>
      <c r="H9" s="11">
        <f>[3]Icelandair!$JB$37</f>
        <v>18</v>
      </c>
      <c r="I9" s="11">
        <f>[3]KLM!$JB$37</f>
        <v>11</v>
      </c>
      <c r="J9" s="11">
        <f>[3]Lufthansa!$JB$37</f>
        <v>85</v>
      </c>
      <c r="K9" s="11">
        <f>[3]Jazz_AC!$JB$37</f>
        <v>82</v>
      </c>
      <c r="L9" s="11">
        <f>'[3]Sky Regional'!$JB$37</f>
        <v>0</v>
      </c>
      <c r="M9" s="11">
        <f>[3]Condor!$JB$37</f>
        <v>2</v>
      </c>
      <c r="N9" s="11">
        <f>'[3]Aer Lingus'!$JB$37</f>
        <v>19</v>
      </c>
      <c r="O9" s="11">
        <f>'[3]Air France'!$JB$37</f>
        <v>8</v>
      </c>
      <c r="P9" s="11">
        <f>[3]Frontier!$JB$37</f>
        <v>0</v>
      </c>
      <c r="Q9" s="11">
        <f>'[3]Charter Misc'!$JB$37+[3]Ryan!$JB$37+[3]Omni!$JB$37</f>
        <v>0</v>
      </c>
      <c r="R9" s="197">
        <f>SUM(B9:Q9)</f>
        <v>2428</v>
      </c>
    </row>
    <row r="10" spans="1:20" x14ac:dyDescent="0.2">
      <c r="A10" s="43" t="s">
        <v>33</v>
      </c>
      <c r="B10" s="7">
        <f>[3]Delta!$JB$38</f>
        <v>2020</v>
      </c>
      <c r="C10" s="7">
        <f>'[3]Atlantic Southeast'!$JB$38</f>
        <v>0</v>
      </c>
      <c r="D10" s="7">
        <f>[3]Pinnacle!$JB$38</f>
        <v>29</v>
      </c>
      <c r="E10" s="7">
        <f>'[3]Sky West'!$JB$38</f>
        <v>129</v>
      </c>
      <c r="F10" s="7">
        <f>'[3]Go Jet'!$JB$38</f>
        <v>0</v>
      </c>
      <c r="G10" s="7">
        <f>'[3]Sun Country'!$JB$38</f>
        <v>46</v>
      </c>
      <c r="H10" s="7">
        <f>[3]Icelandair!$JB$38</f>
        <v>22</v>
      </c>
      <c r="I10" s="7">
        <f>[3]KLM!$JB$38</f>
        <v>0</v>
      </c>
      <c r="J10" s="7">
        <f>[3]Lufthansa!$JB$38</f>
        <v>92</v>
      </c>
      <c r="K10" s="7">
        <f>[3]Jazz_AC!$JB$38</f>
        <v>106</v>
      </c>
      <c r="L10" s="7">
        <f>'[3]Sky Regional'!$JB$38</f>
        <v>0</v>
      </c>
      <c r="M10" s="7">
        <f>[3]Condor!$JB$38</f>
        <v>0</v>
      </c>
      <c r="N10" s="7">
        <f>'[3]Aer Lingus'!$JB$38</f>
        <v>14</v>
      </c>
      <c r="O10" s="7">
        <f>'[3]Air France'!$JB$38</f>
        <v>0</v>
      </c>
      <c r="P10" s="7">
        <f>[3]Frontier!$JB$38</f>
        <v>0</v>
      </c>
      <c r="Q10" s="7">
        <f>'[3]Charter Misc'!$JB$38+[3]Ryan!$JB$38+[3]Omni!$JB$38</f>
        <v>0</v>
      </c>
      <c r="R10" s="198">
        <f>SUM(B10:Q10)</f>
        <v>2458</v>
      </c>
    </row>
    <row r="11" spans="1:20" ht="15.75" thickBot="1" x14ac:dyDescent="0.3">
      <c r="A11" s="44" t="s">
        <v>34</v>
      </c>
      <c r="B11" s="200">
        <f t="shared" ref="B11:G11" si="5">SUM(B9:B10)</f>
        <v>4033</v>
      </c>
      <c r="C11" s="200">
        <f t="shared" si="5"/>
        <v>0</v>
      </c>
      <c r="D11" s="200">
        <f t="shared" si="5"/>
        <v>60</v>
      </c>
      <c r="E11" s="200">
        <f t="shared" si="5"/>
        <v>248</v>
      </c>
      <c r="F11" s="200">
        <f t="shared" ref="F11" si="6">SUM(F9:F10)</f>
        <v>0</v>
      </c>
      <c r="G11" s="200">
        <f t="shared" si="5"/>
        <v>86</v>
      </c>
      <c r="H11" s="200">
        <f t="shared" ref="H11:Q11" si="7">SUM(H9:H10)</f>
        <v>40</v>
      </c>
      <c r="I11" s="200">
        <f t="shared" ref="I11:J11" si="8">SUM(I9:I10)</f>
        <v>11</v>
      </c>
      <c r="J11" s="200">
        <f t="shared" si="8"/>
        <v>177</v>
      </c>
      <c r="K11" s="200">
        <f t="shared" si="7"/>
        <v>188</v>
      </c>
      <c r="L11" s="200">
        <f t="shared" ref="L11" si="9">SUM(L9:L10)</f>
        <v>0</v>
      </c>
      <c r="M11" s="200">
        <f t="shared" si="7"/>
        <v>2</v>
      </c>
      <c r="N11" s="200">
        <f t="shared" ref="N11" si="10">SUM(N9:N10)</f>
        <v>33</v>
      </c>
      <c r="O11" s="200">
        <f t="shared" si="7"/>
        <v>8</v>
      </c>
      <c r="P11" s="200">
        <f t="shared" si="7"/>
        <v>0</v>
      </c>
      <c r="Q11" s="200">
        <f t="shared" si="7"/>
        <v>0</v>
      </c>
      <c r="R11" s="201">
        <f>SUM(B11:Q11)</f>
        <v>4886</v>
      </c>
      <c r="T11" s="222"/>
    </row>
    <row r="12" spans="1:20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SUM([3]Delta!$IT$32:$JB$32)</f>
        <v>873723</v>
      </c>
      <c r="C17" s="11">
        <f>SUM('[3]Atlantic Southeast'!$IT$32:$JB$32)</f>
        <v>0</v>
      </c>
      <c r="D17" s="11">
        <f>SUM([3]Pinnacle!$IT$32:$JB$32)</f>
        <v>26267</v>
      </c>
      <c r="E17" s="11">
        <f>SUM('[3]Sky West'!$IT$32:$JB$32)</f>
        <v>59242</v>
      </c>
      <c r="F17" s="11">
        <f>SUM('[3]Go Jet'!$IT$32:$JB$32)</f>
        <v>0</v>
      </c>
      <c r="G17" s="11">
        <f>SUM('[3]Sun Country'!$IT$32:$JB$32)</f>
        <v>158539</v>
      </c>
      <c r="H17" s="11">
        <f>SUM([3]Icelandair!$IT$32:$JB$32)</f>
        <v>29188</v>
      </c>
      <c r="I17" s="11">
        <f>SUM([3]KLM!$IT$32:$JB$32)</f>
        <v>31195</v>
      </c>
      <c r="J17" s="11">
        <f>SUM([3]Lufthansa!$IT$32:$JB$32)</f>
        <v>21415</v>
      </c>
      <c r="K17" s="11">
        <f>SUM([3]Jazz_AC!$IT$32:$JB$32)</f>
        <v>57719</v>
      </c>
      <c r="L17" s="11">
        <f>SUM('[3]Sky Regional'!$IT$32:$JB$32)</f>
        <v>0</v>
      </c>
      <c r="M17" s="11">
        <f>SUM([3]Condor!$IT$32:$JB$32)</f>
        <v>11956</v>
      </c>
      <c r="N17" s="11">
        <f>SUM('[3]Aer Lingus'!$IT$32:$JB$32)</f>
        <v>15753</v>
      </c>
      <c r="O17" s="11">
        <f>SUM('[3]Air France'!$IT$32:$JB$32)</f>
        <v>33414</v>
      </c>
      <c r="P17" s="11">
        <f>SUM([3]Frontier!$IT$32:$JB$32)</f>
        <v>10257</v>
      </c>
      <c r="Q17" s="11">
        <f>SUM('[3]Charter Misc'!$IT$32:$JB$32)+SUM([3]Ryan!$IT$32:$JB$32)+SUM([3]Omni!$IT$32:$JB$32)</f>
        <v>437</v>
      </c>
      <c r="R17" s="197">
        <f>SUM(B17:Q17)</f>
        <v>1329105</v>
      </c>
    </row>
    <row r="18" spans="1:21" x14ac:dyDescent="0.2">
      <c r="A18" s="43" t="s">
        <v>31</v>
      </c>
      <c r="B18" s="7">
        <f>SUM([3]Delta!$IT$33:$JB$33)</f>
        <v>859778</v>
      </c>
      <c r="C18" s="7">
        <f>SUM('[3]Atlantic Southeast'!$IT$33:$JB$33)</f>
        <v>0</v>
      </c>
      <c r="D18" s="7">
        <f>SUM([3]Pinnacle!$IT$33:$JB$33)</f>
        <v>27144</v>
      </c>
      <c r="E18" s="7">
        <f>SUM('[3]Sky West'!$IT$33:$JB$33)</f>
        <v>61003</v>
      </c>
      <c r="F18" s="7">
        <f>SUM('[3]Go Jet'!$IT$33:$JB$33)</f>
        <v>0</v>
      </c>
      <c r="G18" s="7">
        <f>SUM('[3]Sun Country'!$IT$33:$JB$33)</f>
        <v>153611</v>
      </c>
      <c r="H18" s="7">
        <f>SUM([3]Icelandair!$IT$33:$JB$33)</f>
        <v>28561</v>
      </c>
      <c r="I18" s="7">
        <f>SUM([3]KLM!$IT$33:$JB$33)</f>
        <v>28207</v>
      </c>
      <c r="J18" s="7">
        <f>SUM([3]Lufthansa!$IT$33:$JB$33)</f>
        <v>19456</v>
      </c>
      <c r="K18" s="7">
        <f>SUM([3]Jazz_AC!$IT$33:$JB$33)</f>
        <v>55242</v>
      </c>
      <c r="L18" s="7">
        <f>SUM('[3]Sky Regional'!$IT$33:$JB$33)</f>
        <v>0</v>
      </c>
      <c r="M18" s="7">
        <f>SUM([3]Condor!$IT$33:$JB$33)</f>
        <v>9961</v>
      </c>
      <c r="N18" s="7">
        <f>SUM('[3]Aer Lingus'!$IT$33:$JB$33)</f>
        <v>16001</v>
      </c>
      <c r="O18" s="7">
        <f>SUM('[3]Air France'!$IT$33:$JB$33)</f>
        <v>28980</v>
      </c>
      <c r="P18" s="7">
        <f>SUM([3]Frontier!$IT$33:$JB$33)</f>
        <v>10283</v>
      </c>
      <c r="Q18" s="7">
        <f>SUM('[3]Charter Misc'!$IT$33:$JB$33)++SUM([3]Ryan!$IT$33:$JB$33)+SUM([3]Omni!$IT$33:$JB$33)</f>
        <v>442</v>
      </c>
      <c r="R18" s="198">
        <f>SUM(B18:Q18)</f>
        <v>1298669</v>
      </c>
    </row>
    <row r="19" spans="1:21" ht="15" x14ac:dyDescent="0.25">
      <c r="A19" s="41" t="s">
        <v>7</v>
      </c>
      <c r="B19" s="23">
        <f t="shared" ref="B19:Q19" si="11">SUM(B17:B18)</f>
        <v>1733501</v>
      </c>
      <c r="C19" s="23">
        <f t="shared" si="11"/>
        <v>0</v>
      </c>
      <c r="D19" s="23">
        <f t="shared" si="11"/>
        <v>53411</v>
      </c>
      <c r="E19" s="23">
        <f t="shared" si="11"/>
        <v>120245</v>
      </c>
      <c r="F19" s="23">
        <f t="shared" ref="F19" si="12">SUM(F17:F18)</f>
        <v>0</v>
      </c>
      <c r="G19" s="23">
        <f t="shared" si="11"/>
        <v>312150</v>
      </c>
      <c r="H19" s="23">
        <f t="shared" si="11"/>
        <v>57749</v>
      </c>
      <c r="I19" s="23">
        <f t="shared" ref="I19:J19" si="13">SUM(I17:I18)</f>
        <v>59402</v>
      </c>
      <c r="J19" s="23">
        <f t="shared" si="13"/>
        <v>40871</v>
      </c>
      <c r="K19" s="23">
        <f t="shared" si="11"/>
        <v>112961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31754</v>
      </c>
      <c r="O19" s="23">
        <f t="shared" si="11"/>
        <v>62394</v>
      </c>
      <c r="P19" s="23">
        <f t="shared" si="11"/>
        <v>20540</v>
      </c>
      <c r="Q19" s="23">
        <f t="shared" si="11"/>
        <v>879</v>
      </c>
      <c r="R19" s="199">
        <f>SUM(B19:Q19)</f>
        <v>2627774</v>
      </c>
      <c r="U19" s="222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SUM([3]Delta!$IT$37:$JB$37)</f>
        <v>22392</v>
      </c>
      <c r="C22" s="11">
        <f>SUM('[3]Atlantic Southeast'!$IT$37:$JB$37)</f>
        <v>0</v>
      </c>
      <c r="D22" s="11">
        <f>SUM([3]Pinnacle!$IT$37:$JB$37)</f>
        <v>530</v>
      </c>
      <c r="E22" s="11">
        <f>SUM('[3]Sky West'!$IT$37:$JB$37)</f>
        <v>866</v>
      </c>
      <c r="F22" s="11">
        <f>SUM('[3]Go Jet'!$IT$37:$JB$37)</f>
        <v>0</v>
      </c>
      <c r="G22" s="11">
        <f>SUM('[3]Sun Country'!$IT$37:$JB$37)</f>
        <v>2375</v>
      </c>
      <c r="H22" s="11">
        <f>SUM([3]Icelandair!$IT$37:$JB$37)</f>
        <v>231</v>
      </c>
      <c r="I22" s="11">
        <f>SUM([3]KLM!$IT$37:$JB$37)</f>
        <v>90</v>
      </c>
      <c r="J22" s="11">
        <f>SUM([3]Lufthansa!$IT$37:$JB$37)</f>
        <v>304</v>
      </c>
      <c r="K22" s="11">
        <f>SUM([3]Jazz_AC!$IT$37:$JB$37)</f>
        <v>866</v>
      </c>
      <c r="L22" s="11">
        <f>SUM('[3]Sky Regional'!$IT$37:$JB$37)</f>
        <v>0</v>
      </c>
      <c r="M22" s="11">
        <f>SUM([3]Condor!$IT$37:$JB$37)</f>
        <v>64</v>
      </c>
      <c r="N22" s="11">
        <f>SUM('[3]Aer Lingus'!$IT$37:$JB$37)</f>
        <v>113</v>
      </c>
      <c r="O22" s="11">
        <f>SUM('[3]Air France'!$IT$37:$JB$37)</f>
        <v>107</v>
      </c>
      <c r="P22" s="11">
        <f>SUM([3]Frontier!$IT$37:$JB$37)</f>
        <v>10</v>
      </c>
      <c r="Q22" s="11">
        <f>SUM('[3]Charter Misc'!$IT$37:$JB$37)++SUM([3]Ryan!$IT$37:$JB$37)+SUM([3]Omni!$IT$37:$JB$37)</f>
        <v>0</v>
      </c>
      <c r="R22" s="197">
        <f>SUM(B22:Q22)</f>
        <v>27948</v>
      </c>
    </row>
    <row r="23" spans="1:21" x14ac:dyDescent="0.2">
      <c r="A23" s="43" t="s">
        <v>33</v>
      </c>
      <c r="B23" s="7">
        <f>SUM([3]Delta!$IT$38:$JB$38)</f>
        <v>22696</v>
      </c>
      <c r="C23" s="7">
        <f>SUM('[3]Atlantic Southeast'!$IT$38:$JB$38)</f>
        <v>0</v>
      </c>
      <c r="D23" s="7">
        <f>SUM([3]Pinnacle!$IT$38:$JB$38)</f>
        <v>628</v>
      </c>
      <c r="E23" s="7">
        <f>SUM('[3]Sky West'!$IT$38:$JB$38)</f>
        <v>848</v>
      </c>
      <c r="F23" s="7">
        <f>SUM('[3]Go Jet'!$IT$38:$JB$38)</f>
        <v>0</v>
      </c>
      <c r="G23" s="7">
        <f>SUM('[3]Sun Country'!$IT$38:$JB$38)</f>
        <v>2449</v>
      </c>
      <c r="H23" s="7">
        <f>SUM([3]Icelandair!$IT$38:$JB$38)</f>
        <v>239</v>
      </c>
      <c r="I23" s="7">
        <f>SUM([3]KLM!$IT$38:$JB$38)</f>
        <v>20</v>
      </c>
      <c r="J23" s="7">
        <f>SUM([3]Lufthansa!$IT$38:$JB$38)</f>
        <v>315</v>
      </c>
      <c r="K23" s="7">
        <f>SUM([3]Jazz_AC!$IT$38:$JB$38)</f>
        <v>850</v>
      </c>
      <c r="L23" s="7">
        <f>SUM('[3]Sky Regional'!$IT$38:$JB$38)</f>
        <v>0</v>
      </c>
      <c r="M23" s="7">
        <f>SUM([3]Condor!$IT$38:$JB$38)</f>
        <v>53</v>
      </c>
      <c r="N23" s="7">
        <f>SUM('[3]Aer Lingus'!$IT$38:$JB$38)</f>
        <v>111</v>
      </c>
      <c r="O23" s="7">
        <f>SUM('[3]Air France'!$IT$38:$JB$38)</f>
        <v>18</v>
      </c>
      <c r="P23" s="7">
        <f>SUM([3]Frontier!$IT$38:$JB$38)</f>
        <v>6</v>
      </c>
      <c r="Q23" s="7">
        <f>SUM('[3]Charter Misc'!$IT$38:$JB$38)++SUM([3]Ryan!$IT$38:$JB$38)+SUM([3]Omni!$IT$38:$JB$38)</f>
        <v>201</v>
      </c>
      <c r="R23" s="198">
        <f>SUM(B23:Q23)</f>
        <v>28434</v>
      </c>
    </row>
    <row r="24" spans="1:21" ht="15.75" thickBot="1" x14ac:dyDescent="0.3">
      <c r="A24" s="44" t="s">
        <v>34</v>
      </c>
      <c r="B24" s="200">
        <f t="shared" ref="B24:Q24" si="16">SUM(B22:B23)</f>
        <v>45088</v>
      </c>
      <c r="C24" s="200">
        <f t="shared" si="16"/>
        <v>0</v>
      </c>
      <c r="D24" s="200">
        <f t="shared" si="16"/>
        <v>1158</v>
      </c>
      <c r="E24" s="200">
        <f t="shared" si="16"/>
        <v>1714</v>
      </c>
      <c r="F24" s="200">
        <f t="shared" ref="F24" si="17">SUM(F22:F23)</f>
        <v>0</v>
      </c>
      <c r="G24" s="200">
        <f t="shared" si="16"/>
        <v>4824</v>
      </c>
      <c r="H24" s="200">
        <f t="shared" si="16"/>
        <v>470</v>
      </c>
      <c r="I24" s="200">
        <f t="shared" ref="I24:J24" si="18">SUM(I22:I23)</f>
        <v>110</v>
      </c>
      <c r="J24" s="200">
        <f t="shared" si="18"/>
        <v>619</v>
      </c>
      <c r="K24" s="200">
        <f t="shared" si="16"/>
        <v>1716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224</v>
      </c>
      <c r="O24" s="200">
        <f t="shared" si="16"/>
        <v>125</v>
      </c>
      <c r="P24" s="200">
        <f t="shared" si="16"/>
        <v>16</v>
      </c>
      <c r="Q24" s="200">
        <f t="shared" si="16"/>
        <v>201</v>
      </c>
      <c r="R24" s="201">
        <f>SUM(B24:Q24)</f>
        <v>56382</v>
      </c>
    </row>
    <row r="26" spans="1:21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[3]Delta!$JB$15</f>
        <v>450</v>
      </c>
      <c r="C28" s="11">
        <f>'[3]Atlantic Southeast'!$JB$15</f>
        <v>0</v>
      </c>
      <c r="D28" s="11">
        <f>[3]Pinnacle!$JB$15</f>
        <v>23</v>
      </c>
      <c r="E28" s="11">
        <f>'[3]Sky West'!$JB$15</f>
        <v>135</v>
      </c>
      <c r="F28" s="11">
        <f>'[3]Go Jet'!$JB$15</f>
        <v>0</v>
      </c>
      <c r="G28" s="11">
        <f>'[3]Sun Country'!$JB$15</f>
        <v>12</v>
      </c>
      <c r="H28" s="11">
        <f>[3]Icelandair!$JB$15</f>
        <v>30</v>
      </c>
      <c r="I28" s="11">
        <f>[3]KLM!$JB$15</f>
        <v>13</v>
      </c>
      <c r="J28" s="11">
        <f>[3]Lufthansa!$JB$15</f>
        <v>22</v>
      </c>
      <c r="K28" s="11">
        <f>[3]Jazz_AC!$JB$15</f>
        <v>131</v>
      </c>
      <c r="L28" s="11">
        <f>'[3]Sky Regional'!$JB$15</f>
        <v>0</v>
      </c>
      <c r="M28" s="11">
        <f>[3]Condor!$JB$15</f>
        <v>6</v>
      </c>
      <c r="N28" s="11">
        <f>'[3]Aer Lingus'!$JB$15</f>
        <v>17</v>
      </c>
      <c r="O28" s="11">
        <f>'[3]Air France'!$JB$15</f>
        <v>21</v>
      </c>
      <c r="P28" s="11">
        <f>[3]Frontier!$JB$15</f>
        <v>0</v>
      </c>
      <c r="Q28" s="11">
        <f>'[3]Charter Misc'!$JB$15+[3]Ryan!$JB$15+[3]Omni!$JB$15</f>
        <v>0</v>
      </c>
      <c r="R28" s="197">
        <f>SUM(B28:Q28)</f>
        <v>860</v>
      </c>
    </row>
    <row r="29" spans="1:21" x14ac:dyDescent="0.2">
      <c r="A29" s="43" t="s">
        <v>23</v>
      </c>
      <c r="B29" s="11">
        <f>[3]Delta!$JB$16</f>
        <v>447</v>
      </c>
      <c r="C29" s="11">
        <f>'[3]Atlantic Southeast'!$JB$16</f>
        <v>0</v>
      </c>
      <c r="D29" s="11">
        <f>[3]Pinnacle!$JB$16</f>
        <v>24</v>
      </c>
      <c r="E29" s="11">
        <f>'[3]Sky West'!$JB$16</f>
        <v>135</v>
      </c>
      <c r="F29" s="11">
        <f>'[3]Go Jet'!$JB$16</f>
        <v>0</v>
      </c>
      <c r="G29" s="11">
        <f>'[3]Sun Country'!$JB$16</f>
        <v>10</v>
      </c>
      <c r="H29" s="11">
        <f>[3]Icelandair!$JB$16</f>
        <v>30</v>
      </c>
      <c r="I29" s="11">
        <f>[3]KLM!$JB$16</f>
        <v>13</v>
      </c>
      <c r="J29" s="11">
        <f>[3]Lufthansa!$JB$16</f>
        <v>22</v>
      </c>
      <c r="K29" s="11">
        <f>[3]Jazz_AC!$JB$16</f>
        <v>131</v>
      </c>
      <c r="L29" s="11">
        <f>'[3]Sky Regional'!$JB$16</f>
        <v>0</v>
      </c>
      <c r="M29" s="11">
        <f>[3]Condor!$JB$16</f>
        <v>6</v>
      </c>
      <c r="N29" s="11">
        <f>'[3]Aer Lingus'!$JB$16</f>
        <v>17</v>
      </c>
      <c r="O29" s="11">
        <f>'[3]Air France'!$JB$16</f>
        <v>21</v>
      </c>
      <c r="P29" s="11">
        <f>[3]Frontier!$JB$16</f>
        <v>0</v>
      </c>
      <c r="Q29" s="11">
        <f>'[3]Charter Misc'!$JB$16+[3]Ryan!$JB$16+[3]Omni!$JB$16</f>
        <v>0</v>
      </c>
      <c r="R29" s="197">
        <f>SUM(B29:Q29)</f>
        <v>856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4">
        <f t="shared" ref="B31:K31" si="21">SUM(B28:B29)</f>
        <v>897</v>
      </c>
      <c r="C31" s="274">
        <f t="shared" si="21"/>
        <v>0</v>
      </c>
      <c r="D31" s="274">
        <f t="shared" si="21"/>
        <v>47</v>
      </c>
      <c r="E31" s="274">
        <f>SUM(E28:E29)</f>
        <v>270</v>
      </c>
      <c r="F31" s="274">
        <f>SUM(F28:F29)</f>
        <v>0</v>
      </c>
      <c r="G31" s="274">
        <f t="shared" si="21"/>
        <v>22</v>
      </c>
      <c r="H31" s="274">
        <f t="shared" si="21"/>
        <v>60</v>
      </c>
      <c r="I31" s="274">
        <f t="shared" ref="I31:J31" si="22">SUM(I28:I29)</f>
        <v>26</v>
      </c>
      <c r="J31" s="274">
        <f t="shared" si="22"/>
        <v>44</v>
      </c>
      <c r="K31" s="274">
        <f t="shared" si="21"/>
        <v>262</v>
      </c>
      <c r="L31" s="274">
        <f t="shared" ref="L31" si="23">SUM(L28:L29)</f>
        <v>0</v>
      </c>
      <c r="M31" s="274">
        <f>SUM(M28:M29)</f>
        <v>12</v>
      </c>
      <c r="N31" s="274">
        <f>SUM(N28:N29)</f>
        <v>34</v>
      </c>
      <c r="O31" s="274">
        <f>SUM(O28:O29)</f>
        <v>42</v>
      </c>
      <c r="P31" s="274">
        <f t="shared" ref="P31" si="24">SUM(P28:P29)</f>
        <v>0</v>
      </c>
      <c r="Q31" s="274">
        <f>SUM(Q28:Q29)</f>
        <v>0</v>
      </c>
      <c r="R31" s="275">
        <f>SUM(B31:Q31)</f>
        <v>1716</v>
      </c>
    </row>
    <row r="32" spans="1:21" ht="15" x14ac:dyDescent="0.25">
      <c r="A32" s="276"/>
    </row>
    <row r="33" spans="1:18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SUM([3]Delta!$IT$15:$JB$15)</f>
        <v>4918</v>
      </c>
      <c r="C35" s="11">
        <f>SUM('[3]Atlantic Southeast'!$IT$15:$JB$15)</f>
        <v>0</v>
      </c>
      <c r="D35" s="11">
        <f>SUM([3]Pinnacle!$IT$15:$JB$15)</f>
        <v>417</v>
      </c>
      <c r="E35" s="11">
        <f>SUM('[3]Sky West'!$IT$15:$JB$15)</f>
        <v>928</v>
      </c>
      <c r="F35" s="11">
        <f>SUM('[3]Go Jet'!$IT$15:$JB$15)</f>
        <v>0</v>
      </c>
      <c r="G35" s="11">
        <f>SUM('[3]Sun Country'!$IT$15:$JB$15)</f>
        <v>1114</v>
      </c>
      <c r="H35" s="11">
        <f>SUM([3]Icelandair!$IT$15:$JB$15)</f>
        <v>176</v>
      </c>
      <c r="I35" s="11">
        <f>SUM([3]KLM!$IT$15:$JB$15)</f>
        <v>120</v>
      </c>
      <c r="J35" s="11">
        <f>SUM([3]Lufthansa!$IT$15:$JB$15)</f>
        <v>84</v>
      </c>
      <c r="K35" s="11">
        <f>SUM([3]Jazz_AC!$IT$15:$JB$15)</f>
        <v>1049</v>
      </c>
      <c r="L35" s="11">
        <f>SUM('[3]Sky Regional'!$IT$15:$JB$15)</f>
        <v>0</v>
      </c>
      <c r="M35" s="11">
        <f>SUM([3]Condor!$IT$15:$JB$15)</f>
        <v>52</v>
      </c>
      <c r="N35" s="11">
        <f>SUM('[3]Aer Lingus'!$IT$15:$JB$15)</f>
        <v>88</v>
      </c>
      <c r="O35" s="11">
        <f>SUM('[3]Air France'!$IT$15:$JB$15)</f>
        <v>124</v>
      </c>
      <c r="P35" s="11">
        <f>SUM([3]Frontier!$IT$15:$JB$15)</f>
        <v>66</v>
      </c>
      <c r="Q35" s="11">
        <f>SUM('[3]Charter Misc'!$IT$15:$JB$15)+SUM([3]Ryan!$IT$15:$JB$15)+SUM([3]Omni!$IT$15:$JB$15)</f>
        <v>6</v>
      </c>
      <c r="R35" s="197">
        <f>SUM(B35:Q35)</f>
        <v>9142</v>
      </c>
    </row>
    <row r="36" spans="1:18" x14ac:dyDescent="0.2">
      <c r="A36" s="43" t="s">
        <v>23</v>
      </c>
      <c r="B36" s="11">
        <f>SUM([3]Delta!$IT$16:$JB$16)</f>
        <v>4901</v>
      </c>
      <c r="C36" s="11">
        <f>SUM('[3]Atlantic Southeast'!$IT$16:$JB$16)</f>
        <v>0</v>
      </c>
      <c r="D36" s="11">
        <f>SUM([3]Pinnacle!$IT$16:$JB$16)</f>
        <v>417</v>
      </c>
      <c r="E36" s="11">
        <f>SUM('[3]Sky West'!$IT$16:$JB$16)</f>
        <v>928</v>
      </c>
      <c r="F36" s="11">
        <f>SUM('[3]Go Jet'!$IT$16:$JB$16)</f>
        <v>0</v>
      </c>
      <c r="G36" s="11">
        <f>SUM('[3]Sun Country'!$IT$16:$JB$16)</f>
        <v>1098</v>
      </c>
      <c r="H36" s="11">
        <f>SUM([3]Icelandair!$IT$16:$JB$16)</f>
        <v>176</v>
      </c>
      <c r="I36" s="11">
        <f>SUM([3]KLM!$IT$16:$JB$16)</f>
        <v>120</v>
      </c>
      <c r="J36" s="11">
        <f>SUM([3]Lufthansa!$IT$16:$JB$16)</f>
        <v>84</v>
      </c>
      <c r="K36" s="11">
        <f>SUM([3]Jazz_AC!$IT$16:$JB$16)</f>
        <v>1053</v>
      </c>
      <c r="L36" s="11">
        <f>SUM('[3]Sky Regional'!$IT$16:$JB$16)</f>
        <v>0</v>
      </c>
      <c r="M36" s="11">
        <f>SUM([3]Condor!$IT$16:$JB$16)</f>
        <v>52</v>
      </c>
      <c r="N36" s="11">
        <f>SUM('[3]Aer Lingus'!$IT$16:$JB$16)</f>
        <v>88</v>
      </c>
      <c r="O36" s="11">
        <f>SUM('[3]Air France'!$IT$16:$JB$16)</f>
        <v>124</v>
      </c>
      <c r="P36" s="11">
        <f>SUM([3]Frontier!$IT$16:$JB$16)</f>
        <v>66</v>
      </c>
      <c r="Q36" s="11">
        <f>SUM('[3]Charter Misc'!$IT$16:$JB$16)+SUM([3]Ryan!$IT$16:$JB$16)+SUM([3]Omni!$IT$16:$JB$16)</f>
        <v>1</v>
      </c>
      <c r="R36" s="197">
        <f>SUM(B36:Q36)</f>
        <v>9108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4">
        <f t="shared" ref="B38:K38" si="25">+SUM(B35:B36)</f>
        <v>9819</v>
      </c>
      <c r="C38" s="274">
        <f t="shared" si="25"/>
        <v>0</v>
      </c>
      <c r="D38" s="274">
        <f t="shared" si="25"/>
        <v>834</v>
      </c>
      <c r="E38" s="274">
        <f>+SUM(E35:E36)</f>
        <v>1856</v>
      </c>
      <c r="F38" s="274">
        <f>+SUM(F35:F36)</f>
        <v>0</v>
      </c>
      <c r="G38" s="274">
        <f t="shared" si="25"/>
        <v>2212</v>
      </c>
      <c r="H38" s="274">
        <f t="shared" si="25"/>
        <v>352</v>
      </c>
      <c r="I38" s="274">
        <f t="shared" ref="I38:J38" si="26">+SUM(I35:I36)</f>
        <v>240</v>
      </c>
      <c r="J38" s="274">
        <f t="shared" si="26"/>
        <v>168</v>
      </c>
      <c r="K38" s="274">
        <f t="shared" si="25"/>
        <v>2102</v>
      </c>
      <c r="L38" s="274">
        <f t="shared" ref="L38" si="27">+SUM(L35:L36)</f>
        <v>0</v>
      </c>
      <c r="M38" s="274">
        <f>+SUM(M35:M36)</f>
        <v>104</v>
      </c>
      <c r="N38" s="274">
        <f>+SUM(N35:N36)</f>
        <v>176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7</v>
      </c>
      <c r="R38" s="275">
        <f>SUM(B38:Q38)</f>
        <v>18250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&amp;"Arial,Bold"September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topLeftCell="M39" zoomScaleNormal="100" zoomScaleSheetLayoutView="85" workbookViewId="0">
      <selection activeCell="AD71" sqref="AD71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6" t="s">
        <v>130</v>
      </c>
      <c r="B1" s="50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10" t="s">
        <v>134</v>
      </c>
      <c r="K1" s="51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17" t="s">
        <v>207</v>
      </c>
      <c r="T1" s="518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12" t="s">
        <v>13</v>
      </c>
      <c r="AC1" s="513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 x14ac:dyDescent="0.25">
      <c r="A2" s="486">
        <v>45536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45536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45536</v>
      </c>
      <c r="T2" s="487"/>
      <c r="U2" s="519" t="s">
        <v>208</v>
      </c>
      <c r="V2" s="520"/>
      <c r="W2" s="520"/>
      <c r="X2" s="520"/>
      <c r="Y2" s="520"/>
      <c r="Z2" s="520"/>
      <c r="AA2" s="521"/>
      <c r="AB2" s="486">
        <f>+S2</f>
        <v>45536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262</v>
      </c>
      <c r="D4" s="253">
        <f>SUM(D5:D7)</f>
        <v>238</v>
      </c>
      <c r="E4" s="254">
        <f>(C4-D4)/D4</f>
        <v>0.10084033613445378</v>
      </c>
      <c r="F4" s="251">
        <f>SUM(F5:F7)</f>
        <v>2102</v>
      </c>
      <c r="G4" s="253">
        <f>SUM(G5:G7)</f>
        <v>1723</v>
      </c>
      <c r="H4" s="252">
        <f>(F4-G4)/G4</f>
        <v>0.2199651770168311</v>
      </c>
      <c r="I4" s="254">
        <f>F4/$F$66</f>
        <v>9.0332839124175422E-3</v>
      </c>
      <c r="J4" s="250" t="s">
        <v>98</v>
      </c>
      <c r="K4" s="37"/>
      <c r="L4" s="251">
        <f>SUM(L5:L7)</f>
        <v>14265</v>
      </c>
      <c r="M4" s="253">
        <f>SUM(M5:M7)</f>
        <v>13816</v>
      </c>
      <c r="N4" s="254">
        <f>(L4-M4)/M4</f>
        <v>3.2498552403011E-2</v>
      </c>
      <c r="O4" s="251">
        <f>SUM(O5:O7)</f>
        <v>112961</v>
      </c>
      <c r="P4" s="253">
        <f>SUM(P5:P7)</f>
        <v>107326</v>
      </c>
      <c r="Q4" s="252">
        <f>(O4-P4)/P4</f>
        <v>5.2503587201610045E-2</v>
      </c>
      <c r="R4" s="254">
        <f>O4/$O$66</f>
        <v>4.1013980357033413E-3</v>
      </c>
      <c r="S4" s="250" t="s">
        <v>98</v>
      </c>
      <c r="T4" s="37"/>
      <c r="U4" s="251">
        <f>SUM(U5:U7)</f>
        <v>3391.3</v>
      </c>
      <c r="V4" s="253">
        <f>SUM(V5:V7)</f>
        <v>16914.5</v>
      </c>
      <c r="W4" s="254">
        <f>(U4-V4)/V4</f>
        <v>-0.79950338466995774</v>
      </c>
      <c r="X4" s="251">
        <f>SUM(X5:X7)</f>
        <v>91215.400000000009</v>
      </c>
      <c r="Y4" s="253">
        <f>SUM(Y5:Y7)</f>
        <v>296278.69999999995</v>
      </c>
      <c r="Z4" s="252">
        <f>(X4-Y4)/Y4</f>
        <v>-0.69212974135501459</v>
      </c>
      <c r="AA4" s="254">
        <f>X4/$X$66</f>
        <v>1.4870957812750519E-3</v>
      </c>
      <c r="AB4" s="250" t="s">
        <v>98</v>
      </c>
      <c r="AC4" s="37"/>
      <c r="AD4" s="251">
        <f>SUM(AD5:AD7)</f>
        <v>14453</v>
      </c>
      <c r="AE4" s="253">
        <f>SUM(AE5:AE7)</f>
        <v>14003</v>
      </c>
      <c r="AF4" s="254">
        <f>(AD4-AE4)/AE4</f>
        <v>3.2135970863386418E-2</v>
      </c>
      <c r="AG4" s="251">
        <f>SUM(AG5:AG7)</f>
        <v>114677</v>
      </c>
      <c r="AH4" s="253">
        <f>SUM(AH5:AH7)</f>
        <v>108668</v>
      </c>
      <c r="AI4" s="252">
        <f>(AG4-AH4)/AH4</f>
        <v>5.5296867523097877E-2</v>
      </c>
      <c r="AJ4" s="254">
        <f>AG4/$AG$66</f>
        <v>4.0529042957314961E-3</v>
      </c>
    </row>
    <row r="5" spans="1:36" ht="14.1" customHeight="1" x14ac:dyDescent="0.2">
      <c r="A5" s="250"/>
      <c r="B5" s="310" t="s">
        <v>98</v>
      </c>
      <c r="C5" s="255">
        <f>+[3]AirCanada!$JB$19</f>
        <v>0</v>
      </c>
      <c r="D5" s="2">
        <f>+[3]AirCanada!$IN$19</f>
        <v>0</v>
      </c>
      <c r="E5" s="63" t="e">
        <f>(C5-D5)/D5</f>
        <v>#DIV/0!</v>
      </c>
      <c r="F5" s="209">
        <f>SUM([3]AirCanada!$IT$19:$JB$19)</f>
        <v>0</v>
      </c>
      <c r="G5" s="209">
        <f>SUM([3]AirCanada!$IF$19:$IN$19)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+[3]AirCanada!$JB$41</f>
        <v>0</v>
      </c>
      <c r="M5" s="209">
        <f>+[3]AirCanada!$IN$41</f>
        <v>0</v>
      </c>
      <c r="N5" s="316" t="e">
        <f>(L5-M5)/M5</f>
        <v>#DIV/0!</v>
      </c>
      <c r="O5" s="314">
        <f>SUM([3]AirCanada!$IT$41:$JB$41)</f>
        <v>0</v>
      </c>
      <c r="P5" s="209">
        <f>SUM([3]AirCanada!$IF$41:$IN$41)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+[3]AirCanada!$JB$64</f>
        <v>0</v>
      </c>
      <c r="V5" s="209">
        <f>+[3]AirCanada!$IN$64</f>
        <v>0</v>
      </c>
      <c r="W5" s="316" t="e">
        <f>(U5-V5)/V5</f>
        <v>#DIV/0!</v>
      </c>
      <c r="X5" s="314">
        <f>SUM([3]AirCanada!$IT$64:$JB$64)</f>
        <v>0</v>
      </c>
      <c r="Y5" s="209">
        <f>SUM([3]AirCanada!$IF$64:$IN$64)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+[3]AirCanada!$JB$43</f>
        <v>0</v>
      </c>
      <c r="AE5" s="209">
        <f>+[3]AirCanada!$IN$43</f>
        <v>0</v>
      </c>
      <c r="AF5" s="316" t="e">
        <f>(AD5-AE5)/AE5</f>
        <v>#DIV/0!</v>
      </c>
      <c r="AG5" s="314">
        <f>SUM([3]AirCanada!$IT$43:$JB$43)</f>
        <v>0</v>
      </c>
      <c r="AH5" s="209">
        <f>SUM([3]AirCanada!$IF$43:$IN$43)</f>
        <v>0</v>
      </c>
      <c r="AI5" s="315" t="e">
        <f>(AG5-AH5)/AH5</f>
        <v>#DIV/0!</v>
      </c>
      <c r="AJ5" s="63">
        <f>AG5/$AG$66</f>
        <v>0</v>
      </c>
    </row>
    <row r="6" spans="1:36" ht="14.1" customHeight="1" x14ac:dyDescent="0.2">
      <c r="A6" s="250"/>
      <c r="B6" s="310" t="s">
        <v>162</v>
      </c>
      <c r="C6" s="255">
        <f>'[3]Air Georgian'!$JB$19</f>
        <v>0</v>
      </c>
      <c r="D6" s="2">
        <f>'[3]Air Georgian'!$IN$19</f>
        <v>0</v>
      </c>
      <c r="E6" s="63" t="e">
        <f>(C6-D6)/D6</f>
        <v>#DIV/0!</v>
      </c>
      <c r="F6" s="209">
        <f>SUM('[3]Air Georgian'!$IT$19:$JB$19)</f>
        <v>0</v>
      </c>
      <c r="G6" s="209">
        <f>SUM('[3]Air Georgian'!$IF$19:$IN$19)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Georgian'!$JB$41</f>
        <v>0</v>
      </c>
      <c r="M6" s="2">
        <f>'[3]Air Georgian'!$IN$41</f>
        <v>0</v>
      </c>
      <c r="N6" s="63" t="e">
        <f>(L6-M6)/M6</f>
        <v>#DIV/0!</v>
      </c>
      <c r="O6" s="255">
        <f>SUM('[3]Air Georgian'!$IT$41:$JB$41)</f>
        <v>0</v>
      </c>
      <c r="P6" s="2">
        <f>SUM('[3]Air Georgian'!$IF$41:$IN$41)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Georgian'!$JB$64</f>
        <v>0</v>
      </c>
      <c r="V6" s="2">
        <f>'[3]Air Georgian'!$IN$64</f>
        <v>0</v>
      </c>
      <c r="W6" s="63" t="e">
        <f>(U6-V6)/V6</f>
        <v>#DIV/0!</v>
      </c>
      <c r="X6" s="255">
        <f>SUM('[3]Air Georgian'!$IT$64:$JB$64)</f>
        <v>0</v>
      </c>
      <c r="Y6" s="2">
        <f>SUM('[3]Air Georgian'!$IF$64:$IN$64)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Georgian'!$JB$43</f>
        <v>0</v>
      </c>
      <c r="AE6" s="2">
        <f>'[3]Air Georgian'!$IN$43</f>
        <v>0</v>
      </c>
      <c r="AF6" s="63" t="e">
        <f>(AD6-AE6)/AE6</f>
        <v>#DIV/0!</v>
      </c>
      <c r="AG6" s="255">
        <f>SUM('[3]Air Georgian'!$IT$43:$JB$43)</f>
        <v>0</v>
      </c>
      <c r="AH6" s="2">
        <f>SUM('[3]Air Georgian'!$IF$43:$IN$43)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" customHeight="1" x14ac:dyDescent="0.2">
      <c r="A7" s="250"/>
      <c r="B7" s="310" t="s">
        <v>215</v>
      </c>
      <c r="C7" s="255">
        <f>[3]Jazz_AC!$JB$19</f>
        <v>262</v>
      </c>
      <c r="D7" s="2">
        <f>[3]Jazz_AC!$IN$19</f>
        <v>238</v>
      </c>
      <c r="E7" s="63">
        <f t="shared" ref="E7" si="1">(C7-D7)/D7</f>
        <v>0.10084033613445378</v>
      </c>
      <c r="F7" s="2">
        <f>SUM([3]Jazz_AC!$IT$19:$JB$19)</f>
        <v>2102</v>
      </c>
      <c r="G7" s="2">
        <f>SUM([3]Jazz_AC!$IF$19:$IN$19)</f>
        <v>1723</v>
      </c>
      <c r="H7" s="3">
        <f t="shared" ref="H7" si="2">(F7-G7)/G7</f>
        <v>0.2199651770168311</v>
      </c>
      <c r="I7" s="63">
        <f>F7/$F$66</f>
        <v>9.0332839124175422E-3</v>
      </c>
      <c r="J7" s="250"/>
      <c r="K7" s="310" t="s">
        <v>215</v>
      </c>
      <c r="L7" s="255">
        <f>[3]Jazz_AC!$JB$41</f>
        <v>14265</v>
      </c>
      <c r="M7" s="2">
        <f>[3]Jazz_AC!$IN$41</f>
        <v>13816</v>
      </c>
      <c r="N7" s="63">
        <f t="shared" ref="N7" si="3">(L7-M7)/M7</f>
        <v>3.2498552403011E-2</v>
      </c>
      <c r="O7" s="255">
        <f>SUM([3]Jazz_AC!$IT$41:$JB$41)</f>
        <v>112961</v>
      </c>
      <c r="P7" s="2">
        <f>SUM([3]Jazz_AC!$IF$41:$IN$41)</f>
        <v>107326</v>
      </c>
      <c r="Q7" s="3">
        <f t="shared" ref="Q7" si="4">(O7-P7)/P7</f>
        <v>5.2503587201610045E-2</v>
      </c>
      <c r="R7" s="63">
        <f>O7/$O$66</f>
        <v>4.1013980357033413E-3</v>
      </c>
      <c r="S7" s="250"/>
      <c r="T7" s="310" t="s">
        <v>215</v>
      </c>
      <c r="U7" s="255">
        <f>[3]Jazz_AC!$JB$64</f>
        <v>3391.3</v>
      </c>
      <c r="V7" s="2">
        <f>[3]Jazz_AC!$IN$64</f>
        <v>16914.5</v>
      </c>
      <c r="W7" s="63">
        <f t="shared" ref="W7" si="5">(U7-V7)/V7</f>
        <v>-0.79950338466995774</v>
      </c>
      <c r="X7" s="255">
        <f>SUM([3]Jazz_AC!$IT$64:$JB$64)</f>
        <v>91215.400000000009</v>
      </c>
      <c r="Y7" s="2">
        <f>SUM([3]Jazz_AC!$IF$64:$IN$64)</f>
        <v>296278.69999999995</v>
      </c>
      <c r="Z7" s="3">
        <f t="shared" ref="Z7" si="6">(X7-Y7)/Y7</f>
        <v>-0.69212974135501459</v>
      </c>
      <c r="AA7" s="63">
        <f>X7/$X$66</f>
        <v>1.4870957812750519E-3</v>
      </c>
      <c r="AB7" s="250"/>
      <c r="AC7" s="310" t="s">
        <v>215</v>
      </c>
      <c r="AD7" s="255">
        <f>[3]Jazz_AC!$JB$43</f>
        <v>14453</v>
      </c>
      <c r="AE7" s="2">
        <f>[3]Jazz_AC!$IN$43</f>
        <v>14003</v>
      </c>
      <c r="AF7" s="63">
        <f t="shared" ref="AF7" si="7">(AD7-AE7)/AE7</f>
        <v>3.2135970863386418E-2</v>
      </c>
      <c r="AG7" s="255">
        <f>SUM([3]Jazz_AC!$IT$43:$JB$43)</f>
        <v>114677</v>
      </c>
      <c r="AH7" s="2">
        <f>SUM([3]Jazz_AC!$IF$43:$IN$43)</f>
        <v>108668</v>
      </c>
      <c r="AI7" s="3">
        <f t="shared" ref="AI7" si="8">(AG7-AH7)/AH7</f>
        <v>5.5296867523097877E-2</v>
      </c>
      <c r="AJ7" s="63">
        <f t="shared" si="0"/>
        <v>4.0529042957314961E-3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France'!$JB$19</f>
        <v>42</v>
      </c>
      <c r="D9" s="253">
        <f>'[3]Air France'!$IN$19</f>
        <v>0</v>
      </c>
      <c r="E9" s="254" t="e">
        <f>(C9-D9)/D9</f>
        <v>#DIV/0!</v>
      </c>
      <c r="F9" s="253">
        <f>SUM('[3]Air France'!$IT$19:$JB$19)</f>
        <v>248</v>
      </c>
      <c r="G9" s="253">
        <f>SUM('[3]Air France'!$IF$19:$IN$19)</f>
        <v>0</v>
      </c>
      <c r="H9" s="252" t="e">
        <f>(F9-G9)/G9</f>
        <v>#DIV/0!</v>
      </c>
      <c r="I9" s="254">
        <f>F9/$F$66</f>
        <v>1.0657727927114893E-3</v>
      </c>
      <c r="J9" s="250" t="s">
        <v>154</v>
      </c>
      <c r="K9" s="37"/>
      <c r="L9" s="251">
        <f>'[3]Air France'!$JB$41</f>
        <v>10046</v>
      </c>
      <c r="M9" s="253">
        <f>'[3]Air France'!$IN$41</f>
        <v>0</v>
      </c>
      <c r="N9" s="254" t="e">
        <f>(L9-M9)/M9</f>
        <v>#DIV/0!</v>
      </c>
      <c r="O9" s="251">
        <f>SUM('[3]Air France'!$IT$41:$JB$41)</f>
        <v>62394</v>
      </c>
      <c r="P9" s="253">
        <f>SUM('[3]Air France'!$IF$41:$IN$41)</f>
        <v>0</v>
      </c>
      <c r="Q9" s="252" t="e">
        <f>(O9-P9)/P9</f>
        <v>#DIV/0!</v>
      </c>
      <c r="R9" s="254">
        <f>O9/$O$66</f>
        <v>2.2654069018481979E-3</v>
      </c>
      <c r="S9" s="250" t="s">
        <v>154</v>
      </c>
      <c r="T9" s="37"/>
      <c r="U9" s="251">
        <f>'[3]Air France'!$JB$64</f>
        <v>471638</v>
      </c>
      <c r="V9" s="253">
        <f>'[3]Air France'!$IN$64</f>
        <v>0</v>
      </c>
      <c r="W9" s="254" t="e">
        <f>(U9-V9)/V9</f>
        <v>#DIV/0!</v>
      </c>
      <c r="X9" s="251">
        <f>SUM('[3]Air France'!$IT$64:$JB$64)</f>
        <v>1577102</v>
      </c>
      <c r="Y9" s="253">
        <f>SUM('[3]Air France'!$IF$64:$IN$64)</f>
        <v>0</v>
      </c>
      <c r="Z9" s="252" t="e">
        <f>(X9-Y9)/Y9</f>
        <v>#DIV/0!</v>
      </c>
      <c r="AA9" s="254">
        <f>X9/$X$66</f>
        <v>2.5711686084152967E-2</v>
      </c>
      <c r="AB9" s="250" t="s">
        <v>154</v>
      </c>
      <c r="AC9" s="37"/>
      <c r="AD9" s="251">
        <f>'[3]Air France'!$JB$43</f>
        <v>10054</v>
      </c>
      <c r="AE9" s="253">
        <f>'[3]Air France'!$IN$43</f>
        <v>0</v>
      </c>
      <c r="AF9" s="254" t="e">
        <f>(AD9-AE9)/AE9</f>
        <v>#DIV/0!</v>
      </c>
      <c r="AG9" s="251">
        <f>SUM('[3]Air France'!$IT$43:$JB$43)</f>
        <v>62519</v>
      </c>
      <c r="AH9" s="253">
        <f>SUM('[3]Air France'!$IF$43:$IN$43)</f>
        <v>0</v>
      </c>
      <c r="AI9" s="252" t="e">
        <f>(AG9-AH9)/AH9</f>
        <v>#DIV/0!</v>
      </c>
      <c r="AJ9" s="254">
        <f>AG9/$AG$66</f>
        <v>2.209540916354957E-3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Lingus'!$JB$19</f>
        <v>34</v>
      </c>
      <c r="D11" s="253">
        <f>'[3]Aer Lingus'!$IN$19</f>
        <v>0</v>
      </c>
      <c r="E11" s="254" t="e">
        <f>(C11-D11)/D11</f>
        <v>#DIV/0!</v>
      </c>
      <c r="F11" s="253">
        <f>SUM('[3]Aer Lingus'!$IT$19:$JB$19)</f>
        <v>176</v>
      </c>
      <c r="G11" s="253">
        <f>SUM('[3]Aer Lingus'!$IF$19:$IN$19)</f>
        <v>0</v>
      </c>
      <c r="H11" s="252" t="e">
        <f>(F11-G11)/G11</f>
        <v>#DIV/0!</v>
      </c>
      <c r="I11" s="254">
        <f>F11/$F$66</f>
        <v>7.5635488515008917E-4</v>
      </c>
      <c r="J11" s="250" t="s">
        <v>194</v>
      </c>
      <c r="K11" s="37"/>
      <c r="L11" s="251">
        <f>'[3]Aer Lingus'!$JB$41</f>
        <v>5065</v>
      </c>
      <c r="M11" s="253">
        <f>'[3]Aer Lingus'!$IN$41</f>
        <v>0</v>
      </c>
      <c r="N11" s="254" t="e">
        <f>(L11-M11)/M11</f>
        <v>#DIV/0!</v>
      </c>
      <c r="O11" s="251">
        <f>SUM('[3]Aer Lingus'!$IT$41:$JB$41)</f>
        <v>31754</v>
      </c>
      <c r="P11" s="253">
        <f>SUM('[3]Aer Lingus'!$IF$41:$IN$41)</f>
        <v>0</v>
      </c>
      <c r="Q11" s="252" t="e">
        <f>(O11-P11)/P11</f>
        <v>#DIV/0!</v>
      </c>
      <c r="R11" s="254">
        <f>O11/$O$66</f>
        <v>1.1529270564683732E-3</v>
      </c>
      <c r="S11" s="250" t="s">
        <v>194</v>
      </c>
      <c r="T11" s="37"/>
      <c r="U11" s="251">
        <f>'[3]Aer Lingus'!$JB$64</f>
        <v>0</v>
      </c>
      <c r="V11" s="253">
        <f>'[3]Aer Lingus'!$IN$64</f>
        <v>0</v>
      </c>
      <c r="W11" s="254" t="e">
        <f>(U11-V11)/V11</f>
        <v>#DIV/0!</v>
      </c>
      <c r="X11" s="251">
        <f>SUM('[3]Aer Lingus'!$IT$64:$JB$64)</f>
        <v>2436.11</v>
      </c>
      <c r="Y11" s="253">
        <f>SUM('[3]Aer Lingus'!$IF$64:$IN$64)</f>
        <v>0</v>
      </c>
      <c r="Z11" s="252" t="e">
        <f>(X11-Y11)/Y11</f>
        <v>#DIV/0!</v>
      </c>
      <c r="AA11" s="254">
        <f>X11/$X$66</f>
        <v>3.9716198182784559E-5</v>
      </c>
      <c r="AB11" s="250" t="s">
        <v>194</v>
      </c>
      <c r="AC11" s="37"/>
      <c r="AD11" s="251">
        <f>'[3]Aer Lingus'!$JB$43</f>
        <v>5098</v>
      </c>
      <c r="AE11" s="253">
        <f>'[3]Aer Lingus'!$IN$43</f>
        <v>0</v>
      </c>
      <c r="AF11" s="254" t="e">
        <f>(AD11-AE11)/AE11</f>
        <v>#DIV/0!</v>
      </c>
      <c r="AG11" s="251">
        <f>SUM('[3]Aer Lingus'!$IT$43:$JB$43)</f>
        <v>31978</v>
      </c>
      <c r="AH11" s="253">
        <f>SUM('[3]Aer Lingus'!$IF$43:$IN$43)</f>
        <v>0</v>
      </c>
      <c r="AI11" s="252" t="e">
        <f>(AG11-AH11)/AH11</f>
        <v>#DIV/0!</v>
      </c>
      <c r="AJ11" s="254">
        <f>AG11/$AG$66</f>
        <v>1.1301636210303877E-3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216</v>
      </c>
      <c r="B13" s="37"/>
      <c r="C13" s="255">
        <f>'[3]Allegiant '!$JB$19</f>
        <v>0</v>
      </c>
      <c r="D13" s="2">
        <f>'[3]Allegiant '!$IN$19</f>
        <v>18</v>
      </c>
      <c r="E13" s="254">
        <f t="shared" ref="E13" si="9">(C13-D13)/D13</f>
        <v>-1</v>
      </c>
      <c r="F13" s="2">
        <f>SUM('[3]Allegiant '!$IT$19:$JB$19)</f>
        <v>462</v>
      </c>
      <c r="G13" s="2">
        <f>SUM('[3]Allegiant '!$IF$19:$IN$19)</f>
        <v>628</v>
      </c>
      <c r="H13" s="252">
        <f t="shared" ref="H13" si="10">(F13-G13)/G13</f>
        <v>-0.2643312101910828</v>
      </c>
      <c r="I13" s="254">
        <f>F13/$F$66</f>
        <v>1.9854315735189842E-3</v>
      </c>
      <c r="J13" s="250" t="s">
        <v>216</v>
      </c>
      <c r="K13" s="37"/>
      <c r="L13" s="255">
        <f>'[3]Allegiant '!$JB$41</f>
        <v>0</v>
      </c>
      <c r="M13" s="2">
        <f>'[3]Allegiant '!$IN$41</f>
        <v>1805</v>
      </c>
      <c r="N13" s="254">
        <f t="shared" ref="N13" si="11">(L13-M13)/M13</f>
        <v>-1</v>
      </c>
      <c r="O13" s="255">
        <f>SUM('[3]Allegiant '!$IT$41:$JB$41)</f>
        <v>64715</v>
      </c>
      <c r="P13" s="2">
        <f>SUM('[3]Allegiant '!$IF$41:$IN$41)</f>
        <v>91929</v>
      </c>
      <c r="Q13" s="252">
        <f t="shared" ref="Q13" si="12">(O13-P13)/P13</f>
        <v>-0.29603280792785736</v>
      </c>
      <c r="R13" s="254">
        <f>O13/$O$66</f>
        <v>2.3496779762974987E-3</v>
      </c>
      <c r="S13" s="250" t="s">
        <v>216</v>
      </c>
      <c r="T13" s="37"/>
      <c r="U13" s="255">
        <f>'[3]Allegiant '!$JB$64</f>
        <v>0</v>
      </c>
      <c r="V13" s="2">
        <f>'[3]Allegiant '!$IN$64</f>
        <v>0</v>
      </c>
      <c r="W13" s="254" t="e">
        <f t="shared" ref="W13" si="13">(U13-V13)/V13</f>
        <v>#DIV/0!</v>
      </c>
      <c r="X13" s="255">
        <f>SUM('[3]Allegiant '!$IT$64:$JB$64)</f>
        <v>0</v>
      </c>
      <c r="Y13" s="2">
        <f>SUM('[3]Allegiant '!$IF$64:$IN$64)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'!$JB$43</f>
        <v>0</v>
      </c>
      <c r="AE13" s="2">
        <f>'[3]Allegiant '!$IN$43</f>
        <v>1805</v>
      </c>
      <c r="AF13" s="254">
        <f t="shared" ref="AF13" si="15">(AD13-AE13)/AE13</f>
        <v>-1</v>
      </c>
      <c r="AG13" s="255">
        <f>SUM('[3]Allegiant '!$IT$43:$JB$43)</f>
        <v>64715</v>
      </c>
      <c r="AH13" s="2">
        <f>SUM('[3]Allegiant '!$IF$43:$IN$43)</f>
        <v>91929</v>
      </c>
      <c r="AI13" s="252">
        <f t="shared" ref="AI13" si="16">(AG13-AH13)/AH13</f>
        <v>-0.29603280792785736</v>
      </c>
      <c r="AJ13" s="254">
        <f>AG13/$AG$66</f>
        <v>2.2871517522978779E-3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257</v>
      </c>
      <c r="D15" s="253">
        <f>SUM(D16:D18)</f>
        <v>214</v>
      </c>
      <c r="E15" s="254">
        <f>(C15-D15)/D15</f>
        <v>0.20093457943925233</v>
      </c>
      <c r="F15" s="253">
        <f>SUM(F16:F18)</f>
        <v>1957</v>
      </c>
      <c r="G15" s="253">
        <f>SUM(G16:G18)</f>
        <v>1512</v>
      </c>
      <c r="H15" s="252">
        <f>(F15-G15)/G15</f>
        <v>0.2943121693121693</v>
      </c>
      <c r="I15" s="254">
        <f>F15/$F$66</f>
        <v>8.4101506263563885E-3</v>
      </c>
      <c r="J15" s="250" t="s">
        <v>127</v>
      </c>
      <c r="K15" s="37"/>
      <c r="L15" s="251">
        <f>SUM(L16:L18)</f>
        <v>32852</v>
      </c>
      <c r="M15" s="253">
        <f>SUM(M16:M18)</f>
        <v>27394</v>
      </c>
      <c r="N15" s="254">
        <f>(L15-M15)/M15</f>
        <v>0.19924070964444768</v>
      </c>
      <c r="O15" s="251">
        <f>SUM(O16:O18)</f>
        <v>253129</v>
      </c>
      <c r="P15" s="253">
        <f>SUM(P16:P18)</f>
        <v>214300</v>
      </c>
      <c r="Q15" s="252">
        <f>(O15-P15)/P15</f>
        <v>0.18118992067195519</v>
      </c>
      <c r="R15" s="254">
        <f>O15/$O$66</f>
        <v>9.1906302474265549E-3</v>
      </c>
      <c r="S15" s="250" t="s">
        <v>127</v>
      </c>
      <c r="T15" s="37"/>
      <c r="U15" s="251">
        <f>SUM(U16:U18)</f>
        <v>51114</v>
      </c>
      <c r="V15" s="253">
        <f>SUM(V16:V18)</f>
        <v>54535</v>
      </c>
      <c r="W15" s="254">
        <f>(U15-V15)/V15</f>
        <v>-6.2730356651691577E-2</v>
      </c>
      <c r="X15" s="251">
        <f>SUM(X16:X18)</f>
        <v>323847</v>
      </c>
      <c r="Y15" s="253">
        <f>SUM(Y16:Y18)</f>
        <v>346244</v>
      </c>
      <c r="Z15" s="252">
        <f>(X15-Y15)/Y15</f>
        <v>-6.4685597439955639E-2</v>
      </c>
      <c r="AA15" s="254">
        <f>X15/$X$66</f>
        <v>5.2797171034560135E-3</v>
      </c>
      <c r="AB15" s="250" t="s">
        <v>127</v>
      </c>
      <c r="AC15" s="37"/>
      <c r="AD15" s="251">
        <f>SUM(AD16:AD18)</f>
        <v>33881</v>
      </c>
      <c r="AE15" s="253">
        <f>SUM(AE16:AE18)</f>
        <v>28313</v>
      </c>
      <c r="AF15" s="254">
        <f>(AD15-AE15)/AE15</f>
        <v>0.19665877865291562</v>
      </c>
      <c r="AG15" s="251">
        <f>SUM(AG16:AG18)</f>
        <v>261572</v>
      </c>
      <c r="AH15" s="253">
        <f>SUM(AH16:AH18)</f>
        <v>221244</v>
      </c>
      <c r="AI15" s="252">
        <f>(AG15-AH15)/AH15</f>
        <v>0.18227838947044891</v>
      </c>
      <c r="AJ15" s="254">
        <f>AG15/$AG$66</f>
        <v>9.2444542710663768E-3</v>
      </c>
    </row>
    <row r="16" spans="1:36" ht="14.1" customHeight="1" x14ac:dyDescent="0.2">
      <c r="A16" s="250"/>
      <c r="B16" s="310" t="s">
        <v>127</v>
      </c>
      <c r="C16" s="314">
        <f>[3]Alaska!$JB$19</f>
        <v>257</v>
      </c>
      <c r="D16" s="209">
        <f>[3]Alaska!$IN$19</f>
        <v>214</v>
      </c>
      <c r="E16" s="316">
        <f>(C16-D16)/D16</f>
        <v>0.20093457943925233</v>
      </c>
      <c r="F16" s="209">
        <f>SUM([3]Alaska!$IT$19:$JB$19)</f>
        <v>1957</v>
      </c>
      <c r="G16" s="209">
        <f>SUM([3]Alaska!$IF$19:$IN$19)</f>
        <v>1512</v>
      </c>
      <c r="H16" s="315">
        <f>(F16-G16)/G16</f>
        <v>0.2943121693121693</v>
      </c>
      <c r="I16" s="316">
        <f>F16/$F$66</f>
        <v>8.4101506263563885E-3</v>
      </c>
      <c r="J16" s="250"/>
      <c r="K16" s="310" t="s">
        <v>127</v>
      </c>
      <c r="L16" s="314">
        <f>[3]Alaska!$JB$41</f>
        <v>32852</v>
      </c>
      <c r="M16" s="209">
        <f>[3]Alaska!$IN$41</f>
        <v>27394</v>
      </c>
      <c r="N16" s="316">
        <f>(L16-M16)/M16</f>
        <v>0.19924070964444768</v>
      </c>
      <c r="O16" s="314">
        <f>SUM([3]Alaska!$IT$41:$JB$41)</f>
        <v>253129</v>
      </c>
      <c r="P16" s="209">
        <f>SUM([3]Alaska!$IF$41:$IN$41)</f>
        <v>214300</v>
      </c>
      <c r="Q16" s="315">
        <f>(O16-P16)/P16</f>
        <v>0.18118992067195519</v>
      </c>
      <c r="R16" s="316">
        <f>O16/$O$66</f>
        <v>9.1906302474265549E-3</v>
      </c>
      <c r="S16" s="250"/>
      <c r="T16" s="310" t="s">
        <v>127</v>
      </c>
      <c r="U16" s="314">
        <f>[3]Alaska!$JB$64</f>
        <v>51114</v>
      </c>
      <c r="V16" s="209">
        <f>[3]Alaska!$IN$64</f>
        <v>54535</v>
      </c>
      <c r="W16" s="316">
        <f>(U16-V16)/V16</f>
        <v>-6.2730356651691577E-2</v>
      </c>
      <c r="X16" s="314">
        <f>SUM([3]Alaska!$IT$64:$JB$64)</f>
        <v>323847</v>
      </c>
      <c r="Y16" s="209">
        <f>SUM([3]Alaska!$IF$64:$IN$64)</f>
        <v>346244</v>
      </c>
      <c r="Z16" s="315">
        <f>(X16-Y16)/Y16</f>
        <v>-6.4685597439955639E-2</v>
      </c>
      <c r="AA16" s="316">
        <f>X16/$X$66</f>
        <v>5.2797171034560135E-3</v>
      </c>
      <c r="AB16" s="250"/>
      <c r="AC16" s="310" t="s">
        <v>127</v>
      </c>
      <c r="AD16" s="314">
        <f>[3]Alaska!$JB$43</f>
        <v>33881</v>
      </c>
      <c r="AE16" s="209">
        <f>[3]Alaska!$IN$43</f>
        <v>28313</v>
      </c>
      <c r="AF16" s="316">
        <f>(AD16-AE16)/AE16</f>
        <v>0.19665877865291562</v>
      </c>
      <c r="AG16" s="314">
        <f>SUM([3]Alaska!$IT$43:$JB$43)</f>
        <v>261572</v>
      </c>
      <c r="AH16" s="209">
        <f>SUM([3]Alaska!$IF$43:$IN$43)</f>
        <v>221244</v>
      </c>
      <c r="AI16" s="315">
        <f>(AG16-AH16)/AH16</f>
        <v>0.18227838947044891</v>
      </c>
      <c r="AJ16" s="63">
        <f t="shared" ref="AJ16:AJ18" si="17">AG16/$AG$66</f>
        <v>9.2444542710663768E-3</v>
      </c>
    </row>
    <row r="17" spans="1:36" ht="14.1" customHeight="1" x14ac:dyDescent="0.2">
      <c r="A17" s="250"/>
      <c r="B17" s="310" t="s">
        <v>97</v>
      </c>
      <c r="C17" s="255">
        <f>'[3]Sky West_AS'!$JB$19</f>
        <v>0</v>
      </c>
      <c r="D17" s="2">
        <f>'[3]Sky West_AS'!$IN$19</f>
        <v>0</v>
      </c>
      <c r="E17" s="63" t="e">
        <f>(C17-D17)/D17</f>
        <v>#DIV/0!</v>
      </c>
      <c r="F17" s="2">
        <f>SUM('[3]Sky West_AS'!$IT$19:$JB$19)</f>
        <v>0</v>
      </c>
      <c r="G17" s="2">
        <f>SUM('[3]Sky West_AS'!$IF$19:$IN$19)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West_AS'!$JB$41</f>
        <v>0</v>
      </c>
      <c r="M17" s="2">
        <f>'[3]Sky West_AS'!$IN$41</f>
        <v>0</v>
      </c>
      <c r="N17" s="63" t="e">
        <f>(L17-M17)/M17</f>
        <v>#DIV/0!</v>
      </c>
      <c r="O17" s="255">
        <f>SUM('[3]Sky West_AS'!$IT$41:$JB$41)</f>
        <v>0</v>
      </c>
      <c r="P17" s="2">
        <f>SUM('[3]Sky West_AS'!$IF$41:$IN$41)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West_AS'!$JB$64</f>
        <v>0</v>
      </c>
      <c r="V17" s="2">
        <f>'[3]Sky West_AS'!$IN$64</f>
        <v>0</v>
      </c>
      <c r="W17" s="63" t="e">
        <f>(U17-V17)/V17</f>
        <v>#DIV/0!</v>
      </c>
      <c r="X17" s="255">
        <f>SUM('[3]Sky West_AS'!$IT$64:$JB$64)</f>
        <v>0</v>
      </c>
      <c r="Y17" s="2">
        <f>SUM('[3]Sky West_AS'!$IF$64:$IN$64)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West_AS'!$JB$43</f>
        <v>0</v>
      </c>
      <c r="AE17" s="2">
        <f>'[3]Sky West_AS'!$IN$43</f>
        <v>0</v>
      </c>
      <c r="AF17" s="63" t="e">
        <f>(AD17-AE17)/AE17</f>
        <v>#DIV/0!</v>
      </c>
      <c r="AG17" s="255">
        <f>SUM('[3]Sky West_AS'!$IT$43:$JB$43)</f>
        <v>0</v>
      </c>
      <c r="AH17" s="2">
        <f>SUM('[3]Sky West_AS'!$IF$43:$IN$43)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[3]Horizon_AS!$JB$19</f>
        <v>0</v>
      </c>
      <c r="D18" s="2">
        <f>[3]Horizon_AS!$IN$19</f>
        <v>0</v>
      </c>
      <c r="E18" s="63" t="e">
        <f>(C18-D18)/D18</f>
        <v>#DIV/0!</v>
      </c>
      <c r="F18" s="2">
        <f>SUM([3]Horizon_AS!$IT$19:$JB$19)</f>
        <v>0</v>
      </c>
      <c r="G18" s="2">
        <f>SUM([3]Horizon_AS!$IF$19:$IN$19)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[3]Horizon_AS!$JB$41</f>
        <v>0</v>
      </c>
      <c r="M18" s="2">
        <f>[3]Horizon_AS!$IN$41</f>
        <v>0</v>
      </c>
      <c r="N18" s="63" t="e">
        <f>(L18-M18)/M18</f>
        <v>#DIV/0!</v>
      </c>
      <c r="O18" s="255">
        <f>SUM([3]Horizon_AS!$IT$41:$JB$41)</f>
        <v>0</v>
      </c>
      <c r="P18" s="2">
        <f>SUM([3]Horizon_AS!$IF$41:$IN$41)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[3]Horizon_AS!$JB$64</f>
        <v>0</v>
      </c>
      <c r="V18" s="2">
        <f>[3]Horizon_AS!$IN$64</f>
        <v>0</v>
      </c>
      <c r="W18" s="63" t="e">
        <f>(U18-V18)/V18</f>
        <v>#DIV/0!</v>
      </c>
      <c r="X18" s="255">
        <f>SUM([3]Horizon_AS!$IT$64:$JB$64)</f>
        <v>0</v>
      </c>
      <c r="Y18" s="2">
        <f>SUM([3]Horizon_AS!$IF$64:$IN$64)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[3]Horizon_AS!$JB$43</f>
        <v>0</v>
      </c>
      <c r="AE18" s="2">
        <f>[3]Horizon_AS!$IN$43</f>
        <v>0</v>
      </c>
      <c r="AF18" s="63" t="e">
        <f>(AD18-AE18)/AE18</f>
        <v>#DIV/0!</v>
      </c>
      <c r="AG18" s="255">
        <f>SUM([3]Horizon_AS!$IT$43:$JB$43)</f>
        <v>0</v>
      </c>
      <c r="AH18" s="2">
        <f>SUM([3]Horizon_AS!$IF$43:$IN$43)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1188</v>
      </c>
      <c r="D20" s="253">
        <f>SUM(D21:D26)</f>
        <v>1137</v>
      </c>
      <c r="E20" s="254">
        <f t="shared" ref="E20:E26" si="18">(C20-D20)/D20</f>
        <v>4.4854881266490766E-2</v>
      </c>
      <c r="F20" s="251">
        <f>SUM(F21:F26)</f>
        <v>10475</v>
      </c>
      <c r="G20" s="253">
        <f>SUM(G21:G26)</f>
        <v>9912</v>
      </c>
      <c r="H20" s="252">
        <f t="shared" ref="H20:H26" si="19">(F20-G20)/G20</f>
        <v>5.6799838579499599E-2</v>
      </c>
      <c r="I20" s="254">
        <f t="shared" ref="I20:I26" si="20">F20/$F$66</f>
        <v>4.5016008079245363E-2</v>
      </c>
      <c r="J20" s="250" t="s">
        <v>17</v>
      </c>
      <c r="K20" s="257"/>
      <c r="L20" s="251">
        <f>SUM(L21:L26)</f>
        <v>135964</v>
      </c>
      <c r="M20" s="253">
        <f>SUM(M21:M26)</f>
        <v>124537</v>
      </c>
      <c r="N20" s="254">
        <f t="shared" ref="N20:N26" si="21">(L20-M20)/M20</f>
        <v>9.1755863719215972E-2</v>
      </c>
      <c r="O20" s="251">
        <f>SUM(O21:O26)</f>
        <v>1180500</v>
      </c>
      <c r="P20" s="253">
        <f>SUM(P21:P26)</f>
        <v>1110243</v>
      </c>
      <c r="Q20" s="252">
        <f t="shared" ref="Q20:Q26" si="22">(O20-P20)/P20</f>
        <v>6.3280741243133265E-2</v>
      </c>
      <c r="R20" s="254">
        <f t="shared" ref="R20:R26" si="23">O20/$O$66</f>
        <v>4.28616990036189E-2</v>
      </c>
      <c r="S20" s="250" t="s">
        <v>17</v>
      </c>
      <c r="T20" s="257"/>
      <c r="U20" s="251">
        <f>SUM(U21:U26)</f>
        <v>39211</v>
      </c>
      <c r="V20" s="253">
        <f>SUM(V21:V26)</f>
        <v>57276</v>
      </c>
      <c r="W20" s="254">
        <f t="shared" ref="W20:W24" si="24">(U20-V20)/V20</f>
        <v>-0.31540261191423979</v>
      </c>
      <c r="X20" s="251">
        <f>SUM(X21:X26)</f>
        <v>414376</v>
      </c>
      <c r="Y20" s="253">
        <f>SUM(Y21:Y26)</f>
        <v>449923</v>
      </c>
      <c r="Z20" s="252">
        <f t="shared" ref="Z20:Z24" si="25">(X20-Y20)/Y20</f>
        <v>-7.9006852283612969E-2</v>
      </c>
      <c r="AA20" s="254">
        <f t="shared" ref="AA20:AA26" si="26">X20/$X$66</f>
        <v>6.7556224218896241E-3</v>
      </c>
      <c r="AB20" s="250" t="s">
        <v>17</v>
      </c>
      <c r="AC20" s="257"/>
      <c r="AD20" s="251">
        <f>SUM(AD21:AD26)</f>
        <v>140823</v>
      </c>
      <c r="AE20" s="253">
        <f>SUM(AE21:AE26)</f>
        <v>129276</v>
      </c>
      <c r="AF20" s="254">
        <f t="shared" ref="AF20:AF24" si="27">(AD20-AE20)/AE20</f>
        <v>8.9320523531049842E-2</v>
      </c>
      <c r="AG20" s="251">
        <f>SUM(AG21:AG26)</f>
        <v>1221207</v>
      </c>
      <c r="AH20" s="253">
        <f>SUM(AH21:AH26)</f>
        <v>1150596</v>
      </c>
      <c r="AI20" s="252">
        <f t="shared" ref="AI20:AI24" si="28">(AG20-AH20)/AH20</f>
        <v>6.1369064380547123E-2</v>
      </c>
      <c r="AJ20" s="254">
        <f>AG20/$AG$66</f>
        <v>4.3159788765640653E-2</v>
      </c>
    </row>
    <row r="21" spans="1:36" ht="14.1" customHeight="1" x14ac:dyDescent="0.2">
      <c r="A21" s="36"/>
      <c r="B21" s="37" t="s">
        <v>17</v>
      </c>
      <c r="C21" s="255">
        <f>[3]American!$JB$19</f>
        <v>866</v>
      </c>
      <c r="D21" s="2">
        <f>[3]American!$IN$19</f>
        <v>721</v>
      </c>
      <c r="E21" s="63">
        <f t="shared" si="18"/>
        <v>0.20110957004160887</v>
      </c>
      <c r="F21" s="2">
        <f>SUM([3]American!$IT$19:$JB$19)</f>
        <v>6782</v>
      </c>
      <c r="G21" s="2">
        <f>SUM([3]American!$IF$19:$IN$19)</f>
        <v>6133</v>
      </c>
      <c r="H21" s="3">
        <f t="shared" si="19"/>
        <v>0.10582096853089842</v>
      </c>
      <c r="I21" s="63">
        <f t="shared" si="20"/>
        <v>2.914544790390855E-2</v>
      </c>
      <c r="J21" s="36"/>
      <c r="K21" s="37" t="s">
        <v>17</v>
      </c>
      <c r="L21" s="255">
        <f>[3]American!$JB$41</f>
        <v>111974</v>
      </c>
      <c r="M21" s="2">
        <f>[3]American!$IN$41</f>
        <v>101440</v>
      </c>
      <c r="N21" s="63">
        <f t="shared" si="21"/>
        <v>0.10384463722397476</v>
      </c>
      <c r="O21" s="255">
        <f>SUM([3]American!$IT$41:$JB$41)</f>
        <v>954465</v>
      </c>
      <c r="P21" s="2">
        <f>SUM([3]American!$IF$41:$IN$41)</f>
        <v>893097</v>
      </c>
      <c r="Q21" s="3">
        <f t="shared" si="22"/>
        <v>6.8713700751430129E-2</v>
      </c>
      <c r="R21" s="63">
        <f t="shared" si="23"/>
        <v>3.4654800118161043E-2</v>
      </c>
      <c r="S21" s="36"/>
      <c r="T21" s="37" t="s">
        <v>17</v>
      </c>
      <c r="U21" s="255">
        <f>[3]American!$JB$64</f>
        <v>36410</v>
      </c>
      <c r="V21" s="2">
        <f>[3]American!$IN$64</f>
        <v>54691</v>
      </c>
      <c r="W21" s="63">
        <f t="shared" si="24"/>
        <v>-0.33425975023312793</v>
      </c>
      <c r="X21" s="255">
        <f>SUM([3]American!$IT$64:$JB$64)</f>
        <v>381272</v>
      </c>
      <c r="Y21" s="2">
        <f>SUM([3]American!$IF$64:$IN$64)</f>
        <v>426217</v>
      </c>
      <c r="Z21" s="3">
        <f t="shared" si="25"/>
        <v>-0.10545097919604333</v>
      </c>
      <c r="AA21" s="63">
        <f t="shared" si="26"/>
        <v>6.2159238759935441E-3</v>
      </c>
      <c r="AB21" s="36"/>
      <c r="AC21" s="37" t="s">
        <v>17</v>
      </c>
      <c r="AD21" s="255">
        <f>[3]American!$JB$43</f>
        <v>116139</v>
      </c>
      <c r="AE21" s="2">
        <f>[3]American!$IN$43</f>
        <v>105421</v>
      </c>
      <c r="AF21" s="63">
        <f t="shared" si="27"/>
        <v>0.10166854801225562</v>
      </c>
      <c r="AG21" s="255">
        <f>SUM([3]American!$IT$43:$JB$43)</f>
        <v>987156</v>
      </c>
      <c r="AH21" s="2">
        <f>SUM([3]American!$IF$43:$IN$43)</f>
        <v>926254</v>
      </c>
      <c r="AI21" s="3">
        <f t="shared" si="28"/>
        <v>6.5750863154167213E-2</v>
      </c>
      <c r="AJ21" s="63">
        <f t="shared" ref="AJ21:AJ26" si="29">AG21/$AG$66</f>
        <v>3.488797921952197E-2</v>
      </c>
    </row>
    <row r="22" spans="1:36" ht="14.1" customHeight="1" x14ac:dyDescent="0.2">
      <c r="A22" s="36"/>
      <c r="B22" s="310" t="s">
        <v>163</v>
      </c>
      <c r="C22" s="255">
        <f>'[3]American Eagle'!$JB$19</f>
        <v>163</v>
      </c>
      <c r="D22" s="2">
        <f>'[3]American Eagle'!$IN$19</f>
        <v>60</v>
      </c>
      <c r="E22" s="63">
        <f t="shared" si="18"/>
        <v>1.7166666666666666</v>
      </c>
      <c r="F22" s="2">
        <f>SUM('[3]American Eagle'!$IT$19:$JB$19)</f>
        <v>1274</v>
      </c>
      <c r="G22" s="2">
        <f>SUM('[3]American Eagle'!$IF$19:$IN$19)</f>
        <v>827</v>
      </c>
      <c r="H22" s="3">
        <f t="shared" si="19"/>
        <v>0.54050785973397819</v>
      </c>
      <c r="I22" s="63">
        <f t="shared" si="20"/>
        <v>5.4749779754614406E-3</v>
      </c>
      <c r="J22" s="36"/>
      <c r="K22" s="310" t="s">
        <v>163</v>
      </c>
      <c r="L22" s="255">
        <f>'[3]American Eagle'!$JB$41</f>
        <v>10506</v>
      </c>
      <c r="M22" s="2">
        <f>'[3]American Eagle'!$IN$41</f>
        <v>3966</v>
      </c>
      <c r="N22" s="63">
        <f t="shared" si="21"/>
        <v>1.6490166414523448</v>
      </c>
      <c r="O22" s="255">
        <f>SUM('[3]American Eagle'!$IT$41:$JB$41)</f>
        <v>79024</v>
      </c>
      <c r="P22" s="2">
        <f>SUM('[3]American Eagle'!$IF$41:$IN$41)</f>
        <v>50994</v>
      </c>
      <c r="Q22" s="3">
        <f t="shared" si="22"/>
        <v>0.5496725104914304</v>
      </c>
      <c r="R22" s="63">
        <f t="shared" si="23"/>
        <v>2.8692104210605507E-3</v>
      </c>
      <c r="S22" s="36"/>
      <c r="T22" s="310" t="s">
        <v>163</v>
      </c>
      <c r="U22" s="255">
        <f>'[3]American Eagle'!$JB$64</f>
        <v>0</v>
      </c>
      <c r="V22" s="2">
        <f>'[3]American Eagle'!$IN$64</f>
        <v>0</v>
      </c>
      <c r="W22" s="63" t="e">
        <f t="shared" si="24"/>
        <v>#DIV/0!</v>
      </c>
      <c r="X22" s="255">
        <f>SUM('[3]American Eagle'!$IT$64:$JB$64)</f>
        <v>4612</v>
      </c>
      <c r="Y22" s="2">
        <f>SUM('[3]American Eagle'!$IF$64:$IN$64)</f>
        <v>6470</v>
      </c>
      <c r="Z22" s="3">
        <f t="shared" si="25"/>
        <v>-0.28717156105100461</v>
      </c>
      <c r="AA22" s="63">
        <f t="shared" si="26"/>
        <v>7.5189997996396869E-5</v>
      </c>
      <c r="AB22" s="36"/>
      <c r="AC22" s="310" t="s">
        <v>163</v>
      </c>
      <c r="AD22" s="255">
        <f>'[3]American Eagle'!$JB$43</f>
        <v>10860</v>
      </c>
      <c r="AE22" s="2">
        <f>'[3]American Eagle'!$IN$43</f>
        <v>4055</v>
      </c>
      <c r="AF22" s="63">
        <f t="shared" si="27"/>
        <v>1.6781750924784218</v>
      </c>
      <c r="AG22" s="255">
        <f>SUM('[3]American Eagle'!$IT$43:$JB$43)</f>
        <v>82436</v>
      </c>
      <c r="AH22" s="2">
        <f>SUM('[3]American Eagle'!$IF$43:$IN$43)</f>
        <v>52868</v>
      </c>
      <c r="AI22" s="3">
        <f t="shared" si="28"/>
        <v>0.55927971551789357</v>
      </c>
      <c r="AJ22" s="63">
        <f t="shared" si="29"/>
        <v>2.9134457521815325E-3</v>
      </c>
    </row>
    <row r="23" spans="1:36" ht="14.1" customHeight="1" x14ac:dyDescent="0.2">
      <c r="A23" s="36"/>
      <c r="B23" s="310" t="s">
        <v>52</v>
      </c>
      <c r="C23" s="255">
        <f>[3]Republic!$JB$19</f>
        <v>95</v>
      </c>
      <c r="D23" s="2">
        <f>[3]Republic!$IN$19</f>
        <v>96</v>
      </c>
      <c r="E23" s="63">
        <f t="shared" si="18"/>
        <v>-1.0416666666666666E-2</v>
      </c>
      <c r="F23" s="2">
        <f>SUM([3]Republic!$IT$19:$JB$19)</f>
        <v>1088</v>
      </c>
      <c r="G23" s="2">
        <f>SUM([3]Republic!$IF$19:$IN$19)</f>
        <v>1592</v>
      </c>
      <c r="H23" s="3">
        <f t="shared" si="19"/>
        <v>-0.3165829145728643</v>
      </c>
      <c r="I23" s="63">
        <f t="shared" si="20"/>
        <v>4.6756483809278241E-3</v>
      </c>
      <c r="J23" s="36"/>
      <c r="K23" s="258" t="s">
        <v>52</v>
      </c>
      <c r="L23" s="255">
        <f>[3]Republic!$JB$41</f>
        <v>9469</v>
      </c>
      <c r="M23" s="2">
        <f>[3]Republic!$IN$41</f>
        <v>5898</v>
      </c>
      <c r="N23" s="63">
        <f t="shared" si="21"/>
        <v>0.60545947778908105</v>
      </c>
      <c r="O23" s="255">
        <f>SUM([3]Republic!$IT$41:$JB$41)</f>
        <v>68309</v>
      </c>
      <c r="P23" s="2">
        <f>SUM([3]Republic!$IF$41:$IN$41)</f>
        <v>97552</v>
      </c>
      <c r="Q23" s="3">
        <f t="shared" si="22"/>
        <v>-0.29976832868623915</v>
      </c>
      <c r="R23" s="63">
        <f t="shared" si="23"/>
        <v>2.4801692479781479E-3</v>
      </c>
      <c r="S23" s="36"/>
      <c r="T23" s="258" t="s">
        <v>52</v>
      </c>
      <c r="U23" s="255">
        <f>[3]Republic!$JB$64</f>
        <v>2801</v>
      </c>
      <c r="V23" s="2">
        <f>[3]Republic!$IN$64</f>
        <v>1064</v>
      </c>
      <c r="W23" s="63">
        <f t="shared" si="24"/>
        <v>1.6325187969924813</v>
      </c>
      <c r="X23" s="255">
        <f>SUM([3]Republic!$IT$64:$JB$64)</f>
        <v>25024</v>
      </c>
      <c r="Y23" s="2">
        <f>SUM([3]Republic!$IF$64:$IN$64)</f>
        <v>15625</v>
      </c>
      <c r="Z23" s="3">
        <f t="shared" si="25"/>
        <v>0.60153599999999996</v>
      </c>
      <c r="AA23" s="63">
        <f t="shared" si="26"/>
        <v>4.0796932130568849E-4</v>
      </c>
      <c r="AB23" s="36"/>
      <c r="AC23" s="258" t="s">
        <v>52</v>
      </c>
      <c r="AD23" s="255">
        <f>[3]Republic!$JB$43</f>
        <v>9735</v>
      </c>
      <c r="AE23" s="2">
        <f>[3]Republic!$IN$43</f>
        <v>6092</v>
      </c>
      <c r="AF23" s="63">
        <f t="shared" si="27"/>
        <v>0.59799737360472749</v>
      </c>
      <c r="AG23" s="255">
        <f>SUM([3]Republic!$IT$43:$JB$43)</f>
        <v>70913</v>
      </c>
      <c r="AH23" s="2">
        <f>SUM([3]Republic!$IF$43:$IN$43)</f>
        <v>101005</v>
      </c>
      <c r="AI23" s="3">
        <f t="shared" si="28"/>
        <v>-0.2979258452551854</v>
      </c>
      <c r="AJ23" s="63">
        <f>AG23/$AG$66</f>
        <v>2.5062009149455214E-3</v>
      </c>
    </row>
    <row r="24" spans="1:36" ht="14.1" customHeight="1" x14ac:dyDescent="0.2">
      <c r="A24" s="36"/>
      <c r="B24" s="310" t="s">
        <v>177</v>
      </c>
      <c r="C24" s="255">
        <f>[3]PSA!$JB$19</f>
        <v>64</v>
      </c>
      <c r="D24" s="2">
        <f>[3]PSA!$IN$19</f>
        <v>104</v>
      </c>
      <c r="E24" s="63">
        <f t="shared" si="18"/>
        <v>-0.38461538461538464</v>
      </c>
      <c r="F24" s="2">
        <f>SUM([3]PSA!$IT$19:$JB$19)</f>
        <v>1001</v>
      </c>
      <c r="G24" s="2">
        <f>SUM([3]PSA!$IF$19:$IN$19)</f>
        <v>666</v>
      </c>
      <c r="H24" s="3">
        <f t="shared" si="19"/>
        <v>0.50300300300300305</v>
      </c>
      <c r="I24" s="63">
        <f t="shared" si="20"/>
        <v>4.3017684092911323E-3</v>
      </c>
      <c r="J24" s="36"/>
      <c r="K24" s="310" t="s">
        <v>177</v>
      </c>
      <c r="L24" s="255">
        <f>[3]PSA!$JB$41</f>
        <v>4015</v>
      </c>
      <c r="M24" s="2">
        <f>[3]PSA!$IN$41</f>
        <v>6144</v>
      </c>
      <c r="N24" s="63">
        <f t="shared" si="21"/>
        <v>-0.34651692708333331</v>
      </c>
      <c r="O24" s="255">
        <f>SUM([3]PSA!$IT$41:$JB$41)</f>
        <v>63091</v>
      </c>
      <c r="P24" s="2">
        <f>SUM([3]PSA!$IF$41:$IN$41)</f>
        <v>37114</v>
      </c>
      <c r="Q24" s="3">
        <f t="shared" si="22"/>
        <v>0.69992455677102983</v>
      </c>
      <c r="R24" s="63">
        <f t="shared" si="23"/>
        <v>2.2907136398452521E-3</v>
      </c>
      <c r="S24" s="36"/>
      <c r="T24" s="310" t="s">
        <v>177</v>
      </c>
      <c r="U24" s="255">
        <f>[3]PSA!$JB$64</f>
        <v>0</v>
      </c>
      <c r="V24" s="2">
        <f>[3]PSA!$IN$64</f>
        <v>177</v>
      </c>
      <c r="W24" s="63">
        <f t="shared" si="24"/>
        <v>-1</v>
      </c>
      <c r="X24" s="255">
        <f>SUM([3]PSA!$IT$64:$JB$64)</f>
        <v>788</v>
      </c>
      <c r="Y24" s="2">
        <f>SUM([3]PSA!$IF$64:$IN$64)</f>
        <v>217</v>
      </c>
      <c r="Z24" s="3">
        <f t="shared" si="25"/>
        <v>2.6313364055299537</v>
      </c>
      <c r="AA24" s="63">
        <f t="shared" si="26"/>
        <v>1.2846860021934243E-5</v>
      </c>
      <c r="AB24" s="36"/>
      <c r="AC24" s="310" t="s">
        <v>177</v>
      </c>
      <c r="AD24" s="255">
        <f>[3]PSA!$JB$43</f>
        <v>4089</v>
      </c>
      <c r="AE24" s="2">
        <f>[3]PSA!$IN$43</f>
        <v>6324</v>
      </c>
      <c r="AF24" s="63">
        <f t="shared" si="27"/>
        <v>-0.353415559772296</v>
      </c>
      <c r="AG24" s="255">
        <f>SUM([3]PSA!$IT$43:$JB$43)</f>
        <v>64540</v>
      </c>
      <c r="AH24" s="2">
        <f>SUM([3]PSA!$IF$43:$IN$43)</f>
        <v>38068</v>
      </c>
      <c r="AI24" s="3">
        <f t="shared" si="28"/>
        <v>0.69538720184932223</v>
      </c>
      <c r="AJ24" s="63">
        <f t="shared" si="29"/>
        <v>2.2809669179217344E-3</v>
      </c>
    </row>
    <row r="25" spans="1:36" ht="14.1" customHeight="1" x14ac:dyDescent="0.2">
      <c r="A25" s="36"/>
      <c r="B25" s="310" t="s">
        <v>97</v>
      </c>
      <c r="C25" s="255">
        <f>'[3]Sky West_AA'!$JB$19</f>
        <v>0</v>
      </c>
      <c r="D25" s="2">
        <f>'[3]Sky West_AA'!$IN$19</f>
        <v>0</v>
      </c>
      <c r="E25" s="63" t="e">
        <f>(C25-D25)/D25</f>
        <v>#DIV/0!</v>
      </c>
      <c r="F25" s="2">
        <f>SUM('[3]Sky West_AA'!$IT$19:$JB$19)</f>
        <v>62</v>
      </c>
      <c r="G25" s="2">
        <f>SUM('[3]Sky West_AA'!$IF$19:$IN$19)</f>
        <v>0</v>
      </c>
      <c r="H25" s="3" t="e">
        <f>(F25-G25)/G25</f>
        <v>#DIV/0!</v>
      </c>
      <c r="I25" s="63">
        <f t="shared" si="20"/>
        <v>2.6644319817787233E-4</v>
      </c>
      <c r="J25" s="36"/>
      <c r="K25" s="310" t="s">
        <v>97</v>
      </c>
      <c r="L25" s="255">
        <f>'[3]Sky West_AA'!$JB$41</f>
        <v>0</v>
      </c>
      <c r="M25" s="2">
        <f>'[3]Sky West_AA'!$IN$41</f>
        <v>0</v>
      </c>
      <c r="N25" s="63" t="e">
        <f>(L25-M25)/M25</f>
        <v>#DIV/0!</v>
      </c>
      <c r="O25" s="255">
        <f>SUM('[3]Sky West_AA'!$IT$41:$JB$41)</f>
        <v>3516</v>
      </c>
      <c r="P25" s="2">
        <f>SUM('[3]Sky West_AA'!$IF$41:$IN$41)</f>
        <v>0</v>
      </c>
      <c r="Q25" s="3" t="e">
        <f>(O25-P25)/P25</f>
        <v>#DIV/0!</v>
      </c>
      <c r="R25" s="316">
        <f t="shared" si="23"/>
        <v>1.276592407426718E-4</v>
      </c>
      <c r="S25" s="36"/>
      <c r="T25" s="310" t="s">
        <v>97</v>
      </c>
      <c r="U25" s="255">
        <f>'[3]Sky West_AA'!$JB$64</f>
        <v>0</v>
      </c>
      <c r="V25" s="2">
        <f>'[3]Sky West_AA'!$IN$64</f>
        <v>0</v>
      </c>
      <c r="W25" s="63" t="e">
        <f>(U25-V25)/V25</f>
        <v>#DIV/0!</v>
      </c>
      <c r="X25" s="255">
        <f>SUM('[3]Sky West_AA'!$IT$64:$JB$64)</f>
        <v>2</v>
      </c>
      <c r="Y25" s="2">
        <f>SUM('[3]Sky West_AA'!$IF$64:$IN$64)</f>
        <v>0</v>
      </c>
      <c r="Z25" s="3" t="e">
        <f>(X25-Y25)/Y25</f>
        <v>#DIV/0!</v>
      </c>
      <c r="AA25" s="316">
        <f t="shared" si="26"/>
        <v>3.2606243710493005E-8</v>
      </c>
      <c r="AB25" s="36"/>
      <c r="AC25" s="310" t="s">
        <v>97</v>
      </c>
      <c r="AD25" s="255">
        <f>'[3]Sky West_AA'!$JB$43</f>
        <v>0</v>
      </c>
      <c r="AE25" s="2">
        <f>'[3]Sky West_AA'!$IN$43</f>
        <v>0</v>
      </c>
      <c r="AF25" s="63" t="e">
        <f>(AD25-AE25)/AE25</f>
        <v>#DIV/0!</v>
      </c>
      <c r="AG25" s="255">
        <f>SUM('[3]Sky West_AA'!$IT$43:$JB$43)</f>
        <v>3684</v>
      </c>
      <c r="AH25" s="2">
        <f>SUM('[3]Sky West_AA'!$IF$43:$IN$43)</f>
        <v>0</v>
      </c>
      <c r="AI25" s="3" t="e">
        <f>(AG25-AH25)/AH25</f>
        <v>#DIV/0!</v>
      </c>
      <c r="AJ25" s="63">
        <f t="shared" si="29"/>
        <v>1.3019959909550154E-4</v>
      </c>
    </row>
    <row r="26" spans="1:36" ht="14.1" customHeight="1" x14ac:dyDescent="0.2">
      <c r="A26" s="36"/>
      <c r="B26" s="310" t="s">
        <v>50</v>
      </c>
      <c r="C26" s="255">
        <f>'[3]Air Wisconsin'!$JB$19</f>
        <v>0</v>
      </c>
      <c r="D26" s="2">
        <f>'[3]Air Wisconsin'!$IN$19</f>
        <v>156</v>
      </c>
      <c r="E26" s="63">
        <f t="shared" si="18"/>
        <v>-1</v>
      </c>
      <c r="F26" s="2">
        <f>SUM('[3]Air Wisconsin'!$IT$19:$JB$19)</f>
        <v>268</v>
      </c>
      <c r="G26" s="2">
        <f>SUM('[3]Air Wisconsin'!$IF$19:$IN$19)</f>
        <v>694</v>
      </c>
      <c r="H26" s="341">
        <f t="shared" si="19"/>
        <v>-0.6138328530259366</v>
      </c>
      <c r="I26" s="63">
        <f t="shared" si="20"/>
        <v>1.151722211478545E-3</v>
      </c>
      <c r="J26" s="36"/>
      <c r="K26" s="258" t="s">
        <v>50</v>
      </c>
      <c r="L26" s="255">
        <f>'[3]Air Wisconsin'!$JB$41</f>
        <v>0</v>
      </c>
      <c r="M26" s="2">
        <f>'[3]Air Wisconsin'!$IN$41</f>
        <v>7089</v>
      </c>
      <c r="N26" s="63">
        <f t="shared" si="21"/>
        <v>-1</v>
      </c>
      <c r="O26" s="255">
        <f>SUM('[3]Air Wisconsin'!$IT$41:$JB$41)</f>
        <v>12095</v>
      </c>
      <c r="P26" s="2">
        <f>SUM('[3]Air Wisconsin'!$IF$41:$IN$41)</f>
        <v>31486</v>
      </c>
      <c r="Q26" s="3">
        <f t="shared" si="22"/>
        <v>-0.61586101759512168</v>
      </c>
      <c r="R26" s="63">
        <f t="shared" si="23"/>
        <v>4.3914633583123301E-4</v>
      </c>
      <c r="S26" s="36"/>
      <c r="T26" s="258" t="s">
        <v>50</v>
      </c>
      <c r="U26" s="255">
        <f>'[3]Air Wisconsin'!$JB$64</f>
        <v>0</v>
      </c>
      <c r="V26" s="2">
        <f>'[3]Air Wisconsin'!$IN$64</f>
        <v>1344</v>
      </c>
      <c r="W26" s="63">
        <f t="shared" ref="W26" si="30">(U26-V26)/V26</f>
        <v>-1</v>
      </c>
      <c r="X26" s="255">
        <f>SUM('[3]Air Wisconsin'!$IT$64:$JB$64)</f>
        <v>2678</v>
      </c>
      <c r="Y26" s="2">
        <f>SUM('[3]Air Wisconsin'!$IF$64:$IN$64)</f>
        <v>1394</v>
      </c>
      <c r="Z26" s="3">
        <f t="shared" ref="Z26" si="31">(X26-Y26)/Y26</f>
        <v>0.92109038737446203</v>
      </c>
      <c r="AA26" s="63">
        <f t="shared" si="26"/>
        <v>4.3659760328350129E-5</v>
      </c>
      <c r="AB26" s="36"/>
      <c r="AC26" s="258" t="s">
        <v>50</v>
      </c>
      <c r="AD26" s="255">
        <f>'[3]Air Wisconsin'!$JB$43</f>
        <v>0</v>
      </c>
      <c r="AE26" s="2">
        <f>'[3]Air Wisconsin'!$IN$43</f>
        <v>7384</v>
      </c>
      <c r="AF26" s="63">
        <f t="shared" ref="AF26" si="32">(AD26-AE26)/AE26</f>
        <v>-1</v>
      </c>
      <c r="AG26" s="255">
        <f>SUM('[3]Air Wisconsin'!$IT$43:$JB$43)</f>
        <v>12478</v>
      </c>
      <c r="AH26" s="2">
        <f>SUM('[3]Air Wisconsin'!$IF$43:$IN$43)</f>
        <v>32401</v>
      </c>
      <c r="AI26" s="3">
        <f t="shared" ref="AI26" si="33">(AG26-AH26)/AH26</f>
        <v>-0.61488842936946386</v>
      </c>
      <c r="AJ26" s="63">
        <f t="shared" si="29"/>
        <v>4.4099636197439423E-4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[3]Condor!$JB$19</f>
        <v>12</v>
      </c>
      <c r="D28" s="253">
        <f>[3]Condor!$IN$19</f>
        <v>6</v>
      </c>
      <c r="E28" s="254">
        <f>(C28-D28)/D28</f>
        <v>1</v>
      </c>
      <c r="F28" s="253">
        <f>SUM([3]Condor!$IT$19:$JB$19)</f>
        <v>104</v>
      </c>
      <c r="G28" s="253">
        <f>SUM([3]Condor!$IF$19:$IN$19)</f>
        <v>88</v>
      </c>
      <c r="H28" s="252">
        <f>(F28-G28)/G28</f>
        <v>0.18181818181818182</v>
      </c>
      <c r="I28" s="254">
        <f>F28/$F$66</f>
        <v>4.4693697758868908E-4</v>
      </c>
      <c r="J28" s="250" t="s">
        <v>159</v>
      </c>
      <c r="K28" s="37"/>
      <c r="L28" s="251">
        <f>[3]Condor!$JB$41</f>
        <v>1818</v>
      </c>
      <c r="M28" s="253">
        <f>[3]Condor!$IN$41</f>
        <v>1197</v>
      </c>
      <c r="N28" s="254">
        <f>(L28-M28)/M28</f>
        <v>0.51879699248120303</v>
      </c>
      <c r="O28" s="251">
        <f>SUM([3]Condor!$IT$41:$JB$41)</f>
        <v>21917</v>
      </c>
      <c r="P28" s="253">
        <f>SUM([3]Condor!$IF$41:$IN$41)</f>
        <v>19004</v>
      </c>
      <c r="Q28" s="252">
        <f>(O28-P28)/P28</f>
        <v>0.15328351925910336</v>
      </c>
      <c r="R28" s="254">
        <f>O28/$O$66</f>
        <v>7.9576438548268995E-4</v>
      </c>
      <c r="S28" s="250" t="s">
        <v>159</v>
      </c>
      <c r="T28" s="37"/>
      <c r="U28" s="251">
        <f>[3]Condor!$JB$64</f>
        <v>57794</v>
      </c>
      <c r="V28" s="253">
        <f>[3]Condor!$IN$64</f>
        <v>19628</v>
      </c>
      <c r="W28" s="254">
        <f>(U28-V28)/V28</f>
        <v>1.9444670878337069</v>
      </c>
      <c r="X28" s="251">
        <f>SUM([3]Condor!$IT$64:$JB$64)</f>
        <v>618875</v>
      </c>
      <c r="Y28" s="253">
        <f>SUM([3]Condor!$IF$64:$IN$64)</f>
        <v>262271</v>
      </c>
      <c r="Z28" s="252">
        <f>(X28-Y28)/Y28</f>
        <v>1.3596775853983094</v>
      </c>
      <c r="AA28" s="254">
        <f>X28/$X$66</f>
        <v>1.0089594538165679E-2</v>
      </c>
      <c r="AB28" s="250" t="s">
        <v>159</v>
      </c>
      <c r="AC28" s="37"/>
      <c r="AD28" s="251">
        <f>[3]Condor!$JB$43</f>
        <v>1820</v>
      </c>
      <c r="AE28" s="253">
        <f>[3]Condor!$IN$43</f>
        <v>1203</v>
      </c>
      <c r="AF28" s="254">
        <f>(AD28-AE28)/AE28</f>
        <v>0.51288445552784701</v>
      </c>
      <c r="AG28" s="251">
        <f>SUM([3]Condor!$IT$43:$JB$43)</f>
        <v>22034</v>
      </c>
      <c r="AH28" s="253">
        <f>SUM([3]Condor!$IF$43:$IN$43)</f>
        <v>19067</v>
      </c>
      <c r="AI28" s="252">
        <f>(AG28-AH28)/AH28</f>
        <v>0.15560916767189384</v>
      </c>
      <c r="AJ28" s="254">
        <f>AG28/$AG$66</f>
        <v>7.7872366082255189E-4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209</v>
      </c>
      <c r="B30" s="37"/>
      <c r="C30" s="251">
        <f>'[3]Denver Air'!$JB$19</f>
        <v>156</v>
      </c>
      <c r="D30" s="253">
        <f>'[3]Denver Air'!$IN$19</f>
        <v>140</v>
      </c>
      <c r="E30" s="254">
        <f>(C30-D30)/D30</f>
        <v>0.11428571428571428</v>
      </c>
      <c r="F30" s="253">
        <f>SUM('[3]Denver Air'!$IT$19:$JB$19)</f>
        <v>1522</v>
      </c>
      <c r="G30" s="253">
        <f>SUM('[3]Denver Air'!$IF$19:$IN$19)</f>
        <v>1370</v>
      </c>
      <c r="H30" s="252">
        <f>(F30-G30)/G30</f>
        <v>0.11094890510948906</v>
      </c>
      <c r="I30" s="254">
        <f>F30/$F$66</f>
        <v>6.5407507681729303E-3</v>
      </c>
      <c r="J30" s="250" t="s">
        <v>209</v>
      </c>
      <c r="K30" s="37"/>
      <c r="L30" s="251">
        <f>'[3]Denver Air'!$JB$41</f>
        <v>1758</v>
      </c>
      <c r="M30" s="253">
        <f>'[3]Denver Air'!$IN$41</f>
        <v>1653</v>
      </c>
      <c r="N30" s="254">
        <f>(L30-M30)/M30</f>
        <v>6.3520871143375679E-2</v>
      </c>
      <c r="O30" s="251">
        <f>SUM('[3]Denver Air'!$IT$41:$JB$41)</f>
        <v>16109</v>
      </c>
      <c r="P30" s="253">
        <f>SUM('[3]Denver Air'!$IF$41:$IN$41)</f>
        <v>14432</v>
      </c>
      <c r="Q30" s="252">
        <f>(O30-P30)/P30</f>
        <v>0.11620011086474501</v>
      </c>
      <c r="R30" s="254">
        <f>O30/$O$66</f>
        <v>5.8488700487022182E-4</v>
      </c>
      <c r="S30" s="250" t="s">
        <v>209</v>
      </c>
      <c r="T30" s="37"/>
      <c r="U30" s="251">
        <f>'[3]Denver Air'!$JB$64</f>
        <v>0</v>
      </c>
      <c r="V30" s="253">
        <f>'[3]Denver Air'!$IN$64</f>
        <v>0</v>
      </c>
      <c r="W30" s="254" t="e">
        <f>(U30-V30)/V30</f>
        <v>#DIV/0!</v>
      </c>
      <c r="X30" s="251">
        <f>SUM('[3]Denver Air'!$IT$64:$JB$64)</f>
        <v>0</v>
      </c>
      <c r="Y30" s="253">
        <f>SUM('[3]Denver Air'!$IF$64:$IN$64)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Air'!$JB$43</f>
        <v>1809</v>
      </c>
      <c r="AE30" s="253">
        <f>'[3]Denver Air'!$IN$43</f>
        <v>1723</v>
      </c>
      <c r="AF30" s="254">
        <f>(AD30-AE30)/AE30</f>
        <v>4.9912942542077773E-2</v>
      </c>
      <c r="AG30" s="251">
        <f>SUM('[3]Denver Air'!$IT$43:$JB$43)</f>
        <v>16741</v>
      </c>
      <c r="AH30" s="253">
        <f>SUM('[3]Denver Air'!$IF$43:$IN$43)</f>
        <v>14994</v>
      </c>
      <c r="AI30" s="252">
        <f>(AG30-AH30)/AH30</f>
        <v>0.11651327197545686</v>
      </c>
      <c r="AJ30" s="254">
        <f>AG30/$AG$66</f>
        <v>5.9165892737725063E-4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18498</v>
      </c>
      <c r="D32" s="253">
        <f>SUM(D33:D36)</f>
        <v>17792</v>
      </c>
      <c r="E32" s="254">
        <f t="shared" ref="E32:E36" si="34">(C32-D32)/D32</f>
        <v>3.9680755395683456E-2</v>
      </c>
      <c r="F32" s="256">
        <f>SUM(F33:F36)</f>
        <v>164746</v>
      </c>
      <c r="G32" s="256">
        <f>SUM(G33:G36)</f>
        <v>158424</v>
      </c>
      <c r="H32" s="252">
        <f>(F32-G32)/G32</f>
        <v>3.9905569863152045E-2</v>
      </c>
      <c r="I32" s="254">
        <f>F32/$F$66</f>
        <v>0.707991147209867</v>
      </c>
      <c r="J32" s="250" t="s">
        <v>18</v>
      </c>
      <c r="K32" s="257"/>
      <c r="L32" s="251">
        <f>SUM(L33:L36)</f>
        <v>2065897</v>
      </c>
      <c r="M32" s="253">
        <f>SUM(M33:M36)</f>
        <v>1980868</v>
      </c>
      <c r="N32" s="254">
        <f t="shared" ref="N32:N36" si="35">(L32-M32)/M32</f>
        <v>4.2925121714319177E-2</v>
      </c>
      <c r="O32" s="251">
        <f>SUM(O33:O36)</f>
        <v>19030600</v>
      </c>
      <c r="P32" s="253">
        <f>SUM(P33:P36)</f>
        <v>17952046</v>
      </c>
      <c r="Q32" s="252">
        <f t="shared" ref="Q32:Q36" si="36">(O32-P32)/P32</f>
        <v>6.0079725731540572E-2</v>
      </c>
      <c r="R32" s="254">
        <f>O32/$O$66</f>
        <v>0.69096471754194821</v>
      </c>
      <c r="S32" s="250" t="s">
        <v>18</v>
      </c>
      <c r="T32" s="257"/>
      <c r="U32" s="251">
        <f>SUM(U33:U36)</f>
        <v>6200622</v>
      </c>
      <c r="V32" s="253">
        <f>SUM(V33:V36)</f>
        <v>6570987</v>
      </c>
      <c r="W32" s="254">
        <f t="shared" ref="W32:W36" si="37">(U32-V32)/V32</f>
        <v>-5.6363678698496893E-2</v>
      </c>
      <c r="X32" s="251">
        <f>SUM(X33:X36)</f>
        <v>51749650</v>
      </c>
      <c r="Y32" s="253">
        <f>SUM(Y33:Y36)</f>
        <v>54434591</v>
      </c>
      <c r="Z32" s="252">
        <f t="shared" ref="Z32:Z34" si="38">(X32-Y32)/Y32</f>
        <v>-4.9324169625891007E-2</v>
      </c>
      <c r="AA32" s="254">
        <f>X32/$X$66</f>
        <v>0.84368084991635717</v>
      </c>
      <c r="AB32" s="250" t="s">
        <v>18</v>
      </c>
      <c r="AC32" s="257"/>
      <c r="AD32" s="251">
        <f>SUM(AD33:AD36)</f>
        <v>2127395</v>
      </c>
      <c r="AE32" s="253">
        <f>SUM(AE33:AE36)</f>
        <v>2041918</v>
      </c>
      <c r="AF32" s="254">
        <f t="shared" ref="AF32:AF36" si="39">(AD32-AE32)/AE32</f>
        <v>4.1861132523441195E-2</v>
      </c>
      <c r="AG32" s="251">
        <f>SUM(AG33:AG36)</f>
        <v>19594768</v>
      </c>
      <c r="AH32" s="253">
        <f>SUM(AH33:AH36)</f>
        <v>18503278</v>
      </c>
      <c r="AI32" s="252">
        <f t="shared" ref="AI32:AI36" si="40">(AG32-AH32)/AH32</f>
        <v>5.8989007245094628E-2</v>
      </c>
      <c r="AJ32" s="254">
        <f>AG32/$AG$66</f>
        <v>0.69251654125118423</v>
      </c>
    </row>
    <row r="33" spans="1:36" ht="14.1" customHeight="1" x14ac:dyDescent="0.2">
      <c r="A33" s="36"/>
      <c r="B33" s="37" t="s">
        <v>18</v>
      </c>
      <c r="C33" s="255">
        <f>[3]Delta!$JB$19</f>
        <v>12855</v>
      </c>
      <c r="D33" s="2">
        <f>[3]Delta!$IN$19</f>
        <v>12365</v>
      </c>
      <c r="E33" s="63">
        <f t="shared" si="34"/>
        <v>3.962798220784472E-2</v>
      </c>
      <c r="F33" s="2">
        <f>SUM([3]Delta!$IT$19:$JB$19)</f>
        <v>114725</v>
      </c>
      <c r="G33" s="2">
        <f>SUM([3]Delta!$IF$19:$IN$19)</f>
        <v>109140</v>
      </c>
      <c r="H33" s="3">
        <f t="shared" ref="H33:H36" si="41">(F33-G33)/G33</f>
        <v>5.1172805570826464E-2</v>
      </c>
      <c r="I33" s="63">
        <f>F33/$F$66</f>
        <v>0.49302735340252263</v>
      </c>
      <c r="J33" s="36"/>
      <c r="K33" s="37" t="s">
        <v>18</v>
      </c>
      <c r="L33" s="255">
        <f>[3]Delta!$JB$41</f>
        <v>1743218</v>
      </c>
      <c r="M33" s="2">
        <f>[3]Delta!$IN$41</f>
        <v>1694216</v>
      </c>
      <c r="N33" s="63">
        <f t="shared" si="35"/>
        <v>2.8923112519300964E-2</v>
      </c>
      <c r="O33" s="255">
        <f>SUM([3]Delta!$IT$41:$JB$41)</f>
        <v>16162163</v>
      </c>
      <c r="P33" s="2">
        <f>SUM([3]Delta!$IF$41:$IN$41)</f>
        <v>15300561</v>
      </c>
      <c r="Q33" s="3">
        <f t="shared" si="36"/>
        <v>5.6311791443464064E-2</v>
      </c>
      <c r="R33" s="63">
        <f>O33/$O$66</f>
        <v>0.58681725180298705</v>
      </c>
      <c r="S33" s="36"/>
      <c r="T33" s="37" t="s">
        <v>18</v>
      </c>
      <c r="U33" s="255">
        <f>[3]Delta!$JB$64</f>
        <v>6200622</v>
      </c>
      <c r="V33" s="2">
        <f>[3]Delta!$IN$64</f>
        <v>6570987</v>
      </c>
      <c r="W33" s="63">
        <f t="shared" si="37"/>
        <v>-5.6363678698496893E-2</v>
      </c>
      <c r="X33" s="255">
        <f>SUM([3]Delta!$IT$64:$JB$64)</f>
        <v>51749650</v>
      </c>
      <c r="Y33" s="2">
        <f>SUM([3]Delta!$IF$64:$IN$64)</f>
        <v>54434591</v>
      </c>
      <c r="Z33" s="3">
        <f t="shared" si="38"/>
        <v>-4.9324169625891007E-2</v>
      </c>
      <c r="AA33" s="63">
        <f>X33/$X$66</f>
        <v>0.84368084991635717</v>
      </c>
      <c r="AB33" s="36"/>
      <c r="AC33" s="37" t="s">
        <v>18</v>
      </c>
      <c r="AD33" s="255">
        <f>[3]Delta!$JB$43</f>
        <v>1795530</v>
      </c>
      <c r="AE33" s="2">
        <f>[3]Delta!$IN$43</f>
        <v>1747391</v>
      </c>
      <c r="AF33" s="63">
        <f t="shared" si="39"/>
        <v>2.7549071730368302E-2</v>
      </c>
      <c r="AG33" s="255">
        <f>SUM([3]Delta!$IT$43:$JB$43)</f>
        <v>16640706</v>
      </c>
      <c r="AH33" s="2">
        <f>SUM([3]Delta!$IF$43:$IN$43)</f>
        <v>15771782</v>
      </c>
      <c r="AI33" s="3">
        <f>(AG33-AH33)/AH33</f>
        <v>5.5093584225295533E-2</v>
      </c>
      <c r="AJ33" s="63">
        <f>AG33/$AG$66</f>
        <v>0.5881143457834167</v>
      </c>
    </row>
    <row r="34" spans="1:36" ht="14.1" customHeight="1" x14ac:dyDescent="0.2">
      <c r="A34" s="36"/>
      <c r="B34" s="37" t="s">
        <v>156</v>
      </c>
      <c r="C34" s="255">
        <f>[3]Pinnacle!$JB$19</f>
        <v>1214</v>
      </c>
      <c r="D34" s="2">
        <f>[3]Pinnacle!$IN$19</f>
        <v>1183</v>
      </c>
      <c r="E34" s="63">
        <f t="shared" si="34"/>
        <v>2.6204564666103127E-2</v>
      </c>
      <c r="F34" s="2">
        <f>SUM([3]Pinnacle!$IT$19:$JB$19)</f>
        <v>12011</v>
      </c>
      <c r="G34" s="2">
        <f>SUM([3]Pinnacle!$IF$19:$IN$19)</f>
        <v>12413</v>
      </c>
      <c r="H34" s="3">
        <f t="shared" si="41"/>
        <v>-3.2385402400708932E-2</v>
      </c>
      <c r="I34" s="63">
        <f>F34/$F$66</f>
        <v>5.1616923440555233E-2</v>
      </c>
      <c r="J34" s="36"/>
      <c r="K34" s="37" t="s">
        <v>156</v>
      </c>
      <c r="L34" s="255">
        <f>[3]Pinnacle!$JB$41</f>
        <v>75759</v>
      </c>
      <c r="M34" s="2">
        <f>[3]Pinnacle!$IN$41</f>
        <v>75387</v>
      </c>
      <c r="N34" s="63">
        <f t="shared" si="35"/>
        <v>4.9345377850292492E-3</v>
      </c>
      <c r="O34" s="255">
        <f>SUM([3]Pinnacle!$IT$41:$JB$41)</f>
        <v>759897</v>
      </c>
      <c r="P34" s="2">
        <f>SUM([3]Pinnacle!$IF$41:$IN$41)</f>
        <v>774071</v>
      </c>
      <c r="Q34" s="3">
        <f t="shared" si="36"/>
        <v>-1.831098180916221E-2</v>
      </c>
      <c r="R34" s="63">
        <f>O34/$O$66</f>
        <v>2.7590407867643364E-2</v>
      </c>
      <c r="S34" s="36"/>
      <c r="T34" s="37" t="s">
        <v>156</v>
      </c>
      <c r="U34" s="255">
        <f>[3]Pinnacle!$JB$64</f>
        <v>0</v>
      </c>
      <c r="V34" s="2">
        <f>[3]Pinnacle!$IN$64</f>
        <v>0</v>
      </c>
      <c r="W34" s="63" t="e">
        <f t="shared" si="37"/>
        <v>#DIV/0!</v>
      </c>
      <c r="X34" s="255">
        <f>SUM([3]Pinnacle!$IT$64:$JB$64)</f>
        <v>0</v>
      </c>
      <c r="Y34" s="2">
        <f>SUM([3]Pinnacle!$IF$64:$IN$64)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[3]Pinnacle!$JB$43</f>
        <v>77551</v>
      </c>
      <c r="AE34" s="2">
        <f>[3]Pinnacle!$IN$43</f>
        <v>77573</v>
      </c>
      <c r="AF34" s="63">
        <f t="shared" si="39"/>
        <v>-2.8360383122993824E-4</v>
      </c>
      <c r="AG34" s="255">
        <f>SUM([3]Pinnacle!$IT$43:$JB$43)</f>
        <v>781466</v>
      </c>
      <c r="AH34" s="2">
        <f>SUM([3]Pinnacle!$IF$43:$IN$43)</f>
        <v>799004</v>
      </c>
      <c r="AI34" s="3">
        <f t="shared" si="40"/>
        <v>-2.1949827535281425E-2</v>
      </c>
      <c r="AJ34" s="63">
        <f t="shared" ref="AJ34:AJ36" si="42">AG34/$AG$66</f>
        <v>2.7618501603356462E-2</v>
      </c>
    </row>
    <row r="35" spans="1:36" ht="14.1" customHeight="1" x14ac:dyDescent="0.2">
      <c r="A35" s="36"/>
      <c r="B35" s="37" t="s">
        <v>97</v>
      </c>
      <c r="C35" s="255">
        <f>'[3]Sky West'!$JB$19</f>
        <v>4429</v>
      </c>
      <c r="D35" s="2">
        <f>'[3]Sky West'!$IN$19</f>
        <v>4244</v>
      </c>
      <c r="E35" s="63">
        <f t="shared" si="34"/>
        <v>4.3590951932139493E-2</v>
      </c>
      <c r="F35" s="2">
        <f>SUM('[3]Sky West'!$IT$19:$JB$19)</f>
        <v>38010</v>
      </c>
      <c r="G35" s="2">
        <f>SUM('[3]Sky West'!$IF$19:$IN$19)</f>
        <v>36871</v>
      </c>
      <c r="H35" s="3">
        <f t="shared" si="41"/>
        <v>3.0891486534132515E-2</v>
      </c>
      <c r="I35" s="63">
        <f>F35/$F$66</f>
        <v>0.16334687036678913</v>
      </c>
      <c r="J35" s="36"/>
      <c r="K35" s="37" t="s">
        <v>97</v>
      </c>
      <c r="L35" s="255">
        <f>'[3]Sky West'!$JB$41</f>
        <v>246920</v>
      </c>
      <c r="M35" s="2">
        <f>'[3]Sky West'!$IN$41</f>
        <v>211265</v>
      </c>
      <c r="N35" s="63">
        <f t="shared" si="35"/>
        <v>0.16876908148533831</v>
      </c>
      <c r="O35" s="255">
        <f>SUM('[3]Sky West'!$IT$41:$JB$41)</f>
        <v>2108540</v>
      </c>
      <c r="P35" s="2">
        <f>SUM('[3]Sky West'!$IF$41:$IN$41)</f>
        <v>1877414</v>
      </c>
      <c r="Q35" s="3">
        <f t="shared" si="36"/>
        <v>0.12310870165024869</v>
      </c>
      <c r="R35" s="63">
        <f>O35/$O$66</f>
        <v>7.6557057871317738E-2</v>
      </c>
      <c r="S35" s="36"/>
      <c r="T35" s="37" t="s">
        <v>97</v>
      </c>
      <c r="U35" s="255">
        <f>'[3]Sky West'!$JB$64</f>
        <v>0</v>
      </c>
      <c r="V35" s="2">
        <f>'[3]Sky West'!$IN$64</f>
        <v>0</v>
      </c>
      <c r="W35" s="63" t="e">
        <f t="shared" si="37"/>
        <v>#DIV/0!</v>
      </c>
      <c r="X35" s="255">
        <f>SUM('[3]Sky West'!$IT$64:$JB$64)</f>
        <v>0</v>
      </c>
      <c r="Y35" s="2">
        <f>SUM('[3]Sky West'!$IF$64:$IN$64)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West'!$JB$43</f>
        <v>254314</v>
      </c>
      <c r="AE35" s="2">
        <f>'[3]Sky West'!$IN$43</f>
        <v>216954</v>
      </c>
      <c r="AF35" s="63">
        <f t="shared" si="39"/>
        <v>0.17220240235257245</v>
      </c>
      <c r="AG35" s="255">
        <f>SUM('[3]Sky West'!$IT$43:$JB$43)</f>
        <v>2172596</v>
      </c>
      <c r="AH35" s="2">
        <f>SUM('[3]Sky West'!$IF$43:$IN$43)</f>
        <v>1932492</v>
      </c>
      <c r="AI35" s="3">
        <f t="shared" si="40"/>
        <v>0.12424579247934792</v>
      </c>
      <c r="AJ35" s="63">
        <f t="shared" si="42"/>
        <v>7.6783693864411043E-2</v>
      </c>
    </row>
    <row r="36" spans="1:36" ht="14.1" customHeight="1" x14ac:dyDescent="0.2">
      <c r="A36" s="36"/>
      <c r="B36" s="310" t="s">
        <v>164</v>
      </c>
      <c r="C36" s="255">
        <f>'[3]Atlantic Southeast'!$JB$19</f>
        <v>0</v>
      </c>
      <c r="D36" s="2">
        <f>'[3]Atlantic Southeast'!$IN$19</f>
        <v>0</v>
      </c>
      <c r="E36" s="63" t="e">
        <f t="shared" si="34"/>
        <v>#DIV/0!</v>
      </c>
      <c r="F36" s="2">
        <f>SUM('[3]Atlantic Southeast'!$IT$19:$JB$19)</f>
        <v>0</v>
      </c>
      <c r="G36" s="2">
        <f>SUM('[3]Atlantic Southeast'!$IF$19:$IN$19)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Southeast'!$JB$41</f>
        <v>0</v>
      </c>
      <c r="M36" s="2">
        <f>'[3]Atlantic Southeast'!$IN$41</f>
        <v>0</v>
      </c>
      <c r="N36" s="63" t="e">
        <f t="shared" si="35"/>
        <v>#DIV/0!</v>
      </c>
      <c r="O36" s="255">
        <f>SUM('[3]Atlantic Southeast'!$IT$41:$JB$41)</f>
        <v>0</v>
      </c>
      <c r="P36" s="2">
        <f>SUM('[3]Atlantic Southeast'!$IF$41:$IN$41)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Southeast'!$JB$64</f>
        <v>0</v>
      </c>
      <c r="V36" s="2">
        <f>'[3]Atlantic Southeast'!$IN$64</f>
        <v>0</v>
      </c>
      <c r="W36" s="63" t="e">
        <f t="shared" si="37"/>
        <v>#DIV/0!</v>
      </c>
      <c r="X36" s="255">
        <f>SUM('[3]Atlantic Southeast'!$IT$64:$JB$64)</f>
        <v>0</v>
      </c>
      <c r="Y36" s="2">
        <f>SUM('[3]Atlantic Southeast'!$IF$64:$IN$64)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Southeast'!$JB$43</f>
        <v>0</v>
      </c>
      <c r="AE36" s="2">
        <f>'[3]Atlantic Southeast'!$IN$43</f>
        <v>0</v>
      </c>
      <c r="AF36" s="63" t="e">
        <f t="shared" si="39"/>
        <v>#DIV/0!</v>
      </c>
      <c r="AG36" s="255">
        <f>SUM('[3]Atlantic Southeast'!$IT$43:$JB$43)</f>
        <v>0</v>
      </c>
      <c r="AH36" s="2">
        <f>SUM('[3]Atlantic Southeast'!$IF$43:$IN$43)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[3]Frontier!$JB$19</f>
        <v>238</v>
      </c>
      <c r="D38" s="253">
        <f>[3]Frontier!$IN$19</f>
        <v>118</v>
      </c>
      <c r="E38" s="254">
        <f>(C38-D38)/D38</f>
        <v>1.0169491525423728</v>
      </c>
      <c r="F38" s="253">
        <f>SUM([3]Frontier!$IT$19:$JB$19)</f>
        <v>2786</v>
      </c>
      <c r="G38" s="253">
        <f>SUM([3]Frontier!$IF$19:$IN$19)</f>
        <v>1062</v>
      </c>
      <c r="H38" s="252">
        <f>(F38-G38)/G38</f>
        <v>1.6233521657250471</v>
      </c>
      <c r="I38" s="254">
        <f>F38/$F$66</f>
        <v>1.1972754034250844E-2</v>
      </c>
      <c r="J38" s="250" t="s">
        <v>47</v>
      </c>
      <c r="K38" s="37"/>
      <c r="L38" s="251">
        <f>[3]Frontier!$JB$41</f>
        <v>35684</v>
      </c>
      <c r="M38" s="253">
        <f>[3]Frontier!$IN$41</f>
        <v>20561</v>
      </c>
      <c r="N38" s="254">
        <f>(L38-M38)/M38</f>
        <v>0.7355187004523126</v>
      </c>
      <c r="O38" s="251">
        <f>SUM([3]Frontier!$IT$41:$JB$41)</f>
        <v>432549</v>
      </c>
      <c r="P38" s="253">
        <f>SUM([3]Frontier!$IF$41:$IN$41)</f>
        <v>178262</v>
      </c>
      <c r="Q38" s="252">
        <f>(O38-P38)/P38</f>
        <v>1.4264790028160796</v>
      </c>
      <c r="R38" s="254">
        <f>O38/$O$66</f>
        <v>1.5705027566553453E-2</v>
      </c>
      <c r="S38" s="250" t="s">
        <v>47</v>
      </c>
      <c r="T38" s="37"/>
      <c r="U38" s="251">
        <f>[3]Frontier!$JB$64</f>
        <v>0</v>
      </c>
      <c r="V38" s="253">
        <f>[3]Frontier!$IN$64</f>
        <v>0</v>
      </c>
      <c r="W38" s="254" t="e">
        <f>(U38-V38)/V38</f>
        <v>#DIV/0!</v>
      </c>
      <c r="X38" s="251">
        <f>SUM([3]Frontier!$IT$64:$JB$64)</f>
        <v>0</v>
      </c>
      <c r="Y38" s="253">
        <f>SUM([3]Frontier!$IF$64:$IN$64)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[3]Frontier!$JB$43</f>
        <v>35925</v>
      </c>
      <c r="AE38" s="253">
        <f>[3]Frontier!$IN$43</f>
        <v>20661</v>
      </c>
      <c r="AF38" s="254">
        <f>(AD38-AE38)/AE38</f>
        <v>0.73878321475243214</v>
      </c>
      <c r="AG38" s="251">
        <f>SUM([3]Frontier!$IT$43:$JB$43)</f>
        <v>435275</v>
      </c>
      <c r="AH38" s="253">
        <f>SUM([3]Frontier!$IF$43:$IN$43)</f>
        <v>179320</v>
      </c>
      <c r="AI38" s="252">
        <f>(AG38-AH38)/AH38</f>
        <v>1.4273644880660272</v>
      </c>
      <c r="AJ38" s="254">
        <f>AG38/$AG$66</f>
        <v>1.5383450189005004E-2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[3]Icelandair!$JB$19</f>
        <v>60</v>
      </c>
      <c r="D40" s="253">
        <f>[3]Icelandair!$IN$19</f>
        <v>60</v>
      </c>
      <c r="E40" s="254">
        <f>(C40-D40)/D40</f>
        <v>0</v>
      </c>
      <c r="F40" s="253">
        <f>SUM([3]Icelandair!$IT$19:$JB$19)</f>
        <v>352</v>
      </c>
      <c r="G40" s="253">
        <f>SUM([3]Icelandair!$IF$19:$IN$19)</f>
        <v>354</v>
      </c>
      <c r="H40" s="252">
        <f>(F40-G40)/G40</f>
        <v>-5.6497175141242938E-3</v>
      </c>
      <c r="I40" s="254">
        <f>F40/$F$66</f>
        <v>1.5127097703001783E-3</v>
      </c>
      <c r="J40" s="250" t="s">
        <v>48</v>
      </c>
      <c r="K40" s="37"/>
      <c r="L40" s="251">
        <f>[3]Icelandair!$JB$41</f>
        <v>9963</v>
      </c>
      <c r="M40" s="253">
        <f>[3]Icelandair!$IN$41</f>
        <v>10358</v>
      </c>
      <c r="N40" s="254">
        <f>(L40-M40)/M40</f>
        <v>-3.8134775053099056E-2</v>
      </c>
      <c r="O40" s="251">
        <f>SUM([3]Icelandair!$IT$41:$JB$41)</f>
        <v>57749</v>
      </c>
      <c r="P40" s="253">
        <f>SUM([3]Icelandair!$IF$41:$IN$41)</f>
        <v>61386</v>
      </c>
      <c r="Q40" s="252">
        <f>(O40-P40)/P40</f>
        <v>-5.9248037011696481E-2</v>
      </c>
      <c r="R40" s="254">
        <f>O40/$O$66</f>
        <v>2.0967558286827514E-3</v>
      </c>
      <c r="S40" s="250" t="s">
        <v>48</v>
      </c>
      <c r="T40" s="37"/>
      <c r="U40" s="251">
        <f>[3]Icelandair!$JB$64</f>
        <v>4004</v>
      </c>
      <c r="V40" s="253">
        <f>[3]Icelandair!$IN$64</f>
        <v>3456</v>
      </c>
      <c r="W40" s="254">
        <f>(U40-V40)/V40</f>
        <v>0.15856481481481483</v>
      </c>
      <c r="X40" s="251">
        <f>SUM([3]Icelandair!$IT$64:$JB$64)</f>
        <v>10910</v>
      </c>
      <c r="Y40" s="253">
        <f>SUM([3]Icelandair!$IF$64:$IN$64)</f>
        <v>6097</v>
      </c>
      <c r="Z40" s="252">
        <f>(X40-Y40)/Y40</f>
        <v>0.7894046252255208</v>
      </c>
      <c r="AA40" s="254">
        <f>X40/$X$66</f>
        <v>1.7786705944073934E-4</v>
      </c>
      <c r="AB40" s="250" t="s">
        <v>48</v>
      </c>
      <c r="AC40" s="37"/>
      <c r="AD40" s="251">
        <f>[3]Icelandair!$JB$43</f>
        <v>10003</v>
      </c>
      <c r="AE40" s="253">
        <f>[3]Icelandair!$IN$43</f>
        <v>10416</v>
      </c>
      <c r="AF40" s="254">
        <f>(AD40-AE40)/AE40</f>
        <v>-3.9650537634408602E-2</v>
      </c>
      <c r="AG40" s="251">
        <f>SUM([3]Icelandair!$IT$43:$JB$43)</f>
        <v>58219</v>
      </c>
      <c r="AH40" s="253">
        <f>SUM([3]Icelandair!$IF$43:$IN$43)</f>
        <v>61751</v>
      </c>
      <c r="AI40" s="252">
        <f>(AG40-AH40)/AH40</f>
        <v>-5.719745429223818E-2</v>
      </c>
      <c r="AJ40" s="254">
        <f>AG40/$AG$66</f>
        <v>2.0575707002554299E-3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Blue'!$JB$19</f>
        <v>60</v>
      </c>
      <c r="D42" s="253">
        <f>'[3]Jet Blue'!$IN$19</f>
        <v>104</v>
      </c>
      <c r="E42" s="254">
        <f>(C42-D42)/D42</f>
        <v>-0.42307692307692307</v>
      </c>
      <c r="F42" s="253">
        <f>SUM('[3]Jet Blue'!$IT$19:$JB$19)</f>
        <v>593</v>
      </c>
      <c r="G42" s="253">
        <f>SUM('[3]Jet Blue'!$IF$19:$IN$19)</f>
        <v>845</v>
      </c>
      <c r="H42" s="252">
        <f>(F42-G42)/G42</f>
        <v>-0.29822485207100591</v>
      </c>
      <c r="I42" s="254">
        <f>F42/$F$66</f>
        <v>2.5484002664431984E-3</v>
      </c>
      <c r="J42" s="250" t="s">
        <v>190</v>
      </c>
      <c r="K42" s="37"/>
      <c r="L42" s="251">
        <f>'[3]Jet Blue'!$JB$41</f>
        <v>5544</v>
      </c>
      <c r="M42" s="253">
        <f>'[3]Jet Blue'!$IN$41</f>
        <v>11949</v>
      </c>
      <c r="N42" s="254">
        <f>(L42-M42)/M42</f>
        <v>-0.53602811950790863</v>
      </c>
      <c r="O42" s="251">
        <f>SUM('[3]Jet Blue'!$IT$41:$JB$41)</f>
        <v>56180</v>
      </c>
      <c r="P42" s="253">
        <f>SUM('[3]Jet Blue'!$IF$41:$IN$41)</f>
        <v>82971</v>
      </c>
      <c r="Q42" s="252">
        <f>(O42-P42)/P42</f>
        <v>-0.32289595159754614</v>
      </c>
      <c r="R42" s="254">
        <f>O42/$O$66</f>
        <v>2.0397884371226682E-3</v>
      </c>
      <c r="S42" s="250" t="s">
        <v>190</v>
      </c>
      <c r="T42" s="37"/>
      <c r="U42" s="251">
        <f>'[3]Jet Blue'!$JB$64</f>
        <v>0</v>
      </c>
      <c r="V42" s="253">
        <f>'[3]Jet Blue'!$IN$64</f>
        <v>0</v>
      </c>
      <c r="W42" s="254" t="e">
        <f>(U42-V42)/V42</f>
        <v>#DIV/0!</v>
      </c>
      <c r="X42" s="251">
        <f>SUM('[3]Jet Blue'!$IT$64:$JB$64)</f>
        <v>0</v>
      </c>
      <c r="Y42" s="253">
        <f>SUM('[3]Jet Blue'!$IF$64:$IN$64)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Blue'!$JB$43</f>
        <v>5661</v>
      </c>
      <c r="AE42" s="253">
        <f>'[3]Jet Blue'!$IN$43</f>
        <v>12135</v>
      </c>
      <c r="AF42" s="254">
        <f>(AD42-AE42)/AE42</f>
        <v>-0.53349814585908528</v>
      </c>
      <c r="AG42" s="251">
        <f>SUM('[3]Jet Blue'!$IT$43:$JB$43)</f>
        <v>57367</v>
      </c>
      <c r="AH42" s="253">
        <f>SUM('[3]Jet Blue'!$IF$43:$IN$43)</f>
        <v>84923</v>
      </c>
      <c r="AI42" s="252">
        <f>(AG42-AH42)/AH42</f>
        <v>-0.32448217797298728</v>
      </c>
      <c r="AJ42" s="254">
        <f>AG42/$AG$66</f>
        <v>2.0274593923212915E-3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[3]KLM!$JB$19</f>
        <v>26</v>
      </c>
      <c r="D44" s="253">
        <f>[3]KLM!$IN$19</f>
        <v>30</v>
      </c>
      <c r="E44" s="254">
        <f>(C44-D44)/D44</f>
        <v>-0.13333333333333333</v>
      </c>
      <c r="F44" s="253">
        <f>SUM([3]KLM!$IT$19:$JB$19)</f>
        <v>240</v>
      </c>
      <c r="G44" s="253">
        <f>SUM([3]KLM!$IF$19:$IN$19)</f>
        <v>292</v>
      </c>
      <c r="H44" s="252">
        <f>(F44-G44)/G44</f>
        <v>-0.17808219178082191</v>
      </c>
      <c r="I44" s="254">
        <f>F44/$F$66</f>
        <v>1.0313930252046672E-3</v>
      </c>
      <c r="J44" s="250" t="s">
        <v>185</v>
      </c>
      <c r="K44" s="37"/>
      <c r="L44" s="251">
        <f>[3]KLM!$JB$41</f>
        <v>7003</v>
      </c>
      <c r="M44" s="253">
        <f>[3]KLM!$IN$41</f>
        <v>7694</v>
      </c>
      <c r="N44" s="254">
        <f>(L44-M44)/M44</f>
        <v>-8.9810241746815705E-2</v>
      </c>
      <c r="O44" s="251">
        <f>SUM([3]KLM!$IT$41:$JB$41)</f>
        <v>59402</v>
      </c>
      <c r="P44" s="253">
        <f>SUM([3]KLM!$IF$41:$IN$41)</f>
        <v>67928</v>
      </c>
      <c r="Q44" s="252">
        <f>(O44-P44)/P44</f>
        <v>-0.12551525144270403</v>
      </c>
      <c r="R44" s="254">
        <f>O44/$O$66</f>
        <v>2.1567730997145021E-3</v>
      </c>
      <c r="S44" s="250" t="s">
        <v>185</v>
      </c>
      <c r="T44" s="37"/>
      <c r="U44" s="251">
        <f>[3]KLM!$JB$64</f>
        <v>298459</v>
      </c>
      <c r="V44" s="253">
        <f>[3]KLM!$IN$64</f>
        <v>366042</v>
      </c>
      <c r="W44" s="254">
        <f>(U44-V44)/V44</f>
        <v>-0.18463181820665389</v>
      </c>
      <c r="X44" s="251">
        <f>SUM([3]KLM!$IT$64:$JB$64)</f>
        <v>2450124</v>
      </c>
      <c r="Y44" s="253">
        <f>SUM([3]KLM!$IF$64:$IN$64)</f>
        <v>3423368</v>
      </c>
      <c r="Z44" s="252">
        <f>(X44-Y44)/Y44</f>
        <v>-0.28429429731188699</v>
      </c>
      <c r="AA44" s="254">
        <f>X44/$X$66</f>
        <v>3.9944670132463979E-2</v>
      </c>
      <c r="AB44" s="250" t="s">
        <v>185</v>
      </c>
      <c r="AC44" s="37"/>
      <c r="AD44" s="251">
        <f>[3]KLM!$JB$43</f>
        <v>7014</v>
      </c>
      <c r="AE44" s="253">
        <f>[3]KLM!$IN$43</f>
        <v>7701</v>
      </c>
      <c r="AF44" s="254">
        <f>(AD44-AE44)/AE44</f>
        <v>-8.9209193611219317E-2</v>
      </c>
      <c r="AG44" s="251">
        <f>SUM([3]KLM!$IT$43:$JB$43)</f>
        <v>59512</v>
      </c>
      <c r="AH44" s="253">
        <f>SUM([3]KLM!$IF$43:$IN$43)</f>
        <v>68026</v>
      </c>
      <c r="AI44" s="252">
        <f>(AG44-AH44)/AH44</f>
        <v>-0.12515802781289506</v>
      </c>
      <c r="AJ44" s="254">
        <f>AG44/$AG$66</f>
        <v>2.1032677908174508E-3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250</v>
      </c>
      <c r="B46" s="37"/>
      <c r="C46" s="251">
        <f>[3]Lufthansa!$JB$19</f>
        <v>44</v>
      </c>
      <c r="D46" s="253">
        <f>[3]Lufthansa!$IN$19</f>
        <v>0</v>
      </c>
      <c r="E46" s="254" t="e">
        <f>(C46-D46)/D46</f>
        <v>#DIV/0!</v>
      </c>
      <c r="F46" s="253">
        <f>SUM([3]Lufthansa!$IT$19:$JB$19)</f>
        <v>168</v>
      </c>
      <c r="G46" s="253">
        <f>SUM([3]Lufthansa!$IF$19:$IN$19)</f>
        <v>0</v>
      </c>
      <c r="H46" s="252" t="e">
        <f>(F46-G46)/G46</f>
        <v>#DIV/0!</v>
      </c>
      <c r="I46" s="254">
        <f>F46/$F$66</f>
        <v>7.219751176432669E-4</v>
      </c>
      <c r="J46" s="250" t="s">
        <v>250</v>
      </c>
      <c r="K46" s="37"/>
      <c r="L46" s="251">
        <f>[3]Lufthansa!$JB$41</f>
        <v>10080</v>
      </c>
      <c r="M46" s="253">
        <f>[3]Lufthansa!$IN$41</f>
        <v>0</v>
      </c>
      <c r="N46" s="254" t="e">
        <f>(L46-M46)/M46</f>
        <v>#DIV/0!</v>
      </c>
      <c r="O46" s="251">
        <f>SUM([3]Lufthansa!$IT$41:$JB$41)</f>
        <v>40871</v>
      </c>
      <c r="P46" s="253">
        <f>SUM([3]Lufthansa!$IF$41:$IN$41)</f>
        <v>0</v>
      </c>
      <c r="Q46" s="252" t="e">
        <f>(O46-P46)/P46</f>
        <v>#DIV/0!</v>
      </c>
      <c r="R46" s="254">
        <f>O46/$O$66</f>
        <v>1.4839479034111885E-3</v>
      </c>
      <c r="S46" s="250" t="s">
        <v>250</v>
      </c>
      <c r="T46" s="37"/>
      <c r="U46" s="251">
        <f>[3]Lufthansa!$JB$64</f>
        <v>436777</v>
      </c>
      <c r="V46" s="253">
        <f>[3]Lufthansa!$IN$64</f>
        <v>0</v>
      </c>
      <c r="W46" s="254" t="e">
        <f>(U46-V46)/V46</f>
        <v>#DIV/0!</v>
      </c>
      <c r="X46" s="251">
        <f>SUM([3]Lufthansa!$IT$64:$JB$64)</f>
        <v>1329456</v>
      </c>
      <c r="Y46" s="253">
        <f>SUM([3]Lufthansa!$IF$64:$IN$64)</f>
        <v>0</v>
      </c>
      <c r="Z46" s="252" t="e">
        <f>(X46-Y46)/Y46</f>
        <v>#DIV/0!</v>
      </c>
      <c r="AA46" s="254">
        <f>X46/$X$66</f>
        <v>2.1674283169188593E-2</v>
      </c>
      <c r="AB46" s="250" t="s">
        <v>250</v>
      </c>
      <c r="AC46" s="37"/>
      <c r="AD46" s="251">
        <f>[3]Lufthansa!$JB$43</f>
        <v>10257</v>
      </c>
      <c r="AE46" s="253">
        <f>[3]Lufthansa!$IN$43</f>
        <v>0</v>
      </c>
      <c r="AF46" s="254" t="e">
        <f>(AD46-AE46)/AE46</f>
        <v>#DIV/0!</v>
      </c>
      <c r="AG46" s="251">
        <f>SUM([3]Lufthansa!$IT$43:$JB$43)</f>
        <v>41490</v>
      </c>
      <c r="AH46" s="253">
        <f>SUM([3]Lufthansa!$IF$43:$IN$43)</f>
        <v>0</v>
      </c>
      <c r="AI46" s="252" t="e">
        <f>(AG46-AH46)/AH46</f>
        <v>#DIV/0!</v>
      </c>
      <c r="AJ46" s="254">
        <f>AG46/$AG$66</f>
        <v>1.4663358758068292E-3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128</v>
      </c>
      <c r="B48" s="37"/>
      <c r="C48" s="251">
        <f>[3]Southwest!$JB$19</f>
        <v>1173</v>
      </c>
      <c r="D48" s="253">
        <f>[3]Southwest!$IN$19</f>
        <v>1279</v>
      </c>
      <c r="E48" s="254">
        <f>(C48-D48)/D48</f>
        <v>-8.2877247849882721E-2</v>
      </c>
      <c r="F48" s="253">
        <f>SUM([3]Southwest!$IT$19:$JB$19)</f>
        <v>11119</v>
      </c>
      <c r="G48" s="253">
        <f>SUM([3]Southwest!$IF$19:$IN$19)</f>
        <v>10508</v>
      </c>
      <c r="H48" s="252">
        <f>(F48-G48)/G48</f>
        <v>5.8146174343357442E-2</v>
      </c>
      <c r="I48" s="254">
        <f>F48/$F$66</f>
        <v>4.7783579363544555E-2</v>
      </c>
      <c r="J48" s="250" t="s">
        <v>128</v>
      </c>
      <c r="K48" s="37"/>
      <c r="L48" s="251">
        <f>[3]Southwest!$JB$41</f>
        <v>136617</v>
      </c>
      <c r="M48" s="253">
        <f>[3]Southwest!$IN$41</f>
        <v>154019</v>
      </c>
      <c r="N48" s="254">
        <f>(L48-M48)/M48</f>
        <v>-0.11298606016140866</v>
      </c>
      <c r="O48" s="251">
        <f>SUM([3]Southwest!$IT$41:$JB$41)</f>
        <v>1345169</v>
      </c>
      <c r="P48" s="253">
        <f>SUM([3]Southwest!$IF$41:$IN$41)</f>
        <v>1220045</v>
      </c>
      <c r="Q48" s="252">
        <f>(O48-P48)/P48</f>
        <v>0.10255687290222902</v>
      </c>
      <c r="R48" s="254">
        <f>O48/$O$66</f>
        <v>4.8840515702667543E-2</v>
      </c>
      <c r="S48" s="250" t="s">
        <v>128</v>
      </c>
      <c r="T48" s="37"/>
      <c r="U48" s="251">
        <f>[3]Southwest!$JB$64</f>
        <v>213626</v>
      </c>
      <c r="V48" s="253">
        <f>[3]Southwest!$IN$64</f>
        <v>250562</v>
      </c>
      <c r="W48" s="254">
        <f>(U48-V48)/V48</f>
        <v>-0.14741261643824682</v>
      </c>
      <c r="X48" s="251">
        <f>SUM([3]Southwest!$IT$64:$JB$64)</f>
        <v>2099816</v>
      </c>
      <c r="Y48" s="253">
        <f>SUM([3]Southwest!$IF$64:$IN$64)</f>
        <v>1992566</v>
      </c>
      <c r="Z48" s="252">
        <f>(X48-Y48)/Y48</f>
        <v>5.382506777692684E-2</v>
      </c>
      <c r="AA48" s="254">
        <f>X48/$X$66</f>
        <v>3.4233556121596287E-2</v>
      </c>
      <c r="AB48" s="250" t="s">
        <v>128</v>
      </c>
      <c r="AC48" s="37"/>
      <c r="AD48" s="251">
        <f>[3]Southwest!$JB$43</f>
        <v>140172</v>
      </c>
      <c r="AE48" s="253">
        <f>[3]Southwest!$IN$43</f>
        <v>156806</v>
      </c>
      <c r="AF48" s="254">
        <f>(AD48-AE48)/AE48</f>
        <v>-0.10608012448503246</v>
      </c>
      <c r="AG48" s="251">
        <f>SUM([3]Southwest!$IT$43:$JB$43)</f>
        <v>1377196</v>
      </c>
      <c r="AH48" s="253">
        <f>SUM([3]Southwest!$IF$43:$IN$43)</f>
        <v>1246399</v>
      </c>
      <c r="AI48" s="252">
        <f>(AG48-AH48)/AH48</f>
        <v>0.1049399108953072</v>
      </c>
      <c r="AJ48" s="254">
        <f>AG48/$AG$66</f>
        <v>4.8672738077070669E-2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153</v>
      </c>
      <c r="B50" s="37"/>
      <c r="C50" s="251">
        <f>[3]Spirit!$JB$19</f>
        <v>192</v>
      </c>
      <c r="D50" s="253">
        <f>[3]Spirit!$IN$19</f>
        <v>220</v>
      </c>
      <c r="E50" s="254">
        <f>(C50-D50)/D50</f>
        <v>-0.12727272727272726</v>
      </c>
      <c r="F50" s="253">
        <f>SUM([3]Spirit!$IT$19:$JB$19)</f>
        <v>1732</v>
      </c>
      <c r="G50" s="253">
        <f>SUM([3]Spirit!$IF$19:$IN$19)</f>
        <v>2448</v>
      </c>
      <c r="H50" s="252">
        <f>(F50-G50)/G50</f>
        <v>-0.29248366013071897</v>
      </c>
      <c r="I50" s="254">
        <f>F50/$F$66</f>
        <v>7.4432196652270141E-3</v>
      </c>
      <c r="J50" s="250" t="s">
        <v>153</v>
      </c>
      <c r="K50" s="37"/>
      <c r="L50" s="251">
        <f>[3]Spirit!$JB$41</f>
        <v>22895</v>
      </c>
      <c r="M50" s="253">
        <f>[3]Spirit!$IN$41</f>
        <v>31439</v>
      </c>
      <c r="N50" s="254">
        <f>(L50-M50)/M50</f>
        <v>-0.27176436909570917</v>
      </c>
      <c r="O50" s="251">
        <f>SUM([3]Spirit!$IT$41:$JB$41)</f>
        <v>247388</v>
      </c>
      <c r="P50" s="253">
        <f>SUM([3]Spirit!$IF$41:$IN$41)</f>
        <v>348509</v>
      </c>
      <c r="Q50" s="252">
        <f>(O50-P50)/P50</f>
        <v>-0.29015319546984442</v>
      </c>
      <c r="R50" s="254">
        <f>O50/$O$66</f>
        <v>8.982185508773631E-3</v>
      </c>
      <c r="S50" s="250" t="s">
        <v>153</v>
      </c>
      <c r="T50" s="37"/>
      <c r="U50" s="251">
        <f>[3]Spirit!$JB$64</f>
        <v>0</v>
      </c>
      <c r="V50" s="253">
        <f>[3]Spirit!$IN$64</f>
        <v>0</v>
      </c>
      <c r="W50" s="254" t="e">
        <f>(U50-V50)/V50</f>
        <v>#DIV/0!</v>
      </c>
      <c r="X50" s="251">
        <f>SUM([3]Spirit!$IT$64:$JB$64)</f>
        <v>0</v>
      </c>
      <c r="Y50" s="253">
        <f>SUM([3]Spirit!$IF$64:$IN$64)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[3]Spirit!$JB$43</f>
        <v>23146</v>
      </c>
      <c r="AE50" s="253">
        <f>[3]Spirit!$IN$43</f>
        <v>31797</v>
      </c>
      <c r="AF50" s="254">
        <f>(AD50-AE50)/AE50</f>
        <v>-0.27206969210931847</v>
      </c>
      <c r="AG50" s="251">
        <f>SUM([3]Spirit!$IT$43:$JB$43)</f>
        <v>249383</v>
      </c>
      <c r="AH50" s="253">
        <f>SUM([3]Spirit!$IF$43:$IN$43)</f>
        <v>352777</v>
      </c>
      <c r="AI50" s="252">
        <f>(AG50-AH50)/AH50</f>
        <v>-0.29308600050456807</v>
      </c>
      <c r="AJ50" s="254">
        <f>AG50/$AG$66</f>
        <v>8.8136717212902987E-3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49</v>
      </c>
      <c r="B52" s="37"/>
      <c r="C52" s="251">
        <f>'[3]Sun Country'!$JB$19</f>
        <v>1563</v>
      </c>
      <c r="D52" s="253">
        <f>'[3]Sun Country'!$IN$19</f>
        <v>1710</v>
      </c>
      <c r="E52" s="254">
        <f>(C52-D52)/D52</f>
        <v>-8.5964912280701758E-2</v>
      </c>
      <c r="F52" s="253">
        <f>SUM('[3]Sun Country'!$IT$19:$JB$19)</f>
        <v>21793</v>
      </c>
      <c r="G52" s="253">
        <f>SUM('[3]Sun Country'!$IF$19:$IN$19)</f>
        <v>18874</v>
      </c>
      <c r="H52" s="252">
        <f>(F52-G52)/G52</f>
        <v>0.15465720038147718</v>
      </c>
      <c r="I52" s="254">
        <f>F52/$F$66</f>
        <v>9.3654784159522123E-2</v>
      </c>
      <c r="J52" s="250" t="s">
        <v>49</v>
      </c>
      <c r="K52" s="37"/>
      <c r="L52" s="251">
        <f>'[3]Sun Country'!$JB$41</f>
        <v>203775</v>
      </c>
      <c r="M52" s="253">
        <f>'[3]Sun Country'!$IN$41</f>
        <v>236220</v>
      </c>
      <c r="N52" s="254">
        <f>(L52-M52)/M52</f>
        <v>-0.13735077470154941</v>
      </c>
      <c r="O52" s="251">
        <f>SUM('[3]Sun Country'!$IT$41:$JB$41)</f>
        <v>3203611</v>
      </c>
      <c r="P52" s="253">
        <f>SUM('[3]Sun Country'!$IF$41:$IN$41)</f>
        <v>2803780</v>
      </c>
      <c r="Q52" s="252">
        <f>(O52-P52)/P52</f>
        <v>0.14260426994985342</v>
      </c>
      <c r="R52" s="254">
        <f>O52/$O$66</f>
        <v>0.11631699314416141</v>
      </c>
      <c r="S52" s="250" t="s">
        <v>49</v>
      </c>
      <c r="T52" s="37"/>
      <c r="U52" s="251">
        <f>'[3]Sun Country'!$JB$64</f>
        <v>0</v>
      </c>
      <c r="V52" s="253">
        <f>'[3]Sun Country'!$IN$64</f>
        <v>0</v>
      </c>
      <c r="W52" s="254" t="e">
        <f>(U52-V52)/V52</f>
        <v>#DIV/0!</v>
      </c>
      <c r="X52" s="251">
        <f>SUM('[3]Sun Country'!$IT$64:$JB$64)</f>
        <v>0</v>
      </c>
      <c r="Y52" s="253">
        <f>SUM('[3]Sun Country'!$IF$64:$IN$64)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Country'!$JB$43</f>
        <v>208777</v>
      </c>
      <c r="AE52" s="253">
        <f>'[3]Sun Country'!$IN$43</f>
        <v>240990</v>
      </c>
      <c r="AF52" s="254">
        <f>(AD52-AE52)/AE52</f>
        <v>-0.13366944686501514</v>
      </c>
      <c r="AG52" s="251">
        <f>SUM('[3]Sun Country'!$IT$43:$JB$43)</f>
        <v>3254677</v>
      </c>
      <c r="AH52" s="253">
        <f>SUM('[3]Sun Country'!$IF$43:$IN$43)</f>
        <v>2854728</v>
      </c>
      <c r="AI52" s="252">
        <f>(AG52-AH52)/AH52</f>
        <v>0.14010056299584409</v>
      </c>
      <c r="AJ52" s="254">
        <f>AG52/$AG$66</f>
        <v>0.11502650395910687</v>
      </c>
    </row>
    <row r="53" spans="1:36" ht="14.1" customHeight="1" x14ac:dyDescent="0.2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" customHeight="1" x14ac:dyDescent="0.2">
      <c r="A54" s="250" t="s">
        <v>19</v>
      </c>
      <c r="B54" s="257"/>
      <c r="C54" s="251">
        <f>SUM(C55:C59)</f>
        <v>1354</v>
      </c>
      <c r="D54" s="253">
        <f>SUM(D55:D59)</f>
        <v>1165</v>
      </c>
      <c r="E54" s="254">
        <f t="shared" ref="E54:E59" si="44">(C54-D54)/D54</f>
        <v>0.16223175965665235</v>
      </c>
      <c r="F54" s="253">
        <f>SUM(F55:F59)</f>
        <v>10744</v>
      </c>
      <c r="G54" s="253">
        <f>SUM(G55:G59)</f>
        <v>9328</v>
      </c>
      <c r="H54" s="252">
        <f t="shared" ref="H54:H59" si="45">(F54-G54)/G54</f>
        <v>0.15180102915951973</v>
      </c>
      <c r="I54" s="254">
        <f t="shared" ref="I54:I59" si="46">F54/$F$66</f>
        <v>4.6172027761662258E-2</v>
      </c>
      <c r="J54" s="250" t="s">
        <v>19</v>
      </c>
      <c r="K54" s="257"/>
      <c r="L54" s="251">
        <f>SUM(L55:L59)</f>
        <v>144493</v>
      </c>
      <c r="M54" s="253">
        <f>SUM(M55:M59)</f>
        <v>145534</v>
      </c>
      <c r="N54" s="254">
        <f t="shared" ref="N54:N59" si="47">(L54-M54)/M54</f>
        <v>-7.1529676913985735E-3</v>
      </c>
      <c r="O54" s="251">
        <f>SUM(O55:O59)</f>
        <v>1186711</v>
      </c>
      <c r="P54" s="253">
        <f>SUM(P55:P59)</f>
        <v>1180534</v>
      </c>
      <c r="Q54" s="252">
        <f t="shared" ref="Q54:Q59" si="48">(O54-P54)/P54</f>
        <v>5.2323778900057096E-3</v>
      </c>
      <c r="R54" s="254">
        <f t="shared" ref="R54:R59" si="49">O54/$O$66</f>
        <v>4.3087208544077583E-2</v>
      </c>
      <c r="S54" s="250" t="s">
        <v>19</v>
      </c>
      <c r="T54" s="257"/>
      <c r="U54" s="251">
        <f>SUM(U55:U59)</f>
        <v>150373</v>
      </c>
      <c r="V54" s="253">
        <f>SUM(V55:V59)</f>
        <v>53850</v>
      </c>
      <c r="W54" s="254">
        <f t="shared" ref="W54:W59" si="50">(U54-V54)/V54</f>
        <v>1.7924419684308264</v>
      </c>
      <c r="X54" s="251">
        <f>SUM(X55:X59)</f>
        <v>670138</v>
      </c>
      <c r="Y54" s="253">
        <f>SUM(Y55:Y59)</f>
        <v>885049</v>
      </c>
      <c r="Z54" s="252">
        <f t="shared" ref="Z54:Z59" si="51">(X54-Y54)/Y54</f>
        <v>-0.24282384365159443</v>
      </c>
      <c r="AA54" s="254">
        <f t="shared" ref="AA54:AA59" si="52">X54/$X$66</f>
        <v>1.0925341473831181E-2</v>
      </c>
      <c r="AB54" s="250" t="s">
        <v>19</v>
      </c>
      <c r="AC54" s="257"/>
      <c r="AD54" s="251">
        <f>SUM(AD55:AD59)</f>
        <v>150472</v>
      </c>
      <c r="AE54" s="253">
        <f>SUM(AE55:AE59)</f>
        <v>150715</v>
      </c>
      <c r="AF54" s="254">
        <f t="shared" ref="AF54:AF59" si="53">(AD54-AE54)/AE54</f>
        <v>-1.6123146335799356E-3</v>
      </c>
      <c r="AG54" s="251">
        <f>SUM(AG55:AG59)</f>
        <v>1233312</v>
      </c>
      <c r="AH54" s="253">
        <f>SUM(AH55:AH59)</f>
        <v>1218756</v>
      </c>
      <c r="AI54" s="252">
        <f t="shared" ref="AI54:AI59" si="54">(AG54-AH54)/AH54</f>
        <v>1.1943325817472898E-2</v>
      </c>
      <c r="AJ54" s="254">
        <f>AG54/$AG$66</f>
        <v>4.3587602594916182E-2</v>
      </c>
    </row>
    <row r="55" spans="1:36" ht="14.1" customHeight="1" x14ac:dyDescent="0.2">
      <c r="A55" s="36"/>
      <c r="B55" s="310" t="s">
        <v>19</v>
      </c>
      <c r="C55" s="255">
        <f>[3]United!$JB$19</f>
        <v>1074</v>
      </c>
      <c r="D55" s="2">
        <f>[3]United!$IN$19+[3]Continental!$IN$19</f>
        <v>1020</v>
      </c>
      <c r="E55" s="63">
        <f t="shared" si="44"/>
        <v>5.2941176470588235E-2</v>
      </c>
      <c r="F55" s="2">
        <f>SUM([3]United!$IT$19:$JB$19)</f>
        <v>8099</v>
      </c>
      <c r="G55" s="2">
        <f>SUM([3]United!$IF$19:$IN$19)+SUM([3]Continental!$IF$19:$IN$19)</f>
        <v>8042</v>
      </c>
      <c r="H55" s="3">
        <f t="shared" si="45"/>
        <v>7.0877891071872666E-3</v>
      </c>
      <c r="I55" s="63">
        <f t="shared" si="46"/>
        <v>3.4805217129719158E-2</v>
      </c>
      <c r="J55" s="36"/>
      <c r="K55" s="310" t="s">
        <v>19</v>
      </c>
      <c r="L55" s="255">
        <f>[3]United!$JB$41</f>
        <v>126372</v>
      </c>
      <c r="M55" s="2">
        <f>[3]United!$IN$41+[3]Continental!$IN$41</f>
        <v>136067</v>
      </c>
      <c r="N55" s="63">
        <f t="shared" si="47"/>
        <v>-7.1251662783775635E-2</v>
      </c>
      <c r="O55" s="255">
        <f>SUM([3]United!$IT$41:$JB$41)</f>
        <v>1018886</v>
      </c>
      <c r="P55" s="2">
        <f>SUM([3]United!$IF$41:$IN$41)+SUM([3]Continental!$IF$41:$IN$41)</f>
        <v>1098030</v>
      </c>
      <c r="Q55" s="3">
        <f t="shared" si="48"/>
        <v>-7.2078176370408822E-2</v>
      </c>
      <c r="R55" s="63">
        <f t="shared" si="49"/>
        <v>3.6993803516307704E-2</v>
      </c>
      <c r="S55" s="36"/>
      <c r="T55" s="310" t="s">
        <v>19</v>
      </c>
      <c r="U55" s="255">
        <f>[3]United!$JB$64</f>
        <v>150373</v>
      </c>
      <c r="V55" s="2">
        <f>[3]United!$IN$64+[3]Continental!$IN$64</f>
        <v>53850</v>
      </c>
      <c r="W55" s="63">
        <f t="shared" si="50"/>
        <v>1.7924419684308264</v>
      </c>
      <c r="X55" s="255">
        <f>SUM([3]United!$IT$64:$JB$64)</f>
        <v>670138</v>
      </c>
      <c r="Y55" s="2">
        <f>SUM([3]United!$IF$64:$IN$64)+SUM([3]Continental!$IF$64:$IN$64)</f>
        <v>885049</v>
      </c>
      <c r="Z55" s="3">
        <f t="shared" si="51"/>
        <v>-0.24282384365159443</v>
      </c>
      <c r="AA55" s="63">
        <f t="shared" si="52"/>
        <v>1.0925341473831181E-2</v>
      </c>
      <c r="AB55" s="36"/>
      <c r="AC55" s="310" t="s">
        <v>19</v>
      </c>
      <c r="AD55" s="255">
        <f>[3]United!$JB$43</f>
        <v>131721</v>
      </c>
      <c r="AE55" s="2">
        <f>[3]United!$IN$43+[3]Continental!$IN$43</f>
        <v>140942</v>
      </c>
      <c r="AF55" s="63">
        <f t="shared" si="53"/>
        <v>-6.5424075151480757E-2</v>
      </c>
      <c r="AG55" s="255">
        <f>SUM([3]United!$IT$43:$JB$43)</f>
        <v>1059163</v>
      </c>
      <c r="AH55" s="2">
        <f>SUM([3]United!$IF$43:$IN$43)+SUM([3]Continental!$IF$43:$IN$43)</f>
        <v>1133410</v>
      </c>
      <c r="AI55" s="3">
        <f t="shared" si="54"/>
        <v>-6.5507627425203593E-2</v>
      </c>
      <c r="AJ55" s="63">
        <f t="shared" ref="AJ55:AJ59" si="55">AG55/$AG$66</f>
        <v>3.7432844184796067E-2</v>
      </c>
    </row>
    <row r="56" spans="1:36" ht="14.1" customHeight="1" x14ac:dyDescent="0.2">
      <c r="A56" s="36"/>
      <c r="B56" s="37" t="s">
        <v>152</v>
      </c>
      <c r="C56" s="255">
        <f>'[3]Go Jet_UA'!$JB$19</f>
        <v>0</v>
      </c>
      <c r="D56" s="2">
        <f>'[3]Go Jet_UA'!$IN$19</f>
        <v>0</v>
      </c>
      <c r="E56" s="63" t="e">
        <f t="shared" si="44"/>
        <v>#DIV/0!</v>
      </c>
      <c r="F56" s="2">
        <f>SUM('[3]Go Jet_UA'!$IT$19:$JB$19)</f>
        <v>0</v>
      </c>
      <c r="G56" s="2">
        <f>SUM('[3]Go Jet_UA'!$IF$19:$IN$19)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Jet_UA'!$JB$41</f>
        <v>0</v>
      </c>
      <c r="M56" s="2">
        <f>'[3]Go Jet_UA'!$IN$41</f>
        <v>0</v>
      </c>
      <c r="N56" s="63" t="e">
        <f t="shared" si="47"/>
        <v>#DIV/0!</v>
      </c>
      <c r="O56" s="255">
        <f>SUM('[3]Go Jet_UA'!$IT$41:$JB$41)</f>
        <v>0</v>
      </c>
      <c r="P56" s="2">
        <f>SUM('[3]Go Jet_UA'!$IF$41:$IN$41)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Jet_UA'!$JB$64</f>
        <v>0</v>
      </c>
      <c r="V56" s="2">
        <f>'[3]Go Jet_UA'!$IN$64</f>
        <v>0</v>
      </c>
      <c r="W56" s="63" t="e">
        <f t="shared" si="50"/>
        <v>#DIV/0!</v>
      </c>
      <c r="X56" s="255">
        <f>SUM('[3]Go Jet_UA'!$IT$64:$JB$64)</f>
        <v>0</v>
      </c>
      <c r="Y56" s="2">
        <f>SUM('[3]Go Jet_UA'!$IF$64:$IN$64)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Jet_UA'!$JB$43</f>
        <v>0</v>
      </c>
      <c r="AE56" s="2">
        <f>'[3]Go Jet_UA'!$IN$43</f>
        <v>0</v>
      </c>
      <c r="AF56" s="63" t="e">
        <f t="shared" si="53"/>
        <v>#DIV/0!</v>
      </c>
      <c r="AG56" s="255">
        <f>SUM('[3]Go Jet_UA'!$IT$43:$JB$43)</f>
        <v>0</v>
      </c>
      <c r="AH56" s="2">
        <f>SUM('[3]Go Jet_UA'!$IF$43:$IN$43)</f>
        <v>96</v>
      </c>
      <c r="AI56" s="3">
        <f t="shared" si="54"/>
        <v>-1</v>
      </c>
      <c r="AJ56" s="63">
        <f t="shared" si="55"/>
        <v>0</v>
      </c>
    </row>
    <row r="57" spans="1:36" ht="14.1" customHeight="1" x14ac:dyDescent="0.2">
      <c r="A57" s="36"/>
      <c r="B57" s="37" t="s">
        <v>51</v>
      </c>
      <c r="C57" s="255">
        <f>[3]MESA_UA!$JB$19</f>
        <v>212</v>
      </c>
      <c r="D57" s="2">
        <f>[3]MESA_UA!$IN$19</f>
        <v>141</v>
      </c>
      <c r="E57" s="63">
        <f t="shared" si="44"/>
        <v>0.50354609929078009</v>
      </c>
      <c r="F57" s="2">
        <f>SUM([3]MESA_UA!$IT$19:$JB$19)</f>
        <v>1559</v>
      </c>
      <c r="G57" s="2">
        <f>SUM([3]MESA_UA!$IF$19:$IN$19)</f>
        <v>880</v>
      </c>
      <c r="H57" s="3">
        <f>(F57-G57)/G57</f>
        <v>0.77159090909090911</v>
      </c>
      <c r="I57" s="63">
        <f t="shared" si="46"/>
        <v>6.6997571928919834E-3</v>
      </c>
      <c r="J57" s="36"/>
      <c r="K57" s="37" t="s">
        <v>51</v>
      </c>
      <c r="L57" s="255">
        <f>[3]MESA_UA!$JB$41</f>
        <v>13513</v>
      </c>
      <c r="M57" s="2">
        <f>[3]MESA_UA!$IN$41</f>
        <v>9180</v>
      </c>
      <c r="N57" s="63">
        <f t="shared" si="47"/>
        <v>0.47200435729847495</v>
      </c>
      <c r="O57" s="255">
        <f>SUM([3]MESA_UA!$IT$41:$JB$41)</f>
        <v>98979</v>
      </c>
      <c r="P57" s="2">
        <f>SUM([3]MESA_UA!$IF$41:$IN$41)</f>
        <v>57482</v>
      </c>
      <c r="Q57" s="3">
        <f t="shared" si="48"/>
        <v>0.72191294666156358</v>
      </c>
      <c r="R57" s="63">
        <f t="shared" si="49"/>
        <v>3.5937383360264254E-3</v>
      </c>
      <c r="S57" s="36"/>
      <c r="T57" s="37" t="s">
        <v>51</v>
      </c>
      <c r="U57" s="255">
        <f>[3]MESA_UA!$JB$64</f>
        <v>0</v>
      </c>
      <c r="V57" s="2">
        <f>[3]MESA_UA!$IN$64</f>
        <v>0</v>
      </c>
      <c r="W57" s="63" t="e">
        <f t="shared" si="50"/>
        <v>#DIV/0!</v>
      </c>
      <c r="X57" s="255">
        <f>SUM([3]MESA_UA!$IT$64:$JB$64)</f>
        <v>0</v>
      </c>
      <c r="Y57" s="2">
        <f>SUM([3]MESA_UA!$IF$64:$IN$64)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[3]MESA_UA!$JB$43</f>
        <v>13986</v>
      </c>
      <c r="AE57" s="2">
        <f>[3]MESA_UA!$IN$43</f>
        <v>9475</v>
      </c>
      <c r="AF57" s="63">
        <f t="shared" si="53"/>
        <v>0.47609498680738788</v>
      </c>
      <c r="AG57" s="255">
        <f>SUM([3]MESA_UA!$IT$43:$JB$43)</f>
        <v>102542</v>
      </c>
      <c r="AH57" s="2">
        <f>SUM([3]MESA_UA!$IF$43:$IN$43)</f>
        <v>59521</v>
      </c>
      <c r="AI57" s="3">
        <f t="shared" si="54"/>
        <v>0.72278691554241359</v>
      </c>
      <c r="AJ57" s="63">
        <f t="shared" si="55"/>
        <v>3.624030209134343E-3</v>
      </c>
    </row>
    <row r="58" spans="1:36" ht="14.1" customHeight="1" x14ac:dyDescent="0.2">
      <c r="A58" s="36"/>
      <c r="B58" s="310" t="s">
        <v>52</v>
      </c>
      <c r="C58" s="255">
        <f>[3]Republic_UA!$JB$19</f>
        <v>52</v>
      </c>
      <c r="D58" s="2">
        <f>[3]Republic_UA!$IN$19</f>
        <v>0</v>
      </c>
      <c r="E58" s="63" t="e">
        <f t="shared" si="44"/>
        <v>#DIV/0!</v>
      </c>
      <c r="F58" s="2">
        <f>SUM([3]Republic_UA!$IT$19:$JB$19)</f>
        <v>470</v>
      </c>
      <c r="G58" s="2">
        <f>SUM([3]Republic_UA!$IF$19:$IN$19)</f>
        <v>336</v>
      </c>
      <c r="H58" s="3">
        <f t="shared" ref="H58" si="56">(F58-G58)/G58</f>
        <v>0.39880952380952384</v>
      </c>
      <c r="I58" s="63">
        <f t="shared" si="46"/>
        <v>2.0198113410258064E-3</v>
      </c>
      <c r="J58" s="36"/>
      <c r="K58" s="310" t="s">
        <v>52</v>
      </c>
      <c r="L58" s="255">
        <f>[3]Republic_UA!$JB$41</f>
        <v>3462</v>
      </c>
      <c r="M58" s="2">
        <f>[3]Republic_UA!$IN$41</f>
        <v>0</v>
      </c>
      <c r="N58" s="63" t="e">
        <f t="shared" si="47"/>
        <v>#DIV/0!</v>
      </c>
      <c r="O58" s="255">
        <f>SUM([3]Republic_UA!$IT$41:$JB$41)</f>
        <v>30434</v>
      </c>
      <c r="P58" s="2">
        <f>SUM([3]Republic_UA!$IF$41:$IN$41)</f>
        <v>21257</v>
      </c>
      <c r="Q58" s="3">
        <f t="shared" si="48"/>
        <v>0.43171661099872982</v>
      </c>
      <c r="R58" s="63">
        <f t="shared" si="49"/>
        <v>1.1050003790564486E-3</v>
      </c>
      <c r="S58" s="36"/>
      <c r="T58" s="310" t="s">
        <v>52</v>
      </c>
      <c r="U58" s="255">
        <f>[3]Republic_UA!$JB$64</f>
        <v>0</v>
      </c>
      <c r="V58" s="2">
        <f>[3]Republic_UA!$IN$64</f>
        <v>0</v>
      </c>
      <c r="W58" s="63" t="e">
        <f t="shared" si="50"/>
        <v>#DIV/0!</v>
      </c>
      <c r="X58" s="255">
        <f>SUM([3]Republic_UA!$IT$64:$JB$64)</f>
        <v>0</v>
      </c>
      <c r="Y58" s="2">
        <f>SUM([3]Republic_UA!$IF$64:$IN$64)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[3]Republic_UA!$JB$43</f>
        <v>3593</v>
      </c>
      <c r="AE58" s="2">
        <f>[3]Republic_UA!$IN$43</f>
        <v>0</v>
      </c>
      <c r="AF58" s="63" t="e">
        <f t="shared" si="53"/>
        <v>#DIV/0!</v>
      </c>
      <c r="AG58" s="255">
        <f>SUM([3]Republic_UA!$IT$43:$JB$43)</f>
        <v>31510</v>
      </c>
      <c r="AH58" s="2">
        <f>SUM([3]Republic_UA!$IF$43:$IN$43)</f>
        <v>21930</v>
      </c>
      <c r="AI58" s="3">
        <f t="shared" si="54"/>
        <v>0.43684450524395807</v>
      </c>
      <c r="AJ58" s="63">
        <f t="shared" si="55"/>
        <v>1.1136236068130438E-3</v>
      </c>
    </row>
    <row r="59" spans="1:36" ht="14.1" customHeight="1" x14ac:dyDescent="0.2">
      <c r="A59" s="36"/>
      <c r="B59" s="37" t="s">
        <v>97</v>
      </c>
      <c r="C59" s="255">
        <f>'[3]Sky West_UA'!$JB$19</f>
        <v>16</v>
      </c>
      <c r="D59" s="2">
        <f>'[3]Sky West_UA'!$IN$19+'[3]Sky West_CO'!$IN$19</f>
        <v>4</v>
      </c>
      <c r="E59" s="63">
        <f t="shared" si="44"/>
        <v>3</v>
      </c>
      <c r="F59" s="2">
        <f>SUM('[3]Sky West_UA'!$IT$19:$JB$19)</f>
        <v>616</v>
      </c>
      <c r="G59" s="2">
        <f>SUM('[3]Sky West_UA'!$IF$19:$IN$19)+SUM('[3]Sky West_CO'!$IF$19:$IN$19)</f>
        <v>68</v>
      </c>
      <c r="H59" s="3">
        <f t="shared" si="45"/>
        <v>8.0588235294117645</v>
      </c>
      <c r="I59" s="63">
        <f t="shared" si="46"/>
        <v>2.647242098025312E-3</v>
      </c>
      <c r="J59" s="36"/>
      <c r="K59" s="37" t="s">
        <v>97</v>
      </c>
      <c r="L59" s="255">
        <f>'[3]Sky West_UA'!$JB$41</f>
        <v>1146</v>
      </c>
      <c r="M59" s="2">
        <f>'[3]Sky West_UA'!$IN$41+'[3]Sky West_CO'!$IN$41</f>
        <v>287</v>
      </c>
      <c r="N59" s="63">
        <f t="shared" si="47"/>
        <v>2.9930313588850175</v>
      </c>
      <c r="O59" s="255">
        <f>SUM('[3]Sky West_UA'!$IT$41:$JB$41)</f>
        <v>38412</v>
      </c>
      <c r="P59" s="2">
        <f>SUM('[3]Sky West_UA'!$IF$41:$IN$41)+SUM('[3]Sky West_CO'!$IF$41:$IN$41)</f>
        <v>3669</v>
      </c>
      <c r="Q59" s="3">
        <f t="shared" si="48"/>
        <v>9.4693376941946035</v>
      </c>
      <c r="R59" s="63">
        <f t="shared" si="49"/>
        <v>1.3946663126870049E-3</v>
      </c>
      <c r="S59" s="36"/>
      <c r="T59" s="37" t="s">
        <v>97</v>
      </c>
      <c r="U59" s="255">
        <f>'[3]Sky West_UA'!$JB$64</f>
        <v>0</v>
      </c>
      <c r="V59" s="2">
        <f>'[3]Sky West_UA'!$IN$64+'[3]Sky West_CO'!$IN$64</f>
        <v>0</v>
      </c>
      <c r="W59" s="63" t="e">
        <f t="shared" si="50"/>
        <v>#DIV/0!</v>
      </c>
      <c r="X59" s="255">
        <f>SUM('[3]Sky West_UA'!$IT$64:$JB$64)</f>
        <v>0</v>
      </c>
      <c r="Y59" s="2">
        <f>SUM('[3]Sky West_UA'!$IF$64:$IN$64)+SUM('[3]Sky West_CO'!$IF$64:$IN$64)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West_UA'!$JB$43</f>
        <v>1172</v>
      </c>
      <c r="AE59" s="2">
        <f>'[3]Sky West_UA'!$IN$43+'[3]Sky West_CO'!$IN$43</f>
        <v>298</v>
      </c>
      <c r="AF59" s="63">
        <f t="shared" si="53"/>
        <v>2.9328859060402683</v>
      </c>
      <c r="AG59" s="255">
        <f>SUM('[3]Sky West_UA'!$IT$43:$JB$43)</f>
        <v>40097</v>
      </c>
      <c r="AH59" s="2">
        <f>SUM('[3]Sky West_UA'!$IF$43:$IN$43)+SUM('[3]Sky West_CO'!$IF$43:$IN$43)</f>
        <v>3799</v>
      </c>
      <c r="AI59" s="3">
        <f t="shared" si="54"/>
        <v>9.5546196367465122</v>
      </c>
      <c r="AJ59" s="63">
        <f t="shared" si="55"/>
        <v>1.4171045941727268E-3</v>
      </c>
    </row>
    <row r="60" spans="1:36" ht="14.1" customHeight="1" x14ac:dyDescent="0.2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" customHeight="1" x14ac:dyDescent="0.2">
      <c r="A61" s="250" t="s">
        <v>231</v>
      </c>
      <c r="B61" s="258"/>
      <c r="C61" s="251">
        <f>[3]WestJet!$JB$19</f>
        <v>216</v>
      </c>
      <c r="D61" s="253">
        <f>[3]WestJet!$IN$19</f>
        <v>68</v>
      </c>
      <c r="E61" s="254">
        <f>(C61-D61)/D61</f>
        <v>2.1764705882352939</v>
      </c>
      <c r="F61" s="253">
        <f>SUM([3]WestJet!$IT$19:$JB$19)</f>
        <v>1376</v>
      </c>
      <c r="G61" s="253">
        <f>SUM([3]WestJet!$IF$19:$IN$19)</f>
        <v>258</v>
      </c>
      <c r="H61" s="252">
        <f>(F61-G61)/G61</f>
        <v>4.333333333333333</v>
      </c>
      <c r="I61" s="254">
        <f>F61/$F$66</f>
        <v>5.9133200111734247E-3</v>
      </c>
      <c r="J61" s="250" t="s">
        <v>231</v>
      </c>
      <c r="K61" s="37"/>
      <c r="L61" s="251">
        <f>[3]WestJet!$JB$41</f>
        <v>21034</v>
      </c>
      <c r="M61" s="253">
        <f>[3]WestJet!$IN$41</f>
        <v>7626</v>
      </c>
      <c r="N61" s="254">
        <f>(L61-M61)/M61</f>
        <v>1.7581956464725939</v>
      </c>
      <c r="O61" s="251">
        <f>SUM([3]WestJet!$IT$41:$JB$41)</f>
        <v>138363</v>
      </c>
      <c r="P61" s="253">
        <f>SUM([3]WestJet!$IF$41:$IN$41)</f>
        <v>32139</v>
      </c>
      <c r="Q61" s="252">
        <f>(O61-P61)/P61</f>
        <v>3.3051432838607298</v>
      </c>
      <c r="R61" s="254">
        <f>O61/$O$66</f>
        <v>5.0236961111713016E-3</v>
      </c>
      <c r="S61" s="250" t="s">
        <v>231</v>
      </c>
      <c r="T61" s="37"/>
      <c r="U61" s="251">
        <f>[3]WestJet!$JB$64</f>
        <v>0</v>
      </c>
      <c r="V61" s="253">
        <f>[3]WestJet!$IN$64</f>
        <v>0</v>
      </c>
      <c r="W61" s="254" t="e">
        <f>(U61-V61)/V61</f>
        <v>#DIV/0!</v>
      </c>
      <c r="X61" s="251">
        <f>SUM([3]WestJet!$IT$64:$JB$64)</f>
        <v>0</v>
      </c>
      <c r="Y61" s="253">
        <f>SUM([3]WestJet!$IF$64:$IN$64)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[3]WestJet!$JB$43</f>
        <v>21034</v>
      </c>
      <c r="AE61" s="253">
        <f>[3]WestJet!$IN$43</f>
        <v>7626</v>
      </c>
      <c r="AF61" s="254">
        <f>(AD61-AE61)/AE61</f>
        <v>1.7581956464725939</v>
      </c>
      <c r="AG61" s="251">
        <f>SUM([3]WestJet!$IT$43:$JB$43)</f>
        <v>138376</v>
      </c>
      <c r="AH61" s="253">
        <f>SUM([3]WestJet!$IF$43:$IN$43)</f>
        <v>32142</v>
      </c>
      <c r="AI61" s="252">
        <f>(AG61-AH61)/AH61</f>
        <v>3.305145915002178</v>
      </c>
      <c r="AJ61" s="254">
        <f>AG61/$AG$66</f>
        <v>4.8904722379042136E-3</v>
      </c>
    </row>
    <row r="62" spans="1:36" ht="14.1" customHeight="1" thickBot="1" x14ac:dyDescent="0.25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" customHeight="1" thickBot="1" x14ac:dyDescent="0.2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" customHeight="1" x14ac:dyDescent="0.2">
      <c r="B64" s="266" t="s">
        <v>131</v>
      </c>
      <c r="C64" s="319">
        <f>+C66-C65</f>
        <v>18868</v>
      </c>
      <c r="D64" s="429">
        <f>+D66-D65</f>
        <v>18073</v>
      </c>
      <c r="E64" s="320">
        <f>(C64-D64)/D64</f>
        <v>4.398826979472141E-2</v>
      </c>
      <c r="F64" s="319">
        <f>+F66-F65</f>
        <v>174234</v>
      </c>
      <c r="G64" s="429">
        <f>+G66-G65</f>
        <v>161554</v>
      </c>
      <c r="H64" s="320">
        <f>(F64-G64)/G64</f>
        <v>7.8487688327122815E-2</v>
      </c>
      <c r="I64" s="345">
        <f>F64/$F$66</f>
        <v>0.7487655514729582</v>
      </c>
      <c r="K64" s="266" t="s">
        <v>131</v>
      </c>
      <c r="L64" s="319">
        <f>+L66-L65</f>
        <v>2485698</v>
      </c>
      <c r="M64" s="429">
        <f>+M66-M65</f>
        <v>2443638</v>
      </c>
      <c r="N64" s="320">
        <f>(L64-M64)/M64</f>
        <v>1.721204204550756E-2</v>
      </c>
      <c r="O64" s="319">
        <f>+O66-O65</f>
        <v>24166814</v>
      </c>
      <c r="P64" s="429">
        <f>+P66-P65</f>
        <v>22426373</v>
      </c>
      <c r="Q64" s="343">
        <f>(O64-P64)/P64</f>
        <v>7.7606887212658057E-2</v>
      </c>
      <c r="R64" s="390">
        <f>+O64/O66</f>
        <v>0.87745083231210785</v>
      </c>
      <c r="S64" s="3"/>
      <c r="T64" s="266" t="s">
        <v>131</v>
      </c>
      <c r="U64" s="319">
        <f>+U66-U65</f>
        <v>7920817</v>
      </c>
      <c r="V64" s="429">
        <f>+V66-V65</f>
        <v>7373751</v>
      </c>
      <c r="W64" s="320">
        <f>(U64-V64)/V64</f>
        <v>7.4191005364840773E-2</v>
      </c>
      <c r="X64" s="319">
        <f>+X66-X65</f>
        <v>61213626.109999999</v>
      </c>
      <c r="Y64" s="429">
        <f>+Y66-Y65</f>
        <v>61838179</v>
      </c>
      <c r="Z64" s="343">
        <f>(X64-Y64)/Y64</f>
        <v>-1.009979433579376E-2</v>
      </c>
      <c r="AA64" s="390">
        <f>+X64/X66</f>
        <v>0.99797320567282888</v>
      </c>
      <c r="AB64" s="3"/>
      <c r="AC64" s="266" t="s">
        <v>131</v>
      </c>
      <c r="AD64" s="319">
        <f>+AD66-AD65</f>
        <v>2558041</v>
      </c>
      <c r="AE64" s="429">
        <f>+AE66-AE65</f>
        <v>2514930</v>
      </c>
      <c r="AF64" s="345">
        <f>(AD64-AE64)/AE64</f>
        <v>1.7142027809919164E-2</v>
      </c>
      <c r="AG64" s="319">
        <f>+AG66-AG65</f>
        <v>24818079</v>
      </c>
      <c r="AH64" s="429">
        <f>+AH66-AH65</f>
        <v>23058746</v>
      </c>
      <c r="AI64" s="345">
        <f>(AG64-AH64)/AH64</f>
        <v>7.6297861123931027E-2</v>
      </c>
      <c r="AJ64" s="390">
        <f>+AG64/AG66</f>
        <v>0.87711833228026215</v>
      </c>
    </row>
    <row r="65" spans="2:36" ht="14.1" customHeight="1" x14ac:dyDescent="0.2">
      <c r="B65" s="163" t="s">
        <v>132</v>
      </c>
      <c r="C65" s="321">
        <f>+C36+C35+C34+C22+C59+C56+C57+C26+C23+C17+C6+C58+C24+C25+C18+C7</f>
        <v>6507</v>
      </c>
      <c r="D65" s="430">
        <f>+D36+D35+D34+D22+D59+D56+D57+D26+D23+D17+D6+D58+D24+D25+D18+D7</f>
        <v>6226</v>
      </c>
      <c r="E65" s="267">
        <f>(C65-D65)/D65</f>
        <v>4.5133311917764214E-2</v>
      </c>
      <c r="F65" s="321">
        <f>+F36+F35+F34+F22+F59+F56+F57+F26+F23+F17+F6+F58+F24+F25+F18+F7</f>
        <v>58461</v>
      </c>
      <c r="G65" s="430">
        <f>+G36+G35+G34+G22+G59+G56+G57+G26+G23+G17+G6+G58+G24+G25+G18+G7</f>
        <v>56072</v>
      </c>
      <c r="H65" s="267">
        <f>(F65-G65)/G65</f>
        <v>4.2605935226137821E-2</v>
      </c>
      <c r="I65" s="346">
        <f>F65/$F$66</f>
        <v>0.25123444852704185</v>
      </c>
      <c r="K65" s="163" t="s">
        <v>132</v>
      </c>
      <c r="L65" s="321">
        <f>+L36+L35+L34+L22+L59+L56+L57+L26+L23+L17+L6+L58+L24+L25+L18+L7</f>
        <v>379055</v>
      </c>
      <c r="M65" s="430">
        <f>+M36+M35+M34+M22+M59+M56+M57+M26+M23+M17+M6+M58+M24+M25+M18+M7</f>
        <v>333032</v>
      </c>
      <c r="N65" s="267">
        <f>(L65-M65)/M65</f>
        <v>0.13819392731028851</v>
      </c>
      <c r="O65" s="321">
        <f>+O36+O35+O34+O22+O59+O56+O57+O26+O23+O17+O6+O58+O24+O25+O18+O7</f>
        <v>3375258</v>
      </c>
      <c r="P65" s="430">
        <f>+P36+P35+P34+P22+P59+P56+P57+P26+P23+P17+P6+P58+P24+P25+P18+P7</f>
        <v>3058461</v>
      </c>
      <c r="Q65" s="342">
        <f>(O65-P65)/P65</f>
        <v>0.10358052628429788</v>
      </c>
      <c r="R65" s="391">
        <f>+O65/O66</f>
        <v>0.12254916768789219</v>
      </c>
      <c r="S65" s="3"/>
      <c r="T65" s="163" t="s">
        <v>132</v>
      </c>
      <c r="U65" s="321">
        <f>+U36+U35+U34+U22+U59+U56+U57+U26+U23+U17+U6+U58+U24+U25+U18+U7</f>
        <v>6192.3</v>
      </c>
      <c r="V65" s="430">
        <f>+V36+V35+V34+V22+V59+V56+V57+V26+V23+V17+V6+V58+V24+V25+V18+V7</f>
        <v>19499.5</v>
      </c>
      <c r="W65" s="267">
        <f>(U65-V65)/V65</f>
        <v>-0.6824380112310573</v>
      </c>
      <c r="X65" s="321">
        <f>+X36+X35+X34+X22+X59+X56+X57+X26+X23+X17+X6+X58+X24+X25+X18+X7</f>
        <v>124319.40000000001</v>
      </c>
      <c r="Y65" s="430">
        <f>+Y36+Y35+Y34+Y22+Y59+Y56+Y57+Y26+Y23+Y17+Y6+Y58+Y24+Y25+Y18+Y7</f>
        <v>319984.69999999995</v>
      </c>
      <c r="Z65" s="342">
        <f>(X65-Y65)/Y65</f>
        <v>-0.61148329904523546</v>
      </c>
      <c r="AA65" s="391">
        <f>+X65/X66</f>
        <v>2.0267943271711319E-3</v>
      </c>
      <c r="AB65" s="3"/>
      <c r="AC65" s="163" t="s">
        <v>132</v>
      </c>
      <c r="AD65" s="321">
        <f>+AD36+AD35+AD34+AD22+AD59+AD56+AD57+AD26+AD23+AD17+AD6+AD58+AD24+AD25+AD18+AD7</f>
        <v>389753</v>
      </c>
      <c r="AE65" s="430">
        <f>+AE36+AE35+AE34+AE22+AE59+AE56+AE57+AE26+AE23+AE17+AE6+AE58+AE24+AE25+AE18+AE7</f>
        <v>342158</v>
      </c>
      <c r="AF65" s="346">
        <f>(AD65-AE65)/AE65</f>
        <v>0.13910240298341703</v>
      </c>
      <c r="AG65" s="321">
        <f>+AG36+AG35+AG34+AG22+AG59+AG56+AG57+AG26+AG23+AG17+AG6+AG58+AG24+AG25+AG18+AG7</f>
        <v>3476939</v>
      </c>
      <c r="AH65" s="430">
        <f>+AH36+AH35+AH34+AH22+AH59+AH56+AH57+AH26+AH23+AH17+AH6+AH58+AH24+AH25+AH18+AH7</f>
        <v>3149852</v>
      </c>
      <c r="AI65" s="346">
        <f>(AG65-AH65)/AH65</f>
        <v>0.10384202178388063</v>
      </c>
      <c r="AJ65" s="391">
        <f>+AG65/AG66</f>
        <v>0.1228816677197378</v>
      </c>
    </row>
    <row r="66" spans="2:36" ht="14.1" customHeight="1" thickBot="1" x14ac:dyDescent="0.25">
      <c r="B66" s="163" t="s">
        <v>133</v>
      </c>
      <c r="C66" s="322">
        <f>C54+C52+C48+C40+C38+C32+C20+C15+C4+C50+C28+C44+C9+C42+C30+C13+C61+C11+C46</f>
        <v>25375</v>
      </c>
      <c r="D66" s="454">
        <f>D54+D52+D48+D40+D38+D32+D20+D15+D4+D50+D28+D44+D9+D42+D30+D13+D61+D11+D46</f>
        <v>24299</v>
      </c>
      <c r="E66" s="323">
        <f>(C66-D66)/D66</f>
        <v>4.4281657681386068E-2</v>
      </c>
      <c r="F66" s="322">
        <f>F54+F52+F48+F40+F38+F32+F20+F15+F4+F50+F28+F44+F9+F42+F30+F13+F61+F11+F46</f>
        <v>232695</v>
      </c>
      <c r="G66" s="454">
        <f>G54+G52+G48+G40+G38+G32+G20+G15+G4+G50+G28+G44+G9+G42+G30+G13+G61+G11+G46</f>
        <v>217626</v>
      </c>
      <c r="H66" s="323">
        <f>(F66-G66)/G66</f>
        <v>6.9242645639767314E-2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2864753</v>
      </c>
      <c r="M66" s="454">
        <f>M54+M52+M48+M40+M38+M32+M20+M15+M4+M50+M28+M44+M9+M42+M30+M13+M61+M11+M46</f>
        <v>2776670</v>
      </c>
      <c r="N66" s="323">
        <f>(L66-M66)/M66</f>
        <v>3.1722530945340999E-2</v>
      </c>
      <c r="O66" s="322">
        <f>O54+O52+O48+O40+O38+O32+O20+O15+O4+O50+O28+O44+O9+O42+O30+O13+O61+O11+O46</f>
        <v>27542072</v>
      </c>
      <c r="P66" s="454">
        <f>P54+P52+P48+P40+P38+P32+P20+P15+P4+P50+P28+P44+P9+P42+P30+P13+P61+P11+P46</f>
        <v>25484834</v>
      </c>
      <c r="Q66" s="389">
        <f>(O66-P66)/P66</f>
        <v>8.0724010209366093E-2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7927009.2999999998</v>
      </c>
      <c r="V66" s="454">
        <f>V54+V52+V48+V40+V38+V32+V20+V15+V4+V50+V28+V44+V9+V42+V30+V13+V61+V11+V46</f>
        <v>7393250.5</v>
      </c>
      <c r="W66" s="323">
        <f>(U66-V66)/V66</f>
        <v>7.2195416616818248E-2</v>
      </c>
      <c r="X66" s="322">
        <f>X54+X52+X48+X40+X38+X32+X20+X15+X4+X50+X28+X44+X9+X42+X30+X13+X61+X11+X46</f>
        <v>61337945.509999998</v>
      </c>
      <c r="Y66" s="454">
        <f>Y54+Y52+Y48+Y40+Y38+Y32+Y20+Y15+Y4+Y50+Y28+Y44+Y9+Y42+Y30+Y13+Y61+Y11+Y46</f>
        <v>62158163.700000003</v>
      </c>
      <c r="Z66" s="389">
        <f>(X66-Y66)/Y66</f>
        <v>-1.3195663146657677E-2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2947794</v>
      </c>
      <c r="AE66" s="454">
        <f>AE54+AE52+AE48+AE40+AE38+AE32+AE20+AE15+AE4+AE50+AE28+AE44+AE9+AE42+AE30+AE13+AE61+AE11+AE46</f>
        <v>2857088</v>
      </c>
      <c r="AF66" s="347">
        <f>(AD66-AE66)/AE66</f>
        <v>3.1747709556023476E-2</v>
      </c>
      <c r="AG66" s="322">
        <f>AG54+AG52+AG48+AG40+AG38+AG32+AG20+AG15+AG4+AG50+AG28+AG44+AG9+AG42+AG30+AG13+AG61+AG11+AG46</f>
        <v>28295018</v>
      </c>
      <c r="AH66" s="454">
        <f>AH54+AH52+AH48+AH40+AH38+AH32+AH20+AH15+AH4+AH50+AH28+AH44+AH9+AH42+AH30+AH13+AH61+AH11+AH46</f>
        <v>26208598</v>
      </c>
      <c r="AI66" s="347">
        <f>(AG66-AH66)/AH66</f>
        <v>7.9608226277498709E-2</v>
      </c>
      <c r="AJ66" s="347">
        <f>+AI66/AI66</f>
        <v>1</v>
      </c>
    </row>
    <row r="67" spans="2:36" x14ac:dyDescent="0.2">
      <c r="D67" s="3"/>
      <c r="F67" s="2"/>
      <c r="G67"/>
      <c r="H67"/>
      <c r="I67"/>
      <c r="J67"/>
      <c r="K67"/>
      <c r="M67"/>
      <c r="N67"/>
    </row>
    <row r="68" spans="2:36" x14ac:dyDescent="0.2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">
      <c r="E72"/>
      <c r="F72" s="2"/>
      <c r="H72"/>
      <c r="I72"/>
      <c r="J72"/>
      <c r="K72"/>
      <c r="N72"/>
      <c r="O72" s="2"/>
      <c r="P72" s="2"/>
    </row>
    <row r="73" spans="2:36" x14ac:dyDescent="0.2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">
      <c r="D74" s="3"/>
      <c r="F74"/>
      <c r="G74"/>
      <c r="H74"/>
      <c r="I74"/>
      <c r="J74"/>
      <c r="K74"/>
      <c r="M74"/>
      <c r="N74"/>
    </row>
    <row r="75" spans="2:36" x14ac:dyDescent="0.2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">
      <c r="D76" s="3"/>
      <c r="F76"/>
      <c r="G76"/>
      <c r="H76"/>
      <c r="I76"/>
      <c r="J76"/>
      <c r="K76"/>
      <c r="L76"/>
      <c r="M76"/>
      <c r="N76"/>
    </row>
    <row r="77" spans="2:36" x14ac:dyDescent="0.2">
      <c r="D77" s="3"/>
      <c r="F77"/>
      <c r="G77"/>
      <c r="H77"/>
      <c r="I77"/>
      <c r="J77"/>
      <c r="K77"/>
      <c r="L77"/>
      <c r="M77"/>
      <c r="N77"/>
    </row>
    <row r="78" spans="2:36" x14ac:dyDescent="0.2">
      <c r="D78" s="3"/>
      <c r="F78"/>
      <c r="G78"/>
      <c r="H78"/>
      <c r="I78"/>
      <c r="J78"/>
      <c r="K78"/>
      <c r="L78"/>
      <c r="M78"/>
      <c r="N78"/>
    </row>
    <row r="79" spans="2:36" x14ac:dyDescent="0.2">
      <c r="D79" s="3"/>
      <c r="F79"/>
      <c r="G79"/>
      <c r="H79"/>
      <c r="I79"/>
      <c r="J79"/>
      <c r="K79"/>
      <c r="L79"/>
      <c r="M79"/>
      <c r="N79"/>
    </row>
    <row r="80" spans="2:3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  <row r="4704" spans="6:11" x14ac:dyDescent="0.2">
      <c r="F4704" s="165"/>
      <c r="K4704"/>
    </row>
    <row r="4705" spans="6:11" x14ac:dyDescent="0.2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September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2024-10-24T16:09:07Z</dcterms:modified>
</cp:coreProperties>
</file>