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Stats'!$A$1:$H$52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27" i="8" l="1"/>
  <c r="H26" i="8"/>
  <c r="H22" i="8"/>
  <c r="H21" i="8"/>
  <c r="H17" i="8"/>
  <c r="H16" i="8"/>
  <c r="H5" i="8"/>
  <c r="H4" i="8"/>
  <c r="H10" i="8"/>
  <c r="M23" i="7"/>
  <c r="L23" i="7"/>
  <c r="H23" i="7"/>
  <c r="G23" i="7"/>
  <c r="C23" i="7"/>
  <c r="B23" i="7"/>
  <c r="M21" i="7"/>
  <c r="L21" i="7"/>
  <c r="H21" i="7"/>
  <c r="G21" i="7"/>
  <c r="C21" i="7"/>
  <c r="B21" i="7"/>
  <c r="M22" i="7"/>
  <c r="L22" i="7"/>
  <c r="H22" i="7"/>
  <c r="G22" i="7"/>
  <c r="C22" i="7"/>
  <c r="B22" i="7"/>
  <c r="H18" i="8" l="1"/>
  <c r="H6" i="8"/>
  <c r="H12" i="8" s="1"/>
  <c r="H23" i="8"/>
  <c r="H32" i="8"/>
  <c r="H28" i="8"/>
  <c r="H31" i="8"/>
  <c r="D37" i="1"/>
  <c r="D36" i="1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B5" i="15"/>
  <c r="C5" i="15"/>
  <c r="D5" i="15"/>
  <c r="E5" i="15"/>
  <c r="F5" i="15"/>
  <c r="G5" i="15"/>
  <c r="H5" i="15"/>
  <c r="H6" i="15"/>
  <c r="I5" i="15"/>
  <c r="I6" i="15"/>
  <c r="J5" i="15"/>
  <c r="K5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B6" i="15"/>
  <c r="C6" i="15"/>
  <c r="C7" i="15" s="1"/>
  <c r="D6" i="15"/>
  <c r="E6" i="15"/>
  <c r="F6" i="15"/>
  <c r="G6" i="15"/>
  <c r="J6" i="15"/>
  <c r="K6" i="15"/>
  <c r="C50" i="9"/>
  <c r="C49" i="9"/>
  <c r="C48" i="9"/>
  <c r="C44" i="9"/>
  <c r="C21" i="9"/>
  <c r="C19" i="9"/>
  <c r="C17" i="9"/>
  <c r="C16" i="9"/>
  <c r="C15" i="9"/>
  <c r="C18" i="9"/>
  <c r="C20" i="9"/>
  <c r="C4" i="9"/>
  <c r="C12" i="9"/>
  <c r="C43" i="9"/>
  <c r="C42" i="9"/>
  <c r="C39" i="9"/>
  <c r="C40" i="9"/>
  <c r="C41" i="9"/>
  <c r="E41" i="9"/>
  <c r="O24" i="7"/>
  <c r="E28" i="1"/>
  <c r="E27" i="1"/>
  <c r="E21" i="1"/>
  <c r="E20" i="1"/>
  <c r="E19" i="1"/>
  <c r="E18" i="1"/>
  <c r="E17" i="1"/>
  <c r="E16" i="1"/>
  <c r="E10" i="1"/>
  <c r="E7" i="1"/>
  <c r="E6" i="1"/>
  <c r="E5" i="1"/>
  <c r="B9" i="2"/>
  <c r="C9" i="2"/>
  <c r="D9" i="2"/>
  <c r="D10" i="2"/>
  <c r="E9" i="2"/>
  <c r="F9" i="2"/>
  <c r="B10" i="3"/>
  <c r="C10" i="3"/>
  <c r="D10" i="3"/>
  <c r="D11" i="3"/>
  <c r="E10" i="3"/>
  <c r="F10" i="3"/>
  <c r="G10" i="3"/>
  <c r="H10" i="3"/>
  <c r="B10" i="4"/>
  <c r="B11" i="4"/>
  <c r="C10" i="4"/>
  <c r="D10" i="4"/>
  <c r="D11" i="4"/>
  <c r="E10" i="4"/>
  <c r="E11" i="4"/>
  <c r="F10" i="4"/>
  <c r="G10" i="4"/>
  <c r="H10" i="4"/>
  <c r="I10" i="4"/>
  <c r="J10" i="4"/>
  <c r="J11" i="4"/>
  <c r="B10" i="15"/>
  <c r="C10" i="15"/>
  <c r="C11" i="15"/>
  <c r="D10" i="15"/>
  <c r="D11" i="15"/>
  <c r="E10" i="15"/>
  <c r="F10" i="15"/>
  <c r="G10" i="15"/>
  <c r="H10" i="15"/>
  <c r="J10" i="15"/>
  <c r="J11" i="15"/>
  <c r="K10" i="15"/>
  <c r="B4" i="2"/>
  <c r="C4" i="2"/>
  <c r="D4" i="2"/>
  <c r="E4" i="2"/>
  <c r="F4" i="2"/>
  <c r="F5" i="2"/>
  <c r="B5" i="3"/>
  <c r="C5" i="3"/>
  <c r="D5" i="3"/>
  <c r="E5" i="3"/>
  <c r="F5" i="3"/>
  <c r="G5" i="3"/>
  <c r="H5" i="3"/>
  <c r="B5" i="4"/>
  <c r="C5" i="4"/>
  <c r="D5" i="4"/>
  <c r="E5" i="4"/>
  <c r="F5" i="4"/>
  <c r="G5" i="4"/>
  <c r="H5" i="4"/>
  <c r="I5" i="4"/>
  <c r="J5" i="4"/>
  <c r="B5" i="7"/>
  <c r="C5" i="7"/>
  <c r="D5" i="7"/>
  <c r="D6" i="7"/>
  <c r="E5" i="7"/>
  <c r="F5" i="7"/>
  <c r="B10" i="2"/>
  <c r="C10" i="2"/>
  <c r="E10" i="2"/>
  <c r="F10" i="2"/>
  <c r="B11" i="3"/>
  <c r="C11" i="3"/>
  <c r="E11" i="3"/>
  <c r="F11" i="3"/>
  <c r="G11" i="3"/>
  <c r="H11" i="3"/>
  <c r="C11" i="4"/>
  <c r="F11" i="4"/>
  <c r="G11" i="4"/>
  <c r="H11" i="4"/>
  <c r="I11" i="4"/>
  <c r="B11" i="15"/>
  <c r="E11" i="15"/>
  <c r="F11" i="15"/>
  <c r="G11" i="15"/>
  <c r="H11" i="15"/>
  <c r="K11" i="15"/>
  <c r="B5" i="2"/>
  <c r="C5" i="2"/>
  <c r="D5" i="2"/>
  <c r="E5" i="2"/>
  <c r="B6" i="3"/>
  <c r="C6" i="3"/>
  <c r="D6" i="3"/>
  <c r="E6" i="3"/>
  <c r="F6" i="3"/>
  <c r="G6" i="3"/>
  <c r="H6" i="3"/>
  <c r="B6" i="4"/>
  <c r="C6" i="4"/>
  <c r="D6" i="4"/>
  <c r="E6" i="4"/>
  <c r="F6" i="4"/>
  <c r="G6" i="4"/>
  <c r="H6" i="4"/>
  <c r="I6" i="4"/>
  <c r="J6" i="4"/>
  <c r="B6" i="7"/>
  <c r="C6" i="7"/>
  <c r="E6" i="7"/>
  <c r="F6" i="7"/>
  <c r="J24" i="7"/>
  <c r="J21" i="7"/>
  <c r="J22" i="7"/>
  <c r="J23" i="7"/>
  <c r="B4" i="16"/>
  <c r="C4" i="16"/>
  <c r="C5" i="16"/>
  <c r="D4" i="16"/>
  <c r="E4" i="16"/>
  <c r="F4" i="16"/>
  <c r="F5" i="16"/>
  <c r="G4" i="16"/>
  <c r="G5" i="16"/>
  <c r="H4" i="16"/>
  <c r="H5" i="16"/>
  <c r="I4" i="16"/>
  <c r="J4" i="16"/>
  <c r="K4" i="16"/>
  <c r="L4" i="16"/>
  <c r="B9" i="16"/>
  <c r="C9" i="16"/>
  <c r="C10" i="16"/>
  <c r="D9" i="16"/>
  <c r="E9" i="16"/>
  <c r="F9" i="16"/>
  <c r="G9" i="16"/>
  <c r="G10" i="16"/>
  <c r="H9" i="16"/>
  <c r="I9" i="16"/>
  <c r="J9" i="16"/>
  <c r="K9" i="16"/>
  <c r="L9" i="16"/>
  <c r="B5" i="16"/>
  <c r="D5" i="16"/>
  <c r="E5" i="16"/>
  <c r="I5" i="16"/>
  <c r="J5" i="16"/>
  <c r="K5" i="16"/>
  <c r="L5" i="16"/>
  <c r="L6" i="16" s="1"/>
  <c r="B10" i="16"/>
  <c r="D10" i="16"/>
  <c r="E10" i="16"/>
  <c r="F10" i="16"/>
  <c r="H10" i="16"/>
  <c r="H11" i="16" s="1"/>
  <c r="I10" i="16"/>
  <c r="J10" i="16"/>
  <c r="K10" i="16"/>
  <c r="L10" i="16"/>
  <c r="E23" i="7"/>
  <c r="E24" i="7"/>
  <c r="H28" i="1"/>
  <c r="H27" i="1"/>
  <c r="B21" i="1"/>
  <c r="C21" i="1"/>
  <c r="H20" i="1"/>
  <c r="H19" i="1"/>
  <c r="H16" i="1"/>
  <c r="H17" i="1"/>
  <c r="H18" i="1"/>
  <c r="H10" i="1"/>
  <c r="H7" i="1"/>
  <c r="H6" i="1"/>
  <c r="H5" i="1"/>
  <c r="B17" i="8"/>
  <c r="C17" i="8"/>
  <c r="D17" i="8"/>
  <c r="E17" i="8"/>
  <c r="E16" i="8"/>
  <c r="G17" i="8"/>
  <c r="J17" i="8"/>
  <c r="K17" i="8"/>
  <c r="K16" i="8"/>
  <c r="L17" i="8"/>
  <c r="L27" i="8"/>
  <c r="L22" i="8"/>
  <c r="B29" i="2"/>
  <c r="C29" i="2"/>
  <c r="D29" i="2"/>
  <c r="E29" i="2"/>
  <c r="F29" i="2"/>
  <c r="B29" i="3"/>
  <c r="C29" i="3"/>
  <c r="C28" i="3"/>
  <c r="D29" i="3"/>
  <c r="D39" i="3"/>
  <c r="D34" i="3"/>
  <c r="E29" i="3"/>
  <c r="F29" i="3"/>
  <c r="G29" i="3"/>
  <c r="H29" i="3"/>
  <c r="B26" i="4"/>
  <c r="C26" i="4"/>
  <c r="D26" i="4"/>
  <c r="E26" i="4"/>
  <c r="F26" i="4"/>
  <c r="G26" i="4"/>
  <c r="H26" i="4"/>
  <c r="I26" i="4"/>
  <c r="J26" i="4"/>
  <c r="B26" i="15"/>
  <c r="C26" i="15"/>
  <c r="D26" i="15"/>
  <c r="E26" i="15"/>
  <c r="F26" i="15"/>
  <c r="G26" i="15"/>
  <c r="H26" i="15"/>
  <c r="H25" i="15"/>
  <c r="J26" i="15"/>
  <c r="K26" i="15"/>
  <c r="B22" i="8"/>
  <c r="C22" i="8"/>
  <c r="D22" i="8"/>
  <c r="E22" i="8"/>
  <c r="G22" i="8"/>
  <c r="J22" i="8"/>
  <c r="J21" i="8"/>
  <c r="K22" i="8"/>
  <c r="K21" i="8"/>
  <c r="K23" i="8" s="1"/>
  <c r="B34" i="2"/>
  <c r="C34" i="2"/>
  <c r="D34" i="2"/>
  <c r="E34" i="2"/>
  <c r="F34" i="2"/>
  <c r="B34" i="3"/>
  <c r="C34" i="3"/>
  <c r="E34" i="3"/>
  <c r="F34" i="3"/>
  <c r="G34" i="3"/>
  <c r="H34" i="3"/>
  <c r="B31" i="4"/>
  <c r="C31" i="4"/>
  <c r="D31" i="4"/>
  <c r="E31" i="4"/>
  <c r="F31" i="4"/>
  <c r="G31" i="4"/>
  <c r="H31" i="4"/>
  <c r="I31" i="4"/>
  <c r="J31" i="4"/>
  <c r="J36" i="4"/>
  <c r="B31" i="15"/>
  <c r="C31" i="15"/>
  <c r="D31" i="15"/>
  <c r="E31" i="15"/>
  <c r="F31" i="15"/>
  <c r="G31" i="15"/>
  <c r="H31" i="15"/>
  <c r="J31" i="15"/>
  <c r="J36" i="15"/>
  <c r="K31" i="15"/>
  <c r="B16" i="8"/>
  <c r="C16" i="8"/>
  <c r="D16" i="8"/>
  <c r="G16" i="8"/>
  <c r="J16" i="8"/>
  <c r="J18" i="8" s="1"/>
  <c r="L16" i="8"/>
  <c r="B28" i="2"/>
  <c r="C28" i="2"/>
  <c r="D28" i="2"/>
  <c r="D30" i="2" s="1"/>
  <c r="E28" i="2"/>
  <c r="F28" i="2"/>
  <c r="F30" i="2" s="1"/>
  <c r="B28" i="3"/>
  <c r="B30" i="3" s="1"/>
  <c r="D28" i="3"/>
  <c r="E28" i="3"/>
  <c r="E30" i="3" s="1"/>
  <c r="F28" i="3"/>
  <c r="F30" i="3" s="1"/>
  <c r="G28" i="3"/>
  <c r="G30" i="3" s="1"/>
  <c r="H28" i="3"/>
  <c r="H30" i="3" s="1"/>
  <c r="B25" i="4"/>
  <c r="B27" i="4" s="1"/>
  <c r="C25" i="4"/>
  <c r="C27" i="4" s="1"/>
  <c r="D25" i="4"/>
  <c r="D27" i="4" s="1"/>
  <c r="E25" i="4"/>
  <c r="E27" i="4" s="1"/>
  <c r="F25" i="4"/>
  <c r="F27" i="4" s="1"/>
  <c r="G25" i="4"/>
  <c r="G27" i="4" s="1"/>
  <c r="H25" i="4"/>
  <c r="H27" i="4" s="1"/>
  <c r="I25" i="4"/>
  <c r="I27" i="4" s="1"/>
  <c r="J25" i="4"/>
  <c r="J27" i="4" s="1"/>
  <c r="B25" i="15"/>
  <c r="B27" i="15" s="1"/>
  <c r="C25" i="15"/>
  <c r="C27" i="15" s="1"/>
  <c r="D25" i="15"/>
  <c r="D27" i="15" s="1"/>
  <c r="E25" i="15"/>
  <c r="E27" i="15" s="1"/>
  <c r="F25" i="15"/>
  <c r="F27" i="15" s="1"/>
  <c r="G25" i="15"/>
  <c r="G27" i="15" s="1"/>
  <c r="J25" i="15"/>
  <c r="K25" i="15"/>
  <c r="K35" i="15"/>
  <c r="K30" i="15"/>
  <c r="B21" i="8"/>
  <c r="B23" i="8" s="1"/>
  <c r="C21" i="8"/>
  <c r="D21" i="8"/>
  <c r="E21" i="8"/>
  <c r="E23" i="8" s="1"/>
  <c r="G21" i="8"/>
  <c r="G23" i="8" s="1"/>
  <c r="L21" i="8"/>
  <c r="B33" i="2"/>
  <c r="C33" i="2"/>
  <c r="D33" i="2"/>
  <c r="E33" i="2"/>
  <c r="E38" i="2"/>
  <c r="F33" i="2"/>
  <c r="B33" i="3"/>
  <c r="C33" i="3"/>
  <c r="D33" i="3"/>
  <c r="E33" i="3"/>
  <c r="F33" i="3"/>
  <c r="G33" i="3"/>
  <c r="H33" i="3"/>
  <c r="B30" i="4"/>
  <c r="C30" i="4"/>
  <c r="D30" i="4"/>
  <c r="E30" i="4"/>
  <c r="F30" i="4"/>
  <c r="G30" i="4"/>
  <c r="H30" i="4"/>
  <c r="I30" i="4"/>
  <c r="J30" i="4"/>
  <c r="J35" i="4"/>
  <c r="B30" i="15"/>
  <c r="C30" i="15"/>
  <c r="D30" i="15"/>
  <c r="E30" i="15"/>
  <c r="F30" i="15"/>
  <c r="G30" i="15"/>
  <c r="H30" i="15"/>
  <c r="J30" i="15"/>
  <c r="B38" i="2"/>
  <c r="C38" i="2"/>
  <c r="D38" i="2"/>
  <c r="D39" i="2"/>
  <c r="F38" i="2"/>
  <c r="B38" i="3"/>
  <c r="C38" i="3"/>
  <c r="D38" i="3"/>
  <c r="E38" i="3"/>
  <c r="F38" i="3"/>
  <c r="F39" i="3"/>
  <c r="G38" i="3"/>
  <c r="B35" i="4"/>
  <c r="C35" i="4"/>
  <c r="D35" i="4"/>
  <c r="E35" i="4"/>
  <c r="E36" i="4"/>
  <c r="F35" i="4"/>
  <c r="G35" i="4"/>
  <c r="H35" i="4"/>
  <c r="H36" i="4"/>
  <c r="I35" i="4"/>
  <c r="B35" i="15"/>
  <c r="C35" i="15"/>
  <c r="D35" i="15"/>
  <c r="E35" i="15"/>
  <c r="F35" i="15"/>
  <c r="G35" i="15"/>
  <c r="H35" i="15"/>
  <c r="J35" i="15"/>
  <c r="B26" i="8"/>
  <c r="C26" i="8"/>
  <c r="C27" i="8"/>
  <c r="D26" i="8"/>
  <c r="E26" i="8"/>
  <c r="G26" i="8"/>
  <c r="J26" i="8"/>
  <c r="K26" i="8"/>
  <c r="L26" i="8"/>
  <c r="B39" i="2"/>
  <c r="C39" i="2"/>
  <c r="E39" i="2"/>
  <c r="F39" i="2"/>
  <c r="B39" i="3"/>
  <c r="C39" i="3"/>
  <c r="E39" i="3"/>
  <c r="G39" i="3"/>
  <c r="B36" i="4"/>
  <c r="C36" i="4"/>
  <c r="D36" i="4"/>
  <c r="F36" i="4"/>
  <c r="G36" i="4"/>
  <c r="I36" i="4"/>
  <c r="B36" i="15"/>
  <c r="C36" i="15"/>
  <c r="C41" i="15" s="1"/>
  <c r="D36" i="15"/>
  <c r="D41" i="15" s="1"/>
  <c r="E36" i="15"/>
  <c r="E41" i="15" s="1"/>
  <c r="F36" i="15"/>
  <c r="G36" i="15"/>
  <c r="G41" i="15" s="1"/>
  <c r="H36" i="15"/>
  <c r="H41" i="15" s="1"/>
  <c r="K36" i="15"/>
  <c r="B27" i="8"/>
  <c r="D27" i="8"/>
  <c r="E27" i="8"/>
  <c r="G27" i="8"/>
  <c r="J27" i="8"/>
  <c r="K27" i="8"/>
  <c r="B20" i="1"/>
  <c r="C20" i="1"/>
  <c r="B4" i="8"/>
  <c r="C4" i="8"/>
  <c r="C5" i="8"/>
  <c r="D4" i="8"/>
  <c r="E4" i="8"/>
  <c r="G4" i="8"/>
  <c r="I4" i="8"/>
  <c r="J4" i="8"/>
  <c r="K4" i="8"/>
  <c r="K5" i="8"/>
  <c r="L4" i="8"/>
  <c r="B5" i="8"/>
  <c r="D5" i="8"/>
  <c r="E5" i="8"/>
  <c r="G5" i="8"/>
  <c r="I5" i="8"/>
  <c r="J5" i="8"/>
  <c r="L5" i="8"/>
  <c r="B10" i="7"/>
  <c r="C10" i="7"/>
  <c r="D10" i="7"/>
  <c r="E10" i="7"/>
  <c r="E11" i="7"/>
  <c r="F10" i="7"/>
  <c r="B11" i="7"/>
  <c r="C11" i="7"/>
  <c r="D11" i="7"/>
  <c r="F11" i="7"/>
  <c r="B15" i="4"/>
  <c r="C15" i="4"/>
  <c r="D15" i="4"/>
  <c r="D16" i="4"/>
  <c r="E15" i="4"/>
  <c r="E16" i="4"/>
  <c r="F15" i="4"/>
  <c r="G15" i="4"/>
  <c r="H15" i="4"/>
  <c r="H16" i="4"/>
  <c r="I15" i="4"/>
  <c r="J15" i="4"/>
  <c r="B15" i="15"/>
  <c r="C15" i="15"/>
  <c r="D15" i="15"/>
  <c r="D16" i="15"/>
  <c r="E15" i="15"/>
  <c r="F15" i="15"/>
  <c r="G15" i="15"/>
  <c r="G16" i="15"/>
  <c r="H15" i="15"/>
  <c r="J15" i="15"/>
  <c r="K15" i="15"/>
  <c r="B18" i="4"/>
  <c r="C18" i="4"/>
  <c r="D18" i="4"/>
  <c r="D19" i="4"/>
  <c r="E18" i="4"/>
  <c r="F18" i="4"/>
  <c r="G18" i="4"/>
  <c r="H18" i="4"/>
  <c r="I18" i="4"/>
  <c r="J18" i="4"/>
  <c r="B18" i="15"/>
  <c r="B19" i="15"/>
  <c r="C18" i="15"/>
  <c r="D18" i="15"/>
  <c r="E18" i="15"/>
  <c r="E19" i="15"/>
  <c r="F18" i="15"/>
  <c r="F19" i="15"/>
  <c r="G18" i="15"/>
  <c r="H18" i="15"/>
  <c r="J18" i="15"/>
  <c r="K18" i="15"/>
  <c r="K19" i="15"/>
  <c r="K16" i="15"/>
  <c r="B16" i="4"/>
  <c r="C16" i="4"/>
  <c r="F16" i="4"/>
  <c r="G16" i="4"/>
  <c r="I16" i="4"/>
  <c r="J16" i="4"/>
  <c r="B16" i="15"/>
  <c r="C16" i="15"/>
  <c r="E16" i="15"/>
  <c r="F16" i="15"/>
  <c r="H16" i="15"/>
  <c r="J16" i="15"/>
  <c r="B19" i="4"/>
  <c r="B20" i="4" s="1"/>
  <c r="C19" i="4"/>
  <c r="E19" i="4"/>
  <c r="F19" i="4"/>
  <c r="G19" i="4"/>
  <c r="H19" i="4"/>
  <c r="I19" i="4"/>
  <c r="J19" i="4"/>
  <c r="C19" i="15"/>
  <c r="D19" i="15"/>
  <c r="G19" i="15"/>
  <c r="H19" i="15"/>
  <c r="J19" i="15"/>
  <c r="B15" i="2"/>
  <c r="C15" i="2"/>
  <c r="C16" i="2"/>
  <c r="C19" i="2"/>
  <c r="C20" i="2"/>
  <c r="D15" i="2"/>
  <c r="E15" i="2"/>
  <c r="E16" i="2"/>
  <c r="F15" i="2"/>
  <c r="B16" i="3"/>
  <c r="C16" i="3"/>
  <c r="D16" i="3"/>
  <c r="E16" i="3"/>
  <c r="F16" i="3"/>
  <c r="F17" i="3"/>
  <c r="G16" i="3"/>
  <c r="G17" i="3"/>
  <c r="H16" i="3"/>
  <c r="B19" i="2"/>
  <c r="D19" i="2"/>
  <c r="D20" i="2"/>
  <c r="E19" i="2"/>
  <c r="E20" i="2"/>
  <c r="E21" i="2" s="1"/>
  <c r="F19" i="2"/>
  <c r="F20" i="2"/>
  <c r="F16" i="2"/>
  <c r="B20" i="3"/>
  <c r="C20" i="3"/>
  <c r="D20" i="3"/>
  <c r="E20" i="3"/>
  <c r="F20" i="3"/>
  <c r="G20" i="3"/>
  <c r="H20" i="3"/>
  <c r="B16" i="2"/>
  <c r="D16" i="2"/>
  <c r="B17" i="3"/>
  <c r="C17" i="3"/>
  <c r="D17" i="3"/>
  <c r="E17" i="3"/>
  <c r="H17" i="3"/>
  <c r="B20" i="2"/>
  <c r="B21" i="3"/>
  <c r="C21" i="3"/>
  <c r="D21" i="3"/>
  <c r="E21" i="3"/>
  <c r="F21" i="3"/>
  <c r="G21" i="3"/>
  <c r="H21" i="3"/>
  <c r="C51" i="2"/>
  <c r="F49" i="3"/>
  <c r="I49" i="3" s="1"/>
  <c r="G51" i="2" s="1"/>
  <c r="B45" i="4"/>
  <c r="F45" i="4"/>
  <c r="H45" i="4"/>
  <c r="C47" i="15"/>
  <c r="E47" i="15"/>
  <c r="F47" i="15"/>
  <c r="B37" i="1"/>
  <c r="B36" i="1"/>
  <c r="Q50" i="9"/>
  <c r="N50" i="9"/>
  <c r="H50" i="9"/>
  <c r="E50" i="9"/>
  <c r="Q49" i="9"/>
  <c r="N49" i="9"/>
  <c r="H49" i="9"/>
  <c r="E49" i="9"/>
  <c r="Q48" i="9"/>
  <c r="N48" i="9"/>
  <c r="H48" i="9"/>
  <c r="E48" i="9"/>
  <c r="Q47" i="9"/>
  <c r="N47" i="9"/>
  <c r="N46" i="9" s="1"/>
  <c r="H47" i="9"/>
  <c r="E47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G41" i="9"/>
  <c r="Q40" i="9"/>
  <c r="N40" i="9"/>
  <c r="H40" i="9"/>
  <c r="E40" i="9"/>
  <c r="Q39" i="9"/>
  <c r="N39" i="9"/>
  <c r="N38" i="9"/>
  <c r="H39" i="9"/>
  <c r="H38" i="9"/>
  <c r="E39" i="9"/>
  <c r="Q38" i="9"/>
  <c r="E38" i="9"/>
  <c r="Q35" i="9"/>
  <c r="N35" i="9"/>
  <c r="L35" i="9"/>
  <c r="H35" i="9"/>
  <c r="E35" i="9"/>
  <c r="Q33" i="9"/>
  <c r="N33" i="9"/>
  <c r="H33" i="9"/>
  <c r="E33" i="9"/>
  <c r="Q31" i="9"/>
  <c r="N31" i="9"/>
  <c r="H31" i="9"/>
  <c r="E31" i="9"/>
  <c r="Q30" i="9"/>
  <c r="Q29" i="9" s="1"/>
  <c r="N30" i="9"/>
  <c r="H30" i="9"/>
  <c r="H29" i="9" s="1"/>
  <c r="E30" i="9"/>
  <c r="E29" i="9" s="1"/>
  <c r="Q27" i="9"/>
  <c r="N27" i="9"/>
  <c r="H27" i="9"/>
  <c r="E27" i="9"/>
  <c r="Q25" i="9"/>
  <c r="N25" i="9"/>
  <c r="H25" i="9"/>
  <c r="E25" i="9"/>
  <c r="Q23" i="9"/>
  <c r="N23" i="9"/>
  <c r="L23" i="9"/>
  <c r="H23" i="9"/>
  <c r="E23" i="9"/>
  <c r="Q21" i="9"/>
  <c r="N21" i="9"/>
  <c r="H21" i="9"/>
  <c r="G21" i="9"/>
  <c r="E21" i="9"/>
  <c r="Q20" i="9"/>
  <c r="N20" i="9"/>
  <c r="H20" i="9"/>
  <c r="G20" i="9"/>
  <c r="E20" i="9"/>
  <c r="Q19" i="9"/>
  <c r="N19" i="9"/>
  <c r="H19" i="9"/>
  <c r="E19" i="9"/>
  <c r="Q18" i="9"/>
  <c r="N18" i="9"/>
  <c r="L18" i="9"/>
  <c r="H18" i="9"/>
  <c r="G18" i="9"/>
  <c r="E18" i="9"/>
  <c r="Q17" i="9"/>
  <c r="N17" i="9"/>
  <c r="H17" i="9"/>
  <c r="E17" i="9"/>
  <c r="Q16" i="9"/>
  <c r="N16" i="9"/>
  <c r="H16" i="9"/>
  <c r="G16" i="9"/>
  <c r="E16" i="9"/>
  <c r="Q15" i="9"/>
  <c r="N15" i="9"/>
  <c r="H15" i="9"/>
  <c r="E15" i="9"/>
  <c r="Q12" i="9"/>
  <c r="N12" i="9"/>
  <c r="H12" i="9"/>
  <c r="H11" i="9"/>
  <c r="E12" i="9"/>
  <c r="Q11" i="9"/>
  <c r="N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P50" i="9"/>
  <c r="L50" i="9"/>
  <c r="G50" i="9"/>
  <c r="P49" i="9"/>
  <c r="L49" i="9"/>
  <c r="G49" i="9"/>
  <c r="P48" i="9"/>
  <c r="P47" i="9"/>
  <c r="L48" i="9"/>
  <c r="G48" i="9"/>
  <c r="L47" i="9"/>
  <c r="O47" i="9" s="1"/>
  <c r="G47" i="9"/>
  <c r="I47" i="9" s="1"/>
  <c r="C47" i="9"/>
  <c r="F47" i="9" s="1"/>
  <c r="P44" i="9"/>
  <c r="L44" i="9"/>
  <c r="O44" i="9" s="1"/>
  <c r="G44" i="9"/>
  <c r="I44" i="9" s="1"/>
  <c r="P43" i="9"/>
  <c r="L43" i="9"/>
  <c r="G43" i="9"/>
  <c r="P42" i="9"/>
  <c r="L42" i="9"/>
  <c r="G42" i="9"/>
  <c r="P41" i="9"/>
  <c r="L41" i="9"/>
  <c r="P40" i="9"/>
  <c r="L40" i="9"/>
  <c r="G40" i="9"/>
  <c r="P39" i="9"/>
  <c r="L39" i="9"/>
  <c r="G39" i="9"/>
  <c r="P38" i="9"/>
  <c r="L38" i="9"/>
  <c r="G38" i="9"/>
  <c r="C38" i="9"/>
  <c r="P35" i="9"/>
  <c r="G35" i="9"/>
  <c r="C35" i="9"/>
  <c r="P33" i="9"/>
  <c r="L33" i="9"/>
  <c r="G33" i="9"/>
  <c r="C33" i="9"/>
  <c r="P31" i="9"/>
  <c r="L31" i="9"/>
  <c r="G31" i="9"/>
  <c r="C31" i="9"/>
  <c r="P30" i="9"/>
  <c r="P29" i="9" s="1"/>
  <c r="L30" i="9"/>
  <c r="G30" i="9"/>
  <c r="C30" i="9"/>
  <c r="P27" i="9"/>
  <c r="L27" i="9"/>
  <c r="G27" i="9"/>
  <c r="C27" i="9"/>
  <c r="P25" i="9"/>
  <c r="L25" i="9"/>
  <c r="G25" i="9"/>
  <c r="C25" i="9"/>
  <c r="P23" i="9"/>
  <c r="G23" i="9"/>
  <c r="C23" i="9"/>
  <c r="P21" i="9"/>
  <c r="L21" i="9"/>
  <c r="O21" i="9" s="1"/>
  <c r="P20" i="9"/>
  <c r="L20" i="9"/>
  <c r="P19" i="9"/>
  <c r="L19" i="9"/>
  <c r="G19" i="9"/>
  <c r="P18" i="9"/>
  <c r="P17" i="9"/>
  <c r="L17" i="9"/>
  <c r="G17" i="9"/>
  <c r="P16" i="9"/>
  <c r="R16" i="9" s="1"/>
  <c r="P15" i="9"/>
  <c r="L16" i="9"/>
  <c r="L15" i="9"/>
  <c r="G15" i="9"/>
  <c r="P12" i="9"/>
  <c r="R12" i="9" s="1"/>
  <c r="L12" i="9"/>
  <c r="O12" i="9" s="1"/>
  <c r="G12" i="9"/>
  <c r="I12" i="9" s="1"/>
  <c r="P11" i="9"/>
  <c r="L11" i="9"/>
  <c r="G11" i="9"/>
  <c r="C11" i="9"/>
  <c r="P8" i="9"/>
  <c r="L8" i="9"/>
  <c r="G8" i="9"/>
  <c r="C8" i="9"/>
  <c r="P6" i="9"/>
  <c r="L6" i="9"/>
  <c r="G6" i="9"/>
  <c r="C6" i="9"/>
  <c r="P4" i="9"/>
  <c r="L4" i="9"/>
  <c r="G4" i="9"/>
  <c r="L35" i="16"/>
  <c r="L34" i="16"/>
  <c r="K35" i="16"/>
  <c r="J35" i="16"/>
  <c r="I35" i="16"/>
  <c r="H35" i="16"/>
  <c r="G35" i="16"/>
  <c r="F35" i="16"/>
  <c r="F34" i="16"/>
  <c r="E35" i="16"/>
  <c r="B35" i="16"/>
  <c r="C35" i="16"/>
  <c r="D35" i="16"/>
  <c r="D34" i="16"/>
  <c r="K34" i="16"/>
  <c r="K37" i="16" s="1"/>
  <c r="J34" i="16"/>
  <c r="J37" i="16" s="1"/>
  <c r="I34" i="16"/>
  <c r="I37" i="16" s="1"/>
  <c r="H34" i="16"/>
  <c r="G34" i="16"/>
  <c r="E34" i="16"/>
  <c r="C34" i="16"/>
  <c r="B34" i="16"/>
  <c r="L28" i="16"/>
  <c r="K28" i="16"/>
  <c r="K27" i="16"/>
  <c r="J28" i="16"/>
  <c r="J27" i="16"/>
  <c r="I28" i="16"/>
  <c r="H28" i="16"/>
  <c r="G28" i="16"/>
  <c r="F28" i="16"/>
  <c r="E28" i="16"/>
  <c r="D28" i="16"/>
  <c r="D27" i="16"/>
  <c r="C28" i="16"/>
  <c r="C27" i="16"/>
  <c r="B27" i="16"/>
  <c r="B28" i="16"/>
  <c r="E27" i="16"/>
  <c r="F27" i="16"/>
  <c r="G27" i="16"/>
  <c r="H27" i="16"/>
  <c r="I27" i="16"/>
  <c r="L27" i="16"/>
  <c r="L22" i="16"/>
  <c r="K22" i="16"/>
  <c r="J22" i="16"/>
  <c r="J21" i="16"/>
  <c r="J23" i="16" s="1"/>
  <c r="I22" i="16"/>
  <c r="I21" i="16"/>
  <c r="H22" i="16"/>
  <c r="G22" i="16"/>
  <c r="F22" i="16"/>
  <c r="E22" i="16"/>
  <c r="D22" i="16"/>
  <c r="C22" i="16"/>
  <c r="B22" i="16"/>
  <c r="L21" i="16"/>
  <c r="K21" i="16"/>
  <c r="H21" i="16"/>
  <c r="G21" i="16"/>
  <c r="F21" i="16"/>
  <c r="E21" i="16"/>
  <c r="D21" i="16"/>
  <c r="C21" i="16"/>
  <c r="B21" i="16"/>
  <c r="L17" i="16"/>
  <c r="K17" i="16"/>
  <c r="J17" i="16"/>
  <c r="I17" i="16"/>
  <c r="H17" i="16"/>
  <c r="H16" i="16"/>
  <c r="G17" i="16"/>
  <c r="G16" i="16"/>
  <c r="F17" i="16"/>
  <c r="F16" i="16"/>
  <c r="E17" i="16"/>
  <c r="D17" i="16"/>
  <c r="C17" i="16"/>
  <c r="B17" i="16"/>
  <c r="L16" i="16"/>
  <c r="K16" i="16"/>
  <c r="J16" i="16"/>
  <c r="I16" i="16"/>
  <c r="E16" i="16"/>
  <c r="E18" i="16" s="1"/>
  <c r="D16" i="16"/>
  <c r="C16" i="16"/>
  <c r="C18" i="16" s="1"/>
  <c r="B16" i="16"/>
  <c r="L9" i="8"/>
  <c r="B9" i="8"/>
  <c r="L8" i="8"/>
  <c r="B8" i="8"/>
  <c r="F46" i="15"/>
  <c r="E46" i="15"/>
  <c r="C46" i="15"/>
  <c r="H44" i="4"/>
  <c r="F44" i="4"/>
  <c r="B44" i="4"/>
  <c r="F48" i="3"/>
  <c r="I48" i="3" s="1"/>
  <c r="G50" i="2" s="1"/>
  <c r="H39" i="3"/>
  <c r="H38" i="3"/>
  <c r="C50" i="2"/>
  <c r="C48" i="2"/>
  <c r="H48" i="2" s="1"/>
  <c r="C47" i="2"/>
  <c r="O23" i="7"/>
  <c r="O22" i="7"/>
  <c r="E22" i="7"/>
  <c r="E21" i="7"/>
  <c r="O21" i="7"/>
  <c r="N30" i="7"/>
  <c r="N31" i="7"/>
  <c r="P31" i="7"/>
  <c r="D30" i="7"/>
  <c r="F30" i="7"/>
  <c r="D31" i="7"/>
  <c r="F31" i="7"/>
  <c r="N29" i="7"/>
  <c r="P29" i="7"/>
  <c r="D29" i="7"/>
  <c r="N27" i="7"/>
  <c r="P27" i="7"/>
  <c r="N28" i="7"/>
  <c r="P28" i="7"/>
  <c r="D27" i="7"/>
  <c r="F27" i="7"/>
  <c r="D28" i="7"/>
  <c r="N25" i="7"/>
  <c r="P25" i="7"/>
  <c r="D25" i="7"/>
  <c r="F25" i="7"/>
  <c r="N32" i="7"/>
  <c r="P32" i="7"/>
  <c r="I32" i="7"/>
  <c r="K32" i="7"/>
  <c r="D32" i="7"/>
  <c r="F32" i="7"/>
  <c r="I31" i="7"/>
  <c r="K31" i="7"/>
  <c r="P30" i="7"/>
  <c r="I30" i="7"/>
  <c r="K30" i="7"/>
  <c r="I29" i="7"/>
  <c r="K29" i="7"/>
  <c r="F29" i="7"/>
  <c r="I28" i="7"/>
  <c r="K28" i="7"/>
  <c r="F28" i="7"/>
  <c r="I27" i="7"/>
  <c r="K27" i="7"/>
  <c r="N26" i="7"/>
  <c r="P26" i="7"/>
  <c r="I26" i="7"/>
  <c r="K26" i="7"/>
  <c r="D26" i="7"/>
  <c r="F26" i="7"/>
  <c r="I25" i="7"/>
  <c r="K25" i="7"/>
  <c r="E45" i="15"/>
  <c r="L45" i="15" s="1"/>
  <c r="E44" i="15"/>
  <c r="L44" i="15" s="1"/>
  <c r="M20" i="16"/>
  <c r="M8" i="16"/>
  <c r="H42" i="2"/>
  <c r="H37" i="2"/>
  <c r="H36" i="2"/>
  <c r="H32" i="2"/>
  <c r="H8" i="2"/>
  <c r="L34" i="4"/>
  <c r="L33" i="4"/>
  <c r="L14" i="4"/>
  <c r="C10" i="8"/>
  <c r="D10" i="8"/>
  <c r="E10" i="8"/>
  <c r="G10" i="8"/>
  <c r="I10" i="8"/>
  <c r="J10" i="8"/>
  <c r="K10" i="8"/>
  <c r="I33" i="8"/>
  <c r="D23" i="7"/>
  <c r="N23" i="7"/>
  <c r="I23" i="7"/>
  <c r="I22" i="7"/>
  <c r="N22" i="7"/>
  <c r="D22" i="7"/>
  <c r="D21" i="7"/>
  <c r="I21" i="7"/>
  <c r="N21" i="7"/>
  <c r="D40" i="2" l="1"/>
  <c r="E7" i="7"/>
  <c r="B37" i="15"/>
  <c r="F21" i="9"/>
  <c r="J7" i="4"/>
  <c r="Q46" i="9"/>
  <c r="H46" i="9"/>
  <c r="O15" i="9"/>
  <c r="F31" i="9"/>
  <c r="C44" i="3"/>
  <c r="J11" i="16"/>
  <c r="E22" i="3"/>
  <c r="D7" i="3"/>
  <c r="K17" i="15"/>
  <c r="K6" i="16"/>
  <c r="F19" i="9"/>
  <c r="F49" i="9"/>
  <c r="C17" i="15"/>
  <c r="C6" i="8"/>
  <c r="C12" i="8" s="1"/>
  <c r="G7" i="4"/>
  <c r="C7" i="4"/>
  <c r="F7" i="3"/>
  <c r="D6" i="2"/>
  <c r="O6" i="9"/>
  <c r="O8" i="9"/>
  <c r="F35" i="9"/>
  <c r="Q10" i="9"/>
  <c r="E46" i="9"/>
  <c r="B22" i="3"/>
  <c r="J17" i="15"/>
  <c r="L28" i="8"/>
  <c r="G37" i="4"/>
  <c r="D43" i="2"/>
  <c r="J32" i="4"/>
  <c r="F32" i="4"/>
  <c r="C30" i="2"/>
  <c r="D21" i="1"/>
  <c r="G21" i="1" s="1"/>
  <c r="C11" i="16"/>
  <c r="D32" i="15"/>
  <c r="B32" i="4"/>
  <c r="K18" i="16"/>
  <c r="E23" i="16"/>
  <c r="K23" i="16"/>
  <c r="J30" i="16"/>
  <c r="B37" i="16"/>
  <c r="D37" i="16"/>
  <c r="R11" i="9"/>
  <c r="R18" i="9"/>
  <c r="O20" i="9"/>
  <c r="R47" i="9"/>
  <c r="R49" i="9"/>
  <c r="N37" i="9"/>
  <c r="I40" i="9"/>
  <c r="I42" i="9"/>
  <c r="H20" i="4"/>
  <c r="F37" i="15"/>
  <c r="D37" i="4"/>
  <c r="E37" i="15"/>
  <c r="C40" i="2"/>
  <c r="D35" i="3"/>
  <c r="E40" i="2"/>
  <c r="D18" i="8"/>
  <c r="B35" i="3"/>
  <c r="C35" i="2"/>
  <c r="E11" i="16"/>
  <c r="D6" i="16"/>
  <c r="H12" i="3"/>
  <c r="F7" i="4"/>
  <c r="C12" i="15"/>
  <c r="E11" i="2"/>
  <c r="F12" i="9"/>
  <c r="I37" i="15"/>
  <c r="B7" i="15"/>
  <c r="R19" i="9"/>
  <c r="F25" i="9"/>
  <c r="F33" i="9"/>
  <c r="D20" i="4"/>
  <c r="E12" i="7"/>
  <c r="G40" i="3"/>
  <c r="H32" i="15"/>
  <c r="L18" i="16"/>
  <c r="C37" i="16"/>
  <c r="F37" i="16"/>
  <c r="I17" i="9"/>
  <c r="I23" i="9"/>
  <c r="R48" i="9"/>
  <c r="I6" i="9"/>
  <c r="I8" i="9"/>
  <c r="N10" i="9"/>
  <c r="I16" i="9"/>
  <c r="F18" i="9"/>
  <c r="I21" i="9"/>
  <c r="N53" i="9"/>
  <c r="D18" i="3"/>
  <c r="E17" i="2"/>
  <c r="E23" i="2" s="1"/>
  <c r="I17" i="4"/>
  <c r="D17" i="15"/>
  <c r="G17" i="4"/>
  <c r="D17" i="4"/>
  <c r="D20" i="1"/>
  <c r="G20" i="1" s="1"/>
  <c r="G32" i="8"/>
  <c r="I41" i="4"/>
  <c r="H37" i="15"/>
  <c r="H37" i="4"/>
  <c r="E37" i="4"/>
  <c r="B40" i="4"/>
  <c r="J37" i="4"/>
  <c r="J42" i="4" s="1"/>
  <c r="H27" i="15"/>
  <c r="B41" i="4"/>
  <c r="C30" i="3"/>
  <c r="C6" i="16"/>
  <c r="B7" i="4"/>
  <c r="E7" i="4"/>
  <c r="F6" i="2"/>
  <c r="C20" i="4"/>
  <c r="E7" i="3"/>
  <c r="F7" i="15"/>
  <c r="H32" i="4"/>
  <c r="L10" i="15"/>
  <c r="K10" i="4" s="1"/>
  <c r="G10" i="9"/>
  <c r="C10" i="9"/>
  <c r="I43" i="9"/>
  <c r="I50" i="9"/>
  <c r="D21" i="2"/>
  <c r="C21" i="2"/>
  <c r="C37" i="4"/>
  <c r="B32" i="15"/>
  <c r="D32" i="4"/>
  <c r="G41" i="4"/>
  <c r="B11" i="2"/>
  <c r="I7" i="4"/>
  <c r="C12" i="3"/>
  <c r="G32" i="4"/>
  <c r="C49" i="2"/>
  <c r="H49" i="2" s="1"/>
  <c r="M8" i="8"/>
  <c r="H18" i="16"/>
  <c r="H23" i="16"/>
  <c r="L30" i="16"/>
  <c r="F30" i="16"/>
  <c r="C30" i="16"/>
  <c r="E30" i="16"/>
  <c r="I30" i="16"/>
  <c r="O40" i="9"/>
  <c r="I48" i="9"/>
  <c r="R40" i="9"/>
  <c r="E18" i="3"/>
  <c r="H33" i="8"/>
  <c r="D22" i="3"/>
  <c r="F21" i="2"/>
  <c r="G18" i="3"/>
  <c r="E40" i="3"/>
  <c r="F32" i="15"/>
  <c r="E12" i="15"/>
  <c r="G37" i="16"/>
  <c r="O39" i="9"/>
  <c r="O42" i="9"/>
  <c r="O49" i="9"/>
  <c r="O16" i="9"/>
  <c r="O17" i="9"/>
  <c r="F38" i="9"/>
  <c r="H51" i="2"/>
  <c r="F17" i="2"/>
  <c r="H17" i="15"/>
  <c r="D32" i="8"/>
  <c r="F37" i="4"/>
  <c r="F40" i="2"/>
  <c r="F40" i="3"/>
  <c r="C40" i="3"/>
  <c r="F35" i="2"/>
  <c r="K40" i="15"/>
  <c r="K41" i="15"/>
  <c r="G32" i="15"/>
  <c r="I32" i="4"/>
  <c r="E32" i="4"/>
  <c r="C35" i="3"/>
  <c r="D44" i="2"/>
  <c r="K27" i="15"/>
  <c r="D41" i="4"/>
  <c r="D40" i="3"/>
  <c r="B44" i="3"/>
  <c r="G6" i="16"/>
  <c r="E6" i="16"/>
  <c r="C6" i="2"/>
  <c r="C12" i="4"/>
  <c r="B7" i="3"/>
  <c r="J12" i="15"/>
  <c r="I17" i="15"/>
  <c r="I7" i="15"/>
  <c r="G7" i="15"/>
  <c r="Q37" i="9"/>
  <c r="H47" i="2"/>
  <c r="R20" i="9"/>
  <c r="R38" i="9"/>
  <c r="R41" i="9"/>
  <c r="H18" i="3"/>
  <c r="J20" i="15"/>
  <c r="C20" i="15"/>
  <c r="B18" i="16"/>
  <c r="F30" i="9"/>
  <c r="C29" i="9"/>
  <c r="F29" i="9" s="1"/>
  <c r="G20" i="15"/>
  <c r="E28" i="8"/>
  <c r="E31" i="8"/>
  <c r="L35" i="15"/>
  <c r="K35" i="4" s="1"/>
  <c r="L35" i="4" s="1"/>
  <c r="C15" i="5" s="1"/>
  <c r="F43" i="9"/>
  <c r="E20" i="4"/>
  <c r="F12" i="7"/>
  <c r="C12" i="7"/>
  <c r="C43" i="3"/>
  <c r="C23" i="16"/>
  <c r="G23" i="16"/>
  <c r="G30" i="16"/>
  <c r="B30" i="16"/>
  <c r="D30" i="16"/>
  <c r="K30" i="16"/>
  <c r="E37" i="16"/>
  <c r="L37" i="16"/>
  <c r="R4" i="9"/>
  <c r="R6" i="9"/>
  <c r="R8" i="9"/>
  <c r="I15" i="9"/>
  <c r="F23" i="9"/>
  <c r="I27" i="9"/>
  <c r="I30" i="9"/>
  <c r="I31" i="9"/>
  <c r="I33" i="9"/>
  <c r="I35" i="9"/>
  <c r="O38" i="9"/>
  <c r="P37" i="9"/>
  <c r="R42" i="9"/>
  <c r="E14" i="9"/>
  <c r="F16" i="9"/>
  <c r="Q14" i="9"/>
  <c r="O18" i="9"/>
  <c r="H14" i="9"/>
  <c r="I20" i="9"/>
  <c r="I41" i="9"/>
  <c r="R50" i="9"/>
  <c r="F18" i="3"/>
  <c r="C18" i="3"/>
  <c r="E20" i="15"/>
  <c r="B20" i="15"/>
  <c r="B37" i="4"/>
  <c r="J32" i="15"/>
  <c r="E32" i="15"/>
  <c r="F35" i="3"/>
  <c r="F12" i="4"/>
  <c r="I11" i="3"/>
  <c r="G10" i="2" s="1"/>
  <c r="H10" i="2" s="1"/>
  <c r="C7" i="7"/>
  <c r="G7" i="3"/>
  <c r="K12" i="15"/>
  <c r="D12" i="15"/>
  <c r="G12" i="4"/>
  <c r="B12" i="4"/>
  <c r="E12" i="3"/>
  <c r="D11" i="2"/>
  <c r="F41" i="9"/>
  <c r="F20" i="9"/>
  <c r="C46" i="9"/>
  <c r="O19" i="9"/>
  <c r="R25" i="9"/>
  <c r="R30" i="9"/>
  <c r="R31" i="9"/>
  <c r="R33" i="9"/>
  <c r="O43" i="9"/>
  <c r="O50" i="9"/>
  <c r="F39" i="9"/>
  <c r="C17" i="4"/>
  <c r="H17" i="4"/>
  <c r="K6" i="8"/>
  <c r="K12" i="8" s="1"/>
  <c r="J32" i="8"/>
  <c r="B35" i="2"/>
  <c r="J41" i="15"/>
  <c r="K18" i="8"/>
  <c r="E18" i="8"/>
  <c r="F12" i="15"/>
  <c r="H12" i="4"/>
  <c r="M5" i="16"/>
  <c r="B6" i="16"/>
  <c r="I5" i="3"/>
  <c r="G4" i="2" s="1"/>
  <c r="H4" i="2" s="1"/>
  <c r="B5" i="1" s="1"/>
  <c r="I10" i="3"/>
  <c r="G9" i="2" s="1"/>
  <c r="C14" i="9"/>
  <c r="L6" i="15"/>
  <c r="K6" i="4" s="1"/>
  <c r="L6" i="4" s="1"/>
  <c r="C6" i="1" s="1"/>
  <c r="F17" i="9"/>
  <c r="G29" i="9"/>
  <c r="I29" i="9" s="1"/>
  <c r="J40" i="4"/>
  <c r="F40" i="4"/>
  <c r="P10" i="9"/>
  <c r="C43" i="2"/>
  <c r="F12" i="3"/>
  <c r="F15" i="9"/>
  <c r="O27" i="9"/>
  <c r="O31" i="9"/>
  <c r="L47" i="15"/>
  <c r="K45" i="4" s="1"/>
  <c r="L45" i="4" s="1"/>
  <c r="F22" i="3"/>
  <c r="H35" i="3"/>
  <c r="K37" i="15"/>
  <c r="B43" i="2"/>
  <c r="F41" i="15"/>
  <c r="B41" i="15"/>
  <c r="H41" i="4"/>
  <c r="G44" i="3"/>
  <c r="I34" i="3"/>
  <c r="G34" i="2" s="1"/>
  <c r="H34" i="2" s="1"/>
  <c r="B11" i="5" s="1"/>
  <c r="C44" i="2"/>
  <c r="J27" i="15"/>
  <c r="C41" i="4"/>
  <c r="F44" i="3"/>
  <c r="D30" i="3"/>
  <c r="B18" i="8"/>
  <c r="J6" i="16"/>
  <c r="L11" i="15"/>
  <c r="K11" i="4" s="1"/>
  <c r="L11" i="4" s="1"/>
  <c r="G12" i="15"/>
  <c r="H40" i="15"/>
  <c r="H42" i="15" s="1"/>
  <c r="B12" i="3"/>
  <c r="P46" i="9"/>
  <c r="R46" i="9" s="1"/>
  <c r="H40" i="4"/>
  <c r="R39" i="9"/>
  <c r="E41" i="4"/>
  <c r="D40" i="15"/>
  <c r="D42" i="15" s="1"/>
  <c r="F43" i="2"/>
  <c r="I18" i="9"/>
  <c r="B21" i="2"/>
  <c r="F17" i="4"/>
  <c r="K32" i="8"/>
  <c r="E32" i="8"/>
  <c r="I37" i="4"/>
  <c r="L18" i="8"/>
  <c r="C18" i="8"/>
  <c r="B12" i="15"/>
  <c r="F41" i="4"/>
  <c r="B43" i="3"/>
  <c r="L23" i="16"/>
  <c r="I23" i="16"/>
  <c r="M28" i="16"/>
  <c r="M27" i="16"/>
  <c r="H37" i="16"/>
  <c r="L53" i="9"/>
  <c r="R17" i="9"/>
  <c r="R21" i="9"/>
  <c r="I21" i="3"/>
  <c r="G20" i="2" s="1"/>
  <c r="H20" i="2" s="1"/>
  <c r="I17" i="3"/>
  <c r="G16" i="2" s="1"/>
  <c r="H16" i="2" s="1"/>
  <c r="G22" i="3"/>
  <c r="G23" i="3" s="1"/>
  <c r="C22" i="3"/>
  <c r="I16" i="3"/>
  <c r="G15" i="2" s="1"/>
  <c r="H15" i="2" s="1"/>
  <c r="B17" i="2"/>
  <c r="L19" i="15"/>
  <c r="K19" i="4" s="1"/>
  <c r="L19" i="4" s="1"/>
  <c r="J17" i="4"/>
  <c r="F20" i="15"/>
  <c r="D20" i="15"/>
  <c r="J20" i="4"/>
  <c r="L15" i="15"/>
  <c r="K15" i="4" s="1"/>
  <c r="L15" i="4" s="1"/>
  <c r="G11" i="7"/>
  <c r="C18" i="1" s="1"/>
  <c r="G10" i="7"/>
  <c r="B18" i="1" s="1"/>
  <c r="I39" i="3"/>
  <c r="G39" i="2" s="1"/>
  <c r="H39" i="2" s="1"/>
  <c r="B16" i="5" s="1"/>
  <c r="G40" i="15"/>
  <c r="G42" i="15" s="1"/>
  <c r="C37" i="15"/>
  <c r="E40" i="4"/>
  <c r="I38" i="3"/>
  <c r="G38" i="2" s="1"/>
  <c r="H38" i="2" s="1"/>
  <c r="B15" i="5" s="1"/>
  <c r="D35" i="2"/>
  <c r="I32" i="15"/>
  <c r="K7" i="15"/>
  <c r="L5" i="15"/>
  <c r="K5" i="4" s="1"/>
  <c r="K22" i="7"/>
  <c r="N29" i="9"/>
  <c r="I20" i="3"/>
  <c r="G19" i="2" s="1"/>
  <c r="H19" i="2" s="1"/>
  <c r="I28" i="3"/>
  <c r="G28" i="2" s="1"/>
  <c r="H28" i="2" s="1"/>
  <c r="J40" i="15"/>
  <c r="M34" i="16"/>
  <c r="L25" i="15"/>
  <c r="K25" i="4" s="1"/>
  <c r="L25" i="4" s="1"/>
  <c r="C5" i="5" s="1"/>
  <c r="G40" i="4"/>
  <c r="B30" i="2"/>
  <c r="C40" i="15"/>
  <c r="C42" i="15" s="1"/>
  <c r="D7" i="4"/>
  <c r="B40" i="2"/>
  <c r="B18" i="3"/>
  <c r="G37" i="15"/>
  <c r="D37" i="15"/>
  <c r="O33" i="9"/>
  <c r="H10" i="9"/>
  <c r="F48" i="9"/>
  <c r="B6" i="8"/>
  <c r="D6" i="8"/>
  <c r="D12" i="8" s="1"/>
  <c r="F44" i="2"/>
  <c r="D40" i="4"/>
  <c r="I40" i="15"/>
  <c r="J7" i="15"/>
  <c r="H7" i="15"/>
  <c r="M4" i="16"/>
  <c r="I29" i="3"/>
  <c r="G29" i="2" s="1"/>
  <c r="B40" i="15"/>
  <c r="D7" i="15"/>
  <c r="D44" i="3"/>
  <c r="L31" i="15"/>
  <c r="K31" i="4" s="1"/>
  <c r="L31" i="4" s="1"/>
  <c r="J37" i="15"/>
  <c r="F40" i="15"/>
  <c r="O4" i="9"/>
  <c r="B40" i="3"/>
  <c r="D43" i="3"/>
  <c r="C7" i="3"/>
  <c r="H43" i="3"/>
  <c r="B12" i="7"/>
  <c r="L37" i="9"/>
  <c r="L10" i="8"/>
  <c r="J18" i="16"/>
  <c r="O25" i="9"/>
  <c r="I39" i="9"/>
  <c r="R44" i="9"/>
  <c r="D12" i="7"/>
  <c r="F43" i="3"/>
  <c r="D11" i="16"/>
  <c r="E6" i="2"/>
  <c r="E12" i="4"/>
  <c r="L36" i="15"/>
  <c r="K36" i="4" s="1"/>
  <c r="L36" i="4" s="1"/>
  <c r="C16" i="5" s="1"/>
  <c r="L14" i="9"/>
  <c r="P53" i="9"/>
  <c r="L30" i="15"/>
  <c r="K30" i="4" s="1"/>
  <c r="E40" i="15"/>
  <c r="E42" i="15" s="1"/>
  <c r="R29" i="9"/>
  <c r="G18" i="16"/>
  <c r="I11" i="9"/>
  <c r="O23" i="9"/>
  <c r="K20" i="15"/>
  <c r="K21" i="15" s="1"/>
  <c r="F17" i="15"/>
  <c r="E6" i="8"/>
  <c r="E12" i="8" s="1"/>
  <c r="G11" i="16"/>
  <c r="H6" i="16"/>
  <c r="F6" i="16"/>
  <c r="F44" i="9"/>
  <c r="E7" i="15"/>
  <c r="I20" i="15"/>
  <c r="F22" i="7"/>
  <c r="F18" i="16"/>
  <c r="M35" i="16"/>
  <c r="G46" i="9"/>
  <c r="F6" i="9"/>
  <c r="F27" i="9"/>
  <c r="O35" i="9"/>
  <c r="I49" i="9"/>
  <c r="G17" i="15"/>
  <c r="G6" i="8"/>
  <c r="G12" i="8" s="1"/>
  <c r="C28" i="8"/>
  <c r="B31" i="8"/>
  <c r="M21" i="8"/>
  <c r="D10" i="5" s="1"/>
  <c r="K11" i="16"/>
  <c r="B11" i="16"/>
  <c r="I6" i="16"/>
  <c r="K23" i="7"/>
  <c r="I12" i="4"/>
  <c r="G12" i="3"/>
  <c r="D12" i="3"/>
  <c r="P21" i="7"/>
  <c r="P22" i="7"/>
  <c r="C17" i="2"/>
  <c r="M26" i="8"/>
  <c r="D15" i="5" s="1"/>
  <c r="C32" i="8"/>
  <c r="L32" i="8"/>
  <c r="F23" i="7"/>
  <c r="F7" i="7"/>
  <c r="H12" i="15"/>
  <c r="F4" i="9"/>
  <c r="L46" i="15"/>
  <c r="K44" i="4" s="1"/>
  <c r="L44" i="4" s="1"/>
  <c r="I18" i="16"/>
  <c r="M21" i="16"/>
  <c r="D23" i="16"/>
  <c r="R23" i="9"/>
  <c r="H20" i="15"/>
  <c r="F20" i="4"/>
  <c r="B28" i="8"/>
  <c r="M27" i="8"/>
  <c r="D16" i="5" s="1"/>
  <c r="K28" i="8"/>
  <c r="D28" i="8"/>
  <c r="I40" i="4"/>
  <c r="L31" i="8"/>
  <c r="M16" i="8"/>
  <c r="D5" i="5" s="1"/>
  <c r="E44" i="3"/>
  <c r="M22" i="8"/>
  <c r="D11" i="5" s="1"/>
  <c r="J41" i="4"/>
  <c r="B44" i="2"/>
  <c r="M17" i="8"/>
  <c r="D6" i="5" s="1"/>
  <c r="I11" i="16"/>
  <c r="H7" i="4"/>
  <c r="I27" i="15"/>
  <c r="F21" i="7"/>
  <c r="N14" i="9"/>
  <c r="R43" i="9"/>
  <c r="B46" i="4"/>
  <c r="B47" i="4" s="1"/>
  <c r="B17" i="15"/>
  <c r="E17" i="4"/>
  <c r="L6" i="8"/>
  <c r="I6" i="8"/>
  <c r="I12" i="8" s="1"/>
  <c r="J28" i="8"/>
  <c r="K32" i="15"/>
  <c r="C32" i="15"/>
  <c r="L11" i="16"/>
  <c r="J12" i="4"/>
  <c r="C11" i="2"/>
  <c r="I12" i="15"/>
  <c r="D38" i="1"/>
  <c r="E36" i="1" s="1"/>
  <c r="E29" i="1"/>
  <c r="G12" i="5"/>
  <c r="G22" i="5"/>
  <c r="J12" i="5"/>
  <c r="E33" i="7"/>
  <c r="B38" i="1"/>
  <c r="C37" i="1" s="1"/>
  <c r="H8" i="1"/>
  <c r="H11" i="1" s="1"/>
  <c r="E8" i="1"/>
  <c r="E11" i="1" s="1"/>
  <c r="G7" i="5"/>
  <c r="J21" i="5"/>
  <c r="O33" i="7"/>
  <c r="J7" i="5"/>
  <c r="J17" i="5"/>
  <c r="H29" i="1"/>
  <c r="K21" i="7"/>
  <c r="P23" i="7"/>
  <c r="J33" i="7"/>
  <c r="B32" i="8"/>
  <c r="D31" i="8"/>
  <c r="M5" i="8"/>
  <c r="C19" i="1" s="1"/>
  <c r="C31" i="8"/>
  <c r="C23" i="8"/>
  <c r="L23" i="8"/>
  <c r="K31" i="8"/>
  <c r="G18" i="8"/>
  <c r="J31" i="8"/>
  <c r="J23" i="8"/>
  <c r="D23" i="8"/>
  <c r="D18" i="16"/>
  <c r="M16" i="16"/>
  <c r="F8" i="9"/>
  <c r="G14" i="9"/>
  <c r="I19" i="9"/>
  <c r="G53" i="9"/>
  <c r="I41" i="15"/>
  <c r="L18" i="15"/>
  <c r="K18" i="4" s="1"/>
  <c r="M17" i="16"/>
  <c r="M9" i="8"/>
  <c r="B10" i="8"/>
  <c r="P14" i="9"/>
  <c r="R15" i="9"/>
  <c r="H21" i="1"/>
  <c r="E22" i="1"/>
  <c r="F42" i="9"/>
  <c r="C53" i="9"/>
  <c r="D42" i="9" s="1"/>
  <c r="C37" i="9"/>
  <c r="J20" i="5"/>
  <c r="E37" i="9"/>
  <c r="F11" i="16"/>
  <c r="M10" i="16"/>
  <c r="H7" i="3"/>
  <c r="I6" i="3"/>
  <c r="G5" i="2" s="1"/>
  <c r="D7" i="7"/>
  <c r="G6" i="7"/>
  <c r="C7" i="1" s="1"/>
  <c r="B7" i="7"/>
  <c r="G5" i="7"/>
  <c r="B7" i="1" s="1"/>
  <c r="G37" i="9"/>
  <c r="F20" i="1"/>
  <c r="H44" i="3"/>
  <c r="H40" i="3"/>
  <c r="M22" i="16"/>
  <c r="B23" i="16"/>
  <c r="O30" i="9"/>
  <c r="L29" i="9"/>
  <c r="O48" i="9"/>
  <c r="L46" i="9"/>
  <c r="I4" i="9"/>
  <c r="H53" i="9"/>
  <c r="E10" i="9"/>
  <c r="F11" i="9"/>
  <c r="Q53" i="9"/>
  <c r="I20" i="4"/>
  <c r="J6" i="8"/>
  <c r="M4" i="8"/>
  <c r="B19" i="1" s="1"/>
  <c r="C32" i="4"/>
  <c r="C40" i="4"/>
  <c r="G43" i="3"/>
  <c r="G35" i="3"/>
  <c r="I33" i="3"/>
  <c r="G33" i="2" s="1"/>
  <c r="H33" i="2" s="1"/>
  <c r="B10" i="5" s="1"/>
  <c r="E35" i="2"/>
  <c r="E43" i="2"/>
  <c r="E30" i="2"/>
  <c r="L26" i="15"/>
  <c r="K26" i="4" s="1"/>
  <c r="E53" i="9"/>
  <c r="M9" i="16"/>
  <c r="I25" i="9"/>
  <c r="L16" i="15"/>
  <c r="K16" i="4" s="1"/>
  <c r="L16" i="4" s="1"/>
  <c r="E17" i="15"/>
  <c r="H50" i="2"/>
  <c r="R27" i="9"/>
  <c r="R35" i="9"/>
  <c r="O41" i="9"/>
  <c r="H22" i="3"/>
  <c r="D17" i="2"/>
  <c r="B17" i="4"/>
  <c r="D12" i="4"/>
  <c r="F11" i="2"/>
  <c r="F23" i="16"/>
  <c r="G20" i="4"/>
  <c r="E35" i="3"/>
  <c r="E43" i="3"/>
  <c r="F40" i="9"/>
  <c r="H30" i="16"/>
  <c r="L10" i="9"/>
  <c r="O11" i="9"/>
  <c r="H37" i="9"/>
  <c r="I38" i="9"/>
  <c r="G31" i="8"/>
  <c r="G28" i="8"/>
  <c r="E44" i="2"/>
  <c r="B6" i="2"/>
  <c r="F50" i="9"/>
  <c r="G17" i="5"/>
  <c r="I21" i="4" l="1"/>
  <c r="I10" i="9"/>
  <c r="F46" i="9"/>
  <c r="B42" i="4"/>
  <c r="O37" i="9"/>
  <c r="E23" i="3"/>
  <c r="I20" i="1"/>
  <c r="D17" i="5"/>
  <c r="G42" i="4"/>
  <c r="H42" i="4"/>
  <c r="C24" i="7"/>
  <c r="I21" i="15"/>
  <c r="I46" i="9"/>
  <c r="R37" i="9"/>
  <c r="C45" i="3"/>
  <c r="C21" i="15"/>
  <c r="R10" i="9"/>
  <c r="F23" i="2"/>
  <c r="E42" i="4"/>
  <c r="C17" i="1"/>
  <c r="D42" i="4"/>
  <c r="B33" i="1"/>
  <c r="D33" i="1" s="1"/>
  <c r="C45" i="2"/>
  <c r="D45" i="3"/>
  <c r="D21" i="15"/>
  <c r="K12" i="4"/>
  <c r="L12" i="4" s="1"/>
  <c r="D21" i="4"/>
  <c r="I21" i="1"/>
  <c r="F45" i="2"/>
  <c r="B23" i="3"/>
  <c r="O53" i="9"/>
  <c r="B17" i="5"/>
  <c r="L33" i="8"/>
  <c r="H21" i="15"/>
  <c r="L10" i="4"/>
  <c r="H21" i="4"/>
  <c r="Q54" i="9"/>
  <c r="Q52" i="9" s="1"/>
  <c r="D19" i="1"/>
  <c r="G19" i="1" s="1"/>
  <c r="O14" i="9"/>
  <c r="J42" i="15"/>
  <c r="L7" i="15"/>
  <c r="C21" i="4"/>
  <c r="J21" i="15"/>
  <c r="F42" i="4"/>
  <c r="F21" i="1"/>
  <c r="K20" i="4"/>
  <c r="L20" i="4" s="1"/>
  <c r="G21" i="15"/>
  <c r="I40" i="3"/>
  <c r="C23" i="3"/>
  <c r="I30" i="3"/>
  <c r="D45" i="2"/>
  <c r="D23" i="3"/>
  <c r="D12" i="5"/>
  <c r="I14" i="9"/>
  <c r="I18" i="3"/>
  <c r="B45" i="3"/>
  <c r="C10" i="1"/>
  <c r="F23" i="3"/>
  <c r="F14" i="9"/>
  <c r="G11" i="2"/>
  <c r="H11" i="2" s="1"/>
  <c r="K42" i="15"/>
  <c r="M37" i="16"/>
  <c r="M18" i="8"/>
  <c r="F21" i="4"/>
  <c r="C23" i="2"/>
  <c r="F45" i="3"/>
  <c r="F42" i="15"/>
  <c r="D18" i="1"/>
  <c r="G18" i="1" s="1"/>
  <c r="F21" i="15"/>
  <c r="C16" i="1"/>
  <c r="I42" i="4"/>
  <c r="E33" i="8"/>
  <c r="H23" i="3"/>
  <c r="L18" i="4"/>
  <c r="B17" i="1" s="1"/>
  <c r="H45" i="3"/>
  <c r="J33" i="8"/>
  <c r="B45" i="2"/>
  <c r="K33" i="8"/>
  <c r="K7" i="4"/>
  <c r="L7" i="4" s="1"/>
  <c r="J21" i="4"/>
  <c r="E15" i="5"/>
  <c r="F15" i="5" s="1"/>
  <c r="F10" i="9"/>
  <c r="G44" i="2"/>
  <c r="H44" i="2" s="1"/>
  <c r="L41" i="15"/>
  <c r="E21" i="4"/>
  <c r="M6" i="16"/>
  <c r="L37" i="15"/>
  <c r="E21" i="15"/>
  <c r="I7" i="3"/>
  <c r="L27" i="15"/>
  <c r="L12" i="15"/>
  <c r="M30" i="16"/>
  <c r="H9" i="2"/>
  <c r="G40" i="2"/>
  <c r="H40" i="2" s="1"/>
  <c r="B21" i="15"/>
  <c r="G21" i="2"/>
  <c r="H21" i="2" s="1"/>
  <c r="G7" i="7"/>
  <c r="G17" i="2"/>
  <c r="H17" i="2" s="1"/>
  <c r="L32" i="15"/>
  <c r="I42" i="15"/>
  <c r="G45" i="3"/>
  <c r="M23" i="8"/>
  <c r="M32" i="8"/>
  <c r="D33" i="8"/>
  <c r="I12" i="3"/>
  <c r="M11" i="16"/>
  <c r="B23" i="2"/>
  <c r="B5" i="5"/>
  <c r="E5" i="5" s="1"/>
  <c r="F5" i="5" s="1"/>
  <c r="B27" i="1"/>
  <c r="C11" i="5"/>
  <c r="E11" i="5" s="1"/>
  <c r="F11" i="5" s="1"/>
  <c r="H11" i="5" s="1"/>
  <c r="C28" i="1"/>
  <c r="L17" i="15"/>
  <c r="L12" i="8"/>
  <c r="L30" i="4"/>
  <c r="C10" i="5" s="1"/>
  <c r="C12" i="5" s="1"/>
  <c r="K32" i="4"/>
  <c r="L32" i="4" s="1"/>
  <c r="H54" i="9"/>
  <c r="H52" i="9" s="1"/>
  <c r="E16" i="5"/>
  <c r="F16" i="5" s="1"/>
  <c r="H16" i="5" s="1"/>
  <c r="M18" i="16"/>
  <c r="K37" i="4"/>
  <c r="L37" i="4" s="1"/>
  <c r="G12" i="7"/>
  <c r="H29" i="2"/>
  <c r="B6" i="5" s="1"/>
  <c r="L5" i="4"/>
  <c r="B6" i="1" s="1"/>
  <c r="D6" i="1" s="1"/>
  <c r="K40" i="4"/>
  <c r="L40" i="4" s="1"/>
  <c r="B24" i="7"/>
  <c r="L20" i="15"/>
  <c r="L40" i="15"/>
  <c r="B42" i="15"/>
  <c r="G30" i="2"/>
  <c r="H30" i="2" s="1"/>
  <c r="D7" i="5"/>
  <c r="D20" i="5"/>
  <c r="I53" i="9"/>
  <c r="I35" i="3"/>
  <c r="B21" i="5"/>
  <c r="B16" i="1"/>
  <c r="E54" i="9"/>
  <c r="E52" i="9" s="1"/>
  <c r="N54" i="9"/>
  <c r="N52" i="9" s="1"/>
  <c r="I44" i="3"/>
  <c r="B33" i="8"/>
  <c r="M28" i="8"/>
  <c r="M31" i="8"/>
  <c r="D21" i="5"/>
  <c r="C36" i="1"/>
  <c r="E37" i="1"/>
  <c r="J22" i="5"/>
  <c r="H22" i="1"/>
  <c r="C33" i="8"/>
  <c r="B12" i="5"/>
  <c r="E45" i="3"/>
  <c r="I43" i="3"/>
  <c r="C42" i="4"/>
  <c r="F53" i="9"/>
  <c r="G33" i="8"/>
  <c r="B21" i="4"/>
  <c r="E45" i="2"/>
  <c r="M23" i="16"/>
  <c r="I22" i="3"/>
  <c r="G21" i="4"/>
  <c r="M10" i="8"/>
  <c r="B12" i="8"/>
  <c r="R53" i="9"/>
  <c r="G43" i="2"/>
  <c r="G35" i="2"/>
  <c r="H35" i="2" s="1"/>
  <c r="O46" i="9"/>
  <c r="L54" i="9"/>
  <c r="M46" i="9" s="1"/>
  <c r="G54" i="9"/>
  <c r="I37" i="9"/>
  <c r="O10" i="9"/>
  <c r="D23" i="2"/>
  <c r="C17" i="5"/>
  <c r="L26" i="4"/>
  <c r="K41" i="4"/>
  <c r="L41" i="4" s="1"/>
  <c r="K27" i="4"/>
  <c r="M6" i="8"/>
  <c r="J12" i="8"/>
  <c r="O29" i="9"/>
  <c r="D7" i="1"/>
  <c r="G7" i="1" s="1"/>
  <c r="H5" i="2"/>
  <c r="C5" i="1" s="1"/>
  <c r="C8" i="1" s="1"/>
  <c r="G6" i="2"/>
  <c r="H6" i="2" s="1"/>
  <c r="D5" i="1" s="1"/>
  <c r="G5" i="1" s="1"/>
  <c r="K17" i="4"/>
  <c r="L17" i="4" s="1"/>
  <c r="F37" i="9"/>
  <c r="C54" i="9"/>
  <c r="D37" i="9" s="1"/>
  <c r="R14" i="9"/>
  <c r="P54" i="9"/>
  <c r="C33" i="7" l="1"/>
  <c r="I19" i="1"/>
  <c r="F19" i="1"/>
  <c r="B10" i="1"/>
  <c r="D10" i="1" s="1"/>
  <c r="G10" i="1" s="1"/>
  <c r="D16" i="1"/>
  <c r="G16" i="1" s="1"/>
  <c r="D17" i="1"/>
  <c r="G17" i="1" s="1"/>
  <c r="C22" i="1"/>
  <c r="B33" i="7"/>
  <c r="B20" i="5"/>
  <c r="B22" i="5" s="1"/>
  <c r="G23" i="2"/>
  <c r="G45" i="2"/>
  <c r="H45" i="2" s="1"/>
  <c r="D22" i="5"/>
  <c r="L21" i="15"/>
  <c r="I23" i="3"/>
  <c r="C11" i="1"/>
  <c r="M24" i="7" s="1"/>
  <c r="E17" i="5"/>
  <c r="I45" i="3"/>
  <c r="L42" i="15"/>
  <c r="F18" i="1"/>
  <c r="I18" i="1"/>
  <c r="B8" i="1"/>
  <c r="D24" i="7"/>
  <c r="F24" i="7" s="1"/>
  <c r="H23" i="2"/>
  <c r="B22" i="1"/>
  <c r="C27" i="1"/>
  <c r="C29" i="1" s="1"/>
  <c r="G6" i="1"/>
  <c r="F6" i="1"/>
  <c r="M29" i="9"/>
  <c r="C20" i="5"/>
  <c r="M10" i="9"/>
  <c r="E10" i="5"/>
  <c r="F10" i="5" s="1"/>
  <c r="B7" i="5"/>
  <c r="D53" i="9"/>
  <c r="H43" i="2"/>
  <c r="M33" i="8"/>
  <c r="F5" i="1"/>
  <c r="D8" i="1"/>
  <c r="F8" i="1" s="1"/>
  <c r="H15" i="5"/>
  <c r="F17" i="5"/>
  <c r="H17" i="5" s="1"/>
  <c r="L27" i="4"/>
  <c r="K42" i="4"/>
  <c r="L42" i="4" s="1"/>
  <c r="D49" i="9"/>
  <c r="D10" i="9"/>
  <c r="D38" i="9"/>
  <c r="D4" i="9"/>
  <c r="D50" i="9"/>
  <c r="D6" i="9"/>
  <c r="F54" i="9"/>
  <c r="D18" i="9"/>
  <c r="D31" i="9"/>
  <c r="D40" i="9"/>
  <c r="D41" i="9"/>
  <c r="D19" i="9"/>
  <c r="D23" i="9"/>
  <c r="D21" i="9"/>
  <c r="D17" i="9"/>
  <c r="D11" i="9"/>
  <c r="D39" i="9"/>
  <c r="D12" i="9"/>
  <c r="D43" i="9"/>
  <c r="D47" i="9"/>
  <c r="D27" i="9"/>
  <c r="D16" i="9"/>
  <c r="D44" i="9"/>
  <c r="D15" i="9"/>
  <c r="D46" i="9"/>
  <c r="D48" i="9"/>
  <c r="D25" i="9"/>
  <c r="D54" i="9"/>
  <c r="D29" i="9"/>
  <c r="C52" i="9"/>
  <c r="D30" i="9"/>
  <c r="D20" i="9"/>
  <c r="D14" i="9"/>
  <c r="D35" i="9"/>
  <c r="D33" i="9"/>
  <c r="D8" i="9"/>
  <c r="B32" i="1"/>
  <c r="D32" i="1" s="1"/>
  <c r="C33" i="1"/>
  <c r="H5" i="5"/>
  <c r="I54" i="9"/>
  <c r="G52" i="9"/>
  <c r="I52" i="9" s="1"/>
  <c r="M12" i="8"/>
  <c r="P52" i="9"/>
  <c r="R52" i="9" s="1"/>
  <c r="R54" i="9"/>
  <c r="F7" i="1"/>
  <c r="I7" i="1"/>
  <c r="C6" i="5"/>
  <c r="B28" i="1"/>
  <c r="K21" i="4"/>
  <c r="L21" i="4" s="1"/>
  <c r="M23" i="9"/>
  <c r="M38" i="9"/>
  <c r="M4" i="9"/>
  <c r="O54" i="9"/>
  <c r="M12" i="9"/>
  <c r="M8" i="9"/>
  <c r="M30" i="9"/>
  <c r="M15" i="9"/>
  <c r="M47" i="9"/>
  <c r="M41" i="9"/>
  <c r="M43" i="9"/>
  <c r="M17" i="9"/>
  <c r="M42" i="9"/>
  <c r="M50" i="9"/>
  <c r="M44" i="9"/>
  <c r="M11" i="9"/>
  <c r="M25" i="9"/>
  <c r="M49" i="9"/>
  <c r="M54" i="9"/>
  <c r="M40" i="9"/>
  <c r="M35" i="9"/>
  <c r="M14" i="9"/>
  <c r="M39" i="9"/>
  <c r="M18" i="9"/>
  <c r="L52" i="9"/>
  <c r="M6" i="9"/>
  <c r="M31" i="9"/>
  <c r="M19" i="9"/>
  <c r="M27" i="9"/>
  <c r="M48" i="9"/>
  <c r="M33" i="9"/>
  <c r="M20" i="9"/>
  <c r="M21" i="9"/>
  <c r="M16" i="9"/>
  <c r="M37" i="9"/>
  <c r="M53" i="9"/>
  <c r="F16" i="1" l="1"/>
  <c r="I17" i="1"/>
  <c r="I10" i="1"/>
  <c r="F17" i="1"/>
  <c r="B11" i="1"/>
  <c r="L24" i="7" s="1"/>
  <c r="E20" i="5"/>
  <c r="F20" i="5" s="1"/>
  <c r="M33" i="7"/>
  <c r="D22" i="1"/>
  <c r="F22" i="1" s="1"/>
  <c r="H24" i="7"/>
  <c r="D33" i="7"/>
  <c r="F33" i="7" s="1"/>
  <c r="F10" i="1"/>
  <c r="G24" i="7"/>
  <c r="I6" i="1"/>
  <c r="E12" i="5"/>
  <c r="D11" i="1"/>
  <c r="F11" i="1" s="1"/>
  <c r="D27" i="1"/>
  <c r="F27" i="1" s="1"/>
  <c r="C7" i="5"/>
  <c r="C21" i="5"/>
  <c r="E6" i="5"/>
  <c r="I16" i="1"/>
  <c r="G22" i="1"/>
  <c r="I22" i="1" s="1"/>
  <c r="C32" i="1"/>
  <c r="M52" i="9"/>
  <c r="O52" i="9"/>
  <c r="D52" i="9"/>
  <c r="F52" i="9"/>
  <c r="H10" i="5"/>
  <c r="F12" i="5"/>
  <c r="H12" i="5" s="1"/>
  <c r="D28" i="1"/>
  <c r="B29" i="1"/>
  <c r="G8" i="1"/>
  <c r="I5" i="1"/>
  <c r="L33" i="7" l="1"/>
  <c r="N24" i="7"/>
  <c r="N33" i="7" s="1"/>
  <c r="P33" i="7" s="1"/>
  <c r="H33" i="7"/>
  <c r="G33" i="7"/>
  <c r="I24" i="7"/>
  <c r="K24" i="7" s="1"/>
  <c r="E21" i="5"/>
  <c r="C22" i="5"/>
  <c r="F28" i="1"/>
  <c r="D29" i="1"/>
  <c r="F29" i="1" s="1"/>
  <c r="I8" i="1"/>
  <c r="G11" i="1"/>
  <c r="I11" i="1" s="1"/>
  <c r="I33" i="7"/>
  <c r="K33" i="7" s="1"/>
  <c r="D34" i="1"/>
  <c r="E33" i="1" s="1"/>
  <c r="H20" i="5"/>
  <c r="F6" i="5"/>
  <c r="E7" i="5"/>
  <c r="P24" i="7" l="1"/>
  <c r="F21" i="5"/>
  <c r="E22" i="5"/>
  <c r="E32" i="1"/>
  <c r="H6" i="5"/>
  <c r="F7" i="5"/>
  <c r="H7" i="5" s="1"/>
  <c r="I16" i="5"/>
  <c r="H21" i="5" l="1"/>
  <c r="F22" i="5"/>
  <c r="H22" i="5" s="1"/>
  <c r="I11" i="5" l="1"/>
  <c r="G28" i="1"/>
  <c r="I6" i="5"/>
  <c r="I15" i="5"/>
  <c r="I5" i="5"/>
  <c r="G27" i="1"/>
  <c r="I17" i="5" l="1"/>
  <c r="K17" i="5" s="1"/>
  <c r="K15" i="5"/>
  <c r="I10" i="5"/>
  <c r="K11" i="5"/>
  <c r="I28" i="1"/>
  <c r="I21" i="5"/>
  <c r="K21" i="5" s="1"/>
  <c r="K6" i="5"/>
  <c r="I27" i="1"/>
  <c r="G29" i="1"/>
  <c r="I29" i="1" s="1"/>
  <c r="K5" i="5"/>
  <c r="I7" i="5"/>
  <c r="K7" i="5" s="1"/>
  <c r="I20" i="5" l="1"/>
  <c r="K20" i="5" s="1"/>
  <c r="K10" i="5"/>
  <c r="I12" i="5"/>
  <c r="K12" i="5" s="1"/>
  <c r="I22" i="5" l="1"/>
  <c r="K22" i="5" s="1"/>
</calcChain>
</file>

<file path=xl/sharedStrings.xml><?xml version="1.0" encoding="utf-8"?>
<sst xmlns="http://schemas.openxmlformats.org/spreadsheetml/2006/main" count="525" uniqueCount="217">
  <si>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</si>
  <si>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</si>
  <si>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</si>
  <si>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</si>
  <si>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</si>
  <si>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</si>
  <si>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</si>
  <si>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</si>
  <si>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</si>
  <si>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</si>
  <si>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</si>
  <si>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</si>
  <si>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</si>
  <si>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</si>
  <si>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</si>
  <si>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</si>
  <si>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</si>
  <si>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</si>
  <si>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</si>
  <si>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</si>
  <si>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</si>
  <si>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</si>
  <si>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</si>
  <si>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</si>
  <si>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</si>
  <si>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</si>
  <si>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</si>
  <si>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</si>
  <si>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</si>
  <si>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</si>
  <si>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</si>
  <si>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</si>
  <si>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</si>
  <si>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</si>
  <si>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</si>
  <si>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</si>
  <si>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</si>
  <si>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</si>
  <si>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</si>
  <si>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</si>
  <si>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</si>
  <si>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</si>
  <si>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</si>
  <si>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</si>
  <si>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</si>
  <si>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</si>
  <si>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</si>
  <si>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</si>
  <si>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</si>
  <si>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</si>
  <si>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</si>
  <si>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</si>
  <si>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</si>
  <si>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</si>
  <si>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</si>
  <si>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</si>
  <si>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</si>
  <si>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</si>
  <si>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</si>
  <si>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</si>
  <si>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</si>
  <si>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</si>
  <si>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</si>
  <si>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</si>
  <si>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</si>
  <si>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</si>
  <si>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</si>
  <si>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</si>
  <si>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</si>
  <si>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</si>
  <si>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</si>
  <si>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</si>
  <si>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</si>
  <si>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</si>
  <si>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</si>
  <si>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</si>
  <si>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</si>
  <si>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</si>
  <si>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</si>
  <si>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</si>
  <si>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</si>
  <si>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</si>
  <si>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</si>
  <si>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</si>
  <si>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</si>
  <si>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</si>
  <si>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</si>
  <si>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</si>
  <si>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</si>
  <si>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</si>
  <si>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</si>
  <si>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</si>
  <si>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</si>
  <si>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</si>
  <si>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</si>
  <si>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</si>
  <si>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</si>
  <si>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</si>
  <si>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</si>
  <si>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</si>
  <si>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</si>
  <si>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</si>
  <si>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</si>
  <si>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</si>
  <si>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</si>
  <si>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</si>
  <si>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</si>
  <si>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</si>
  <si>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</si>
  <si>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</si>
  <si>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</si>
  <si>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</si>
  <si>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</si>
  <si>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</si>
  <si>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</si>
  <si>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</si>
  <si>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</si>
  <si>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</si>
  <si>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</si>
  <si>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</si>
  <si>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</si>
  <si>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</si>
  <si>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</si>
  <si>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</si>
  <si>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</si>
  <si>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</si>
  <si>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</si>
  <si>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</si>
  <si>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</si>
  <si>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</si>
  <si>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</si>
  <si>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</si>
  <si>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</si>
  <si>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</si>
  <si>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</si>
  <si>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</si>
  <si>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</si>
  <si>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</si>
  <si>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</si>
  <si>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</si>
  <si>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</si>
  <si>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</si>
  <si>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</si>
  <si>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</si>
  <si>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</si>
  <si>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</si>
  <si>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</si>
  <si>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</si>
  <si>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</si>
  <si>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</si>
  <si>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</si>
  <si>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</si>
  <si>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</si>
  <si>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</si>
  <si>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</si>
  <si>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</si>
  <si>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</si>
  <si>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</si>
  <si>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</si>
  <si>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</si>
  <si>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</si>
  <si>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</si>
  <si>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</si>
  <si>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</si>
  <si>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</si>
  <si>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</si>
  <si>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</si>
  <si>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</si>
  <si>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</si>
  <si>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</si>
  <si>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</si>
  <si>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</si>
  <si>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</si>
  <si>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</si>
  <si>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</si>
  <si>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</si>
  <si>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</si>
  <si>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</si>
  <si>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</si>
  <si>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</si>
  <si>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</si>
  <si>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</si>
  <si>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</si>
  <si>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</si>
  <si>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</si>
  <si>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</si>
  <si>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</si>
  <si>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</si>
  <si>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</si>
  <si>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</si>
  <si>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</si>
  <si>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</si>
  <si>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</si>
  <si>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</si>
  <si>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</si>
  <si>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</si>
  <si>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</si>
  <si>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</si>
  <si>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</si>
  <si>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</si>
  <si>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</si>
  <si>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</si>
  <si>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</si>
  <si>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</si>
  <si>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</si>
  <si>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</si>
  <si>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</si>
  <si>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</si>
  <si>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</si>
  <si>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</si>
  <si>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</si>
  <si>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</si>
  <si>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</si>
  <si>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</si>
  <si>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Aprl 2013</t>
  </si>
  <si>
    <t>Go Jet - Delta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</si>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</sst>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1" fontId="1" fillId="0" borderId="0" xfId="0" applyNumberFormat="1" applyFont="1" applyBorder="1"/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>
        <row r="5">
          <cell r="D5">
            <v>1818238</v>
          </cell>
          <cell r="G5">
            <v>7092067</v>
          </cell>
        </row>
        <row r="6">
          <cell r="D6">
            <v>764184</v>
          </cell>
          <cell r="G6">
            <v>2996001</v>
          </cell>
        </row>
        <row r="7">
          <cell r="D7">
            <v>433</v>
          </cell>
          <cell r="G7">
            <v>3659</v>
          </cell>
        </row>
        <row r="10">
          <cell r="D10">
            <v>90711</v>
          </cell>
          <cell r="G10">
            <v>351629</v>
          </cell>
        </row>
        <row r="16">
          <cell r="D16">
            <v>15784</v>
          </cell>
          <cell r="G16">
            <v>60774</v>
          </cell>
        </row>
        <row r="17">
          <cell r="D17">
            <v>16530</v>
          </cell>
          <cell r="G17">
            <v>65170</v>
          </cell>
        </row>
        <row r="18">
          <cell r="D18">
            <v>7</v>
          </cell>
          <cell r="G18">
            <v>40</v>
          </cell>
        </row>
        <row r="19">
          <cell r="D19">
            <v>899</v>
          </cell>
          <cell r="G19">
            <v>3607</v>
          </cell>
        </row>
        <row r="20">
          <cell r="D20">
            <v>1700</v>
          </cell>
          <cell r="G20">
            <v>6661</v>
          </cell>
        </row>
        <row r="21">
          <cell r="D21">
            <v>88</v>
          </cell>
          <cell r="G21">
            <v>413</v>
          </cell>
        </row>
        <row r="27">
          <cell r="D27">
            <v>13583.156002857209</v>
          </cell>
          <cell r="G27">
            <v>59412.639016721761</v>
          </cell>
        </row>
        <row r="28">
          <cell r="D28">
            <v>1312.92447574211</v>
          </cell>
          <cell r="G28">
            <v>5677.5413061413201</v>
          </cell>
        </row>
        <row r="32">
          <cell r="B32">
            <v>691391</v>
          </cell>
          <cell r="D32">
            <v>2916328</v>
          </cell>
        </row>
        <row r="33">
          <cell r="B33">
            <v>564418</v>
          </cell>
          <cell r="D33">
            <v>2117679</v>
          </cell>
        </row>
      </sheetData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>
        <row r="5">
          <cell r="F5">
            <v>6476.1600731589297</v>
          </cell>
          <cell r="I5">
            <v>30196.183845820298</v>
          </cell>
        </row>
        <row r="6">
          <cell r="F6">
            <v>454.30632439037998</v>
          </cell>
          <cell r="I6">
            <v>1869.5163331598599</v>
          </cell>
        </row>
        <row r="10">
          <cell r="F10">
            <v>7106.9959296982797</v>
          </cell>
          <cell r="I10">
            <v>29216.455170901463</v>
          </cell>
        </row>
        <row r="11">
          <cell r="F11">
            <v>858.61815135173003</v>
          </cell>
          <cell r="I11">
            <v>3808.02497298146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13583.156002857209</v>
          </cell>
        </row>
        <row r="21">
          <cell r="F21">
            <v>1312.92447574211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5732848</v>
          </cell>
        </row>
        <row r="6">
          <cell r="G6">
            <v>2238812</v>
          </cell>
        </row>
        <row r="7">
          <cell r="G7">
            <v>1837</v>
          </cell>
        </row>
        <row r="10">
          <cell r="G10">
            <v>258156</v>
          </cell>
        </row>
        <row r="16">
          <cell r="G16">
            <v>45006</v>
          </cell>
        </row>
        <row r="17">
          <cell r="G17">
            <v>46365</v>
          </cell>
        </row>
        <row r="18">
          <cell r="G18">
            <v>34</v>
          </cell>
        </row>
        <row r="19">
          <cell r="G19">
            <v>2995</v>
          </cell>
        </row>
        <row r="20">
          <cell r="G20">
            <v>5584</v>
          </cell>
        </row>
        <row r="21">
          <cell r="G21">
            <v>318</v>
          </cell>
        </row>
        <row r="27">
          <cell r="G27">
            <v>45145.70158793695</v>
          </cell>
        </row>
        <row r="28">
          <cell r="G28">
            <v>5582.9663898115796</v>
          </cell>
        </row>
        <row r="32">
          <cell r="D32">
            <v>2411649</v>
          </cell>
        </row>
        <row r="33">
          <cell r="D33">
            <v>1599522</v>
          </cell>
        </row>
      </sheetData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>
        <row r="5">
          <cell r="I5">
            <v>21211.8344139933</v>
          </cell>
        </row>
        <row r="6">
          <cell r="I6">
            <v>1906.0200863203497</v>
          </cell>
        </row>
        <row r="10">
          <cell r="I10">
            <v>23933.867173943647</v>
          </cell>
        </row>
        <row r="11">
          <cell r="I11">
            <v>3676.9463034912301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  <sheetName val="Sheet2"/>
    </sheetNames>
    <sheetDataSet>
      <sheetData sheetId="0"/>
      <sheetData sheetId="1">
        <row r="70">
          <cell r="AJ70">
            <v>293925</v>
          </cell>
        </row>
      </sheetData>
      <sheetData sheetId="2">
        <row r="4">
          <cell r="DV4">
            <v>0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</sheetData>
      <sheetData sheetId="3">
        <row r="4">
          <cell r="DJ4">
            <v>112</v>
          </cell>
          <cell r="DM4">
            <v>115</v>
          </cell>
        </row>
        <row r="5">
          <cell r="DM5">
            <v>115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</row>
        <row r="22">
          <cell r="DM22">
            <v>11311</v>
          </cell>
        </row>
        <row r="23">
          <cell r="DM23">
            <v>9882</v>
          </cell>
        </row>
        <row r="27">
          <cell r="DM27">
            <v>146</v>
          </cell>
        </row>
        <row r="28">
          <cell r="DM28">
            <v>168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</row>
      </sheetData>
      <sheetData sheetId="4">
        <row r="4">
          <cell r="DJ4">
            <v>62</v>
          </cell>
          <cell r="DM4">
            <v>60</v>
          </cell>
        </row>
        <row r="5">
          <cell r="DM5">
            <v>60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</row>
        <row r="22">
          <cell r="DM22">
            <v>7501</v>
          </cell>
        </row>
        <row r="23">
          <cell r="DM23">
            <v>6874</v>
          </cell>
        </row>
        <row r="27">
          <cell r="DM27">
            <v>262</v>
          </cell>
        </row>
        <row r="28">
          <cell r="DM28">
            <v>326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</row>
        <row r="47">
          <cell r="DM47">
            <v>40106</v>
          </cell>
        </row>
        <row r="52">
          <cell r="DM52">
            <v>9049</v>
          </cell>
        </row>
      </sheetData>
      <sheetData sheetId="5"/>
      <sheetData sheetId="6">
        <row r="4">
          <cell r="DJ4">
            <v>284</v>
          </cell>
          <cell r="DM4">
            <v>203</v>
          </cell>
        </row>
        <row r="5">
          <cell r="DM5">
            <v>203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</row>
        <row r="22">
          <cell r="DM22">
            <v>24944</v>
          </cell>
        </row>
        <row r="23">
          <cell r="DM23">
            <v>20593</v>
          </cell>
        </row>
        <row r="27">
          <cell r="DM27">
            <v>916</v>
          </cell>
        </row>
        <row r="28">
          <cell r="DM28">
            <v>1007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</row>
        <row r="47">
          <cell r="DM47">
            <v>20725</v>
          </cell>
        </row>
        <row r="52">
          <cell r="DM52">
            <v>12852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</row>
      </sheetData>
      <sheetData sheetId="8">
        <row r="4">
          <cell r="DV4">
            <v>0</v>
          </cell>
        </row>
      </sheetData>
      <sheetData sheetId="9">
        <row r="4">
          <cell r="DJ4">
            <v>4126</v>
          </cell>
          <cell r="DM4">
            <v>4702</v>
          </cell>
        </row>
        <row r="5">
          <cell r="DM5">
            <v>4695</v>
          </cell>
        </row>
        <row r="8">
          <cell r="DM8">
            <v>2</v>
          </cell>
        </row>
        <row r="9">
          <cell r="DM9">
            <v>8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</row>
        <row r="22">
          <cell r="DM22">
            <v>653073</v>
          </cell>
        </row>
        <row r="23">
          <cell r="DM23">
            <v>621710</v>
          </cell>
        </row>
        <row r="27">
          <cell r="DM27">
            <v>23033</v>
          </cell>
        </row>
        <row r="28">
          <cell r="DM28">
            <v>22035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</row>
        <row r="47">
          <cell r="DM47">
            <v>3421370</v>
          </cell>
        </row>
        <row r="48">
          <cell r="DM48">
            <v>1065284</v>
          </cell>
        </row>
        <row r="52">
          <cell r="DM52">
            <v>3514749</v>
          </cell>
        </row>
        <row r="53">
          <cell r="DM53">
            <v>36543</v>
          </cell>
        </row>
        <row r="70">
          <cell r="DM70">
            <v>270444</v>
          </cell>
        </row>
        <row r="71">
          <cell r="DM71">
            <v>351266</v>
          </cell>
        </row>
        <row r="73">
          <cell r="DM73">
            <v>19097</v>
          </cell>
        </row>
        <row r="74">
          <cell r="DM74">
            <v>24805</v>
          </cell>
        </row>
      </sheetData>
      <sheetData sheetId="10">
        <row r="4">
          <cell r="DJ4">
            <v>96</v>
          </cell>
          <cell r="DM4">
            <v>103</v>
          </cell>
        </row>
        <row r="5">
          <cell r="DM5">
            <v>103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</row>
        <row r="22">
          <cell r="DM22">
            <v>15038</v>
          </cell>
        </row>
        <row r="23">
          <cell r="DM23">
            <v>14921</v>
          </cell>
        </row>
        <row r="27">
          <cell r="DM27">
            <v>279</v>
          </cell>
        </row>
        <row r="28">
          <cell r="DM28">
            <v>286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</row>
      </sheetData>
      <sheetData sheetId="11">
        <row r="4">
          <cell r="DJ4">
            <v>255</v>
          </cell>
          <cell r="DM4">
            <v>48</v>
          </cell>
        </row>
        <row r="5">
          <cell r="DM5">
            <v>48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</row>
        <row r="22">
          <cell r="DM22">
            <v>342</v>
          </cell>
        </row>
        <row r="23">
          <cell r="DM23">
            <v>365</v>
          </cell>
        </row>
        <row r="27">
          <cell r="DM27">
            <v>34</v>
          </cell>
        </row>
        <row r="28">
          <cell r="DM28">
            <v>27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</row>
        <row r="47">
          <cell r="DM47">
            <v>10</v>
          </cell>
        </row>
      </sheetData>
      <sheetData sheetId="12">
        <row r="8">
          <cell r="DV8">
            <v>0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</sheetData>
      <sheetData sheetId="13"/>
      <sheetData sheetId="14">
        <row r="4">
          <cell r="DJ4">
            <v>568</v>
          </cell>
          <cell r="DM4">
            <v>620</v>
          </cell>
        </row>
        <row r="5">
          <cell r="DM5">
            <v>614</v>
          </cell>
        </row>
        <row r="8">
          <cell r="DM8">
            <v>1</v>
          </cell>
        </row>
        <row r="9">
          <cell r="DM9">
            <v>1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</row>
        <row r="22">
          <cell r="DM22">
            <v>63305</v>
          </cell>
        </row>
        <row r="23">
          <cell r="DM23">
            <v>71931</v>
          </cell>
        </row>
        <row r="27">
          <cell r="DM27">
            <v>1077</v>
          </cell>
        </row>
        <row r="28">
          <cell r="DM28">
            <v>1184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</row>
        <row r="47">
          <cell r="DM47">
            <v>192793</v>
          </cell>
        </row>
        <row r="52">
          <cell r="DM52">
            <v>60396</v>
          </cell>
        </row>
        <row r="70">
          <cell r="DM70">
            <v>71043</v>
          </cell>
        </row>
        <row r="71">
          <cell r="DM71">
            <v>888</v>
          </cell>
        </row>
      </sheetData>
      <sheetData sheetId="15">
        <row r="4">
          <cell r="DJ4">
            <v>341</v>
          </cell>
          <cell r="DM4">
            <v>328</v>
          </cell>
        </row>
        <row r="5">
          <cell r="DM5">
            <v>328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</row>
        <row r="22">
          <cell r="DM22">
            <v>45077</v>
          </cell>
        </row>
        <row r="23">
          <cell r="DM23">
            <v>37649</v>
          </cell>
        </row>
        <row r="27">
          <cell r="DM27">
            <v>162</v>
          </cell>
        </row>
        <row r="28">
          <cell r="DM28">
            <v>227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</row>
      </sheetData>
      <sheetData sheetId="16">
        <row r="4">
          <cell r="DJ4">
            <v>600</v>
          </cell>
          <cell r="DM4">
            <v>541</v>
          </cell>
        </row>
        <row r="5">
          <cell r="DM5">
            <v>540</v>
          </cell>
        </row>
        <row r="8">
          <cell r="DM8">
            <v>88</v>
          </cell>
        </row>
        <row r="9">
          <cell r="DM9">
            <v>89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</row>
        <row r="22">
          <cell r="DM22">
            <v>61986</v>
          </cell>
        </row>
        <row r="23">
          <cell r="DM23">
            <v>44067</v>
          </cell>
        </row>
        <row r="27">
          <cell r="DM27">
            <v>1549</v>
          </cell>
        </row>
        <row r="28">
          <cell r="DM28">
            <v>1485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</row>
        <row r="47">
          <cell r="DM47">
            <v>46904</v>
          </cell>
        </row>
        <row r="48">
          <cell r="DM48">
            <v>51593</v>
          </cell>
        </row>
        <row r="53">
          <cell r="DM53">
            <v>261058</v>
          </cell>
        </row>
        <row r="70">
          <cell r="DM70">
            <v>44067</v>
          </cell>
        </row>
        <row r="71">
          <cell r="DM71">
            <v>0</v>
          </cell>
        </row>
        <row r="73">
          <cell r="DM73">
            <v>7246</v>
          </cell>
        </row>
        <row r="74">
          <cell r="DM74">
            <v>0</v>
          </cell>
        </row>
      </sheetData>
      <sheetData sheetId="17">
        <row r="4">
          <cell r="DJ4">
            <v>171</v>
          </cell>
          <cell r="DM4">
            <v>114</v>
          </cell>
        </row>
        <row r="5">
          <cell r="DM5">
            <v>114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</row>
        <row r="22">
          <cell r="DM22">
            <v>13015</v>
          </cell>
        </row>
        <row r="23">
          <cell r="DM23">
            <v>11545</v>
          </cell>
        </row>
        <row r="27">
          <cell r="DM27">
            <v>322</v>
          </cell>
        </row>
        <row r="28">
          <cell r="DM28">
            <v>553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</row>
        <row r="47">
          <cell r="DM47">
            <v>41705</v>
          </cell>
        </row>
        <row r="48">
          <cell r="DM48">
            <v>87578</v>
          </cell>
        </row>
        <row r="52">
          <cell r="DM52">
            <v>16137</v>
          </cell>
        </row>
        <row r="53">
          <cell r="DM53">
            <v>118742</v>
          </cell>
        </row>
      </sheetData>
      <sheetData sheetId="18">
        <row r="4">
          <cell r="DJ4">
            <v>330</v>
          </cell>
          <cell r="DM4">
            <v>346</v>
          </cell>
        </row>
        <row r="5">
          <cell r="DM5">
            <v>344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</row>
        <row r="22">
          <cell r="DM22">
            <v>47495</v>
          </cell>
        </row>
        <row r="23">
          <cell r="DM23">
            <v>40745</v>
          </cell>
        </row>
        <row r="27">
          <cell r="DM27">
            <v>1404</v>
          </cell>
        </row>
        <row r="28">
          <cell r="DM28">
            <v>1446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</row>
        <row r="47">
          <cell r="DM47">
            <v>35430</v>
          </cell>
        </row>
        <row r="48">
          <cell r="DM48">
            <v>69015</v>
          </cell>
        </row>
        <row r="52">
          <cell r="DM52">
            <v>16768</v>
          </cell>
        </row>
        <row r="53">
          <cell r="DM53">
            <v>97700</v>
          </cell>
        </row>
      </sheetData>
      <sheetData sheetId="19">
        <row r="4">
          <cell r="DV4">
            <v>0</v>
          </cell>
        </row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</row>
      </sheetData>
      <sheetData sheetId="20">
        <row r="4">
          <cell r="DJ4">
            <v>3</v>
          </cell>
          <cell r="DM4">
            <v>1</v>
          </cell>
        </row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</row>
      </sheetData>
      <sheetData sheetId="21">
        <row r="4">
          <cell r="DJ4">
            <v>202</v>
          </cell>
          <cell r="DM4">
            <v>221</v>
          </cell>
        </row>
        <row r="5">
          <cell r="DM5">
            <v>220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</row>
        <row r="22">
          <cell r="DM22">
            <v>14637</v>
          </cell>
        </row>
        <row r="23">
          <cell r="DM23">
            <v>14158</v>
          </cell>
        </row>
        <row r="27">
          <cell r="DM27">
            <v>170</v>
          </cell>
        </row>
        <row r="28">
          <cell r="DM28">
            <v>112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</row>
        <row r="47">
          <cell r="DM47">
            <v>116</v>
          </cell>
        </row>
        <row r="52">
          <cell r="DM52">
            <v>75</v>
          </cell>
        </row>
      </sheetData>
      <sheetData sheetId="22">
        <row r="4">
          <cell r="DJ4">
            <v>399</v>
          </cell>
          <cell r="DM4">
            <v>498</v>
          </cell>
        </row>
        <row r="5">
          <cell r="DM5">
            <v>499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</row>
        <row r="22">
          <cell r="DM22">
            <v>28789</v>
          </cell>
        </row>
        <row r="23">
          <cell r="DM23">
            <v>28773</v>
          </cell>
        </row>
        <row r="27">
          <cell r="DM27">
            <v>871</v>
          </cell>
        </row>
        <row r="28">
          <cell r="DM28">
            <v>715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</row>
        <row r="70">
          <cell r="DM70">
            <v>9668</v>
          </cell>
        </row>
        <row r="71">
          <cell r="DM71">
            <v>19105</v>
          </cell>
        </row>
      </sheetData>
      <sheetData sheetId="23"/>
      <sheetData sheetId="24">
        <row r="4">
          <cell r="DJ4">
            <v>18</v>
          </cell>
        </row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</row>
      </sheetData>
      <sheetData sheetId="25">
        <row r="70">
          <cell r="BF70">
            <v>11766</v>
          </cell>
        </row>
      </sheetData>
      <sheetData sheetId="26">
        <row r="4">
          <cell r="DJ4">
            <v>1111</v>
          </cell>
          <cell r="DM4">
            <v>939</v>
          </cell>
        </row>
        <row r="5">
          <cell r="DM5">
            <v>942</v>
          </cell>
        </row>
        <row r="9">
          <cell r="DM9">
            <v>3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</row>
        <row r="22">
          <cell r="DM22">
            <v>59165</v>
          </cell>
        </row>
        <row r="23">
          <cell r="DM23">
            <v>57964</v>
          </cell>
        </row>
        <row r="27">
          <cell r="DM27">
            <v>1718</v>
          </cell>
        </row>
        <row r="28">
          <cell r="DM28">
            <v>1990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</row>
        <row r="70">
          <cell r="BG70">
            <v>26242</v>
          </cell>
          <cell r="DM70">
            <v>20461</v>
          </cell>
        </row>
        <row r="71">
          <cell r="BG71">
            <v>44562</v>
          </cell>
          <cell r="DM71">
            <v>37503</v>
          </cell>
        </row>
        <row r="73">
          <cell r="BG73">
            <v>1540</v>
          </cell>
          <cell r="DM73">
            <v>4982</v>
          </cell>
        </row>
        <row r="74">
          <cell r="BG74">
            <v>2614</v>
          </cell>
          <cell r="DM74">
            <v>9132</v>
          </cell>
        </row>
      </sheetData>
      <sheetData sheetId="27"/>
      <sheetData sheetId="28">
        <row r="4">
          <cell r="DJ4">
            <v>211</v>
          </cell>
          <cell r="DM4">
            <v>219</v>
          </cell>
        </row>
        <row r="5">
          <cell r="DM5">
            <v>219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</row>
        <row r="22">
          <cell r="DM22">
            <v>10500</v>
          </cell>
        </row>
        <row r="23">
          <cell r="DM23">
            <v>8858</v>
          </cell>
        </row>
        <row r="27">
          <cell r="DM27">
            <v>309</v>
          </cell>
        </row>
        <row r="28">
          <cell r="DM28">
            <v>395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</row>
      </sheetData>
      <sheetData sheetId="29">
        <row r="70">
          <cell r="BF70">
            <v>2169</v>
          </cell>
        </row>
      </sheetData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</sheetData>
      <sheetData sheetId="31">
        <row r="4">
          <cell r="DJ4">
            <v>148</v>
          </cell>
          <cell r="DM4">
            <v>141</v>
          </cell>
        </row>
        <row r="5">
          <cell r="DM5">
            <v>141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</row>
        <row r="22">
          <cell r="DM22">
            <v>9156</v>
          </cell>
        </row>
        <row r="23">
          <cell r="DM23">
            <v>8516</v>
          </cell>
        </row>
        <row r="27">
          <cell r="DM27">
            <v>229</v>
          </cell>
        </row>
        <row r="28">
          <cell r="DM28">
            <v>190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</row>
      </sheetData>
      <sheetData sheetId="32">
        <row r="4">
          <cell r="DJ4">
            <v>25</v>
          </cell>
          <cell r="DM4">
            <v>54</v>
          </cell>
        </row>
        <row r="5">
          <cell r="DM5">
            <v>54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</row>
        <row r="22">
          <cell r="DM22">
            <v>3151</v>
          </cell>
        </row>
        <row r="23">
          <cell r="DM23">
            <v>3079</v>
          </cell>
        </row>
        <row r="27">
          <cell r="DM27">
            <v>209</v>
          </cell>
        </row>
        <row r="28">
          <cell r="DM28">
            <v>167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</row>
      </sheetData>
      <sheetData sheetId="33">
        <row r="4">
          <cell r="DO4">
            <v>64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</sheetData>
      <sheetData sheetId="34">
        <row r="70">
          <cell r="AJ70">
            <v>46686</v>
          </cell>
        </row>
      </sheetData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</row>
      </sheetData>
      <sheetData sheetId="36">
        <row r="4">
          <cell r="DJ4">
            <v>3290</v>
          </cell>
          <cell r="DM4">
            <v>3190</v>
          </cell>
        </row>
        <row r="5">
          <cell r="DM5">
            <v>3194</v>
          </cell>
        </row>
        <row r="9">
          <cell r="DM9">
            <v>3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</row>
        <row r="22">
          <cell r="DM22">
            <v>155170</v>
          </cell>
        </row>
        <row r="23">
          <cell r="DM23">
            <v>150106</v>
          </cell>
        </row>
        <row r="27">
          <cell r="DM27">
            <v>4937</v>
          </cell>
        </row>
        <row r="28">
          <cell r="DM28">
            <v>5019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</row>
        <row r="70">
          <cell r="DM70">
            <v>41201</v>
          </cell>
        </row>
        <row r="71">
          <cell r="DM71">
            <v>108905</v>
          </cell>
        </row>
        <row r="73">
          <cell r="DM73">
            <v>3023</v>
          </cell>
        </row>
        <row r="74">
          <cell r="DM74">
            <v>8009</v>
          </cell>
        </row>
      </sheetData>
      <sheetData sheetId="37"/>
      <sheetData sheetId="38">
        <row r="4">
          <cell r="DJ4">
            <v>92</v>
          </cell>
          <cell r="DM4">
            <v>80</v>
          </cell>
        </row>
        <row r="5">
          <cell r="DM5">
            <v>80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</row>
        <row r="22">
          <cell r="DM22">
            <v>4896</v>
          </cell>
        </row>
        <row r="23">
          <cell r="DM23">
            <v>3922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</row>
      </sheetData>
      <sheetData sheetId="39">
        <row r="4">
          <cell r="DJ4">
            <v>30</v>
          </cell>
          <cell r="DM4">
            <v>111</v>
          </cell>
        </row>
        <row r="5">
          <cell r="DM5">
            <v>111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</row>
        <row r="22">
          <cell r="DM22">
            <v>6532</v>
          </cell>
        </row>
        <row r="23">
          <cell r="DM23">
            <v>6207</v>
          </cell>
        </row>
        <row r="27">
          <cell r="DM27">
            <v>226</v>
          </cell>
        </row>
        <row r="28">
          <cell r="DM28">
            <v>164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</row>
      </sheetData>
      <sheetData sheetId="40">
        <row r="4">
          <cell r="DJ4">
            <v>1359</v>
          </cell>
          <cell r="DM4">
            <v>1431</v>
          </cell>
        </row>
        <row r="5">
          <cell r="DM5">
            <v>1429</v>
          </cell>
        </row>
        <row r="9">
          <cell r="DM9">
            <v>2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</row>
        <row r="22">
          <cell r="DM22">
            <v>56016</v>
          </cell>
        </row>
        <row r="23">
          <cell r="DM23">
            <v>56383</v>
          </cell>
        </row>
        <row r="27">
          <cell r="DM27">
            <v>2358</v>
          </cell>
        </row>
        <row r="28">
          <cell r="DM28">
            <v>2273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</row>
        <row r="70">
          <cell r="DM70">
            <v>12122</v>
          </cell>
        </row>
        <row r="71">
          <cell r="DM71">
            <v>44261</v>
          </cell>
        </row>
        <row r="73">
          <cell r="DM73">
            <v>906</v>
          </cell>
        </row>
        <row r="74">
          <cell r="DM74">
            <v>3308</v>
          </cell>
        </row>
      </sheetData>
      <sheetData sheetId="41">
        <row r="4">
          <cell r="DJ4">
            <v>102</v>
          </cell>
          <cell r="DM4">
            <v>165</v>
          </cell>
        </row>
        <row r="5">
          <cell r="DM5">
            <v>165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</row>
        <row r="22">
          <cell r="DM22">
            <v>10318</v>
          </cell>
        </row>
        <row r="23">
          <cell r="DM23">
            <v>9601</v>
          </cell>
        </row>
        <row r="27">
          <cell r="DM27">
            <v>286</v>
          </cell>
        </row>
        <row r="28">
          <cell r="DM28">
            <v>299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</row>
        <row r="70">
          <cell r="DM70">
            <v>3533</v>
          </cell>
        </row>
        <row r="71">
          <cell r="DM71">
            <v>6068</v>
          </cell>
        </row>
      </sheetData>
      <sheetData sheetId="42">
        <row r="4">
          <cell r="DJ4">
            <v>83</v>
          </cell>
          <cell r="DM4">
            <v>200</v>
          </cell>
        </row>
        <row r="5">
          <cell r="DM5">
            <v>200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</row>
        <row r="22">
          <cell r="DM22">
            <v>12982</v>
          </cell>
        </row>
        <row r="23">
          <cell r="DM23">
            <v>12611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</row>
      </sheetData>
      <sheetData sheetId="43"/>
      <sheetData sheetId="44"/>
      <sheetData sheetId="45"/>
      <sheetData sheetId="46">
        <row r="4">
          <cell r="DV4">
            <v>0</v>
          </cell>
        </row>
      </sheetData>
      <sheetData sheetId="47">
        <row r="4">
          <cell r="DV4">
            <v>0</v>
          </cell>
        </row>
      </sheetData>
      <sheetData sheetId="48">
        <row r="4">
          <cell r="DV4">
            <v>0</v>
          </cell>
        </row>
      </sheetData>
      <sheetData sheetId="49">
        <row r="4">
          <cell r="DJ4">
            <v>4</v>
          </cell>
          <cell r="DM4">
            <v>1</v>
          </cell>
        </row>
        <row r="22">
          <cell r="DM22">
            <v>136</v>
          </cell>
        </row>
      </sheetData>
      <sheetData sheetId="50">
        <row r="4">
          <cell r="DL4">
            <v>1</v>
          </cell>
        </row>
      </sheetData>
      <sheetData sheetId="51">
        <row r="4">
          <cell r="DJ4">
            <v>22</v>
          </cell>
          <cell r="DM4">
            <v>22</v>
          </cell>
        </row>
        <row r="5">
          <cell r="DM5">
            <v>22</v>
          </cell>
        </row>
        <row r="47">
          <cell r="DM47">
            <v>632941</v>
          </cell>
        </row>
        <row r="52">
          <cell r="DM52">
            <v>419319</v>
          </cell>
        </row>
      </sheetData>
      <sheetData sheetId="52">
        <row r="15">
          <cell r="DJ15">
            <v>22</v>
          </cell>
          <cell r="DM15">
            <v>21</v>
          </cell>
        </row>
        <row r="16">
          <cell r="DM16">
            <v>21</v>
          </cell>
        </row>
        <row r="47">
          <cell r="DM47">
            <v>14591</v>
          </cell>
        </row>
        <row r="52">
          <cell r="DM52">
            <v>61032</v>
          </cell>
        </row>
      </sheetData>
      <sheetData sheetId="53">
        <row r="4">
          <cell r="DJ4">
            <v>101</v>
          </cell>
          <cell r="DM4">
            <v>98</v>
          </cell>
        </row>
        <row r="5">
          <cell r="DM5">
            <v>98</v>
          </cell>
        </row>
        <row r="47">
          <cell r="DM47">
            <v>6024786</v>
          </cell>
        </row>
        <row r="52">
          <cell r="DM52">
            <v>8894863</v>
          </cell>
        </row>
      </sheetData>
      <sheetData sheetId="54">
        <row r="4">
          <cell r="DJ4">
            <v>99</v>
          </cell>
          <cell r="DM4">
            <v>82</v>
          </cell>
        </row>
        <row r="5">
          <cell r="DM5">
            <v>79</v>
          </cell>
        </row>
        <row r="47">
          <cell r="DM47">
            <v>4886021</v>
          </cell>
        </row>
        <row r="48">
          <cell r="DM48">
            <v>4027</v>
          </cell>
        </row>
        <row r="52">
          <cell r="DM52">
            <v>4463707</v>
          </cell>
        </row>
        <row r="53">
          <cell r="DM53">
            <v>92833</v>
          </cell>
        </row>
      </sheetData>
      <sheetData sheetId="55"/>
      <sheetData sheetId="56"/>
      <sheetData sheetId="57"/>
      <sheetData sheetId="58">
        <row r="4">
          <cell r="DJ4">
            <v>249</v>
          </cell>
          <cell r="DM4">
            <v>224</v>
          </cell>
        </row>
        <row r="5">
          <cell r="DM5">
            <v>224</v>
          </cell>
        </row>
      </sheetData>
      <sheetData sheetId="59">
        <row r="4">
          <cell r="DJ4">
            <v>1</v>
          </cell>
        </row>
      </sheetData>
      <sheetData sheetId="60">
        <row r="4">
          <cell r="DJ4">
            <v>21</v>
          </cell>
          <cell r="DM4">
            <v>23</v>
          </cell>
        </row>
        <row r="5">
          <cell r="DM5">
            <v>23</v>
          </cell>
        </row>
        <row r="47">
          <cell r="DM47">
            <v>129681</v>
          </cell>
        </row>
        <row r="52">
          <cell r="DM52">
            <v>43842</v>
          </cell>
        </row>
      </sheetData>
      <sheetData sheetId="61">
        <row r="4">
          <cell r="DJ4">
            <v>27</v>
          </cell>
          <cell r="DM4">
            <v>26</v>
          </cell>
        </row>
        <row r="5">
          <cell r="DM5">
            <v>26</v>
          </cell>
        </row>
        <row r="47">
          <cell r="DM47">
            <v>34446</v>
          </cell>
        </row>
        <row r="52">
          <cell r="DM52">
            <v>40901</v>
          </cell>
        </row>
      </sheetData>
      <sheetData sheetId="62">
        <row r="4">
          <cell r="DJ4">
            <v>47</v>
          </cell>
          <cell r="DM4">
            <v>63</v>
          </cell>
        </row>
        <row r="5">
          <cell r="DM5">
            <v>64</v>
          </cell>
        </row>
      </sheetData>
      <sheetData sheetId="63">
        <row r="4">
          <cell r="DJ4">
            <v>843</v>
          </cell>
          <cell r="DM4">
            <v>1094</v>
          </cell>
        </row>
        <row r="5">
          <cell r="DM5">
            <v>1095</v>
          </cell>
        </row>
      </sheetData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33" sqref="B3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0">
        <v>41730</v>
      </c>
      <c r="B2" s="17"/>
      <c r="C2" s="17"/>
      <c r="D2" s="485" t="s">
        <v>193</v>
      </c>
      <c r="E2" s="485" t="s">
        <v>187</v>
      </c>
      <c r="F2" s="8"/>
      <c r="G2" s="8"/>
      <c r="H2" s="8"/>
      <c r="I2" s="8"/>
      <c r="J2" s="25"/>
    </row>
    <row r="3" spans="1:14" ht="13.5" thickBot="1" x14ac:dyDescent="0.25">
      <c r="A3" s="406"/>
      <c r="B3" s="8" t="s">
        <v>0</v>
      </c>
      <c r="C3" s="8" t="s">
        <v>1</v>
      </c>
      <c r="D3" s="486"/>
      <c r="E3" s="487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Stats'!H4</f>
        <v>1004349</v>
      </c>
      <c r="C5" s="302">
        <f>'Major Airline Stats'!H5</f>
        <v>931430</v>
      </c>
      <c r="D5" s="5">
        <f>'Major Airline Stats'!H6</f>
        <v>1935779</v>
      </c>
      <c r="E5" s="9">
        <f>'[1]Monthly Summary'!D5</f>
        <v>1818238</v>
      </c>
      <c r="F5" s="41">
        <f>(D5-E5)/E5</f>
        <v>6.4645552452429214E-2</v>
      </c>
      <c r="G5" s="9">
        <f>+D5+'[2]Monthly Summary'!G5</f>
        <v>7668627</v>
      </c>
      <c r="H5" s="9">
        <f>'[1]Monthly Summary'!G5</f>
        <v>7092067</v>
      </c>
      <c r="I5" s="88">
        <f>(G5-H5)/H5</f>
        <v>8.1296468293376251E-2</v>
      </c>
      <c r="J5" s="9"/>
    </row>
    <row r="6" spans="1:14" x14ac:dyDescent="0.2">
      <c r="A6" s="70" t="s">
        <v>5</v>
      </c>
      <c r="B6" s="300">
        <f>'Regional Major'!L5</f>
        <v>404161</v>
      </c>
      <c r="C6" s="300">
        <f>'Regional Major'!L6</f>
        <v>391836</v>
      </c>
      <c r="D6" s="5">
        <f>B6+C6</f>
        <v>795997</v>
      </c>
      <c r="E6" s="9">
        <f>'[1]Monthly Summary'!D6</f>
        <v>764184</v>
      </c>
      <c r="F6" s="41">
        <f>(D6-E6)/E6</f>
        <v>4.1630026276394165E-2</v>
      </c>
      <c r="G6" s="9">
        <f>+D6+'[2]Monthly Summary'!G6</f>
        <v>3034809</v>
      </c>
      <c r="H6" s="9">
        <f>'[1]Monthly Summary'!G6</f>
        <v>2996001</v>
      </c>
      <c r="I6" s="88">
        <f>(G6-H6)/H6</f>
        <v>1.2953266704517121E-2</v>
      </c>
      <c r="J6" s="21"/>
      <c r="K6" s="2"/>
    </row>
    <row r="7" spans="1:14" x14ac:dyDescent="0.2">
      <c r="A7" s="70" t="s">
        <v>6</v>
      </c>
      <c r="B7" s="9">
        <f>Charter!G5</f>
        <v>136</v>
      </c>
      <c r="C7" s="301">
        <f>Charter!G6</f>
        <v>0</v>
      </c>
      <c r="D7" s="5">
        <f>B7+C7</f>
        <v>136</v>
      </c>
      <c r="E7" s="9">
        <f>'[1]Monthly Summary'!D7</f>
        <v>433</v>
      </c>
      <c r="F7" s="41">
        <f>(D7-E7)/E7</f>
        <v>-0.68591224018475749</v>
      </c>
      <c r="G7" s="9">
        <f>+D7+'[2]Monthly Summary'!G7</f>
        <v>1973</v>
      </c>
      <c r="H7" s="9">
        <f>'[1]Monthly Summary'!G7</f>
        <v>3659</v>
      </c>
      <c r="I7" s="88">
        <f>(G7-H7)/H7</f>
        <v>-0.46078163432631869</v>
      </c>
      <c r="J7" s="21"/>
      <c r="K7" s="2"/>
    </row>
    <row r="8" spans="1:14" x14ac:dyDescent="0.2">
      <c r="A8" s="73" t="s">
        <v>7</v>
      </c>
      <c r="B8" s="152">
        <f>SUM(B5:B7)</f>
        <v>1408646</v>
      </c>
      <c r="C8" s="152">
        <f>SUM(C5:C7)</f>
        <v>1323266</v>
      </c>
      <c r="D8" s="152">
        <f>SUM(D5:D7)</f>
        <v>2731912</v>
      </c>
      <c r="E8" s="152">
        <f>SUM(E5:E7)</f>
        <v>2582855</v>
      </c>
      <c r="F8" s="95">
        <f>(D8-E8)/E8</f>
        <v>5.7710169560428286E-2</v>
      </c>
      <c r="G8" s="152">
        <f>SUM(G5:G7)</f>
        <v>10705409</v>
      </c>
      <c r="H8" s="152">
        <f>SUM(H5:H7)</f>
        <v>10091727</v>
      </c>
      <c r="I8" s="94">
        <f>(G8-H8)/H8</f>
        <v>6.0810404403527758E-2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Stats'!H9+'Regional Major'!L10</f>
        <v>42389</v>
      </c>
      <c r="C10" s="303">
        <f>'Major Airline Stats'!H10+'Regional Major'!L11</f>
        <v>41825</v>
      </c>
      <c r="D10" s="124">
        <f>SUM(B10:C10)</f>
        <v>84214</v>
      </c>
      <c r="E10" s="124">
        <f>'[1]Monthly Summary'!D10</f>
        <v>90711</v>
      </c>
      <c r="F10" s="96">
        <f>(D10-E10)/E10</f>
        <v>-7.1623066662257054E-2</v>
      </c>
      <c r="G10" s="118">
        <f>+D10+'[2]Monthly Summary'!G10</f>
        <v>342370</v>
      </c>
      <c r="H10" s="124">
        <f>'[1]Monthly Summary'!G10</f>
        <v>351629</v>
      </c>
      <c r="I10" s="99">
        <f>(G10-H10)/H10</f>
        <v>-2.6331730318034065E-2</v>
      </c>
      <c r="J10" s="263"/>
    </row>
    <row r="11" spans="1:14" ht="15.75" thickBot="1" x14ac:dyDescent="0.3">
      <c r="A11" s="72" t="s">
        <v>15</v>
      </c>
      <c r="B11" s="278">
        <f>B10+B8</f>
        <v>1451035</v>
      </c>
      <c r="C11" s="278">
        <f>C10+C8</f>
        <v>1365091</v>
      </c>
      <c r="D11" s="278">
        <f>D10+D8</f>
        <v>2816126</v>
      </c>
      <c r="E11" s="278">
        <f>E10+E8</f>
        <v>2673566</v>
      </c>
      <c r="F11" s="97">
        <f>(D11-E11)/E11</f>
        <v>5.3322042545424352E-2</v>
      </c>
      <c r="G11" s="278">
        <f>G8+G10</f>
        <v>11047779</v>
      </c>
      <c r="H11" s="278">
        <f>H8+H10</f>
        <v>10443356</v>
      </c>
      <c r="I11" s="100">
        <f>(G11-H11)/H11</f>
        <v>5.7876318685296184E-2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5" t="s">
        <v>193</v>
      </c>
      <c r="E13" s="485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6"/>
      <c r="E14" s="487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Stats'!H15+'Major Airline Stats'!H19</f>
        <v>7631</v>
      </c>
      <c r="C16" s="311">
        <f>'Major Airline Stats'!H16+'Major Airline Stats'!H20</f>
        <v>7625</v>
      </c>
      <c r="D16" s="49">
        <f t="shared" ref="D16:D21" si="0">SUM(B16:C16)</f>
        <v>15256</v>
      </c>
      <c r="E16" s="9">
        <f>'[1]Monthly Summary'!D16</f>
        <v>15784</v>
      </c>
      <c r="F16" s="98">
        <f t="shared" ref="F16:F22" si="1">(D16-E16)/E16</f>
        <v>-3.3451596553471873E-2</v>
      </c>
      <c r="G16" s="49">
        <f>+D16+'[2]Monthly Summary'!G16</f>
        <v>60262</v>
      </c>
      <c r="H16" s="9">
        <f>'[1]Monthly Summary'!G16</f>
        <v>60774</v>
      </c>
      <c r="I16" s="261">
        <f t="shared" ref="I16:I22" si="2">(G16-H16)/H16</f>
        <v>-8.4246552802185147E-3</v>
      </c>
      <c r="N16" s="134"/>
    </row>
    <row r="17" spans="1:12" x14ac:dyDescent="0.2">
      <c r="A17" s="71" t="s">
        <v>5</v>
      </c>
      <c r="B17" s="49">
        <f>'Regional Major'!L15+'Regional Major'!L18</f>
        <v>7909</v>
      </c>
      <c r="C17" s="49">
        <f>'Regional Major'!L16+'Regional Major'!L19</f>
        <v>7915</v>
      </c>
      <c r="D17" s="49">
        <f>SUM(B17:C17)</f>
        <v>15824</v>
      </c>
      <c r="E17" s="9">
        <f>'[1]Monthly Summary'!D17</f>
        <v>16530</v>
      </c>
      <c r="F17" s="98">
        <f t="shared" si="1"/>
        <v>-4.2710223835450693E-2</v>
      </c>
      <c r="G17" s="49">
        <f>+D17+'[2]Monthly Summary'!G17</f>
        <v>62189</v>
      </c>
      <c r="H17" s="9">
        <f>'[1]Monthly Summary'!G17</f>
        <v>65170</v>
      </c>
      <c r="I17" s="261">
        <f t="shared" si="2"/>
        <v>-4.5741905784870342E-2</v>
      </c>
    </row>
    <row r="18" spans="1:12" x14ac:dyDescent="0.2">
      <c r="A18" s="71" t="s">
        <v>10</v>
      </c>
      <c r="B18" s="49">
        <f>Charter!G10</f>
        <v>1</v>
      </c>
      <c r="C18" s="49">
        <f>Charter!G11</f>
        <v>0</v>
      </c>
      <c r="D18" s="49">
        <f t="shared" si="0"/>
        <v>1</v>
      </c>
      <c r="E18" s="9">
        <f>'[1]Monthly Summary'!D18</f>
        <v>7</v>
      </c>
      <c r="F18" s="98">
        <f t="shared" si="1"/>
        <v>-0.8571428571428571</v>
      </c>
      <c r="G18" s="49">
        <f>+D18+'[2]Monthly Summary'!G18</f>
        <v>35</v>
      </c>
      <c r="H18" s="9">
        <f>'[1]Monthly Summary'!G18</f>
        <v>40</v>
      </c>
      <c r="I18" s="261">
        <f t="shared" si="2"/>
        <v>-0.125</v>
      </c>
    </row>
    <row r="19" spans="1:12" x14ac:dyDescent="0.2">
      <c r="A19" s="71" t="s">
        <v>11</v>
      </c>
      <c r="B19" s="49">
        <f>Cargo!M4</f>
        <v>496</v>
      </c>
      <c r="C19" s="49">
        <f>Cargo!M5</f>
        <v>493</v>
      </c>
      <c r="D19" s="49">
        <f t="shared" si="0"/>
        <v>989</v>
      </c>
      <c r="E19" s="9">
        <f>'[1]Monthly Summary'!D19</f>
        <v>899</v>
      </c>
      <c r="F19" s="98">
        <f t="shared" si="1"/>
        <v>0.10011123470522804</v>
      </c>
      <c r="G19" s="49">
        <f>+D19+'[2]Monthly Summary'!G19</f>
        <v>3984</v>
      </c>
      <c r="H19" s="9">
        <f>'[1]Monthly Summary'!G19</f>
        <v>3607</v>
      </c>
      <c r="I19" s="261">
        <f t="shared" si="2"/>
        <v>0.10451899085112282</v>
      </c>
    </row>
    <row r="20" spans="1:12" x14ac:dyDescent="0.2">
      <c r="A20" s="71" t="s">
        <v>172</v>
      </c>
      <c r="B20" s="49">
        <f>'[3]General Avation'!$DM$4</f>
        <v>1094</v>
      </c>
      <c r="C20" s="49">
        <f>'[3]General Avation'!$DM$5</f>
        <v>1095</v>
      </c>
      <c r="D20" s="49">
        <f t="shared" si="0"/>
        <v>2189</v>
      </c>
      <c r="E20" s="9">
        <f>'[1]Monthly Summary'!D20</f>
        <v>1700</v>
      </c>
      <c r="F20" s="98">
        <f t="shared" si="1"/>
        <v>0.28764705882352942</v>
      </c>
      <c r="G20" s="49">
        <f>+D20+'[2]Monthly Summary'!G20</f>
        <v>7773</v>
      </c>
      <c r="H20" s="9">
        <f>'[1]Monthly Summary'!G20</f>
        <v>6661</v>
      </c>
      <c r="I20" s="261">
        <f t="shared" si="2"/>
        <v>0.16694190061552319</v>
      </c>
    </row>
    <row r="21" spans="1:12" ht="12.75" customHeight="1" x14ac:dyDescent="0.2">
      <c r="A21" s="71" t="s">
        <v>12</v>
      </c>
      <c r="B21" s="18">
        <f>'[3]Military '!$DM$4</f>
        <v>63</v>
      </c>
      <c r="C21" s="18">
        <f>'[3]Military '!$DM$5</f>
        <v>64</v>
      </c>
      <c r="D21" s="18">
        <f t="shared" si="0"/>
        <v>127</v>
      </c>
      <c r="E21" s="124">
        <f>'[1]Monthly Summary'!D21</f>
        <v>88</v>
      </c>
      <c r="F21" s="259">
        <f t="shared" si="1"/>
        <v>0.44318181818181818</v>
      </c>
      <c r="G21" s="124">
        <f>+D21+'[2]Monthly Summary'!G21</f>
        <v>445</v>
      </c>
      <c r="H21" s="124">
        <f>'[1]Monthly Summary'!G21+E21</f>
        <v>501</v>
      </c>
      <c r="I21" s="262">
        <f t="shared" si="2"/>
        <v>-0.11177644710578842</v>
      </c>
    </row>
    <row r="22" spans="1:12" ht="15.75" thickBot="1" x14ac:dyDescent="0.3">
      <c r="A22" s="72" t="s">
        <v>31</v>
      </c>
      <c r="B22" s="279">
        <f>SUM(B16:B21)</f>
        <v>17194</v>
      </c>
      <c r="C22" s="279">
        <f>SUM(C16:C21)</f>
        <v>17192</v>
      </c>
      <c r="D22" s="279">
        <f>SUM(D16:D21)</f>
        <v>34386</v>
      </c>
      <c r="E22" s="279">
        <f>SUM(E16:E21)</f>
        <v>35008</v>
      </c>
      <c r="F22" s="275">
        <f t="shared" si="1"/>
        <v>-1.7767367458866545E-2</v>
      </c>
      <c r="G22" s="279">
        <f>SUM(G16:G21)</f>
        <v>134688</v>
      </c>
      <c r="H22" s="279">
        <f>SUM(H16:H21)</f>
        <v>136753</v>
      </c>
      <c r="I22" s="276">
        <f t="shared" si="2"/>
        <v>-1.5100217179879052E-2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5" t="s">
        <v>193</v>
      </c>
      <c r="E24" s="485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6"/>
      <c r="E25" s="487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Stats'!H28+'Regional Major'!L25)*0.00045359237</f>
        <v>7040.4906700012498</v>
      </c>
      <c r="C27" s="23">
        <f>(Cargo!M21+'Major Airline Stats'!H33+'Regional Major'!L30)*0.00045359237</f>
        <v>7962.2198493452997</v>
      </c>
      <c r="D27" s="23">
        <f>(SUM(B27:C27)+('Cargo Summary'!E17*0.00045359237))</f>
        <v>15002.71051934655</v>
      </c>
      <c r="E27" s="9">
        <f>'[1]Monthly Summary'!D27</f>
        <v>13583.156002857209</v>
      </c>
      <c r="F27" s="101">
        <f>(D27-E27)/E27</f>
        <v>0.10450844532675164</v>
      </c>
      <c r="G27" s="56">
        <f>+D27+'[2]Monthly Summary'!G27</f>
        <v>60148.412107283497</v>
      </c>
      <c r="H27" s="9">
        <f>'[1]Monthly Summary'!G27</f>
        <v>59412.639016721761</v>
      </c>
      <c r="I27" s="103">
        <f>(G27-H27)/H27</f>
        <v>1.2384117297914526E-2</v>
      </c>
    </row>
    <row r="28" spans="1:12" x14ac:dyDescent="0.2">
      <c r="A28" s="65" t="s">
        <v>18</v>
      </c>
      <c r="B28" s="23">
        <f>(Cargo!M17+'Major Airline Stats'!H29+'Regional Major'!L26)*0.00045359237</f>
        <v>579.46289189789002</v>
      </c>
      <c r="C28" s="23">
        <f>(Cargo!M22+'Major Airline Stats'!H34+'Regional Major'!L31)*0.00045359237</f>
        <v>275.27432313612002</v>
      </c>
      <c r="D28" s="23">
        <f>SUM(B28:C28)</f>
        <v>854.73721503400998</v>
      </c>
      <c r="E28" s="9">
        <f>'[1]Monthly Summary'!D28</f>
        <v>1312.92447574211</v>
      </c>
      <c r="F28" s="101">
        <f>(D28-E28)/E28</f>
        <v>-0.34898219141593567</v>
      </c>
      <c r="G28" s="23">
        <f>+D28+'[2]Monthly Summary'!G28</f>
        <v>6437.7036048455893</v>
      </c>
      <c r="H28" s="9">
        <f>'[1]Monthly Summary'!G28</f>
        <v>5677.5413061413201</v>
      </c>
      <c r="I28" s="103">
        <f>(G28-H28)/H28</f>
        <v>0.13388934711615605</v>
      </c>
    </row>
    <row r="29" spans="1:12" ht="15.75" thickBot="1" x14ac:dyDescent="0.3">
      <c r="A29" s="66" t="s">
        <v>67</v>
      </c>
      <c r="B29" s="57">
        <f>SUM(B27:B28)</f>
        <v>7619.9535618991395</v>
      </c>
      <c r="C29" s="57">
        <f>SUM(C27:C28)</f>
        <v>8237.4941724814198</v>
      </c>
      <c r="D29" s="57">
        <f>SUM(D27:D28)</f>
        <v>15857.447734380561</v>
      </c>
      <c r="E29" s="57">
        <f>SUM(E27:E28)</f>
        <v>14896.080478599319</v>
      </c>
      <c r="F29" s="102">
        <f>(D29-E29)/E29</f>
        <v>6.4538269457016254E-2</v>
      </c>
      <c r="G29" s="57">
        <f>SUM(G27:G28)</f>
        <v>66586.115712129089</v>
      </c>
      <c r="H29" s="57">
        <f>SUM(H27:H28)</f>
        <v>65090.180322863082</v>
      </c>
      <c r="I29" s="104">
        <f>(G29-H29)/H29</f>
        <v>2.2982504916191738E-2</v>
      </c>
    </row>
    <row r="30" spans="1:12" s="7" customFormat="1" ht="4.5" customHeight="1" thickBot="1" x14ac:dyDescent="0.3">
      <c r="A30" s="62"/>
      <c r="B30" s="408"/>
      <c r="C30" s="408"/>
      <c r="D30" s="408"/>
      <c r="E30" s="408"/>
      <c r="F30" s="280"/>
      <c r="G30" s="408"/>
      <c r="H30" s="408"/>
      <c r="I30" s="280"/>
    </row>
    <row r="31" spans="1:12" ht="13.5" thickBot="1" x14ac:dyDescent="0.25">
      <c r="B31" s="484" t="s">
        <v>164</v>
      </c>
      <c r="C31" s="483"/>
      <c r="D31" s="484" t="s">
        <v>176</v>
      </c>
      <c r="E31" s="483"/>
      <c r="F31" s="437"/>
      <c r="G31" s="439"/>
      <c r="H31" s="436"/>
      <c r="I31" s="436"/>
    </row>
    <row r="32" spans="1:12" x14ac:dyDescent="0.2">
      <c r="A32" s="412" t="s">
        <v>165</v>
      </c>
      <c r="B32" s="413">
        <f>C8-B33</f>
        <v>710016</v>
      </c>
      <c r="C32" s="414">
        <f>B32/C8</f>
        <v>0.53656332135791296</v>
      </c>
      <c r="D32" s="415">
        <f>+B32+'[2]Monthly Summary'!$D$32</f>
        <v>3121665</v>
      </c>
      <c r="E32" s="416">
        <f>+D32/D34</f>
        <v>0.58519108951891263</v>
      </c>
      <c r="G32" s="446"/>
      <c r="H32" s="436"/>
      <c r="I32" s="435"/>
    </row>
    <row r="33" spans="1:14" ht="13.5" thickBot="1" x14ac:dyDescent="0.25">
      <c r="A33" s="417" t="s">
        <v>166</v>
      </c>
      <c r="B33" s="418">
        <f>'Major Airline Stats'!H51+'Regional Major'!L45</f>
        <v>613250</v>
      </c>
      <c r="C33" s="419">
        <f>+B33/C8</f>
        <v>0.4634366786420871</v>
      </c>
      <c r="D33" s="420">
        <f>+B33+'[2]Monthly Summary'!$D$33</f>
        <v>2212772</v>
      </c>
      <c r="E33" s="421">
        <f>+D33/D34</f>
        <v>0.41480891048108731</v>
      </c>
      <c r="G33" s="436"/>
      <c r="H33" s="436"/>
      <c r="I33" s="435"/>
    </row>
    <row r="34" spans="1:14" ht="13.5" thickBot="1" x14ac:dyDescent="0.25">
      <c r="B34" s="315"/>
      <c r="D34" s="422">
        <f>SUM(D32:D33)</f>
        <v>5334437</v>
      </c>
    </row>
    <row r="35" spans="1:14" ht="13.5" thickBot="1" x14ac:dyDescent="0.25">
      <c r="B35" s="482" t="s">
        <v>214</v>
      </c>
      <c r="C35" s="483"/>
      <c r="D35" s="484" t="s">
        <v>195</v>
      </c>
      <c r="E35" s="483"/>
    </row>
    <row r="36" spans="1:14" x14ac:dyDescent="0.2">
      <c r="A36" s="412" t="s">
        <v>165</v>
      </c>
      <c r="B36" s="413">
        <f>'[1]Monthly Summary'!$B$32</f>
        <v>691391</v>
      </c>
      <c r="C36" s="414">
        <f>+B36/B38</f>
        <v>0.55055426422330145</v>
      </c>
      <c r="D36" s="415">
        <f>'[1]Monthly Summary'!$D$32</f>
        <v>2916328</v>
      </c>
      <c r="E36" s="416">
        <f>+D36/D38</f>
        <v>0.57932537638505466</v>
      </c>
    </row>
    <row r="37" spans="1:14" ht="13.5" thickBot="1" x14ac:dyDescent="0.25">
      <c r="A37" s="417" t="s">
        <v>166</v>
      </c>
      <c r="B37" s="418">
        <f>'[1]Monthly Summary'!$B$33</f>
        <v>564418</v>
      </c>
      <c r="C37" s="421">
        <f>+B37/B38</f>
        <v>0.44944573577669855</v>
      </c>
      <c r="D37" s="420">
        <f>'[1]Monthly Summary'!$D$33</f>
        <v>2117679</v>
      </c>
      <c r="E37" s="421">
        <f>+D37/D38</f>
        <v>0.42067462361494529</v>
      </c>
    </row>
    <row r="38" spans="1:14" x14ac:dyDescent="0.2">
      <c r="B38" s="445">
        <f>+SUM(B36:B37)</f>
        <v>1255809</v>
      </c>
      <c r="D38" s="422">
        <f>SUM(D36:D37)</f>
        <v>5034007</v>
      </c>
    </row>
    <row r="39" spans="1:14" x14ac:dyDescent="0.2">
      <c r="A39" s="432" t="s">
        <v>167</v>
      </c>
    </row>
    <row r="40" spans="1:14" x14ac:dyDescent="0.2">
      <c r="A40" s="233" t="s">
        <v>173</v>
      </c>
      <c r="I40" s="2"/>
    </row>
    <row r="41" spans="1:14" x14ac:dyDescent="0.2">
      <c r="N41" s="433"/>
    </row>
    <row r="42" spans="1:14" x14ac:dyDescent="0.2">
      <c r="G42" s="2"/>
      <c r="N42" s="433"/>
    </row>
    <row r="43" spans="1:14" x14ac:dyDescent="0.2">
      <c r="J43" s="2"/>
      <c r="N43" s="433"/>
    </row>
    <row r="44" spans="1:14" x14ac:dyDescent="0.2">
      <c r="N44" s="433"/>
    </row>
    <row r="45" spans="1:14" x14ac:dyDescent="0.2">
      <c r="J45" s="2"/>
      <c r="N45" s="433"/>
    </row>
    <row r="46" spans="1:14" x14ac:dyDescent="0.2">
      <c r="B46" s="2"/>
      <c r="F46" s="315"/>
    </row>
    <row r="47" spans="1:14" x14ac:dyDescent="0.2">
      <c r="N47" s="433"/>
    </row>
    <row r="51" spans="12:12" x14ac:dyDescent="0.2">
      <c r="L51" s="43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8"/>
  <sheetViews>
    <sheetView zoomScale="85" zoomScaleNormal="100" zoomScaleSheetLayoutView="85" workbookViewId="0">
      <selection activeCell="L39" sqref="L20:L39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8.1406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14062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4" t="s">
        <v>148</v>
      </c>
      <c r="B1" s="525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31" t="s">
        <v>152</v>
      </c>
      <c r="K1" s="532"/>
      <c r="L1" s="270" t="s">
        <v>201</v>
      </c>
      <c r="M1" s="398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6">
        <v>41730</v>
      </c>
      <c r="B2" s="527"/>
      <c r="C2" s="528" t="s">
        <v>9</v>
      </c>
      <c r="D2" s="529"/>
      <c r="E2" s="529"/>
      <c r="F2" s="529"/>
      <c r="G2" s="529"/>
      <c r="H2" s="529"/>
      <c r="I2" s="530"/>
      <c r="J2" s="526">
        <v>41730</v>
      </c>
      <c r="K2" s="527"/>
      <c r="L2" s="521" t="s">
        <v>154</v>
      </c>
      <c r="M2" s="522"/>
      <c r="N2" s="522"/>
      <c r="O2" s="522"/>
      <c r="P2" s="522"/>
      <c r="Q2" s="522"/>
      <c r="R2" s="523"/>
    </row>
    <row r="3" spans="1:23" x14ac:dyDescent="0.2">
      <c r="A3" s="343"/>
      <c r="B3" s="344"/>
      <c r="C3" s="345"/>
      <c r="D3" s="346"/>
      <c r="E3" s="347"/>
      <c r="F3" s="348"/>
      <c r="G3" s="440"/>
      <c r="H3" s="441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[3]AirCanada!$DM$19</f>
        <v>162</v>
      </c>
      <c r="D4" s="353">
        <f>C4/$C$54</f>
        <v>5.2123552123552125E-3</v>
      </c>
      <c r="E4" s="354">
        <f>[3]AirCanada!$CY$19</f>
        <v>170</v>
      </c>
      <c r="F4" s="355">
        <f>(C4-E4)/E4</f>
        <v>-4.7058823529411764E-2</v>
      </c>
      <c r="G4" s="354">
        <f>SUM([3]AirCanada!$DJ$19:$DM$19)</f>
        <v>649</v>
      </c>
      <c r="H4" s="354">
        <f>SUM([3]AirCanada!$CV$19:$CY$19)</f>
        <v>734</v>
      </c>
      <c r="I4" s="355">
        <f>(G4-H4)/H4</f>
        <v>-0.11580381471389646</v>
      </c>
      <c r="J4" s="351" t="s">
        <v>110</v>
      </c>
      <c r="K4" s="58"/>
      <c r="L4" s="352">
        <f>[3]AirCanada!$DM$41</f>
        <v>4941</v>
      </c>
      <c r="M4" s="353">
        <f>L4/$L$54</f>
        <v>1.8087134523474839E-3</v>
      </c>
      <c r="N4" s="354">
        <f>[3]AirCanada!$CY$41</f>
        <v>5157</v>
      </c>
      <c r="O4" s="355">
        <f>(L4-N4)/N4</f>
        <v>-4.1884816753926704E-2</v>
      </c>
      <c r="P4" s="354">
        <f>SUM([3]AirCanada!$DJ$41:$DM$41)</f>
        <v>17835</v>
      </c>
      <c r="Q4" s="354">
        <f>SUM([3]AirCanada!$CV$41:$CY$41)</f>
        <v>18849</v>
      </c>
      <c r="R4" s="355">
        <f>(P4-Q4)/Q4</f>
        <v>-5.3795957345217256E-2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France'!$DM$19</f>
        <v>0</v>
      </c>
      <c r="D6" s="353">
        <f>C6/$C$54</f>
        <v>0</v>
      </c>
      <c r="E6" s="354">
        <f>'[3]Air France'!$CY$19</f>
        <v>0</v>
      </c>
      <c r="F6" s="355" t="e">
        <f>(C6-E6)/E6</f>
        <v>#DIV/0!</v>
      </c>
      <c r="G6" s="354">
        <f>SUM('[3]Air France'!$DJ$19:$DM$19)</f>
        <v>0</v>
      </c>
      <c r="H6" s="354">
        <f>SUM('[3]Air France'!$CV$19:$CY$19)</f>
        <v>0</v>
      </c>
      <c r="I6" s="355" t="e">
        <f>(G6-H6)/H6</f>
        <v>#DIV/0!</v>
      </c>
      <c r="J6" s="351" t="s">
        <v>198</v>
      </c>
      <c r="K6" s="58"/>
      <c r="L6" s="352">
        <f>'[3]Air France'!$DM$41</f>
        <v>0</v>
      </c>
      <c r="M6" s="353">
        <f>L6/$L$54</f>
        <v>0</v>
      </c>
      <c r="N6" s="354">
        <f>'[3]Air France'!$CY$41</f>
        <v>0</v>
      </c>
      <c r="O6" s="355" t="e">
        <f>(L6-N6)/N6</f>
        <v>#DIV/0!</v>
      </c>
      <c r="P6" s="354">
        <f>SUM('[3]Air France'!$DJ$41:$DM$41)</f>
        <v>0</v>
      </c>
      <c r="Q6" s="354">
        <f>SUM('[3]Air France'!$CV$41:$CY$41)</f>
        <v>0</v>
      </c>
      <c r="R6" s="355" t="e">
        <f>(P6-Q6)/Q6</f>
        <v>#DIV/0!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[3]Alaska!$DM$19</f>
        <v>120</v>
      </c>
      <c r="D8" s="353">
        <f>C8/$C$54</f>
        <v>3.8610038610038611E-3</v>
      </c>
      <c r="E8" s="354">
        <f>[3]Alaska!$CY$19</f>
        <v>120</v>
      </c>
      <c r="F8" s="355">
        <f>(C8-E8)/E8</f>
        <v>0</v>
      </c>
      <c r="G8" s="354">
        <f>SUM([3]Alaska!$DJ$19:$DM$19)</f>
        <v>478</v>
      </c>
      <c r="H8" s="354">
        <f>SUM([3]Alaska!$CV$19:$CY$19)</f>
        <v>480</v>
      </c>
      <c r="I8" s="355">
        <f>(G8-H8)/H8</f>
        <v>-4.1666666666666666E-3</v>
      </c>
      <c r="J8" s="351" t="s">
        <v>142</v>
      </c>
      <c r="K8" s="58"/>
      <c r="L8" s="352">
        <f>[3]Alaska!$DM$41</f>
        <v>14375</v>
      </c>
      <c r="M8" s="353">
        <f>L8/$L$54</f>
        <v>5.2621444803673508E-3</v>
      </c>
      <c r="N8" s="354">
        <f>[3]Alaska!$CY$41</f>
        <v>15240</v>
      </c>
      <c r="O8" s="355">
        <f>(L8-N8)/N8</f>
        <v>-5.6758530183727035E-2</v>
      </c>
      <c r="P8" s="354">
        <f>SUM([3]Alaska!$DJ$41:$DM$41)</f>
        <v>58352</v>
      </c>
      <c r="Q8" s="354">
        <f>SUM([3]Alaska!$CV$41:$CY$41)</f>
        <v>59431</v>
      </c>
      <c r="R8" s="355">
        <f>(P8-Q8)/Q8</f>
        <v>-1.8155508068179907E-2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847</v>
      </c>
      <c r="D10" s="353">
        <f>C10/$C$54</f>
        <v>2.7252252252252251E-2</v>
      </c>
      <c r="E10" s="357">
        <f>SUM(E11:E12)</f>
        <v>1012</v>
      </c>
      <c r="F10" s="355">
        <f>(C10-E10)/E10</f>
        <v>-0.16304347826086957</v>
      </c>
      <c r="G10" s="357">
        <f>SUM(G11:G12)</f>
        <v>3811</v>
      </c>
      <c r="H10" s="357">
        <f>SUM(H11:H12)</f>
        <v>4190</v>
      </c>
      <c r="I10" s="355">
        <f>(G10-H10)/H10</f>
        <v>-9.0453460620525061E-2</v>
      </c>
      <c r="J10" s="351" t="s">
        <v>19</v>
      </c>
      <c r="K10" s="359"/>
      <c r="L10" s="352">
        <f>SUM(L11:L12)</f>
        <v>74332</v>
      </c>
      <c r="M10" s="353">
        <f>L10/$L$54</f>
        <v>2.7210137287976759E-2</v>
      </c>
      <c r="N10" s="357">
        <f>SUM(N11:N12)</f>
        <v>85229</v>
      </c>
      <c r="O10" s="355">
        <f>(L10-N10)/N10</f>
        <v>-0.12785554212767955</v>
      </c>
      <c r="P10" s="352">
        <f>SUM(P11:P12)</f>
        <v>321512</v>
      </c>
      <c r="Q10" s="357">
        <f>SUM(Q11:Q12)</f>
        <v>324498</v>
      </c>
      <c r="R10" s="355">
        <f>(P10-Q10)/Q10</f>
        <v>-9.2019057128241155E-3</v>
      </c>
      <c r="T10" s="21"/>
    </row>
    <row r="11" spans="1:23" ht="14.1" customHeight="1" x14ac:dyDescent="0.2">
      <c r="A11" s="55"/>
      <c r="B11" s="360" t="s">
        <v>19</v>
      </c>
      <c r="C11" s="356">
        <f>[3]American!$DM$19</f>
        <v>406</v>
      </c>
      <c r="D11" s="41">
        <f>C11/$C$54</f>
        <v>1.3063063063063063E-2</v>
      </c>
      <c r="E11" s="9">
        <f>[3]American!$CY$19</f>
        <v>664</v>
      </c>
      <c r="F11" s="89">
        <f>(C11-E11)/E11</f>
        <v>-0.38855421686746988</v>
      </c>
      <c r="G11" s="9">
        <f>SUM([3]American!$DJ$19:$DM$19)</f>
        <v>1890</v>
      </c>
      <c r="H11" s="9">
        <f>SUM([3]American!$CV$19:$CY$19)</f>
        <v>2198</v>
      </c>
      <c r="I11" s="89">
        <f>(G11-H11)/H11</f>
        <v>-0.14012738853503184</v>
      </c>
      <c r="J11" s="55"/>
      <c r="K11" s="360" t="s">
        <v>19</v>
      </c>
      <c r="L11" s="356">
        <f>[3]American!$DM$41</f>
        <v>45537</v>
      </c>
      <c r="M11" s="41">
        <f>L11/$L$54</f>
        <v>1.6669375527129604E-2</v>
      </c>
      <c r="N11" s="9">
        <f>[3]American!$CY$41</f>
        <v>70768</v>
      </c>
      <c r="O11" s="89">
        <f>(L11-N11)/N11</f>
        <v>-0.35653120054261811</v>
      </c>
      <c r="P11" s="9">
        <f>SUM([3]American!$DJ$41:$DM$41)</f>
        <v>212565</v>
      </c>
      <c r="Q11" s="9">
        <f>SUM([3]American!$CV$41:$CY$41)</f>
        <v>237152</v>
      </c>
      <c r="R11" s="89">
        <f>(P11-Q11)/Q11</f>
        <v>-0.10367612333018486</v>
      </c>
      <c r="T11" s="21"/>
    </row>
    <row r="12" spans="1:23" ht="14.1" customHeight="1" x14ac:dyDescent="0.2">
      <c r="A12" s="55"/>
      <c r="B12" s="360" t="s">
        <v>174</v>
      </c>
      <c r="C12" s="356">
        <f>'[3]American Eagle'!$DM$19</f>
        <v>441</v>
      </c>
      <c r="D12" s="41">
        <f>C12/$C$54</f>
        <v>1.418918918918919E-2</v>
      </c>
      <c r="E12" s="9">
        <f>'[3]American Eagle'!$CY$19</f>
        <v>348</v>
      </c>
      <c r="F12" s="89">
        <f>(C12-E12)/E12</f>
        <v>0.26724137931034481</v>
      </c>
      <c r="G12" s="9">
        <f>SUM('[3]American Eagle'!$DJ$19:$DM$19)</f>
        <v>1921</v>
      </c>
      <c r="H12" s="9">
        <f>SUM('[3]American Eagle'!$CV$19:$CY$19)</f>
        <v>1992</v>
      </c>
      <c r="I12" s="89">
        <f>(G12-H12)/H12</f>
        <v>-3.5642570281124497E-2</v>
      </c>
      <c r="J12" s="55"/>
      <c r="K12" s="360" t="s">
        <v>174</v>
      </c>
      <c r="L12" s="356">
        <f>'[3]American Eagle'!$DM$41</f>
        <v>28795</v>
      </c>
      <c r="M12" s="41">
        <f>L12/$L$54</f>
        <v>1.0540761760847155E-2</v>
      </c>
      <c r="N12" s="9">
        <f>'[3]American Eagle'!$CY$41</f>
        <v>14461</v>
      </c>
      <c r="O12" s="89">
        <f>(L12-N12)/N12</f>
        <v>0.99121775810801471</v>
      </c>
      <c r="P12" s="9">
        <f>SUM('[3]American Eagle'!$DJ$41:$DM$41)</f>
        <v>108947</v>
      </c>
      <c r="Q12" s="9">
        <f>SUM('[3]American Eagle'!$CV$41:$CY$41)</f>
        <v>87346</v>
      </c>
      <c r="R12" s="89">
        <f>(P12-Q12)/Q12</f>
        <v>0.24730382616261765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20</v>
      </c>
      <c r="B14" s="365"/>
      <c r="C14" s="352">
        <f>SUM(C15:C21)</f>
        <v>23546</v>
      </c>
      <c r="D14" s="353">
        <f t="shared" ref="D14:D21" si="0">C14/$C$54</f>
        <v>0.75759330759330756</v>
      </c>
      <c r="E14" s="354">
        <f>SUM(E15:E21)</f>
        <v>23994</v>
      </c>
      <c r="F14" s="355">
        <f t="shared" ref="F14:F21" si="1">(C14-E14)/E14</f>
        <v>-1.867133450029174E-2</v>
      </c>
      <c r="G14" s="357">
        <f>SUM(G15:G21)</f>
        <v>91942</v>
      </c>
      <c r="H14" s="357">
        <f>SUM(H15:H21)</f>
        <v>93227</v>
      </c>
      <c r="I14" s="355">
        <f>(G14-H14)/H14</f>
        <v>-1.3783560556491145E-2</v>
      </c>
      <c r="J14" s="351" t="s">
        <v>20</v>
      </c>
      <c r="K14" s="365"/>
      <c r="L14" s="352">
        <f>SUM(L15:L21)</f>
        <v>2038117</v>
      </c>
      <c r="M14" s="353">
        <f t="shared" ref="M14:M21" si="2">L14/$L$54</f>
        <v>0.74607764326211223</v>
      </c>
      <c r="N14" s="354">
        <f>SUM(N15:N21)</f>
        <v>1931495</v>
      </c>
      <c r="O14" s="355">
        <f t="shared" ref="O14:O21" si="3">(L14-N14)/N14</f>
        <v>5.520179964224603E-2</v>
      </c>
      <c r="P14" s="354">
        <f>SUM(P15:P21)</f>
        <v>7832750</v>
      </c>
      <c r="Q14" s="354">
        <f>SUM(Q15:Q21)</f>
        <v>7460157</v>
      </c>
      <c r="R14" s="355">
        <f t="shared" ref="R14:R21" si="4">(P14-Q14)/Q14</f>
        <v>4.9944391250747136E-2</v>
      </c>
      <c r="T14" s="444"/>
      <c r="V14" s="11"/>
      <c r="W14" s="11"/>
    </row>
    <row r="15" spans="1:23" ht="14.1" customHeight="1" x14ac:dyDescent="0.2">
      <c r="A15" s="55"/>
      <c r="B15" s="360" t="s">
        <v>20</v>
      </c>
      <c r="C15" s="356">
        <f>[3]Delta!$DM$19</f>
        <v>9936</v>
      </c>
      <c r="D15" s="41">
        <f t="shared" si="0"/>
        <v>0.31969111969111969</v>
      </c>
      <c r="E15" s="9">
        <f>[3]Delta!$CY$19</f>
        <v>9640</v>
      </c>
      <c r="F15" s="89">
        <f t="shared" si="1"/>
        <v>3.0705394190871368E-2</v>
      </c>
      <c r="G15" s="9">
        <f>SUM([3]Delta!$DJ$19:$DM$19)</f>
        <v>37781</v>
      </c>
      <c r="H15" s="9">
        <f>SUM([3]Delta!$CV$19:$CY$19)</f>
        <v>36617</v>
      </c>
      <c r="I15" s="89">
        <f t="shared" ref="I15:I21" si="5">(G15-H15)/H15</f>
        <v>3.1788513531966024E-2</v>
      </c>
      <c r="J15" s="55"/>
      <c r="K15" s="360" t="s">
        <v>20</v>
      </c>
      <c r="L15" s="356">
        <f>[3]Delta!$DM$41</f>
        <v>1366266</v>
      </c>
      <c r="M15" s="41">
        <f t="shared" si="2"/>
        <v>0.50013837152094465</v>
      </c>
      <c r="N15" s="9">
        <f>[3]Delta!$CY$41</f>
        <v>1269469</v>
      </c>
      <c r="O15" s="89">
        <f t="shared" si="3"/>
        <v>7.6249991138026996E-2</v>
      </c>
      <c r="P15" s="9">
        <f>SUM([3]Delta!$DJ$41:$DM$41)</f>
        <v>5213988</v>
      </c>
      <c r="Q15" s="9">
        <f>SUM([3]Delta!$CV$41:$CY$41)</f>
        <v>4853424</v>
      </c>
      <c r="R15" s="89">
        <f t="shared" si="4"/>
        <v>7.4290645119816437E-2</v>
      </c>
      <c r="T15" s="21"/>
      <c r="U15" s="9"/>
      <c r="V15" s="11"/>
      <c r="W15" s="11"/>
    </row>
    <row r="16" spans="1:23" ht="14.1" customHeight="1" x14ac:dyDescent="0.2">
      <c r="A16" s="55"/>
      <c r="B16" s="362" t="s">
        <v>131</v>
      </c>
      <c r="C16" s="356">
        <f>[3]Compass!$DM$19</f>
        <v>2355</v>
      </c>
      <c r="D16" s="41">
        <f t="shared" si="0"/>
        <v>7.5772200772200773E-2</v>
      </c>
      <c r="E16" s="9">
        <f>[3]Compass!$CY$19</f>
        <v>3720</v>
      </c>
      <c r="F16" s="89">
        <f t="shared" si="1"/>
        <v>-0.36693548387096775</v>
      </c>
      <c r="G16" s="9">
        <f>SUM([3]Compass!$DJ$19:$DM$19)</f>
        <v>10292</v>
      </c>
      <c r="H16" s="9">
        <f>SUM([3]Compass!$CV$19:$CY$19)</f>
        <v>14588</v>
      </c>
      <c r="I16" s="89">
        <f t="shared" si="5"/>
        <v>-0.29448862078420618</v>
      </c>
      <c r="J16" s="55"/>
      <c r="K16" s="362" t="s">
        <v>131</v>
      </c>
      <c r="L16" s="356">
        <f>[3]Compass!$DM$41</f>
        <v>145749</v>
      </c>
      <c r="M16" s="41">
        <f t="shared" si="2"/>
        <v>5.3353203190891201E-2</v>
      </c>
      <c r="N16" s="9">
        <f>[3]Compass!$CY$41</f>
        <v>212789</v>
      </c>
      <c r="O16" s="89">
        <f t="shared" si="3"/>
        <v>-0.31505387966483228</v>
      </c>
      <c r="P16" s="9">
        <f>SUM([3]Compass!$DJ$41:$DM$41)</f>
        <v>621817</v>
      </c>
      <c r="Q16" s="9">
        <f>SUM([3]Compass!$CV$41:$CY$41)</f>
        <v>828822</v>
      </c>
      <c r="R16" s="89">
        <f t="shared" si="4"/>
        <v>-0.24975809039817959</v>
      </c>
      <c r="T16" s="9"/>
      <c r="U16" s="9"/>
      <c r="V16" s="11"/>
      <c r="W16" s="11"/>
    </row>
    <row r="17" spans="1:21" ht="14.1" customHeight="1" x14ac:dyDescent="0.2">
      <c r="A17" s="55"/>
      <c r="B17" s="361" t="s">
        <v>204</v>
      </c>
      <c r="C17" s="356">
        <f>[3]Pinnacle!$DM$19</f>
        <v>6892</v>
      </c>
      <c r="D17" s="41">
        <f t="shared" si="0"/>
        <v>0.22175032175032175</v>
      </c>
      <c r="E17" s="9">
        <f>[3]Pinnacle!$CY$19</f>
        <v>5513</v>
      </c>
      <c r="F17" s="89">
        <f t="shared" si="1"/>
        <v>0.2501360420823508</v>
      </c>
      <c r="G17" s="9">
        <f>SUM([3]Pinnacle!$DJ$19:$DM$19)</f>
        <v>28430</v>
      </c>
      <c r="H17" s="9">
        <f>SUM([3]Pinnacle!$CV$19:$CY$19)</f>
        <v>20918</v>
      </c>
      <c r="I17" s="89">
        <f t="shared" si="5"/>
        <v>0.35911655033942058</v>
      </c>
      <c r="J17" s="55"/>
      <c r="K17" s="361" t="s">
        <v>204</v>
      </c>
      <c r="L17" s="356">
        <f>[3]Pinnacle!$DM$41</f>
        <v>328055</v>
      </c>
      <c r="M17" s="41">
        <f t="shared" si="2"/>
        <v>0.12008854313091556</v>
      </c>
      <c r="N17" s="9">
        <f>[3]Pinnacle!$CY$41</f>
        <v>244493</v>
      </c>
      <c r="O17" s="89">
        <f t="shared" si="3"/>
        <v>0.34177665618238556</v>
      </c>
      <c r="P17" s="9">
        <f>SUM([3]Pinnacle!$DJ$41:$DM$41)</f>
        <v>1324221</v>
      </c>
      <c r="Q17" s="9">
        <f>SUM([3]Pinnacle!$CV$41:$CY$41)</f>
        <v>913427</v>
      </c>
      <c r="R17" s="89">
        <f t="shared" si="4"/>
        <v>0.44972833078067542</v>
      </c>
      <c r="T17" s="21"/>
      <c r="U17" s="11"/>
    </row>
    <row r="18" spans="1:21" ht="14.1" customHeight="1" x14ac:dyDescent="0.2">
      <c r="A18" s="55"/>
      <c r="B18" s="360" t="s">
        <v>181</v>
      </c>
      <c r="C18" s="356">
        <f>'[3]Go Jet'!$DM$19</f>
        <v>0</v>
      </c>
      <c r="D18" s="41">
        <f t="shared" si="0"/>
        <v>0</v>
      </c>
      <c r="E18" s="9">
        <f>'[3]Go Jet'!$CY$19</f>
        <v>0</v>
      </c>
      <c r="F18" s="89" t="e">
        <f>(C18-E18)/E18</f>
        <v>#DIV/0!</v>
      </c>
      <c r="G18" s="9">
        <f>SUM('[3]Go Jet'!$DJ$19:$DM$19)</f>
        <v>0</v>
      </c>
      <c r="H18" s="9">
        <f>SUM('[3]Go Jet'!$CV$19:$CY$19)</f>
        <v>0</v>
      </c>
      <c r="I18" s="89" t="e">
        <f>(G18-H18)/H18</f>
        <v>#DIV/0!</v>
      </c>
      <c r="J18" s="55"/>
      <c r="K18" s="361" t="s">
        <v>181</v>
      </c>
      <c r="L18" s="356">
        <f>'[3]Go Jet'!$DM$41</f>
        <v>0</v>
      </c>
      <c r="M18" s="41">
        <f t="shared" si="2"/>
        <v>0</v>
      </c>
      <c r="N18" s="9">
        <f>'[3]Go Jet'!$CY$41</f>
        <v>0</v>
      </c>
      <c r="O18" s="89" t="e">
        <f>(L18-N18)/N18</f>
        <v>#DIV/0!</v>
      </c>
      <c r="P18" s="9">
        <f>SUM('[3]Go Jet'!$DJ$41:$DM$41)</f>
        <v>0</v>
      </c>
      <c r="Q18" s="9">
        <f>SUM('[3]Go Jet'!$CV$41:$CY$41)</f>
        <v>0</v>
      </c>
      <c r="R18" s="89" t="e">
        <f>(P18-Q18)/Q18</f>
        <v>#DIV/0!</v>
      </c>
      <c r="T18" s="338"/>
      <c r="U18" s="335"/>
    </row>
    <row r="19" spans="1:21" ht="14.1" customHeight="1" x14ac:dyDescent="0.2">
      <c r="A19" s="55"/>
      <c r="B19" s="361" t="s">
        <v>109</v>
      </c>
      <c r="C19" s="356">
        <f>'[3]Sky West'!$DM$19</f>
        <v>3036</v>
      </c>
      <c r="D19" s="41">
        <f t="shared" si="0"/>
        <v>9.7683397683397677E-2</v>
      </c>
      <c r="E19" s="9">
        <f>'[3]Sky West'!$CY$19</f>
        <v>4390</v>
      </c>
      <c r="F19" s="89">
        <f t="shared" si="1"/>
        <v>-0.30842824601366742</v>
      </c>
      <c r="G19" s="9">
        <f>SUM('[3]Sky West'!$DJ$19:$DM$19)</f>
        <v>11159</v>
      </c>
      <c r="H19" s="9">
        <f>SUM('[3]Sky West'!$CV$19:$CY$19)</f>
        <v>17812</v>
      </c>
      <c r="I19" s="89">
        <f t="shared" si="5"/>
        <v>-0.37351223894004043</v>
      </c>
      <c r="J19" s="55"/>
      <c r="K19" s="361" t="s">
        <v>109</v>
      </c>
      <c r="L19" s="356">
        <f>'[3]Sky West'!$DM$41</f>
        <v>120566</v>
      </c>
      <c r="M19" s="41">
        <f t="shared" si="2"/>
        <v>4.4134658185737044E-2</v>
      </c>
      <c r="N19" s="9">
        <f>'[3]Sky West'!$CY$41</f>
        <v>167556</v>
      </c>
      <c r="O19" s="89">
        <f t="shared" si="3"/>
        <v>-0.28044355320012415</v>
      </c>
      <c r="P19" s="9">
        <f>SUM('[3]Sky West'!$DJ$41:$DM$41)</f>
        <v>434504</v>
      </c>
      <c r="Q19" s="9">
        <f>SUM('[3]Sky West'!$CV$41:$CY$41)</f>
        <v>700381</v>
      </c>
      <c r="R19" s="89">
        <f t="shared" si="4"/>
        <v>-0.37961766524220386</v>
      </c>
      <c r="T19" s="21"/>
    </row>
    <row r="20" spans="1:21" ht="14.1" customHeight="1" x14ac:dyDescent="0.2">
      <c r="A20" s="55"/>
      <c r="B20" s="361" t="s">
        <v>147</v>
      </c>
      <c r="C20" s="356">
        <f>'[3]Shuttle America_Delta'!$DM$19</f>
        <v>330</v>
      </c>
      <c r="D20" s="41">
        <f t="shared" si="0"/>
        <v>1.0617760617760617E-2</v>
      </c>
      <c r="E20" s="9">
        <f>'[3]Shuttle America_Delta'!$CY$19</f>
        <v>70</v>
      </c>
      <c r="F20" s="89">
        <f t="shared" si="1"/>
        <v>3.7142857142857144</v>
      </c>
      <c r="G20" s="9">
        <f>SUM('[3]Shuttle America_Delta'!$DJ$19:$DM$19)</f>
        <v>766</v>
      </c>
      <c r="H20" s="9">
        <f>SUM('[3]Shuttle America_Delta'!$CV$19:$CY$19)</f>
        <v>465</v>
      </c>
      <c r="I20" s="89">
        <f t="shared" si="5"/>
        <v>0.64731182795698927</v>
      </c>
      <c r="J20" s="55"/>
      <c r="K20" s="361" t="s">
        <v>147</v>
      </c>
      <c r="L20" s="356">
        <f>'[3]Shuttle America_Delta'!$DM$41</f>
        <v>19919</v>
      </c>
      <c r="M20" s="41">
        <f t="shared" si="2"/>
        <v>7.2915934542217226E-3</v>
      </c>
      <c r="N20" s="9">
        <f>'[3]Shuttle America_Delta'!$CY$41</f>
        <v>4181</v>
      </c>
      <c r="O20" s="89">
        <f t="shared" si="3"/>
        <v>3.7641712508969145</v>
      </c>
      <c r="P20" s="9">
        <f>SUM('[3]Shuttle America_Delta'!$DJ$41:$DM$41)</f>
        <v>44023</v>
      </c>
      <c r="Q20" s="9">
        <f>SUM('[3]Shuttle America_Delta'!$CV$41:$CY$41)</f>
        <v>25645</v>
      </c>
      <c r="R20" s="89">
        <f t="shared" si="4"/>
        <v>0.71663092220705793</v>
      </c>
      <c r="T20" s="21"/>
    </row>
    <row r="21" spans="1:21" ht="14.1" customHeight="1" x14ac:dyDescent="0.2">
      <c r="A21" s="55"/>
      <c r="B21" s="366" t="s">
        <v>55</v>
      </c>
      <c r="C21" s="356">
        <f>'[3]Atlantic Southeast'!$DM$19</f>
        <v>997</v>
      </c>
      <c r="D21" s="41">
        <f t="shared" si="0"/>
        <v>3.2078507078507082E-2</v>
      </c>
      <c r="E21" s="9">
        <f>'[3]Atlantic Southeast'!$CY$19</f>
        <v>661</v>
      </c>
      <c r="F21" s="89">
        <f t="shared" si="1"/>
        <v>0.50832072617246593</v>
      </c>
      <c r="G21" s="9">
        <f>SUM('[3]Atlantic Southeast'!$DJ$19:$DM$19)</f>
        <v>3514</v>
      </c>
      <c r="H21" s="9">
        <f>SUM('[3]Atlantic Southeast'!$CV$19:$CY$19)</f>
        <v>2827</v>
      </c>
      <c r="I21" s="89">
        <f t="shared" si="5"/>
        <v>0.24301379554297842</v>
      </c>
      <c r="J21" s="55"/>
      <c r="K21" s="366" t="s">
        <v>55</v>
      </c>
      <c r="L21" s="356">
        <f>'[3]Atlantic Southeast'!$DM$41</f>
        <v>57562</v>
      </c>
      <c r="M21" s="41">
        <f t="shared" si="2"/>
        <v>2.1071273779402117E-2</v>
      </c>
      <c r="N21" s="9">
        <f>'[3]Atlantic Southeast'!$CY$41</f>
        <v>33007</v>
      </c>
      <c r="O21" s="89">
        <f t="shared" si="3"/>
        <v>0.74393310509891841</v>
      </c>
      <c r="P21" s="9">
        <f>SUM('[3]Atlantic Southeast'!$DJ$41:$DM$41)</f>
        <v>194197</v>
      </c>
      <c r="Q21" s="9">
        <f>SUM('[3]Atlantic Southeast'!$CV$41:$CY$41)</f>
        <v>138458</v>
      </c>
      <c r="R21" s="89">
        <f t="shared" si="4"/>
        <v>0.40256973233760418</v>
      </c>
      <c r="T21" s="334"/>
    </row>
    <row r="22" spans="1:21" ht="14.1" customHeight="1" x14ac:dyDescent="0.2">
      <c r="A22" s="55"/>
      <c r="B22" s="366"/>
      <c r="C22" s="356"/>
      <c r="D22" s="41"/>
      <c r="E22" s="5"/>
      <c r="F22" s="89"/>
      <c r="G22" s="9"/>
      <c r="H22" s="9"/>
      <c r="I22" s="89"/>
      <c r="J22" s="55"/>
      <c r="K22" s="366"/>
      <c r="L22" s="356"/>
      <c r="M22" s="41"/>
      <c r="N22" s="9"/>
      <c r="O22" s="89"/>
      <c r="P22" s="9"/>
      <c r="Q22" s="9"/>
      <c r="R22" s="89"/>
      <c r="T22" s="334"/>
    </row>
    <row r="23" spans="1:21" s="7" customFormat="1" ht="14.1" customHeight="1" x14ac:dyDescent="0.2">
      <c r="A23" s="351" t="s">
        <v>51</v>
      </c>
      <c r="B23" s="367"/>
      <c r="C23" s="352">
        <f>[3]Frontier!$DM$19</f>
        <v>206</v>
      </c>
      <c r="D23" s="353">
        <f>C23/$C$54</f>
        <v>6.6280566280566278E-3</v>
      </c>
      <c r="E23" s="354">
        <f>[3]Frontier!$CY$19</f>
        <v>206</v>
      </c>
      <c r="F23" s="355">
        <f>(C23-E23)/E23</f>
        <v>0</v>
      </c>
      <c r="G23" s="354">
        <f>SUM([3]Frontier!$DJ$19:$DM$19)</f>
        <v>792</v>
      </c>
      <c r="H23" s="354">
        <f>SUM([3]Frontier!$CV$19:$CY$19)</f>
        <v>730</v>
      </c>
      <c r="I23" s="355">
        <f>(G23-H23)/H23</f>
        <v>8.4931506849315067E-2</v>
      </c>
      <c r="J23" s="351" t="s">
        <v>51</v>
      </c>
      <c r="K23" s="367"/>
      <c r="L23" s="352">
        <f>[3]Frontier!$DM$41</f>
        <v>29959</v>
      </c>
      <c r="M23" s="353">
        <f>L23/$L$54</f>
        <v>1.0966858190422641E-2</v>
      </c>
      <c r="N23" s="354">
        <f>[3]Frontier!$CY$41</f>
        <v>28640</v>
      </c>
      <c r="O23" s="355">
        <f>(L23-N23)/N23</f>
        <v>4.6054469273743015E-2</v>
      </c>
      <c r="P23" s="354">
        <f>SUM([3]Frontier!$DJ$41:$DM$41)</f>
        <v>112999</v>
      </c>
      <c r="Q23" s="354">
        <f>SUM([3]Frontier!$CV$41:$CY$41)</f>
        <v>105666</v>
      </c>
      <c r="R23" s="355">
        <f>(P23-Q23)/Q23</f>
        <v>6.9397914182423859E-2</v>
      </c>
      <c r="T23" s="336"/>
      <c r="U23"/>
    </row>
    <row r="24" spans="1:21" s="7" customFormat="1" ht="14.1" customHeight="1" x14ac:dyDescent="0.2">
      <c r="A24" s="351"/>
      <c r="B24" s="367"/>
      <c r="C24" s="352"/>
      <c r="D24" s="353"/>
      <c r="E24" s="182"/>
      <c r="F24" s="355"/>
      <c r="G24" s="354"/>
      <c r="H24" s="354"/>
      <c r="I24" s="355"/>
      <c r="J24" s="351"/>
      <c r="K24" s="367"/>
      <c r="L24" s="356"/>
      <c r="M24" s="41"/>
      <c r="N24" s="9"/>
      <c r="O24" s="89"/>
      <c r="P24" s="9"/>
      <c r="Q24" s="9"/>
      <c r="R24" s="89"/>
      <c r="T24" s="336"/>
    </row>
    <row r="25" spans="1:21" s="7" customFormat="1" ht="14.1" customHeight="1" x14ac:dyDescent="0.2">
      <c r="A25" s="351" t="s">
        <v>180</v>
      </c>
      <c r="B25" s="367"/>
      <c r="C25" s="352">
        <f>'[3]Great Lakes'!$DM$19</f>
        <v>96</v>
      </c>
      <c r="D25" s="353">
        <f>C25/$C$54</f>
        <v>3.0888030888030888E-3</v>
      </c>
      <c r="E25" s="354">
        <f>'[3]Great Lakes'!$CY$19</f>
        <v>1136</v>
      </c>
      <c r="F25" s="355">
        <f>(C25-E25)/E25</f>
        <v>-0.91549295774647887</v>
      </c>
      <c r="G25" s="354">
        <f>SUM('[3]Great Lakes'!$DJ$19:$DM$19)</f>
        <v>808</v>
      </c>
      <c r="H25" s="354">
        <f>SUM('[3]Great Lakes'!$CV$19:$CY$19)</f>
        <v>4428</v>
      </c>
      <c r="I25" s="355">
        <f>(G25-H25)/H25</f>
        <v>-0.81752484191508579</v>
      </c>
      <c r="J25" s="351" t="s">
        <v>180</v>
      </c>
      <c r="K25" s="367"/>
      <c r="L25" s="352">
        <f>'[3]Great Lakes'!$DM$41</f>
        <v>707</v>
      </c>
      <c r="M25" s="353">
        <f>L25/$L$54</f>
        <v>2.5880599287789337E-4</v>
      </c>
      <c r="N25" s="354">
        <f>'[3]Great Lakes'!$CY$41</f>
        <v>3648</v>
      </c>
      <c r="O25" s="355">
        <f>(L25-N25)/N25</f>
        <v>-0.80619517543859653</v>
      </c>
      <c r="P25" s="354">
        <f>SUM('[3]Great Lakes'!$DJ$41:$DM$41)</f>
        <v>5047</v>
      </c>
      <c r="Q25" s="354">
        <f>SUM('[3]Great Lakes'!$CV$41:$CY$41)</f>
        <v>15196</v>
      </c>
      <c r="R25" s="355">
        <f>(P25-Q25)/Q25</f>
        <v>-0.66787312450644909</v>
      </c>
      <c r="T25" s="336"/>
    </row>
    <row r="26" spans="1:21" s="7" customFormat="1" ht="14.1" customHeight="1" x14ac:dyDescent="0.2">
      <c r="A26" s="351"/>
      <c r="B26" s="367"/>
      <c r="C26" s="352"/>
      <c r="D26" s="353"/>
      <c r="E26" s="182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1" s="7" customFormat="1" ht="14.1" customHeight="1" x14ac:dyDescent="0.2">
      <c r="A27" s="351" t="s">
        <v>52</v>
      </c>
      <c r="B27" s="367"/>
      <c r="C27" s="352">
        <f>[3]Icelandair!$DM$19</f>
        <v>0</v>
      </c>
      <c r="D27" s="353">
        <f>C27/$C$54</f>
        <v>0</v>
      </c>
      <c r="E27" s="354">
        <f>[3]Icelandair!$CY$19</f>
        <v>0</v>
      </c>
      <c r="F27" s="355" t="e">
        <f>(C27-E27)/E27</f>
        <v>#DIV/0!</v>
      </c>
      <c r="G27" s="354">
        <f>SUM([3]Icelandair!$DJ$19:$DM$19)</f>
        <v>0</v>
      </c>
      <c r="H27" s="354">
        <f>SUM([3]Icelandair!$CV$19:$CY$19)</f>
        <v>0</v>
      </c>
      <c r="I27" s="355" t="e">
        <f>(G27-H27)/H27</f>
        <v>#DIV/0!</v>
      </c>
      <c r="J27" s="351" t="s">
        <v>52</v>
      </c>
      <c r="K27" s="367"/>
      <c r="L27" s="352">
        <f>[3]Icelandair!$DM$41</f>
        <v>0</v>
      </c>
      <c r="M27" s="353">
        <f>L27/$L$54</f>
        <v>0</v>
      </c>
      <c r="N27" s="354">
        <f>[3]Icelandair!$CY$41</f>
        <v>0</v>
      </c>
      <c r="O27" s="355" t="e">
        <f>(L27-N27)/N27</f>
        <v>#DIV/0!</v>
      </c>
      <c r="P27" s="354">
        <f>SUM([3]Icelandair!$DJ$41:$DM$41)</f>
        <v>0</v>
      </c>
      <c r="Q27" s="354">
        <f>SUM([3]Icelandair!$CV$41:$CY$41)</f>
        <v>0</v>
      </c>
      <c r="R27" s="355" t="e">
        <f>(P27-Q27)/Q27</f>
        <v>#DIV/0!</v>
      </c>
      <c r="T27" s="21"/>
    </row>
    <row r="28" spans="1:21" s="7" customFormat="1" ht="14.1" customHeight="1" x14ac:dyDescent="0.2">
      <c r="A28" s="351"/>
      <c r="B28" s="367"/>
      <c r="C28" s="352"/>
      <c r="D28" s="353"/>
      <c r="E28" s="182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63" t="s">
        <v>144</v>
      </c>
      <c r="B29" s="58"/>
      <c r="C29" s="352">
        <f>SUM(C30:C31)</f>
        <v>1466</v>
      </c>
      <c r="D29" s="353">
        <f>C29/$C$54</f>
        <v>4.7168597168597171E-2</v>
      </c>
      <c r="E29" s="354">
        <f>SUM(E30:E31)</f>
        <v>1522</v>
      </c>
      <c r="F29" s="355">
        <f>(C29-E29)/E29</f>
        <v>-3.6793692509855452E-2</v>
      </c>
      <c r="G29" s="352">
        <f>SUM(G30:G31)</f>
        <v>5541</v>
      </c>
      <c r="H29" s="354">
        <f>SUM(H30:H31)</f>
        <v>5775</v>
      </c>
      <c r="I29" s="355">
        <f>(G29-H29)/H29</f>
        <v>-4.0519480519480518E-2</v>
      </c>
      <c r="J29" s="351" t="s">
        <v>144</v>
      </c>
      <c r="K29" s="58"/>
      <c r="L29" s="352">
        <f>SUM(L30:L31)</f>
        <v>156429</v>
      </c>
      <c r="M29" s="353">
        <f>L29/$L$54</f>
        <v>5.7262747750913688E-2</v>
      </c>
      <c r="N29" s="354">
        <f>SUM(N30:N31)</f>
        <v>144550</v>
      </c>
      <c r="O29" s="355">
        <f>(L29-N29)/N29</f>
        <v>8.2179176755447947E-2</v>
      </c>
      <c r="P29" s="352">
        <f>SUM(P30:P31)</f>
        <v>578484</v>
      </c>
      <c r="Q29" s="354">
        <f>SUM(Q30:Q31)</f>
        <v>547935</v>
      </c>
      <c r="R29" s="355">
        <f>(P29-Q29)/Q29</f>
        <v>5.5752963398943305E-2</v>
      </c>
      <c r="T29" s="21"/>
    </row>
    <row r="30" spans="1:21" ht="14.1" customHeight="1" x14ac:dyDescent="0.2">
      <c r="A30" s="363"/>
      <c r="B30" s="58" t="s">
        <v>144</v>
      </c>
      <c r="C30" s="456">
        <f>[3]Southwest!$DM$19</f>
        <v>1236</v>
      </c>
      <c r="D30" s="457">
        <f>C30/$C$54</f>
        <v>3.9768339768339767E-2</v>
      </c>
      <c r="E30" s="302">
        <f>[3]Southwest!$CY$19</f>
        <v>1238</v>
      </c>
      <c r="F30" s="458">
        <f>(C30-E30)/E30</f>
        <v>-1.6155088852988692E-3</v>
      </c>
      <c r="G30" s="302">
        <f>SUM([3]Southwest!$DJ$19:$DM$19)</f>
        <v>4641</v>
      </c>
      <c r="H30" s="302">
        <f>SUM([3]Southwest!$CV$19:$CY$19)</f>
        <v>4753</v>
      </c>
      <c r="I30" s="458">
        <f>(G30-H30)/H30</f>
        <v>-2.3564064801178203E-2</v>
      </c>
      <c r="J30" s="351"/>
      <c r="K30" s="58" t="s">
        <v>144</v>
      </c>
      <c r="L30" s="456">
        <f>[3]Southwest!$DM$41</f>
        <v>135236</v>
      </c>
      <c r="M30" s="457">
        <f>L30/$L$54</f>
        <v>4.9504791022397153E-2</v>
      </c>
      <c r="N30" s="302">
        <f>[3]Southwest!$CY$41</f>
        <v>116601</v>
      </c>
      <c r="O30" s="458">
        <f>(L30-N30)/N30</f>
        <v>0.15981852642773217</v>
      </c>
      <c r="P30" s="302">
        <f>SUM([3]Southwest!$DJ$41:$DM$41)</f>
        <v>491576</v>
      </c>
      <c r="Q30" s="302">
        <f>SUM([3]Southwest!$CV$41:$CY$41)</f>
        <v>446007</v>
      </c>
      <c r="R30" s="458">
        <f>(P30-Q30)/Q30</f>
        <v>0.10217104215853115</v>
      </c>
      <c r="T30" s="21"/>
    </row>
    <row r="31" spans="1:21" ht="14.1" customHeight="1" x14ac:dyDescent="0.2">
      <c r="A31" s="363"/>
      <c r="B31" s="58" t="s">
        <v>205</v>
      </c>
      <c r="C31" s="456">
        <f>[3]AirTran!$DM$19</f>
        <v>230</v>
      </c>
      <c r="D31" s="457">
        <f>C31/$C$54</f>
        <v>7.4002574002574005E-3</v>
      </c>
      <c r="E31" s="302">
        <f>[3]AirTran!$CY$19</f>
        <v>284</v>
      </c>
      <c r="F31" s="458">
        <f>(C31-E31)/E31</f>
        <v>-0.19014084507042253</v>
      </c>
      <c r="G31" s="302">
        <f>SUM([3]AirTran!$DJ$19:$DM$19)</f>
        <v>900</v>
      </c>
      <c r="H31" s="302">
        <f>SUM([3]AirTran!$CV$19:$CY$19)</f>
        <v>1022</v>
      </c>
      <c r="I31" s="458">
        <f>(G31-H31)/H31</f>
        <v>-0.11937377690802348</v>
      </c>
      <c r="J31" s="351"/>
      <c r="K31" s="58" t="s">
        <v>205</v>
      </c>
      <c r="L31" s="456">
        <f>[3]AirTran!$DM$41</f>
        <v>21193</v>
      </c>
      <c r="M31" s="457">
        <f>L31/$L$54</f>
        <v>7.7579567285165404E-3</v>
      </c>
      <c r="N31" s="302">
        <f>[3]AirTran!$CY$41</f>
        <v>27949</v>
      </c>
      <c r="O31" s="458">
        <f>(L31-N31)/N31</f>
        <v>-0.24172600093026583</v>
      </c>
      <c r="P31" s="302">
        <f>SUM([3]AirTran!$DJ$41:$DM$41)</f>
        <v>86908</v>
      </c>
      <c r="Q31" s="302">
        <f>SUM([3]AirTran!$CV$41:$CY$41)</f>
        <v>101928</v>
      </c>
      <c r="R31" s="458">
        <f>(P31-Q31)/Q31</f>
        <v>-0.14735892002197629</v>
      </c>
      <c r="T31" s="21"/>
    </row>
    <row r="32" spans="1:21" ht="14.1" customHeight="1" x14ac:dyDescent="0.2">
      <c r="A32" s="351"/>
      <c r="B32" s="58"/>
      <c r="C32" s="352"/>
      <c r="D32" s="353"/>
      <c r="E32" s="182"/>
      <c r="F32" s="355"/>
      <c r="G32" s="354"/>
      <c r="H32" s="354"/>
      <c r="I32" s="355"/>
      <c r="J32" s="351"/>
      <c r="K32" s="58"/>
      <c r="L32" s="356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51" t="s">
        <v>182</v>
      </c>
      <c r="B33" s="58"/>
      <c r="C33" s="352">
        <f>[3]Spirit!$DM$19</f>
        <v>656</v>
      </c>
      <c r="D33" s="353">
        <f>C33/$C$54</f>
        <v>2.1106821106821105E-2</v>
      </c>
      <c r="E33" s="354">
        <f>[3]Spirit!$CY$19</f>
        <v>350</v>
      </c>
      <c r="F33" s="355">
        <f>(C33-E33)/E33</f>
        <v>0.87428571428571433</v>
      </c>
      <c r="G33" s="354">
        <f>SUM([3]Spirit!$DJ$19:$DM$19)</f>
        <v>2637</v>
      </c>
      <c r="H33" s="354">
        <f>SUM([3]Spirit!$CV$19:$CY$19)</f>
        <v>1242</v>
      </c>
      <c r="I33" s="355">
        <f>(G33-H33)/H33</f>
        <v>1.1231884057971016</v>
      </c>
      <c r="J33" s="351" t="s">
        <v>182</v>
      </c>
      <c r="K33" s="58"/>
      <c r="L33" s="352">
        <f>[3]Spirit!$DM$41</f>
        <v>82726</v>
      </c>
      <c r="M33" s="353">
        <f>L33/$L$54</f>
        <v>3.0282863602286571E-2</v>
      </c>
      <c r="N33" s="354">
        <f>[3]Spirit!$CY$41</f>
        <v>44449</v>
      </c>
      <c r="O33" s="355">
        <f>(L33-N33)/N33</f>
        <v>0.8611442327161466</v>
      </c>
      <c r="P33" s="354">
        <f>SUM([3]Spirit!$DJ$41:$DM$41)</f>
        <v>350840</v>
      </c>
      <c r="Q33" s="354">
        <f>SUM([3]Spirit!$CV$41:$CY$41)</f>
        <v>166581</v>
      </c>
      <c r="R33" s="355">
        <f>(P33-Q33)/Q33</f>
        <v>1.1061225469891525</v>
      </c>
      <c r="T33" s="21"/>
      <c r="U33" s="7"/>
    </row>
    <row r="34" spans="1:21" ht="14.1" customHeight="1" x14ac:dyDescent="0.2">
      <c r="A34" s="351"/>
      <c r="B34" s="58"/>
      <c r="C34" s="352"/>
      <c r="D34" s="353"/>
      <c r="E34" s="182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51" t="s">
        <v>53</v>
      </c>
      <c r="B35" s="367"/>
      <c r="C35" s="352">
        <f>'[3]Sun Country'!$DM$19</f>
        <v>1452</v>
      </c>
      <c r="D35" s="353">
        <f>C35/$C$54</f>
        <v>4.6718146718146718E-2</v>
      </c>
      <c r="E35" s="354">
        <f>'[3]Sun Country'!$CY$19</f>
        <v>1149</v>
      </c>
      <c r="F35" s="355">
        <f>(C35-E35)/E35</f>
        <v>0.26370757180156656</v>
      </c>
      <c r="G35" s="354">
        <f>SUM('[3]Sun Country'!$DJ$19:$DM$19)</f>
        <v>6381</v>
      </c>
      <c r="H35" s="354">
        <f>SUM('[3]Sun Country'!$CV$19:$CY$19)</f>
        <v>4838</v>
      </c>
      <c r="I35" s="355">
        <f>(G35-H35)/H35</f>
        <v>0.31893344357172387</v>
      </c>
      <c r="J35" s="351" t="s">
        <v>53</v>
      </c>
      <c r="K35" s="367"/>
      <c r="L35" s="352">
        <f>'[3]Sun Country'!$DM$41</f>
        <v>126980</v>
      </c>
      <c r="M35" s="353">
        <f>L35/$L$54</f>
        <v>4.6482581295098864E-2</v>
      </c>
      <c r="N35" s="354">
        <f>'[3]Sun Country'!$CY$41</f>
        <v>111437</v>
      </c>
      <c r="O35" s="355">
        <f>(L35-N35)/N35</f>
        <v>0.13947791128619758</v>
      </c>
      <c r="P35" s="354">
        <f>SUM('[3]Sun Country'!$DJ$41:$DM$41)</f>
        <v>632399</v>
      </c>
      <c r="Q35" s="354">
        <f>SUM('[3]Sun Country'!$CV$41:$CY$41)</f>
        <v>546639</v>
      </c>
      <c r="R35" s="355">
        <f>(P35-Q35)/Q35</f>
        <v>0.15688598874211318</v>
      </c>
      <c r="T35" s="21"/>
    </row>
    <row r="36" spans="1:21" s="7" customFormat="1" ht="14.1" customHeight="1" x14ac:dyDescent="0.2">
      <c r="A36" s="351"/>
      <c r="B36" s="367"/>
      <c r="C36" s="352"/>
      <c r="D36" s="353"/>
      <c r="E36" s="182"/>
      <c r="F36" s="355"/>
      <c r="G36" s="354"/>
      <c r="H36" s="354"/>
      <c r="I36" s="355"/>
      <c r="J36" s="351"/>
      <c r="K36" s="367"/>
      <c r="L36" s="356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51" t="s">
        <v>21</v>
      </c>
      <c r="B37" s="359"/>
      <c r="C37" s="352">
        <f>SUM(C38:C44)</f>
        <v>1678</v>
      </c>
      <c r="D37" s="353">
        <f>C37/$C$54</f>
        <v>5.3989703989703992E-2</v>
      </c>
      <c r="E37" s="182">
        <f>SUM(E38:E44)</f>
        <v>1775</v>
      </c>
      <c r="F37" s="355">
        <f t="shared" ref="F37:F44" si="6">(C37-E37)/E37</f>
        <v>-5.4647887323943663E-2</v>
      </c>
      <c r="G37" s="354">
        <f>SUM(G38:G44)</f>
        <v>6030</v>
      </c>
      <c r="H37" s="354">
        <f>SUM(H38:H44)</f>
        <v>6731</v>
      </c>
      <c r="I37" s="355">
        <f t="shared" ref="I37:I44" si="7">(G37-H37)/H37</f>
        <v>-0.10414500074283167</v>
      </c>
      <c r="J37" s="351" t="s">
        <v>21</v>
      </c>
      <c r="K37" s="359"/>
      <c r="L37" s="352">
        <f>SUM(L38:L44)</f>
        <v>106152</v>
      </c>
      <c r="M37" s="353">
        <f t="shared" ref="M37:M44" si="8">L37/$L$54</f>
        <v>3.8858237278605566E-2</v>
      </c>
      <c r="N37" s="354">
        <f>SUM(N38:N44)</f>
        <v>100638</v>
      </c>
      <c r="O37" s="355">
        <f t="shared" ref="O37:O44" si="9">(L37-N37)/N37</f>
        <v>5.4790437011864306E-2</v>
      </c>
      <c r="P37" s="354">
        <f>SUM(P38:P44)</f>
        <v>384010</v>
      </c>
      <c r="Q37" s="354">
        <f>SUM(Q38:Q44)</f>
        <v>412412</v>
      </c>
      <c r="R37" s="355">
        <f t="shared" ref="R37:R44" si="10">(P37-Q37)/Q37</f>
        <v>-6.8868025178704786E-2</v>
      </c>
      <c r="T37" s="21"/>
      <c r="U37"/>
    </row>
    <row r="38" spans="1:21" s="7" customFormat="1" ht="14.1" customHeight="1" x14ac:dyDescent="0.2">
      <c r="A38" s="368"/>
      <c r="B38" s="360" t="s">
        <v>192</v>
      </c>
      <c r="C38" s="356">
        <f>[3]United!$DM$19</f>
        <v>228</v>
      </c>
      <c r="D38" s="41">
        <f>C38/$C$54</f>
        <v>7.3359073359073358E-3</v>
      </c>
      <c r="E38" s="9">
        <f>[3]United!$CY$19+[3]Continental!$CY$19</f>
        <v>316</v>
      </c>
      <c r="F38" s="89">
        <f t="shared" si="6"/>
        <v>-0.27848101265822783</v>
      </c>
      <c r="G38" s="9">
        <f>SUM([3]United!$DJ$19:$DM$19)</f>
        <v>1224</v>
      </c>
      <c r="H38" s="9">
        <f>SUM([3]United!$CV$19:$CY$19)+SUM([3]Continental!$CV$19:$CY$19)</f>
        <v>1722</v>
      </c>
      <c r="I38" s="89">
        <f t="shared" si="7"/>
        <v>-0.28919860627177701</v>
      </c>
      <c r="J38" s="368"/>
      <c r="K38" s="360" t="s">
        <v>192</v>
      </c>
      <c r="L38" s="356">
        <f>[3]United!$DM$41</f>
        <v>24560</v>
      </c>
      <c r="M38" s="41">
        <f t="shared" si="8"/>
        <v>8.9904882391528447E-3</v>
      </c>
      <c r="N38" s="9">
        <f>[3]United!$CY$41+[3]Continental!$CY$41</f>
        <v>30829</v>
      </c>
      <c r="O38" s="89">
        <f t="shared" si="9"/>
        <v>-0.20334749748613318</v>
      </c>
      <c r="P38" s="9">
        <f>SUM([3]United!$DJ$41:$DM$41)+SUM([3]Continental!$DJ$41:$DM$41)</f>
        <v>131421</v>
      </c>
      <c r="Q38" s="9">
        <f>SUM([3]United!$CV$41:$CY$41)+SUM([3]Continental!$CV$41:$CY$41)</f>
        <v>176861</v>
      </c>
      <c r="R38" s="89">
        <f t="shared" si="10"/>
        <v>-0.25692492974708953</v>
      </c>
      <c r="T38" s="21"/>
    </row>
    <row r="39" spans="1:21" s="7" customFormat="1" ht="14.1" customHeight="1" x14ac:dyDescent="0.2">
      <c r="A39" s="368"/>
      <c r="B39" s="360" t="s">
        <v>191</v>
      </c>
      <c r="C39" s="356">
        <f>[3]Chautaqua_Continental!$DM$19</f>
        <v>0</v>
      </c>
      <c r="D39" s="41">
        <f>C39/$C$54</f>
        <v>0</v>
      </c>
      <c r="E39" s="9">
        <f>[3]Chautaqua_Continental!$CY$19</f>
        <v>74</v>
      </c>
      <c r="F39" s="89">
        <f t="shared" si="6"/>
        <v>-1</v>
      </c>
      <c r="G39" s="9">
        <f>SUM([3]Chautaqua_Continental!$DJ$19:$DM$19)</f>
        <v>58</v>
      </c>
      <c r="H39" s="9">
        <f>SUM([3]Chautaqua_Continental!$CV$19:$CY$19)</f>
        <v>297</v>
      </c>
      <c r="I39" s="89">
        <f t="shared" si="7"/>
        <v>-0.80471380471380471</v>
      </c>
      <c r="J39" s="55"/>
      <c r="K39" s="361" t="s">
        <v>130</v>
      </c>
      <c r="L39" s="356">
        <f>[3]Chautaqua_Continental!$DM$41</f>
        <v>0</v>
      </c>
      <c r="M39" s="41">
        <f t="shared" si="8"/>
        <v>0</v>
      </c>
      <c r="N39" s="9">
        <f>[3]Chautaqua_Continental!$CY$41</f>
        <v>2551</v>
      </c>
      <c r="O39" s="89">
        <f t="shared" si="9"/>
        <v>-1</v>
      </c>
      <c r="P39" s="9">
        <f>SUM([3]Chautaqua_Continental!$DJ$41:$DM$41)</f>
        <v>2215</v>
      </c>
      <c r="Q39" s="9">
        <f>SUM([3]Chautaqua_Continental!$CV$41:$CY$41)</f>
        <v>11226</v>
      </c>
      <c r="R39" s="89">
        <f t="shared" si="10"/>
        <v>-0.80269018350258325</v>
      </c>
      <c r="T39" s="21"/>
    </row>
    <row r="40" spans="1:21" s="7" customFormat="1" ht="14.1" customHeight="1" x14ac:dyDescent="0.2">
      <c r="A40" s="368"/>
      <c r="B40" s="360" t="s">
        <v>181</v>
      </c>
      <c r="C40" s="356">
        <f>'[3]Go Jet_UA'!$DM$19</f>
        <v>282</v>
      </c>
      <c r="D40" s="41">
        <f>C40/$C$54</f>
        <v>9.0733590733590736E-3</v>
      </c>
      <c r="E40" s="9">
        <f>'[3]Go Jet_UA'!$CY$19</f>
        <v>0</v>
      </c>
      <c r="F40" s="89" t="e">
        <f>(C40-E40)/E40</f>
        <v>#DIV/0!</v>
      </c>
      <c r="G40" s="9">
        <f>SUM('[3]Go Jet_UA'!$DJ$19:$DM$19)</f>
        <v>1158</v>
      </c>
      <c r="H40" s="9">
        <f>SUM('[3]Go Jet_UA'!$CV$19:$CY$19)</f>
        <v>0</v>
      </c>
      <c r="I40" s="89" t="e">
        <f>(G40-H40)/H40</f>
        <v>#DIV/0!</v>
      </c>
      <c r="J40" s="55"/>
      <c r="K40" s="361" t="s">
        <v>181</v>
      </c>
      <c r="L40" s="356">
        <f>'[3]Go Jet_UA'!$DM$41</f>
        <v>17672</v>
      </c>
      <c r="M40" s="41">
        <f t="shared" si="8"/>
        <v>6.46905163527317E-3</v>
      </c>
      <c r="N40" s="9">
        <f>'[3]Go Jet_UA'!$CY$41</f>
        <v>0</v>
      </c>
      <c r="O40" s="89" t="e">
        <f>(L40-N40)/N40</f>
        <v>#DIV/0!</v>
      </c>
      <c r="P40" s="9">
        <f>SUM('[3]Go Jet_UA'!$DJ$41:$DM$41)</f>
        <v>69402</v>
      </c>
      <c r="Q40" s="9">
        <f>SUM('[3]Go Jet_UA'!$CV$41:$CY$41)</f>
        <v>0</v>
      </c>
      <c r="R40" s="89" t="e">
        <f>(P40-Q40)/Q40</f>
        <v>#DIV/0!</v>
      </c>
      <c r="T40" s="21"/>
    </row>
    <row r="41" spans="1:21" s="7" customFormat="1" ht="14.1" customHeight="1" x14ac:dyDescent="0.2">
      <c r="A41" s="368"/>
      <c r="B41" s="360" t="s">
        <v>56</v>
      </c>
      <c r="C41" s="356">
        <f>[3]MESA_UA!$DM$19</f>
        <v>108</v>
      </c>
      <c r="D41" s="41">
        <f>C41/$C$54</f>
        <v>3.4749034749034747E-3</v>
      </c>
      <c r="E41" s="9">
        <f>[3]MESA_UA!$CY$19</f>
        <v>0</v>
      </c>
      <c r="F41" s="89" t="e">
        <f>(C41-E41)/E41</f>
        <v>#DIV/0!</v>
      </c>
      <c r="G41" s="9">
        <f>SUM([3]MESA_UA!$DJ$19:$DM$19)</f>
        <v>342</v>
      </c>
      <c r="H41" s="9">
        <f>SUM([3]MESA_UA!$CV$19:$CY$19)</f>
        <v>0</v>
      </c>
      <c r="I41" s="89" t="e">
        <f>(G41-H41)/H41</f>
        <v>#DIV/0!</v>
      </c>
      <c r="J41" s="55"/>
      <c r="K41" s="361" t="s">
        <v>56</v>
      </c>
      <c r="L41" s="356">
        <f>[3]MESA_UA!$DM$41</f>
        <v>6230</v>
      </c>
      <c r="M41" s="41">
        <f t="shared" si="8"/>
        <v>2.2805676600131195E-3</v>
      </c>
      <c r="N41" s="9">
        <f>[3]MESA_UA!$CY$41</f>
        <v>0</v>
      </c>
      <c r="O41" s="89" t="e">
        <f>(L41-N41)/N41</f>
        <v>#DIV/0!</v>
      </c>
      <c r="P41" s="9">
        <f>SUM([3]MESA_UA!$DJ$41:$DM$41)</f>
        <v>20551</v>
      </c>
      <c r="Q41" s="9">
        <f>SUM([3]MESA_UA!$CV$41:$CY$41)</f>
        <v>0</v>
      </c>
      <c r="R41" s="89" t="e">
        <f>(P41-Q41)/Q41</f>
        <v>#DIV/0!</v>
      </c>
      <c r="T41" s="21"/>
    </row>
    <row r="42" spans="1:21" s="7" customFormat="1" ht="14.1" customHeight="1" x14ac:dyDescent="0.2">
      <c r="A42" s="368"/>
      <c r="B42" s="360" t="s">
        <v>177</v>
      </c>
      <c r="C42" s="356">
        <f>'[3]Continental Express'!$DM$19</f>
        <v>438</v>
      </c>
      <c r="D42" s="41">
        <f>C42/$C$53</f>
        <v>2.7679474216380184E-2</v>
      </c>
      <c r="E42" s="9">
        <f>'[3]Continental Express'!$CY$19</f>
        <v>532</v>
      </c>
      <c r="F42" s="89">
        <f t="shared" si="6"/>
        <v>-0.17669172932330826</v>
      </c>
      <c r="G42" s="9">
        <f>SUM('[3]Continental Express'!$DJ$19:$DM$19)</f>
        <v>1754</v>
      </c>
      <c r="H42" s="9">
        <f>SUM('[3]Continental Express'!$CV$19:$CY$19)</f>
        <v>1816</v>
      </c>
      <c r="I42" s="89">
        <f t="shared" si="7"/>
        <v>-3.4140969162995596E-2</v>
      </c>
      <c r="J42" s="55"/>
      <c r="K42" s="361" t="s">
        <v>177</v>
      </c>
      <c r="L42" s="356">
        <f>'[3]Continental Express'!$DM$41</f>
        <v>19358</v>
      </c>
      <c r="M42" s="41">
        <f t="shared" si="8"/>
        <v>7.0862325461531249E-3</v>
      </c>
      <c r="N42" s="9">
        <f>'[3]Continental Express'!$CY$41</f>
        <v>19260</v>
      </c>
      <c r="O42" s="89">
        <f t="shared" si="9"/>
        <v>5.0882658359293871E-3</v>
      </c>
      <c r="P42" s="9">
        <f>SUM('[3]Continental Express'!$DJ$41:$DM$41)</f>
        <v>70954</v>
      </c>
      <c r="Q42" s="9">
        <f>SUM('[3]Continental Express'!$CV$41:$CY$41)</f>
        <v>66385</v>
      </c>
      <c r="R42" s="89">
        <f t="shared" si="10"/>
        <v>6.8825788958349024E-2</v>
      </c>
      <c r="T42" s="21"/>
    </row>
    <row r="43" spans="1:21" s="7" customFormat="1" ht="14.1" customHeight="1" x14ac:dyDescent="0.2">
      <c r="A43" s="368"/>
      <c r="B43" s="360" t="s">
        <v>109</v>
      </c>
      <c r="C43" s="356">
        <f>'[3]Sky West_UA'!$DM$19</f>
        <v>222</v>
      </c>
      <c r="D43" s="41">
        <f>C43/$C$54</f>
        <v>7.1428571428571426E-3</v>
      </c>
      <c r="E43" s="9">
        <f>'[3]Sky West_UA'!$CY$19+'[3]Sky West_CO'!$CY$19</f>
        <v>386</v>
      </c>
      <c r="F43" s="89">
        <f t="shared" si="6"/>
        <v>-0.42487046632124353</v>
      </c>
      <c r="G43" s="9">
        <f>SUM('[3]Sky West_UA'!$DJ$19:$DM$19)</f>
        <v>464</v>
      </c>
      <c r="H43" s="9">
        <f>SUM('[3]Sky West_UA'!$CV$19:$CY$19)+SUM('[3]Sky West_CO'!$CV$19:$CY$19)</f>
        <v>886</v>
      </c>
      <c r="I43" s="89">
        <f t="shared" si="7"/>
        <v>-0.47629796839729122</v>
      </c>
      <c r="J43" s="368"/>
      <c r="K43" s="361" t="s">
        <v>109</v>
      </c>
      <c r="L43" s="356">
        <f>'[3]Sky West_UA'!$DM$41</f>
        <v>12739</v>
      </c>
      <c r="M43" s="41">
        <f t="shared" si="8"/>
        <v>4.663266680723456E-3</v>
      </c>
      <c r="N43" s="9">
        <f>'[3]Sky West_UA'!$CY$41+'[3]Sky West_CO'!$CY$41</f>
        <v>22133</v>
      </c>
      <c r="O43" s="89">
        <f t="shared" si="9"/>
        <v>-0.4244341029232368</v>
      </c>
      <c r="P43" s="9">
        <f>SUM('[3]Sky West_UA'!$DJ$41:$DM$41)</f>
        <v>26978</v>
      </c>
      <c r="Q43" s="9">
        <f>SUM('[3]Sky West_UA'!$CV$41:$CY$41)+SUM('[3]Sky West_CO'!$CV$41:$CY$41)</f>
        <v>50908</v>
      </c>
      <c r="R43" s="89">
        <f t="shared" si="10"/>
        <v>-0.4700636442209476</v>
      </c>
      <c r="T43" s="21"/>
    </row>
    <row r="44" spans="1:21" s="7" customFormat="1" ht="14.1" customHeight="1" x14ac:dyDescent="0.2">
      <c r="A44" s="368"/>
      <c r="B44" s="362" t="s">
        <v>147</v>
      </c>
      <c r="C44" s="356">
        <f>'[3]Shuttle America'!$DM$19</f>
        <v>400</v>
      </c>
      <c r="D44" s="41">
        <f>C44/$C$54</f>
        <v>1.2870012870012869E-2</v>
      </c>
      <c r="E44" s="9">
        <f>'[3]Shuttle America'!$CY$19</f>
        <v>467</v>
      </c>
      <c r="F44" s="89">
        <f t="shared" si="6"/>
        <v>-0.14346895074946467</v>
      </c>
      <c r="G44" s="9">
        <f>SUM('[3]Shuttle America'!$DJ$19:$DM$19)</f>
        <v>1030</v>
      </c>
      <c r="H44" s="9">
        <f>SUM('[3]Shuttle America'!$CV$19:$CY$19)</f>
        <v>2010</v>
      </c>
      <c r="I44" s="89">
        <f t="shared" si="7"/>
        <v>-0.48756218905472637</v>
      </c>
      <c r="J44" s="368"/>
      <c r="K44" s="362" t="s">
        <v>147</v>
      </c>
      <c r="L44" s="356">
        <f>'[3]Shuttle America'!$DM$41</f>
        <v>25593</v>
      </c>
      <c r="M44" s="41">
        <f t="shared" si="8"/>
        <v>9.3686305172898509E-3</v>
      </c>
      <c r="N44" s="9">
        <f>'[3]Shuttle America'!$CY$41</f>
        <v>25865</v>
      </c>
      <c r="O44" s="89">
        <f t="shared" si="9"/>
        <v>-1.0516141503962885E-2</v>
      </c>
      <c r="P44" s="9">
        <f>SUM('[3]Shuttle America'!$DJ$41:$DM$41)</f>
        <v>62489</v>
      </c>
      <c r="Q44" s="9">
        <f>SUM('[3]Shuttle America'!$CV$41:$CY$41)</f>
        <v>107032</v>
      </c>
      <c r="R44" s="89">
        <f t="shared" si="10"/>
        <v>-0.41616525898796619</v>
      </c>
      <c r="T44" s="21"/>
    </row>
    <row r="45" spans="1:21" s="7" customFormat="1" ht="14.1" customHeight="1" x14ac:dyDescent="0.2">
      <c r="A45" s="368"/>
      <c r="B45" s="362"/>
      <c r="C45" s="356"/>
      <c r="D45" s="41"/>
      <c r="E45" s="5"/>
      <c r="F45" s="89"/>
      <c r="G45" s="9"/>
      <c r="H45" s="9"/>
      <c r="I45" s="89"/>
      <c r="J45" s="368"/>
      <c r="K45" s="362"/>
      <c r="L45" s="356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63" t="s">
        <v>22</v>
      </c>
      <c r="B46" s="364"/>
      <c r="C46" s="352">
        <f>SUM(C47:C50)</f>
        <v>851</v>
      </c>
      <c r="D46" s="353">
        <f>C46/$C$54</f>
        <v>2.7380952380952381E-2</v>
      </c>
      <c r="E46" s="354">
        <f>SUM(E47:E50)</f>
        <v>880</v>
      </c>
      <c r="F46" s="355">
        <f>(C46-E46)/E46</f>
        <v>-3.2954545454545452E-2</v>
      </c>
      <c r="G46" s="354">
        <f>SUM(G47:G50)</f>
        <v>3382</v>
      </c>
      <c r="H46" s="354">
        <f>SUM(H47:H50)</f>
        <v>3569</v>
      </c>
      <c r="I46" s="355">
        <f>(G46-H46)/H46</f>
        <v>-5.2395629027738866E-2</v>
      </c>
      <c r="J46" s="363" t="s">
        <v>22</v>
      </c>
      <c r="K46" s="364"/>
      <c r="L46" s="352">
        <f>SUM(L47:L50)</f>
        <v>97058</v>
      </c>
      <c r="M46" s="353">
        <f>L46/$L$54</f>
        <v>3.552926740699091E-2</v>
      </c>
      <c r="N46" s="354">
        <f>SUM(N47:N50)</f>
        <v>111939</v>
      </c>
      <c r="O46" s="355">
        <f>(L46-N46)/N46</f>
        <v>-0.13293847541964821</v>
      </c>
      <c r="P46" s="354">
        <f>SUM(P47:P50)</f>
        <v>409208</v>
      </c>
      <c r="Q46" s="354">
        <f>SUM(Q47:Q50)</f>
        <v>430704</v>
      </c>
      <c r="R46" s="355">
        <f>(P46-Q46)/Q46</f>
        <v>-4.9908986217912996E-2</v>
      </c>
      <c r="T46" s="21"/>
      <c r="U46"/>
    </row>
    <row r="47" spans="1:21" s="7" customFormat="1" ht="14.1" customHeight="1" x14ac:dyDescent="0.2">
      <c r="A47" s="368"/>
      <c r="B47" s="360" t="s">
        <v>22</v>
      </c>
      <c r="C47" s="356">
        <f>'[3]US Airways'!$DM$19</f>
        <v>690</v>
      </c>
      <c r="D47" s="41">
        <f>C47/$C$54</f>
        <v>2.2200772200772202E-2</v>
      </c>
      <c r="E47" s="9">
        <f>'[3]US Airways'!$CY$19</f>
        <v>681</v>
      </c>
      <c r="F47" s="89">
        <f>(C47-E47)/E47</f>
        <v>1.3215859030837005E-2</v>
      </c>
      <c r="G47" s="9">
        <f>SUM('[3]US Airways'!$DJ$19:$DM$19)</f>
        <v>2730</v>
      </c>
      <c r="H47" s="9">
        <f>SUM('[3]US Airways'!$CV$19:$CY$19)</f>
        <v>2744</v>
      </c>
      <c r="I47" s="89">
        <f>(G47-H47)/H47</f>
        <v>-5.1020408163265302E-3</v>
      </c>
      <c r="J47" s="368"/>
      <c r="K47" s="360" t="s">
        <v>22</v>
      </c>
      <c r="L47" s="356">
        <f>'[3]US Airways'!$DM$41</f>
        <v>88240</v>
      </c>
      <c r="M47" s="41">
        <f>L47/$L$54</f>
        <v>3.2301330709399306E-2</v>
      </c>
      <c r="N47" s="9">
        <f>'[3]US Airways'!$CY$41</f>
        <v>99208</v>
      </c>
      <c r="O47" s="89">
        <f>(L47-N47)/N47</f>
        <v>-0.1105556003548101</v>
      </c>
      <c r="P47" s="9">
        <f>SUM('[3]US Airways'!$DJ$41:$DM$41)</f>
        <v>372532</v>
      </c>
      <c r="Q47" s="9">
        <f>SUM('[3]US Airways'!$CV$41:$CY$41)</f>
        <v>383182</v>
      </c>
      <c r="R47" s="89">
        <f>(P47-Q47)/Q47</f>
        <v>-2.7793581118110977E-2</v>
      </c>
      <c r="T47" s="337"/>
    </row>
    <row r="48" spans="1:21" s="7" customFormat="1" ht="14.1" customHeight="1" x14ac:dyDescent="0.2">
      <c r="A48" s="368"/>
      <c r="B48" s="362" t="s">
        <v>57</v>
      </c>
      <c r="C48" s="356">
        <f>[3]Republic!$DM$19</f>
        <v>160</v>
      </c>
      <c r="D48" s="41">
        <f>C48/$C$54</f>
        <v>5.1480051480051478E-3</v>
      </c>
      <c r="E48" s="9">
        <f>[3]Republic!$CY$19</f>
        <v>191</v>
      </c>
      <c r="F48" s="89">
        <f>(C48-E48)/E48</f>
        <v>-0.16230366492146597</v>
      </c>
      <c r="G48" s="9">
        <f>SUM([3]Republic!$DJ$19:$DM$19)</f>
        <v>631</v>
      </c>
      <c r="H48" s="9">
        <f>SUM([3]Republic!$CV$19:$CY$19)</f>
        <v>801</v>
      </c>
      <c r="I48" s="89">
        <f>(G48-H48)/H48</f>
        <v>-0.21223470661672908</v>
      </c>
      <c r="J48" s="368"/>
      <c r="K48" s="362" t="s">
        <v>57</v>
      </c>
      <c r="L48" s="356">
        <f>[3]Republic!$DM$41</f>
        <v>8818</v>
      </c>
      <c r="M48" s="41">
        <f>L48/$L$54</f>
        <v>3.2279366975916032E-3</v>
      </c>
      <c r="N48" s="9">
        <f>[3]Republic!$CY$41</f>
        <v>12348</v>
      </c>
      <c r="O48" s="89">
        <f>(L48-N48)/N48</f>
        <v>-0.28587625526401039</v>
      </c>
      <c r="P48" s="9">
        <f>SUM([3]Republic!$DJ$41:$DM$41)</f>
        <v>35806</v>
      </c>
      <c r="Q48" s="9">
        <f>SUM([3]Republic!$CV$41:$CY$41)</f>
        <v>46654</v>
      </c>
      <c r="R48" s="89">
        <f>(P48-Q48)/Q48</f>
        <v>-0.23252025549792085</v>
      </c>
      <c r="T48" s="334"/>
    </row>
    <row r="49" spans="1:21" s="7" customFormat="1" ht="14.1" customHeight="1" x14ac:dyDescent="0.2">
      <c r="A49" s="368"/>
      <c r="B49" s="361" t="s">
        <v>108</v>
      </c>
      <c r="C49" s="356">
        <f>[3]MESA!$DM$19</f>
        <v>0</v>
      </c>
      <c r="D49" s="41">
        <f>C49/$C$54</f>
        <v>0</v>
      </c>
      <c r="E49" s="9">
        <f>[3]MESA!$CY$19</f>
        <v>0</v>
      </c>
      <c r="F49" s="89" t="e">
        <f>(C49-E49)/E49</f>
        <v>#DIV/0!</v>
      </c>
      <c r="G49" s="9">
        <f>SUM([3]MESA!$DJ$19:$DM$19)</f>
        <v>0</v>
      </c>
      <c r="H49" s="9">
        <f>SUM([3]MESA!$CV$19:$CY$19)</f>
        <v>0</v>
      </c>
      <c r="I49" s="89" t="e">
        <f>(G49-H49)/H49</f>
        <v>#DIV/0!</v>
      </c>
      <c r="J49" s="368"/>
      <c r="K49" s="361" t="s">
        <v>108</v>
      </c>
      <c r="L49" s="356">
        <f>[3]MESA!$DM$41</f>
        <v>0</v>
      </c>
      <c r="M49" s="41">
        <f>L49/$L$54</f>
        <v>0</v>
      </c>
      <c r="N49" s="9">
        <f>[3]MESA!$CY$41</f>
        <v>0</v>
      </c>
      <c r="O49" s="89" t="e">
        <f>(L49-N49)/N49</f>
        <v>#DIV/0!</v>
      </c>
      <c r="P49" s="9">
        <f>SUM([3]MESA!$DJ$41:$DM$41)</f>
        <v>0</v>
      </c>
      <c r="Q49" s="9">
        <f>SUM([3]MESA!$CV$41:$CY$41)</f>
        <v>0</v>
      </c>
      <c r="R49" s="89" t="e">
        <f>(P49-Q49)/Q49</f>
        <v>#DIV/0!</v>
      </c>
      <c r="T49" s="334"/>
      <c r="U49"/>
    </row>
    <row r="50" spans="1:21" ht="14.1" customHeight="1" thickBot="1" x14ac:dyDescent="0.25">
      <c r="A50" s="369"/>
      <c r="B50" s="370" t="s">
        <v>54</v>
      </c>
      <c r="C50" s="371">
        <f>'[3]Air Wisconsin'!$DM$19</f>
        <v>1</v>
      </c>
      <c r="D50" s="372">
        <f>C50/$C$54</f>
        <v>3.2175032175032173E-5</v>
      </c>
      <c r="E50" s="373">
        <f>'[3]Air Wisconsin'!$CY$19</f>
        <v>8</v>
      </c>
      <c r="F50" s="374">
        <f>(C50-E50)/E50</f>
        <v>-0.875</v>
      </c>
      <c r="G50" s="375">
        <f>SUM('[3]Air Wisconsin'!$DJ$19:$DM$19)</f>
        <v>21</v>
      </c>
      <c r="H50" s="375">
        <f>SUM('[3]Air Wisconsin'!$CV$19:$CY$19)</f>
        <v>24</v>
      </c>
      <c r="I50" s="399">
        <f>(G50-H50)/H50</f>
        <v>-0.125</v>
      </c>
      <c r="J50" s="369"/>
      <c r="K50" s="370" t="s">
        <v>54</v>
      </c>
      <c r="L50" s="371">
        <f>'[3]Air Wisconsin'!$DM$41</f>
        <v>0</v>
      </c>
      <c r="M50" s="372">
        <f>L50/$L$54</f>
        <v>0</v>
      </c>
      <c r="N50" s="375">
        <f>'[3]Air Wisconsin'!$CY$41</f>
        <v>383</v>
      </c>
      <c r="O50" s="374">
        <f>(L50-N50)/N50</f>
        <v>-1</v>
      </c>
      <c r="P50" s="375">
        <f>SUM('[3]Air Wisconsin'!$DJ$41:$DM$41)</f>
        <v>870</v>
      </c>
      <c r="Q50" s="375">
        <f>SUM('[3]Air Wisconsin'!$CV$41:$CY$41)</f>
        <v>868</v>
      </c>
      <c r="R50" s="374">
        <f>(P50-Q50)/Q50</f>
        <v>2.304147465437788E-3</v>
      </c>
      <c r="T50" s="21"/>
      <c r="U50" s="230"/>
    </row>
    <row r="51" spans="1:21" s="233" customFormat="1" ht="14.1" customHeight="1" x14ac:dyDescent="0.2">
      <c r="B51" s="263"/>
      <c r="C51" s="376"/>
      <c r="D51" s="353"/>
      <c r="E51" s="354"/>
      <c r="F51" s="353"/>
      <c r="G51" s="377"/>
      <c r="H51" s="354"/>
      <c r="I51" s="378"/>
      <c r="J51" s="379"/>
      <c r="K51" s="263"/>
      <c r="L51" s="380"/>
      <c r="M51" s="379"/>
      <c r="N51" s="381"/>
      <c r="O51" s="379"/>
      <c r="P51" s="234"/>
      <c r="Q51" s="234"/>
      <c r="R51" s="234"/>
      <c r="T51" s="232"/>
      <c r="U51"/>
    </row>
    <row r="52" spans="1:21" ht="14.1" customHeight="1" x14ac:dyDescent="0.2">
      <c r="B52" s="382" t="s">
        <v>149</v>
      </c>
      <c r="C52" s="383">
        <f>+C54-C53</f>
        <v>15256</v>
      </c>
      <c r="D52" s="453">
        <f>C52/$C$54</f>
        <v>0.49086229086229088</v>
      </c>
      <c r="E52" s="383">
        <f>+E54-E53</f>
        <v>15784</v>
      </c>
      <c r="F52" s="385">
        <f>(C52-E52)/E52</f>
        <v>-3.3451596553471873E-2</v>
      </c>
      <c r="G52" s="383">
        <f>+G54-G53</f>
        <v>60262</v>
      </c>
      <c r="H52" s="383">
        <f>+H54-H53</f>
        <v>60774</v>
      </c>
      <c r="I52" s="386">
        <f>(G52-H52)/H52</f>
        <v>-8.4246552802185147E-3</v>
      </c>
      <c r="K52" s="382" t="s">
        <v>149</v>
      </c>
      <c r="L52" s="383">
        <f>+L54-L53</f>
        <v>1935779</v>
      </c>
      <c r="M52" s="384">
        <f>+L52/L54</f>
        <v>0.70861556730859343</v>
      </c>
      <c r="N52" s="383">
        <f>+N54-N53</f>
        <v>1818238</v>
      </c>
      <c r="O52" s="385">
        <f>(L52-N52)/N52</f>
        <v>6.4645552452429214E-2</v>
      </c>
      <c r="P52" s="383">
        <f>+P54-P53</f>
        <v>7668627</v>
      </c>
      <c r="Q52" s="383">
        <f>+Q54-Q53</f>
        <v>7092067</v>
      </c>
      <c r="R52" s="386">
        <f>(P52-Q52)/Q52</f>
        <v>8.1296468293376251E-2</v>
      </c>
    </row>
    <row r="53" spans="1:21" ht="14.1" customHeight="1" x14ac:dyDescent="0.2">
      <c r="B53" s="335" t="s">
        <v>150</v>
      </c>
      <c r="C53" s="387">
        <f>+C50+C49+C48+C44+C21+C19+C17+C16+C4+C20+C12+C43+C18+C42+C39+C40+C41</f>
        <v>15824</v>
      </c>
      <c r="D53" s="454">
        <f>C53/$C$54</f>
        <v>0.50913770913770917</v>
      </c>
      <c r="E53" s="387">
        <f>+E50+E49+E48+E44+E21+E19+E17+E16+E4+E20+E12+E43+E18+E42+E39+E40+E41</f>
        <v>16530</v>
      </c>
      <c r="F53" s="389">
        <f>(C53-E53)/E53</f>
        <v>-4.2710223835450693E-2</v>
      </c>
      <c r="G53" s="387">
        <f>+G50+G49+G48+G44+G21+G19+G17+G16+G4+G20+G12+G43+G18+G42+G39+G40+G41</f>
        <v>62189</v>
      </c>
      <c r="H53" s="387">
        <f>+H50+H49+H48+H44+H21+H19+H17+H16+H4+H20+H12+H43+H18+H42+H39+H40+H41</f>
        <v>65170</v>
      </c>
      <c r="I53" s="390">
        <f>(G53-H53)/H53</f>
        <v>-4.5741905784870342E-2</v>
      </c>
      <c r="K53" s="335" t="s">
        <v>150</v>
      </c>
      <c r="L53" s="387">
        <f>+L50+L49+L48+L44+L21+L19+L17+L16+L4+L20+L12+L43+L18+L42+L39+L40+L41</f>
        <v>795997</v>
      </c>
      <c r="M53" s="388">
        <f>+L53/L54</f>
        <v>0.29138443269140663</v>
      </c>
      <c r="N53" s="387">
        <f>+N50+N49+N48+N44+N21+N19+N17+N16+N4+N20+N12+N43+N18+N42+N39+N40+N41</f>
        <v>764184</v>
      </c>
      <c r="O53" s="389">
        <f>(L53-N53)/N53</f>
        <v>4.1630026276394165E-2</v>
      </c>
      <c r="P53" s="387">
        <f>+P50+P49+P48+P44+P21+P19+P17+P16+P4+P20+P12+P43+P18+P42+P39+P40+P41</f>
        <v>3034809</v>
      </c>
      <c r="Q53" s="387">
        <f>+Q50+Q49+Q48+Q44+Q21+Q19+Q17+Q16+Q4+Q20+Q12+Q43+Q18+Q42+Q39+Q40+Q41</f>
        <v>2996001</v>
      </c>
      <c r="R53" s="390">
        <f>(P53-Q53)/Q53</f>
        <v>1.2953266704517121E-2</v>
      </c>
    </row>
    <row r="54" spans="1:21" ht="14.1" customHeight="1" x14ac:dyDescent="0.2">
      <c r="B54" s="335" t="s">
        <v>151</v>
      </c>
      <c r="C54" s="391">
        <f>+C46+C37+C35+C29+C27+C23+C14+C10+C8+C4+C25+C33</f>
        <v>31080</v>
      </c>
      <c r="D54" s="455">
        <f>+C54/C54</f>
        <v>1</v>
      </c>
      <c r="E54" s="391">
        <f>+E46+E37+E35+E29+E27+E23+E14+E10+E8+E4+E25+E33</f>
        <v>32314</v>
      </c>
      <c r="F54" s="393">
        <f>(C54-E54)/E54</f>
        <v>-3.8187782385343816E-2</v>
      </c>
      <c r="G54" s="391">
        <f>+G46+G37+G35+G29+G27+G23+G14+G10+G8+G4+G25+G33</f>
        <v>122451</v>
      </c>
      <c r="H54" s="391">
        <f>+H46+H37+H35+H29+H27+H23+H14+H10+H8+H4+H25+H33</f>
        <v>125944</v>
      </c>
      <c r="I54" s="394">
        <f>(G54-H54)/H54</f>
        <v>-2.7734548688305913E-2</v>
      </c>
      <c r="K54" s="335" t="s">
        <v>151</v>
      </c>
      <c r="L54" s="391">
        <f>+L46+L37+L35+L29+L27+L23+L14+L10+L8+L4+L25+L33</f>
        <v>2731776</v>
      </c>
      <c r="M54" s="392">
        <f>+L54/L54</f>
        <v>1</v>
      </c>
      <c r="N54" s="391">
        <f>+N46+N37+N35+N29+N27+N23+N14+N10+N8+N4+N25+N33</f>
        <v>2582422</v>
      </c>
      <c r="O54" s="393">
        <f>(L54-N54)/N54</f>
        <v>5.7834854256972719E-2</v>
      </c>
      <c r="P54" s="391">
        <f>+P46+P37+P35+P29+P27+P23+P14+P10+P8+P4+P25+P33+P6</f>
        <v>10703436</v>
      </c>
      <c r="Q54" s="391">
        <f>+Q46+Q37+Q35+Q29+Q27+Q23+Q14+Q10+Q8+Q4+Q25+Q33</f>
        <v>10088068</v>
      </c>
      <c r="R54" s="394">
        <f>(P54-Q54)/Q54</f>
        <v>6.0999588821169723E-2</v>
      </c>
    </row>
    <row r="55" spans="1:21" x14ac:dyDescent="0.2">
      <c r="B55" s="335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3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5"/>
      <c r="D57" s="4"/>
      <c r="E57" s="443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43"/>
      <c r="F58" s="231"/>
      <c r="G58" s="4"/>
      <c r="H58" s="4"/>
      <c r="I58"/>
      <c r="J58"/>
      <c r="K58"/>
      <c r="L58"/>
      <c r="M58"/>
      <c r="O58"/>
      <c r="P58" s="438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April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28" zoomScaleNormal="100" zoomScaleSheetLayoutView="100" workbookViewId="0">
      <selection activeCell="C51" sqref="C51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6" width="12.140625" customWidth="1"/>
    <col min="7" max="7" width="13.28515625" bestFit="1" customWidth="1"/>
    <col min="8" max="8" width="12.42578125" customWidth="1"/>
  </cols>
  <sheetData>
    <row r="1" spans="1:17" ht="26.25" thickBot="1" x14ac:dyDescent="0.25">
      <c r="A1" s="400">
        <v>41730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23</v>
      </c>
      <c r="H1" s="277" t="s">
        <v>24</v>
      </c>
    </row>
    <row r="2" spans="1:17" ht="15" x14ac:dyDescent="0.25">
      <c r="A2" s="67" t="s">
        <v>3</v>
      </c>
      <c r="B2" s="61"/>
      <c r="C2" s="61"/>
      <c r="D2" s="61"/>
      <c r="E2" s="61"/>
      <c r="F2" s="61"/>
      <c r="G2" s="61"/>
      <c r="H2" s="285"/>
    </row>
    <row r="3" spans="1:17" x14ac:dyDescent="0.2">
      <c r="A3" s="65" t="s">
        <v>32</v>
      </c>
      <c r="B3" s="11"/>
      <c r="C3" s="11"/>
      <c r="D3" s="11"/>
      <c r="E3" s="11"/>
      <c r="F3" s="11"/>
      <c r="G3" s="11"/>
      <c r="H3" s="58"/>
    </row>
    <row r="4" spans="1:17" x14ac:dyDescent="0.2">
      <c r="A4" s="65" t="s">
        <v>33</v>
      </c>
      <c r="B4" s="22">
        <f>[3]American!$DM$22</f>
        <v>24944</v>
      </c>
      <c r="C4" s="22">
        <f>[3]Delta!$DM$22+[3]Delta!$DM$32</f>
        <v>700654</v>
      </c>
      <c r="D4" s="22">
        <f>[3]United!$DM$22</f>
        <v>13015</v>
      </c>
      <c r="E4" s="22">
        <f>'[3]US Airways'!$DM$22</f>
        <v>47495</v>
      </c>
      <c r="F4" s="22">
        <f>[3]Spirit!$DM$22</f>
        <v>45077</v>
      </c>
      <c r="G4" s="22">
        <f>'Other Major Airline Stats'!I5</f>
        <v>173164</v>
      </c>
      <c r="H4" s="286">
        <f>SUM(B4:G4)</f>
        <v>1004349</v>
      </c>
    </row>
    <row r="5" spans="1:17" x14ac:dyDescent="0.2">
      <c r="A5" s="65" t="s">
        <v>34</v>
      </c>
      <c r="B5" s="14">
        <f>[3]American!$DM$23</f>
        <v>20593</v>
      </c>
      <c r="C5" s="14">
        <f>[3]Delta!$DM$23+[3]Delta!$DM$33</f>
        <v>665612</v>
      </c>
      <c r="D5" s="14">
        <f>[3]United!$DM$23</f>
        <v>11545</v>
      </c>
      <c r="E5" s="14">
        <f>'[3]US Airways'!$DM$23</f>
        <v>40745</v>
      </c>
      <c r="F5" s="14">
        <f>[3]Spirit!$DM$23</f>
        <v>37649</v>
      </c>
      <c r="G5" s="14">
        <f>'Other Major Airline Stats'!I6</f>
        <v>155286</v>
      </c>
      <c r="H5" s="287">
        <f>SUM(B5:G5)</f>
        <v>931430</v>
      </c>
      <c r="J5" s="315"/>
      <c r="K5" s="315"/>
      <c r="L5" s="315"/>
      <c r="M5" s="315"/>
      <c r="N5" s="315"/>
      <c r="O5" s="315"/>
      <c r="P5" s="315"/>
      <c r="Q5" s="315"/>
    </row>
    <row r="6" spans="1:17" ht="15" x14ac:dyDescent="0.25">
      <c r="A6" s="63" t="s">
        <v>7</v>
      </c>
      <c r="B6" s="36">
        <f t="shared" ref="B6:G6" si="0">SUM(B4:B5)</f>
        <v>45537</v>
      </c>
      <c r="C6" s="36">
        <f t="shared" si="0"/>
        <v>1366266</v>
      </c>
      <c r="D6" s="36">
        <f t="shared" si="0"/>
        <v>24560</v>
      </c>
      <c r="E6" s="36">
        <f t="shared" si="0"/>
        <v>88240</v>
      </c>
      <c r="F6" s="36">
        <f t="shared" si="0"/>
        <v>82726</v>
      </c>
      <c r="G6" s="36">
        <f t="shared" si="0"/>
        <v>328450</v>
      </c>
      <c r="H6" s="288">
        <f>SUM(B6:G6)</f>
        <v>1935779</v>
      </c>
    </row>
    <row r="7" spans="1:17" x14ac:dyDescent="0.2">
      <c r="A7" s="65"/>
      <c r="B7" s="22"/>
      <c r="C7" s="22"/>
      <c r="D7" s="22"/>
      <c r="E7" s="22"/>
      <c r="F7" s="22"/>
      <c r="G7" s="22"/>
      <c r="H7" s="286"/>
    </row>
    <row r="8" spans="1:17" x14ac:dyDescent="0.2">
      <c r="A8" s="65" t="s">
        <v>35</v>
      </c>
      <c r="B8" s="22"/>
      <c r="C8" s="22"/>
      <c r="D8" s="22"/>
      <c r="E8" s="22"/>
      <c r="F8" s="22"/>
      <c r="G8" s="22"/>
      <c r="H8" s="286">
        <f>SUM(B8:G8)</f>
        <v>0</v>
      </c>
    </row>
    <row r="9" spans="1:17" x14ac:dyDescent="0.2">
      <c r="A9" s="65" t="s">
        <v>33</v>
      </c>
      <c r="B9" s="22">
        <f>[3]American!$DM$27</f>
        <v>916</v>
      </c>
      <c r="C9" s="22">
        <f>[3]Delta!$DM$27+[3]Delta!$DM$37</f>
        <v>24434</v>
      </c>
      <c r="D9" s="22">
        <f>[3]United!$DM$27</f>
        <v>322</v>
      </c>
      <c r="E9" s="22">
        <f>'[3]US Airways'!$DM$27</f>
        <v>1404</v>
      </c>
      <c r="F9" s="22">
        <f>[3]Spirit!$DM$27</f>
        <v>162</v>
      </c>
      <c r="G9" s="22">
        <f>'Other Major Airline Stats'!I10</f>
        <v>3428</v>
      </c>
      <c r="H9" s="286">
        <f>SUM(B9:G9)</f>
        <v>30666</v>
      </c>
    </row>
    <row r="10" spans="1:17" x14ac:dyDescent="0.2">
      <c r="A10" s="65" t="s">
        <v>36</v>
      </c>
      <c r="B10" s="14">
        <f>[3]American!$DM$28</f>
        <v>1007</v>
      </c>
      <c r="C10" s="14">
        <f>[3]Delta!$DM$28+[3]Delta!$DM$38</f>
        <v>23299</v>
      </c>
      <c r="D10" s="14">
        <f>[3]United!$DM$28</f>
        <v>553</v>
      </c>
      <c r="E10" s="14">
        <f>'[3]US Airways'!$DM$28</f>
        <v>1446</v>
      </c>
      <c r="F10" s="14">
        <f>[3]Spirit!$DM$28</f>
        <v>227</v>
      </c>
      <c r="G10" s="14">
        <f>'Other Major Airline Stats'!I11</f>
        <v>3542</v>
      </c>
      <c r="H10" s="287">
        <f>SUM(B10:G10)</f>
        <v>30074</v>
      </c>
    </row>
    <row r="11" spans="1:17" ht="15.75" thickBot="1" x14ac:dyDescent="0.3">
      <c r="A11" s="66" t="s">
        <v>37</v>
      </c>
      <c r="B11" s="289">
        <f t="shared" ref="B11:G11" si="1">SUM(B9:B10)</f>
        <v>1923</v>
      </c>
      <c r="C11" s="289">
        <f t="shared" si="1"/>
        <v>47733</v>
      </c>
      <c r="D11" s="289">
        <f t="shared" si="1"/>
        <v>875</v>
      </c>
      <c r="E11" s="289">
        <f t="shared" si="1"/>
        <v>2850</v>
      </c>
      <c r="F11" s="289">
        <f t="shared" si="1"/>
        <v>389</v>
      </c>
      <c r="G11" s="289">
        <f t="shared" si="1"/>
        <v>6970</v>
      </c>
      <c r="H11" s="290">
        <f>SUM(B11:G11)</f>
        <v>60740</v>
      </c>
    </row>
    <row r="13" spans="1:17" ht="13.5" thickBot="1" x14ac:dyDescent="0.25"/>
    <row r="14" spans="1:17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8"/>
    </row>
    <row r="15" spans="1:17" x14ac:dyDescent="0.2">
      <c r="A15" s="65" t="s">
        <v>25</v>
      </c>
      <c r="B15" s="22">
        <f>[3]American!$DM$4</f>
        <v>203</v>
      </c>
      <c r="C15" s="22">
        <f>[3]Delta!$DM$4+[3]Delta!$DM$15</f>
        <v>4965</v>
      </c>
      <c r="D15" s="22">
        <f>[3]United!$DM$4</f>
        <v>114</v>
      </c>
      <c r="E15" s="22">
        <f>'[3]US Airways'!$DM$4</f>
        <v>346</v>
      </c>
      <c r="F15" s="22">
        <f>[3]Spirit!$DM$4</f>
        <v>328</v>
      </c>
      <c r="G15" s="22">
        <f>'Other Major Airline Stats'!I16</f>
        <v>1584</v>
      </c>
      <c r="H15" s="29">
        <f>SUM(B15:G15)</f>
        <v>7540</v>
      </c>
    </row>
    <row r="16" spans="1:17" x14ac:dyDescent="0.2">
      <c r="A16" s="65" t="s">
        <v>26</v>
      </c>
      <c r="B16" s="14">
        <f>[3]American!$DM$5</f>
        <v>203</v>
      </c>
      <c r="C16" s="14">
        <f>[3]Delta!$DM$5+[3]Delta!$DM$16</f>
        <v>4961</v>
      </c>
      <c r="D16" s="14">
        <f>[3]United!$DM$5</f>
        <v>114</v>
      </c>
      <c r="E16" s="14">
        <f>'[3]US Airways'!$DM$5</f>
        <v>344</v>
      </c>
      <c r="F16" s="14">
        <f>[3]Spirit!$DM$5</f>
        <v>328</v>
      </c>
      <c r="G16" s="14">
        <f>'Other Major Airline Stats'!I17</f>
        <v>1577</v>
      </c>
      <c r="H16" s="35">
        <f>SUM(B16:G16)</f>
        <v>7527</v>
      </c>
    </row>
    <row r="17" spans="1:8" x14ac:dyDescent="0.2">
      <c r="A17" s="65" t="s">
        <v>27</v>
      </c>
      <c r="B17" s="293">
        <f t="shared" ref="B17:G17" si="2">SUM(B15:B16)</f>
        <v>406</v>
      </c>
      <c r="C17" s="291">
        <f t="shared" si="2"/>
        <v>9926</v>
      </c>
      <c r="D17" s="291">
        <f t="shared" si="2"/>
        <v>228</v>
      </c>
      <c r="E17" s="291">
        <f t="shared" si="2"/>
        <v>690</v>
      </c>
      <c r="F17" s="291">
        <f t="shared" si="2"/>
        <v>656</v>
      </c>
      <c r="G17" s="291">
        <f t="shared" si="2"/>
        <v>3161</v>
      </c>
      <c r="H17" s="292">
        <f>SUM(B17:G17)</f>
        <v>15067</v>
      </c>
    </row>
    <row r="18" spans="1:8" x14ac:dyDescent="0.2">
      <c r="A18" s="65"/>
      <c r="B18" s="22"/>
      <c r="C18" s="22"/>
      <c r="D18" s="22"/>
      <c r="E18" s="22"/>
      <c r="F18" s="22"/>
      <c r="G18" s="22"/>
      <c r="H18" s="29"/>
    </row>
    <row r="19" spans="1:8" x14ac:dyDescent="0.2">
      <c r="A19" s="65" t="s">
        <v>28</v>
      </c>
      <c r="B19" s="22">
        <f>[3]American!$DM$8</f>
        <v>0</v>
      </c>
      <c r="C19" s="22">
        <f>[3]Delta!$DM$8</f>
        <v>2</v>
      </c>
      <c r="D19" s="22">
        <f>[3]United!$DM$8</f>
        <v>0</v>
      </c>
      <c r="E19" s="22">
        <f>'[3]US Airways'!$DM$8</f>
        <v>0</v>
      </c>
      <c r="F19" s="22">
        <f>[3]Spirit!$DM$8</f>
        <v>0</v>
      </c>
      <c r="G19" s="22">
        <f>'Other Major Airline Stats'!I20</f>
        <v>89</v>
      </c>
      <c r="H19" s="29">
        <f>SUM(B19:G19)</f>
        <v>91</v>
      </c>
    </row>
    <row r="20" spans="1:8" x14ac:dyDescent="0.2">
      <c r="A20" s="65" t="s">
        <v>29</v>
      </c>
      <c r="B20" s="14">
        <f>[3]American!$DM$9</f>
        <v>0</v>
      </c>
      <c r="C20" s="14">
        <f>[3]Delta!$DM$9</f>
        <v>8</v>
      </c>
      <c r="D20" s="14">
        <f>[3]United!$DM$9</f>
        <v>0</v>
      </c>
      <c r="E20" s="14">
        <f>'[3]US Airways'!$DM$9</f>
        <v>0</v>
      </c>
      <c r="F20" s="14">
        <f>[3]Spirit!$DM$9</f>
        <v>0</v>
      </c>
      <c r="G20" s="14">
        <f>'Other Major Airline Stats'!I21</f>
        <v>90</v>
      </c>
      <c r="H20" s="35">
        <f>SUM(B20:G20)</f>
        <v>98</v>
      </c>
    </row>
    <row r="21" spans="1:8" x14ac:dyDescent="0.2">
      <c r="A21" s="65" t="s">
        <v>30</v>
      </c>
      <c r="B21" s="293">
        <f t="shared" ref="B21:G21" si="3">SUM(B19:B20)</f>
        <v>0</v>
      </c>
      <c r="C21" s="291">
        <f t="shared" si="3"/>
        <v>10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179</v>
      </c>
      <c r="H21" s="180">
        <f>SUM(B21:G21)</f>
        <v>189</v>
      </c>
    </row>
    <row r="22" spans="1:8" x14ac:dyDescent="0.2">
      <c r="A22" s="65"/>
      <c r="B22" s="22"/>
      <c r="C22" s="22"/>
      <c r="D22" s="22"/>
      <c r="E22" s="22"/>
      <c r="F22" s="22"/>
      <c r="G22" s="22"/>
      <c r="H22" s="29"/>
    </row>
    <row r="23" spans="1:8" ht="15.75" thickBot="1" x14ac:dyDescent="0.3">
      <c r="A23" s="66" t="s">
        <v>31</v>
      </c>
      <c r="B23" s="30">
        <f t="shared" ref="B23:G23" si="4">B17+B21</f>
        <v>406</v>
      </c>
      <c r="C23" s="30">
        <f t="shared" si="4"/>
        <v>9936</v>
      </c>
      <c r="D23" s="30">
        <f t="shared" si="4"/>
        <v>228</v>
      </c>
      <c r="E23" s="30">
        <f t="shared" si="4"/>
        <v>690</v>
      </c>
      <c r="F23" s="30">
        <f>F17+F21</f>
        <v>656</v>
      </c>
      <c r="G23" s="30">
        <f t="shared" si="4"/>
        <v>3340</v>
      </c>
      <c r="H23" s="31">
        <f>SUM(B23:G23)</f>
        <v>15256</v>
      </c>
    </row>
    <row r="25" spans="1:8" ht="13.5" thickBot="1" x14ac:dyDescent="0.25">
      <c r="B25" s="442"/>
      <c r="C25" s="442"/>
      <c r="D25" s="442"/>
      <c r="E25" s="442"/>
      <c r="F25" s="442"/>
      <c r="G25" s="442"/>
    </row>
    <row r="26" spans="1:8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4"/>
    </row>
    <row r="27" spans="1:8" x14ac:dyDescent="0.2">
      <c r="A27" s="65" t="s">
        <v>39</v>
      </c>
      <c r="B27" s="1"/>
      <c r="C27" s="1"/>
      <c r="D27" s="1"/>
      <c r="E27" s="1"/>
      <c r="F27" s="1"/>
      <c r="G27" s="1"/>
      <c r="H27" s="32"/>
    </row>
    <row r="28" spans="1:8" x14ac:dyDescent="0.2">
      <c r="A28" s="65" t="s">
        <v>40</v>
      </c>
      <c r="B28" s="22">
        <f>[3]American!$DM$47</f>
        <v>20725</v>
      </c>
      <c r="C28" s="22">
        <f>[3]Delta!$DM$47</f>
        <v>3421370</v>
      </c>
      <c r="D28" s="22">
        <f>[3]United!$DM$47</f>
        <v>41705</v>
      </c>
      <c r="E28" s="22">
        <f>'[3]US Airways'!$DM$47</f>
        <v>35430</v>
      </c>
      <c r="F28" s="22">
        <f>[3]Spirit!$DM$47</f>
        <v>0</v>
      </c>
      <c r="G28" s="22">
        <f>'Other Major Airline Stats'!I28</f>
        <v>279813</v>
      </c>
      <c r="H28" s="29">
        <f>SUM(B28:G28)</f>
        <v>3799043</v>
      </c>
    </row>
    <row r="29" spans="1:8" x14ac:dyDescent="0.2">
      <c r="A29" s="65" t="s">
        <v>41</v>
      </c>
      <c r="B29" s="14">
        <f>[3]American!$DM$48</f>
        <v>0</v>
      </c>
      <c r="C29" s="14">
        <f>[3]Delta!$DM$48</f>
        <v>1065284</v>
      </c>
      <c r="D29" s="14">
        <f>[3]United!$DM$48</f>
        <v>87578</v>
      </c>
      <c r="E29" s="14">
        <f>'[3]US Airways'!$DM$48</f>
        <v>69015</v>
      </c>
      <c r="F29" s="14">
        <f>[3]Spirit!$DM$48</f>
        <v>0</v>
      </c>
      <c r="G29" s="14">
        <f>'Other Major Airline Stats'!I29</f>
        <v>51593</v>
      </c>
      <c r="H29" s="35">
        <f>SUM(B29:G29)</f>
        <v>1273470</v>
      </c>
    </row>
    <row r="30" spans="1:8" x14ac:dyDescent="0.2">
      <c r="A30" s="69" t="s">
        <v>42</v>
      </c>
      <c r="B30" s="293">
        <f t="shared" ref="B30:G30" si="5">SUM(B28:B29)</f>
        <v>20725</v>
      </c>
      <c r="C30" s="293">
        <f t="shared" si="5"/>
        <v>4486654</v>
      </c>
      <c r="D30" s="293">
        <f t="shared" si="5"/>
        <v>129283</v>
      </c>
      <c r="E30" s="293">
        <f t="shared" si="5"/>
        <v>104445</v>
      </c>
      <c r="F30" s="293">
        <f t="shared" si="5"/>
        <v>0</v>
      </c>
      <c r="G30" s="293">
        <f t="shared" si="5"/>
        <v>331406</v>
      </c>
      <c r="H30" s="29">
        <f>SUM(B30:G30)</f>
        <v>5072513</v>
      </c>
    </row>
    <row r="31" spans="1:8" x14ac:dyDescent="0.2">
      <c r="A31" s="65"/>
      <c r="B31" s="22"/>
      <c r="C31" s="22"/>
      <c r="D31" s="22"/>
      <c r="E31" s="22"/>
      <c r="F31" s="22"/>
      <c r="G31" s="22"/>
      <c r="H31" s="29"/>
    </row>
    <row r="32" spans="1:8" x14ac:dyDescent="0.2">
      <c r="A32" s="65" t="s">
        <v>43</v>
      </c>
      <c r="B32" s="22"/>
      <c r="C32" s="22"/>
      <c r="D32" s="22"/>
      <c r="E32" s="22"/>
      <c r="F32" s="22"/>
      <c r="G32" s="22"/>
      <c r="H32" s="29">
        <f t="shared" ref="H32:H40" si="6">SUM(B32:G32)</f>
        <v>0</v>
      </c>
    </row>
    <row r="33" spans="1:8" x14ac:dyDescent="0.2">
      <c r="A33" s="65" t="s">
        <v>40</v>
      </c>
      <c r="B33" s="22">
        <f>[3]American!$DM$52</f>
        <v>12852</v>
      </c>
      <c r="C33" s="22">
        <f>[3]Delta!$DM$52</f>
        <v>3514749</v>
      </c>
      <c r="D33" s="22">
        <f>[3]United!$DM$52</f>
        <v>16137</v>
      </c>
      <c r="E33" s="22">
        <f>'[3]US Airways'!$DM$52</f>
        <v>16768</v>
      </c>
      <c r="F33" s="22">
        <f>[3]Spirit!$DM$52</f>
        <v>0</v>
      </c>
      <c r="G33" s="22">
        <f>'Other Major Airline Stats'!I33</f>
        <v>69445</v>
      </c>
      <c r="H33" s="29">
        <f t="shared" si="6"/>
        <v>3629951</v>
      </c>
    </row>
    <row r="34" spans="1:8" x14ac:dyDescent="0.2">
      <c r="A34" s="65" t="s">
        <v>41</v>
      </c>
      <c r="B34" s="14">
        <f>[3]American!$DM$53</f>
        <v>0</v>
      </c>
      <c r="C34" s="14">
        <f>[3]Delta!$DM$53</f>
        <v>36543</v>
      </c>
      <c r="D34" s="14">
        <f>[3]United!$DM$53</f>
        <v>118742</v>
      </c>
      <c r="E34" s="14">
        <f>'[3]US Airways'!$DM$53</f>
        <v>97700</v>
      </c>
      <c r="F34" s="14">
        <f>[3]Spirit!$DM$53</f>
        <v>0</v>
      </c>
      <c r="G34" s="14">
        <f>'Other Major Airline Stats'!I34</f>
        <v>261058</v>
      </c>
      <c r="H34" s="35">
        <f t="shared" si="6"/>
        <v>514043</v>
      </c>
    </row>
    <row r="35" spans="1:8" x14ac:dyDescent="0.2">
      <c r="A35" s="69" t="s">
        <v>44</v>
      </c>
      <c r="B35" s="293">
        <f t="shared" ref="B35:G35" si="7">SUM(B33:B34)</f>
        <v>12852</v>
      </c>
      <c r="C35" s="293">
        <f t="shared" si="7"/>
        <v>3551292</v>
      </c>
      <c r="D35" s="293">
        <f t="shared" si="7"/>
        <v>134879</v>
      </c>
      <c r="E35" s="293">
        <f t="shared" si="7"/>
        <v>114468</v>
      </c>
      <c r="F35" s="293">
        <f t="shared" si="7"/>
        <v>0</v>
      </c>
      <c r="G35" s="293">
        <f t="shared" si="7"/>
        <v>330503</v>
      </c>
      <c r="H35" s="29">
        <f t="shared" si="6"/>
        <v>4143994</v>
      </c>
    </row>
    <row r="36" spans="1:8" hidden="1" x14ac:dyDescent="0.2">
      <c r="A36" s="65"/>
      <c r="B36" s="22"/>
      <c r="C36" s="22"/>
      <c r="D36" s="22"/>
      <c r="E36" s="22"/>
      <c r="F36" s="22"/>
      <c r="G36" s="22"/>
      <c r="H36" s="29">
        <f t="shared" si="6"/>
        <v>0</v>
      </c>
    </row>
    <row r="37" spans="1:8" hidden="1" x14ac:dyDescent="0.2">
      <c r="A37" s="65" t="s">
        <v>45</v>
      </c>
      <c r="B37" s="22"/>
      <c r="C37" s="22"/>
      <c r="D37" s="22"/>
      <c r="E37" s="22"/>
      <c r="F37" s="22"/>
      <c r="G37" s="22"/>
      <c r="H37" s="29">
        <f t="shared" si="6"/>
        <v>0</v>
      </c>
    </row>
    <row r="38" spans="1:8" hidden="1" x14ac:dyDescent="0.2">
      <c r="A38" s="65" t="s">
        <v>40</v>
      </c>
      <c r="B38" s="22">
        <f>[3]American!$DM$57</f>
        <v>0</v>
      </c>
      <c r="C38" s="22">
        <f>[3]Delta!$DM$57</f>
        <v>0</v>
      </c>
      <c r="D38" s="22">
        <f>[3]United!$DM$57</f>
        <v>0</v>
      </c>
      <c r="E38" s="22">
        <f>'[3]US Airways'!$DM$57</f>
        <v>0</v>
      </c>
      <c r="F38" s="22">
        <f>[3]Spirit!$DM$57</f>
        <v>0</v>
      </c>
      <c r="G38" s="22">
        <f>'Other Major Airline Stats'!I38</f>
        <v>0</v>
      </c>
      <c r="H38" s="29">
        <f t="shared" si="6"/>
        <v>0</v>
      </c>
    </row>
    <row r="39" spans="1:8" hidden="1" x14ac:dyDescent="0.2">
      <c r="A39" s="65" t="s">
        <v>41</v>
      </c>
      <c r="B39" s="14">
        <f>[3]American!$DM$58</f>
        <v>0</v>
      </c>
      <c r="C39" s="14">
        <f>[3]Delta!$DM$58</f>
        <v>0</v>
      </c>
      <c r="D39" s="14">
        <f>[3]United!$DM$58</f>
        <v>0</v>
      </c>
      <c r="E39" s="14">
        <f>'[3]US Airways'!$DM$58</f>
        <v>0</v>
      </c>
      <c r="F39" s="14">
        <f>[3]Spirit!$DM$58</f>
        <v>0</v>
      </c>
      <c r="G39" s="14">
        <f>'Other Major Airline Stats'!I39</f>
        <v>0</v>
      </c>
      <c r="H39" s="35">
        <f t="shared" si="6"/>
        <v>0</v>
      </c>
    </row>
    <row r="40" spans="1:8" hidden="1" x14ac:dyDescent="0.2">
      <c r="A40" s="69" t="s">
        <v>46</v>
      </c>
      <c r="B40" s="293">
        <f t="shared" ref="B40:G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">
        <f t="shared" si="6"/>
        <v>0</v>
      </c>
    </row>
    <row r="41" spans="1:8" x14ac:dyDescent="0.2">
      <c r="A41" s="65"/>
      <c r="B41" s="22"/>
      <c r="C41" s="22"/>
      <c r="D41" s="22"/>
      <c r="E41" s="22"/>
      <c r="F41" s="22"/>
      <c r="G41" s="22"/>
      <c r="H41" s="29"/>
    </row>
    <row r="42" spans="1:8" x14ac:dyDescent="0.2">
      <c r="A42" s="65" t="s">
        <v>47</v>
      </c>
      <c r="B42" s="22"/>
      <c r="C42" s="22"/>
      <c r="D42" s="22"/>
      <c r="E42" s="22"/>
      <c r="F42" s="22"/>
      <c r="G42" s="22"/>
      <c r="H42" s="29">
        <f>SUM(B42:G42)</f>
        <v>0</v>
      </c>
    </row>
    <row r="43" spans="1:8" x14ac:dyDescent="0.2">
      <c r="A43" s="65" t="s">
        <v>48</v>
      </c>
      <c r="B43" s="22">
        <f t="shared" ref="B43:G44" si="9">B28+B33+B38</f>
        <v>33577</v>
      </c>
      <c r="C43" s="22">
        <f t="shared" si="9"/>
        <v>6936119</v>
      </c>
      <c r="D43" s="22">
        <f t="shared" si="9"/>
        <v>57842</v>
      </c>
      <c r="E43" s="22">
        <f t="shared" si="9"/>
        <v>52198</v>
      </c>
      <c r="F43" s="22">
        <f>F28+F33+F38</f>
        <v>0</v>
      </c>
      <c r="G43" s="22">
        <f t="shared" si="9"/>
        <v>349258</v>
      </c>
      <c r="H43" s="29">
        <f>SUM(B43:G43)</f>
        <v>7428994</v>
      </c>
    </row>
    <row r="44" spans="1:8" x14ac:dyDescent="0.2">
      <c r="A44" s="65" t="s">
        <v>41</v>
      </c>
      <c r="B44" s="14">
        <f t="shared" si="9"/>
        <v>0</v>
      </c>
      <c r="C44" s="14">
        <f t="shared" si="9"/>
        <v>1101827</v>
      </c>
      <c r="D44" s="14">
        <f t="shared" si="9"/>
        <v>206320</v>
      </c>
      <c r="E44" s="14">
        <f t="shared" si="9"/>
        <v>166715</v>
      </c>
      <c r="F44" s="14">
        <f>F29+F34+F39</f>
        <v>0</v>
      </c>
      <c r="G44" s="14">
        <f t="shared" si="9"/>
        <v>312651</v>
      </c>
      <c r="H44" s="29">
        <f>SUM(B44:G44)</f>
        <v>1787513</v>
      </c>
    </row>
    <row r="45" spans="1:8" ht="15.75" thickBot="1" x14ac:dyDescent="0.3">
      <c r="A45" s="66" t="s">
        <v>49</v>
      </c>
      <c r="B45" s="294">
        <f t="shared" ref="B45:G45" si="10">SUM(B43:B44)</f>
        <v>33577</v>
      </c>
      <c r="C45" s="294">
        <f t="shared" si="10"/>
        <v>8037946</v>
      </c>
      <c r="D45" s="294">
        <f t="shared" si="10"/>
        <v>264162</v>
      </c>
      <c r="E45" s="294">
        <f t="shared" si="10"/>
        <v>218913</v>
      </c>
      <c r="F45" s="294">
        <f t="shared" si="10"/>
        <v>0</v>
      </c>
      <c r="G45" s="294">
        <f t="shared" si="10"/>
        <v>661909</v>
      </c>
      <c r="H45" s="295">
        <f>SUM(B45:G45)</f>
        <v>9216507</v>
      </c>
    </row>
    <row r="46" spans="1:8" x14ac:dyDescent="0.2">
      <c r="B46" s="13"/>
      <c r="C46" s="13"/>
      <c r="D46" s="13"/>
      <c r="E46" s="13"/>
      <c r="F46" s="13"/>
      <c r="G46" s="13"/>
    </row>
    <row r="47" spans="1:8" hidden="1" x14ac:dyDescent="0.2">
      <c r="A47" s="395" t="s">
        <v>135</v>
      </c>
      <c r="C47" s="325">
        <f>[3]Delta!$DM$70+[3]Delta!$DM$73</f>
        <v>289541</v>
      </c>
      <c r="D47" s="312"/>
      <c r="E47" s="312"/>
      <c r="F47" s="312"/>
      <c r="G47" s="312"/>
      <c r="H47" s="313">
        <f>SUM(B47:G47)</f>
        <v>289541</v>
      </c>
    </row>
    <row r="48" spans="1:8" hidden="1" x14ac:dyDescent="0.2">
      <c r="A48" s="396" t="s">
        <v>136</v>
      </c>
      <c r="C48" s="325">
        <f>[3]Delta!$DM$71+[3]Delta!$DM$74</f>
        <v>376071</v>
      </c>
      <c r="D48" s="312"/>
      <c r="E48" s="312"/>
      <c r="F48" s="312"/>
      <c r="G48" s="312"/>
      <c r="H48" s="313">
        <f>SUM(B48:G48)</f>
        <v>376071</v>
      </c>
    </row>
    <row r="49" spans="1:8" hidden="1" x14ac:dyDescent="0.2">
      <c r="A49" s="397" t="s">
        <v>137</v>
      </c>
      <c r="C49" s="326">
        <f>SUM(C47:C48)</f>
        <v>665612</v>
      </c>
      <c r="H49" s="313">
        <f>SUM(B49:G49)</f>
        <v>665612</v>
      </c>
    </row>
    <row r="50" spans="1:8" x14ac:dyDescent="0.2">
      <c r="A50" s="395" t="s">
        <v>135</v>
      </c>
      <c r="B50" s="409"/>
      <c r="C50" s="328">
        <f>[3]Delta!$DM$70+[3]Delta!$DM$73</f>
        <v>289541</v>
      </c>
      <c r="D50" s="409"/>
      <c r="E50" s="409"/>
      <c r="F50" s="409"/>
      <c r="G50" s="327">
        <f>'Other Major Airline Stats'!I48</f>
        <v>122356</v>
      </c>
      <c r="H50" s="316">
        <f>SUM(B50:G50)</f>
        <v>411897</v>
      </c>
    </row>
    <row r="51" spans="1:8" x14ac:dyDescent="0.2">
      <c r="A51" s="411" t="s">
        <v>136</v>
      </c>
      <c r="B51" s="409"/>
      <c r="C51" s="328">
        <f>[3]Delta!$DM$71+[3]Delta!$DM$74</f>
        <v>376071</v>
      </c>
      <c r="D51" s="409"/>
      <c r="E51" s="409"/>
      <c r="F51" s="409"/>
      <c r="G51" s="327">
        <f>+'Other Major Airline Stats'!I49</f>
        <v>888</v>
      </c>
      <c r="H51" s="316">
        <f>SUM(B51:G51)</f>
        <v>376959</v>
      </c>
    </row>
    <row r="52" spans="1:8" x14ac:dyDescent="0.2">
      <c r="E52" s="11"/>
      <c r="F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26" zoomScaleNormal="100" workbookViewId="0">
      <selection activeCell="G48" sqref="G48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0">
        <v>41730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[3]AirTran!$DM$22</f>
        <v>11311</v>
      </c>
      <c r="C5" s="150">
        <f>[3]Frontier!$DM$22</f>
        <v>15038</v>
      </c>
      <c r="D5" s="150">
        <f>'[3]Great Lakes'!$DM$22</f>
        <v>342</v>
      </c>
      <c r="E5" s="150">
        <f>[3]Icelandair!$DM$32</f>
        <v>0</v>
      </c>
      <c r="F5" s="122">
        <f>[3]Southwest!$DM$22</f>
        <v>63305</v>
      </c>
      <c r="G5" s="122">
        <f>'[3]Sun Country'!$DM$22+'[3]Sun Country'!$DM$32</f>
        <v>75667</v>
      </c>
      <c r="H5" s="122">
        <f>[3]Alaska!$DM$22</f>
        <v>7501</v>
      </c>
      <c r="I5" s="151">
        <f>SUM(B5:H5)</f>
        <v>173164</v>
      </c>
      <c r="L5" s="134"/>
    </row>
    <row r="6" spans="1:12" x14ac:dyDescent="0.2">
      <c r="A6" s="65" t="s">
        <v>34</v>
      </c>
      <c r="B6" s="297">
        <f>[3]AirTran!$DM$23</f>
        <v>9882</v>
      </c>
      <c r="C6" s="150">
        <f>[3]Frontier!$DM$23</f>
        <v>14921</v>
      </c>
      <c r="D6" s="150">
        <f>'[3]Great Lakes'!$DM$23</f>
        <v>365</v>
      </c>
      <c r="E6" s="150">
        <f>[3]Icelandair!$DM$33</f>
        <v>0</v>
      </c>
      <c r="F6" s="122">
        <f>[3]Southwest!$DM$23</f>
        <v>71931</v>
      </c>
      <c r="G6" s="122">
        <f>'[3]Sun Country'!$DM$23+'[3]Sun Country'!$DM$33</f>
        <v>51313</v>
      </c>
      <c r="H6" s="122">
        <f>[3]Alaska!$DM$23</f>
        <v>6874</v>
      </c>
      <c r="I6" s="151">
        <f>SUM(B6:H6)</f>
        <v>155286</v>
      </c>
    </row>
    <row r="7" spans="1:12" ht="15" x14ac:dyDescent="0.25">
      <c r="A7" s="63" t="s">
        <v>7</v>
      </c>
      <c r="B7" s="159">
        <f t="shared" ref="B7:H7" si="0">SUM(B5:B6)</f>
        <v>21193</v>
      </c>
      <c r="C7" s="159">
        <f t="shared" si="0"/>
        <v>29959</v>
      </c>
      <c r="D7" s="159">
        <f t="shared" si="0"/>
        <v>707</v>
      </c>
      <c r="E7" s="159">
        <f t="shared" si="0"/>
        <v>0</v>
      </c>
      <c r="F7" s="159">
        <f t="shared" si="0"/>
        <v>135236</v>
      </c>
      <c r="G7" s="159">
        <f>SUM(G5:G6)</f>
        <v>126980</v>
      </c>
      <c r="H7" s="159">
        <f t="shared" si="0"/>
        <v>14375</v>
      </c>
      <c r="I7" s="160">
        <f>SUM(B7:H7)</f>
        <v>328450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[3]AirTran!$DM$27</f>
        <v>146</v>
      </c>
      <c r="C10" s="158">
        <f>[3]Frontier!$DM$27</f>
        <v>279</v>
      </c>
      <c r="D10" s="158">
        <f>'[3]Great Lakes'!$DM$27</f>
        <v>34</v>
      </c>
      <c r="E10" s="158">
        <f>[3]Icelandair!$DM$37</f>
        <v>0</v>
      </c>
      <c r="F10" s="158">
        <f>[3]Southwest!$DM$27</f>
        <v>1077</v>
      </c>
      <c r="G10" s="158">
        <f>'[3]Sun Country'!$DM$27+'[3]Sun Country'!$DM$37</f>
        <v>1630</v>
      </c>
      <c r="H10" s="158">
        <f>[3]Alaska!$DM$27</f>
        <v>262</v>
      </c>
      <c r="I10" s="151">
        <f>SUM(B10:H10)</f>
        <v>3428</v>
      </c>
    </row>
    <row r="11" spans="1:12" x14ac:dyDescent="0.2">
      <c r="A11" s="65" t="s">
        <v>36</v>
      </c>
      <c r="B11" s="14">
        <f>[3]AirTran!$DM$28</f>
        <v>168</v>
      </c>
      <c r="C11" s="161">
        <f>[3]Frontier!$DM$28</f>
        <v>286</v>
      </c>
      <c r="D11" s="161">
        <f>'[3]Great Lakes'!$DM$28</f>
        <v>27</v>
      </c>
      <c r="E11" s="161">
        <f>[3]Icelandair!$DM$38</f>
        <v>0</v>
      </c>
      <c r="F11" s="161">
        <f>[3]Southwest!$DM$28</f>
        <v>1184</v>
      </c>
      <c r="G11" s="161">
        <f>'[3]Sun Country'!$DM$28+'[3]Sun Country'!$DM$38</f>
        <v>1551</v>
      </c>
      <c r="H11" s="161">
        <f>[3]Alaska!$DM$28</f>
        <v>326</v>
      </c>
      <c r="I11" s="151">
        <f>SUM(B11:H11)</f>
        <v>3542</v>
      </c>
    </row>
    <row r="12" spans="1:12" ht="15.75" thickBot="1" x14ac:dyDescent="0.3">
      <c r="A12" s="66" t="s">
        <v>37</v>
      </c>
      <c r="B12" s="154">
        <f t="shared" ref="B12:H12" si="1">SUM(B10:B11)</f>
        <v>314</v>
      </c>
      <c r="C12" s="154">
        <f t="shared" si="1"/>
        <v>565</v>
      </c>
      <c r="D12" s="154">
        <f t="shared" si="1"/>
        <v>61</v>
      </c>
      <c r="E12" s="154">
        <f t="shared" si="1"/>
        <v>0</v>
      </c>
      <c r="F12" s="154">
        <f t="shared" si="1"/>
        <v>2261</v>
      </c>
      <c r="G12" s="154">
        <f>SUM(G10:G11)</f>
        <v>3181</v>
      </c>
      <c r="H12" s="154">
        <f t="shared" si="1"/>
        <v>588</v>
      </c>
      <c r="I12" s="162">
        <f>SUM(B12:H12)</f>
        <v>6970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[3]AirTran!$DM$4</f>
        <v>115</v>
      </c>
      <c r="C16" s="150">
        <f>[3]Frontier!$DM$4</f>
        <v>103</v>
      </c>
      <c r="D16" s="150">
        <f>'[3]Great Lakes'!$DM$4</f>
        <v>48</v>
      </c>
      <c r="E16" s="150">
        <f>[3]Icelandair!$DM$15</f>
        <v>0</v>
      </c>
      <c r="F16" s="109">
        <f>[3]Southwest!$DM$4</f>
        <v>620</v>
      </c>
      <c r="G16" s="122">
        <f>'[3]Sun Country'!$DM$4+'[3]Sun Country'!$DM$15</f>
        <v>638</v>
      </c>
      <c r="H16" s="122">
        <f>[3]Alaska!$DM$4</f>
        <v>60</v>
      </c>
      <c r="I16" s="151">
        <f>SUM(B16:H16)</f>
        <v>1584</v>
      </c>
    </row>
    <row r="17" spans="1:256" x14ac:dyDescent="0.2">
      <c r="A17" s="65" t="s">
        <v>26</v>
      </c>
      <c r="B17" s="14">
        <f>[3]AirTran!$DM$5</f>
        <v>115</v>
      </c>
      <c r="C17" s="150">
        <f>[3]Frontier!$DM$5</f>
        <v>103</v>
      </c>
      <c r="D17" s="150">
        <f>'[3]Great Lakes'!$DM$5</f>
        <v>48</v>
      </c>
      <c r="E17" s="150">
        <f>[3]Icelandair!$DM$16</f>
        <v>0</v>
      </c>
      <c r="F17" s="109">
        <f>[3]Southwest!$DM$5</f>
        <v>614</v>
      </c>
      <c r="G17" s="122">
        <f>'[3]Sun Country'!$DM$5+'[3]Sun Country'!$DM$16</f>
        <v>637</v>
      </c>
      <c r="H17" s="122">
        <f>[3]Alaska!$DM$5</f>
        <v>60</v>
      </c>
      <c r="I17" s="151">
        <f>SUM(B17:H17)</f>
        <v>1577</v>
      </c>
    </row>
    <row r="18" spans="1:256" x14ac:dyDescent="0.2">
      <c r="A18" s="69" t="s">
        <v>27</v>
      </c>
      <c r="B18" s="152">
        <f t="shared" ref="B18:H18" si="2">SUM(B16:B17)</f>
        <v>230</v>
      </c>
      <c r="C18" s="152">
        <f t="shared" si="2"/>
        <v>206</v>
      </c>
      <c r="D18" s="152">
        <f t="shared" si="2"/>
        <v>96</v>
      </c>
      <c r="E18" s="152">
        <f t="shared" si="2"/>
        <v>0</v>
      </c>
      <c r="F18" s="152">
        <f t="shared" si="2"/>
        <v>1234</v>
      </c>
      <c r="G18" s="152">
        <f t="shared" si="2"/>
        <v>1275</v>
      </c>
      <c r="H18" s="152">
        <f t="shared" si="2"/>
        <v>120</v>
      </c>
      <c r="I18" s="153">
        <f>SUM(B18:H18)</f>
        <v>3161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[3]AirTran!$DM$8</f>
        <v>0</v>
      </c>
      <c r="C20" s="150">
        <f>[3]Frontier!$DM$8</f>
        <v>0</v>
      </c>
      <c r="D20" s="150">
        <f>'[3]Great Lakes'!$DM$8</f>
        <v>0</v>
      </c>
      <c r="E20" s="150">
        <f>[3]Icelandair!$DM$8</f>
        <v>0</v>
      </c>
      <c r="F20" s="122">
        <f>[3]Southwest!$DM$8</f>
        <v>1</v>
      </c>
      <c r="G20" s="122">
        <f>'[3]Sun Country'!$DM$8</f>
        <v>88</v>
      </c>
      <c r="H20" s="122">
        <f>[3]Alaska!$DM$8</f>
        <v>0</v>
      </c>
      <c r="I20" s="151">
        <f>SUM(B20:H20)</f>
        <v>89</v>
      </c>
    </row>
    <row r="21" spans="1:256" x14ac:dyDescent="0.2">
      <c r="A21" s="65" t="s">
        <v>29</v>
      </c>
      <c r="B21" s="14">
        <f>[3]AirTran!$DM$9</f>
        <v>0</v>
      </c>
      <c r="C21" s="150">
        <f>[3]Frontier!$DM$9</f>
        <v>0</v>
      </c>
      <c r="D21" s="150">
        <f>'[3]Great Lakes'!$DM$9</f>
        <v>0</v>
      </c>
      <c r="E21" s="150">
        <f>[3]Icelandair!$DM$9</f>
        <v>0</v>
      </c>
      <c r="F21" s="122">
        <f>[3]Southwest!$DM$9</f>
        <v>1</v>
      </c>
      <c r="G21" s="122">
        <f>'[3]Sun Country'!$DM$9</f>
        <v>89</v>
      </c>
      <c r="H21" s="122">
        <f>[3]Alaska!$DM$9</f>
        <v>0</v>
      </c>
      <c r="I21" s="151">
        <f>SUM(B21:H21)</f>
        <v>90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2</v>
      </c>
      <c r="G22" s="152">
        <f t="shared" si="3"/>
        <v>177</v>
      </c>
      <c r="H22" s="152">
        <f t="shared" si="3"/>
        <v>0</v>
      </c>
      <c r="I22" s="153">
        <f>SUM(B22:H22)</f>
        <v>179</v>
      </c>
    </row>
    <row r="23" spans="1:256" ht="15.75" thickBot="1" x14ac:dyDescent="0.3">
      <c r="A23" s="66" t="s">
        <v>31</v>
      </c>
      <c r="B23" s="154">
        <f t="shared" ref="B23:H23" si="4">B22+B18</f>
        <v>230</v>
      </c>
      <c r="C23" s="154">
        <f t="shared" si="4"/>
        <v>206</v>
      </c>
      <c r="D23" s="154">
        <f t="shared" si="4"/>
        <v>96</v>
      </c>
      <c r="E23" s="154">
        <f t="shared" si="4"/>
        <v>0</v>
      </c>
      <c r="F23" s="154">
        <f t="shared" si="4"/>
        <v>1236</v>
      </c>
      <c r="G23" s="154">
        <f t="shared" si="4"/>
        <v>1452</v>
      </c>
      <c r="H23" s="154">
        <f t="shared" si="4"/>
        <v>120</v>
      </c>
      <c r="I23" s="155">
        <f>SUM(B23:H23)</f>
        <v>3340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2"/>
      <c r="C25" s="442"/>
      <c r="D25" s="442"/>
      <c r="E25" s="442"/>
      <c r="F25" s="442"/>
      <c r="G25" s="442"/>
      <c r="H25" s="442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[3]AirTran!$DM$47</f>
        <v>0</v>
      </c>
      <c r="C28" s="150">
        <f>[3]Frontier!$DM$47</f>
        <v>0</v>
      </c>
      <c r="D28" s="150">
        <f>'[3]Great Lakes'!$DM$47</f>
        <v>10</v>
      </c>
      <c r="E28" s="150">
        <f>[3]Icelandair!$DM$47</f>
        <v>0</v>
      </c>
      <c r="F28" s="122">
        <f>[3]Southwest!$DM$47</f>
        <v>192793</v>
      </c>
      <c r="G28" s="122">
        <f>'[3]Sun Country'!$DM$47</f>
        <v>46904</v>
      </c>
      <c r="H28" s="122">
        <f>[3]Alaska!$DM$47</f>
        <v>40106</v>
      </c>
      <c r="I28" s="151">
        <f>SUM(B28:H28)</f>
        <v>279813</v>
      </c>
    </row>
    <row r="29" spans="1:256" x14ac:dyDescent="0.2">
      <c r="A29" s="65" t="s">
        <v>41</v>
      </c>
      <c r="B29" s="14">
        <f>[3]AirTran!$DM$48</f>
        <v>0</v>
      </c>
      <c r="C29" s="150">
        <f>[3]Frontier!$DM$48</f>
        <v>0</v>
      </c>
      <c r="D29" s="150">
        <f>'[3]Great Lakes'!$DM$48</f>
        <v>0</v>
      </c>
      <c r="E29" s="150">
        <f>[3]Icelandair!$DM$48</f>
        <v>0</v>
      </c>
      <c r="F29" s="122">
        <f>[3]Southwest!$DM$48</f>
        <v>0</v>
      </c>
      <c r="G29" s="122">
        <f>'[3]Sun Country'!$DM$48</f>
        <v>51593</v>
      </c>
      <c r="H29" s="122">
        <f>[3]Alaska!$DM$48</f>
        <v>0</v>
      </c>
      <c r="I29" s="151">
        <f>SUM(B29:H29)</f>
        <v>51593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10</v>
      </c>
      <c r="E30" s="166">
        <f t="shared" si="5"/>
        <v>0</v>
      </c>
      <c r="F30" s="166">
        <f t="shared" si="5"/>
        <v>192793</v>
      </c>
      <c r="G30" s="166">
        <f t="shared" si="5"/>
        <v>98497</v>
      </c>
      <c r="H30" s="166">
        <f t="shared" si="5"/>
        <v>40106</v>
      </c>
      <c r="I30" s="169">
        <f>SUM(B30:H30)</f>
        <v>331406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[3]AirTran!$DM$52</f>
        <v>0</v>
      </c>
      <c r="C33" s="150">
        <f>[3]Frontier!$DM$52</f>
        <v>0</v>
      </c>
      <c r="D33" s="150">
        <f>'[3]Great Lakes'!$DM$52</f>
        <v>0</v>
      </c>
      <c r="E33" s="150">
        <f>[3]Icelandair!$DM$52</f>
        <v>0</v>
      </c>
      <c r="F33" s="122">
        <f>[3]Southwest!$DM$52</f>
        <v>60396</v>
      </c>
      <c r="G33" s="122">
        <f>'[3]Sun Country'!$DM$52</f>
        <v>0</v>
      </c>
      <c r="H33" s="122">
        <f>[3]Alaska!$DM$52</f>
        <v>9049</v>
      </c>
      <c r="I33" s="151">
        <f>SUM(B33:H33)</f>
        <v>69445</v>
      </c>
    </row>
    <row r="34" spans="1:9" x14ac:dyDescent="0.2">
      <c r="A34" s="65" t="s">
        <v>41</v>
      </c>
      <c r="B34" s="14">
        <f>[3]AirTran!$DM$53</f>
        <v>0</v>
      </c>
      <c r="C34" s="150">
        <f>[3]Frontier!$DM$53</f>
        <v>0</v>
      </c>
      <c r="D34" s="150">
        <f>'[3]Great Lakes'!$DM$53</f>
        <v>0</v>
      </c>
      <c r="E34" s="150">
        <f>[3]Icelandair!$DM$53</f>
        <v>0</v>
      </c>
      <c r="F34" s="122">
        <f>[3]Southwest!$DM$53</f>
        <v>0</v>
      </c>
      <c r="G34" s="122">
        <f>'[3]Sun Country'!$DM$53</f>
        <v>261058</v>
      </c>
      <c r="H34" s="122">
        <f>[3]Alaska!$DM$53</f>
        <v>0</v>
      </c>
      <c r="I34" s="167">
        <f>SUM(B34:H34)</f>
        <v>261058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60396</v>
      </c>
      <c r="G35" s="168">
        <f t="shared" si="6"/>
        <v>261058</v>
      </c>
      <c r="H35" s="168">
        <f t="shared" si="6"/>
        <v>9049</v>
      </c>
      <c r="I35" s="169">
        <f>SUM(B35:H35)</f>
        <v>330503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[3]AirTran!$DM$57</f>
        <v>0</v>
      </c>
      <c r="C38" s="158">
        <f>[3]Frontier!$DM$57</f>
        <v>0</v>
      </c>
      <c r="D38" s="158">
        <f>'[3]Great Lakes'!$DM$57</f>
        <v>0</v>
      </c>
      <c r="E38" s="158">
        <f>[3]Icelandair!$DM$57</f>
        <v>0</v>
      </c>
      <c r="F38" s="158">
        <f>[3]Southwest!$DM$57</f>
        <v>0</v>
      </c>
      <c r="G38" s="158">
        <f>'[3]Sun Country'!$DM$57</f>
        <v>0</v>
      </c>
      <c r="H38" s="158">
        <f>[3]Alaska!$DM$57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[3]AirTran!$DM$58</f>
        <v>0</v>
      </c>
      <c r="C39" s="161">
        <f>[3]Frontier!$DM$58</f>
        <v>0</v>
      </c>
      <c r="D39" s="161">
        <f>'[3]Great Lakes'!$DM$58</f>
        <v>0</v>
      </c>
      <c r="E39" s="161">
        <f>[3]Icelandair!$DM$58</f>
        <v>0</v>
      </c>
      <c r="F39" s="161">
        <f>[3]Southwest!$DM$58</f>
        <v>0</v>
      </c>
      <c r="G39" s="161">
        <f>'[3]Sun Country'!$DM$58</f>
        <v>0</v>
      </c>
      <c r="H39" s="161">
        <f>[3]Alaska!$DM$58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10</v>
      </c>
      <c r="E43" s="158">
        <f t="shared" si="8"/>
        <v>0</v>
      </c>
      <c r="F43" s="158">
        <f t="shared" si="8"/>
        <v>253189</v>
      </c>
      <c r="G43" s="158">
        <f t="shared" si="8"/>
        <v>46904</v>
      </c>
      <c r="H43" s="158">
        <f t="shared" si="8"/>
        <v>49155</v>
      </c>
      <c r="I43" s="151">
        <f>SUM(B43:H43)</f>
        <v>349258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312651</v>
      </c>
      <c r="H44" s="161">
        <f t="shared" si="9"/>
        <v>0</v>
      </c>
      <c r="I44" s="151">
        <f>SUM(B44:H44)</f>
        <v>312651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10</v>
      </c>
      <c r="E45" s="171">
        <f t="shared" si="10"/>
        <v>0</v>
      </c>
      <c r="F45" s="171">
        <f t="shared" si="10"/>
        <v>253189</v>
      </c>
      <c r="G45" s="171">
        <f t="shared" si="10"/>
        <v>359555</v>
      </c>
      <c r="H45" s="171">
        <f t="shared" si="10"/>
        <v>49155</v>
      </c>
      <c r="I45" s="172">
        <f>SUM(B45:H45)</f>
        <v>661909</v>
      </c>
    </row>
    <row r="48" spans="1:9" x14ac:dyDescent="0.2">
      <c r="A48" s="395" t="s">
        <v>135</v>
      </c>
      <c r="B48" s="409"/>
      <c r="C48" s="409"/>
      <c r="D48" s="409"/>
      <c r="F48" s="328">
        <f>[3]Southwest!$DM$70+[3]Southwest!$DM$73</f>
        <v>71043</v>
      </c>
      <c r="G48" s="328">
        <f>'[3]Sun Country'!$DM$70+'[3]Sun Country'!$DM$73</f>
        <v>51313</v>
      </c>
      <c r="H48" s="409"/>
      <c r="I48" s="316">
        <f>SUM(B48:H48)</f>
        <v>122356</v>
      </c>
    </row>
    <row r="49" spans="1:9" x14ac:dyDescent="0.2">
      <c r="A49" s="411" t="s">
        <v>136</v>
      </c>
      <c r="B49" s="409"/>
      <c r="C49" s="409"/>
      <c r="D49" s="409"/>
      <c r="F49" s="328">
        <f>[3]Southwest!$DM$71+[3]Southwest!$DM$74</f>
        <v>888</v>
      </c>
      <c r="G49" s="328">
        <f>'[3]Sun Country'!$DM$71+'[3]Sun Country'!$DM$74</f>
        <v>0</v>
      </c>
      <c r="H49" s="409"/>
      <c r="I49" s="316">
        <f>SUM(B49:H49)</f>
        <v>888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0" workbookViewId="0">
      <pane xSplit="1" topLeftCell="B1" activePane="topRight" state="frozen"/>
      <selection activeCell="H17" sqref="H17"/>
      <selection pane="topRight" activeCell="K49" sqref="K4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7"/>
    </row>
    <row r="2" spans="1:12" s="7" customFormat="1" ht="39" thickBot="1" x14ac:dyDescent="0.25">
      <c r="A2" s="400">
        <v>41730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[3]Pinnacle!$DM$22+[3]Pinnacle!$DM$32</f>
        <v>166917</v>
      </c>
      <c r="C5" s="136">
        <f>[3]Chautaqua_AA!$DM$22</f>
        <v>0</v>
      </c>
      <c r="D5" s="136">
        <f>[3]Chautaqua_Continental!$DM$22</f>
        <v>0</v>
      </c>
      <c r="E5" s="134">
        <f>[3]MESA_UA!$DM$22+[3]MESA_UA!$DM$32</f>
        <v>3151</v>
      </c>
      <c r="F5" s="134">
        <f>'[3]Sky West'!$DM$22+'[3]Sky West'!$DM$32</f>
        <v>59969</v>
      </c>
      <c r="G5" s="134">
        <f>'[3]Sky West_UA'!$DM$22</f>
        <v>6532</v>
      </c>
      <c r="H5" s="134">
        <f>[3]Comair!$DM$22+[3]Comair!$DM$32</f>
        <v>0</v>
      </c>
      <c r="I5" s="134">
        <f>[3]Republic!$DM$22</f>
        <v>4896</v>
      </c>
      <c r="J5" s="134">
        <f>'[3]American Eagle'!$DM$22</f>
        <v>14637</v>
      </c>
      <c r="K5" s="134">
        <f>'Other Regional'!L5</f>
        <v>148059</v>
      </c>
      <c r="L5" s="113">
        <f>SUM(B5:K5)</f>
        <v>404161</v>
      </c>
    </row>
    <row r="6" spans="1:12" s="10" customFormat="1" x14ac:dyDescent="0.2">
      <c r="A6" s="65" t="s">
        <v>34</v>
      </c>
      <c r="B6" s="135">
        <f>[3]Pinnacle!$DM$23+[3]Pinnacle!$DM$33</f>
        <v>161138</v>
      </c>
      <c r="C6" s="136">
        <f>[3]Chautaqua_AA!$DM$23</f>
        <v>0</v>
      </c>
      <c r="D6" s="136">
        <f>[3]Chautaqua_Continental!$DM$23</f>
        <v>0</v>
      </c>
      <c r="E6" s="134">
        <f>[3]MESA_UA!$DM$23+[3]MESA_UA!$DM$33</f>
        <v>3079</v>
      </c>
      <c r="F6" s="134">
        <f>'[3]Sky West'!$DM$23+'[3]Sky West'!$DM$33</f>
        <v>60597</v>
      </c>
      <c r="G6" s="134">
        <f>'[3]Sky West_UA'!$DM$23</f>
        <v>6207</v>
      </c>
      <c r="H6" s="134">
        <f>[3]Comair!$DM$23+[3]Comair!$DM$33</f>
        <v>0</v>
      </c>
      <c r="I6" s="134">
        <f>[3]Republic!$DM$23</f>
        <v>3922</v>
      </c>
      <c r="J6" s="134">
        <f>'[3]American Eagle'!$DM$23</f>
        <v>14158</v>
      </c>
      <c r="K6" s="134">
        <f>'Other Regional'!L6</f>
        <v>142735</v>
      </c>
      <c r="L6" s="119">
        <f>SUM(B6:K6)</f>
        <v>391836</v>
      </c>
    </row>
    <row r="7" spans="1:12" ht="15" thickBot="1" x14ac:dyDescent="0.25">
      <c r="A7" s="76" t="s">
        <v>7</v>
      </c>
      <c r="B7" s="137">
        <f>SUM(B5:B6)</f>
        <v>328055</v>
      </c>
      <c r="C7" s="137">
        <f t="shared" ref="C7:K7" si="0">SUM(C5:C6)</f>
        <v>0</v>
      </c>
      <c r="D7" s="137">
        <f t="shared" si="0"/>
        <v>0</v>
      </c>
      <c r="E7" s="137">
        <f t="shared" si="0"/>
        <v>6230</v>
      </c>
      <c r="F7" s="137">
        <f t="shared" si="0"/>
        <v>120566</v>
      </c>
      <c r="G7" s="137">
        <f t="shared" si="0"/>
        <v>12739</v>
      </c>
      <c r="H7" s="137">
        <f t="shared" si="0"/>
        <v>0</v>
      </c>
      <c r="I7" s="137">
        <f t="shared" si="0"/>
        <v>8818</v>
      </c>
      <c r="J7" s="137">
        <f t="shared" si="0"/>
        <v>28795</v>
      </c>
      <c r="K7" s="137">
        <f t="shared" si="0"/>
        <v>290794</v>
      </c>
      <c r="L7" s="138">
        <f>SUM(B7:K7)</f>
        <v>795997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[3]Pinnacle!$DM$27+[3]Pinnacle!$DM$37</f>
        <v>5104</v>
      </c>
      <c r="C10" s="136">
        <f>[3]Chautaqua_AA!$DM$27</f>
        <v>0</v>
      </c>
      <c r="D10" s="136">
        <f>[3]Chautaqua_Continental!$DM$27</f>
        <v>0</v>
      </c>
      <c r="E10" s="134">
        <f>[3]MESA_UA!$DM$27+[3]MESA_UA!$DM$37</f>
        <v>209</v>
      </c>
      <c r="F10" s="134">
        <f>'[3]Sky West'!$DM$27+'[3]Sky West'!$DM$37</f>
        <v>2388</v>
      </c>
      <c r="G10" s="134">
        <f>'[3]Sky West_UA'!$DM$27</f>
        <v>226</v>
      </c>
      <c r="H10" s="134">
        <f>[3]Comair!$DM$27+[3]Comair!$DM$37</f>
        <v>0</v>
      </c>
      <c r="I10" s="134">
        <f>[3]Republic!$DM$27</f>
        <v>0</v>
      </c>
      <c r="J10" s="134">
        <f>'[3]American Eagle'!$DM$27</f>
        <v>170</v>
      </c>
      <c r="K10" s="134">
        <f>'Other Regional'!L10</f>
        <v>3626</v>
      </c>
      <c r="L10" s="113">
        <f>SUM(B10:K10)</f>
        <v>11723</v>
      </c>
    </row>
    <row r="11" spans="1:12" x14ac:dyDescent="0.2">
      <c r="A11" s="65" t="s">
        <v>36</v>
      </c>
      <c r="B11" s="135">
        <f>[3]Pinnacle!$DM$28+[3]Pinnacle!$DM$38</f>
        <v>5193</v>
      </c>
      <c r="C11" s="136">
        <f>[3]Chautaqua_AA!$DM$28</f>
        <v>0</v>
      </c>
      <c r="D11" s="136">
        <f>[3]Chautaqua_Continental!$DM$28</f>
        <v>0</v>
      </c>
      <c r="E11" s="134">
        <f>[3]MESA_UA!$DM$28+[3]MESA_UA!$DM$38</f>
        <v>167</v>
      </c>
      <c r="F11" s="134">
        <f>'[3]Sky West'!$DM$28+'[3]Sky West'!$DM$38</f>
        <v>2318</v>
      </c>
      <c r="G11" s="134">
        <f>'[3]Sky West_UA'!$DM$28</f>
        <v>164</v>
      </c>
      <c r="H11" s="134">
        <f>[3]Comair!$DM$28+[3]Comair!$DM$38</f>
        <v>0</v>
      </c>
      <c r="I11" s="134">
        <f>[3]Republic!$DM$28</f>
        <v>0</v>
      </c>
      <c r="J11" s="134">
        <f>'[3]American Eagle'!$DM$28</f>
        <v>112</v>
      </c>
      <c r="K11" s="134">
        <f>'Other Regional'!L11</f>
        <v>3797</v>
      </c>
      <c r="L11" s="119">
        <f>SUM(B11:K11)</f>
        <v>11751</v>
      </c>
    </row>
    <row r="12" spans="1:12" ht="15" thickBot="1" x14ac:dyDescent="0.25">
      <c r="A12" s="77" t="s">
        <v>37</v>
      </c>
      <c r="B12" s="140">
        <f>SUM(B10:B11)</f>
        <v>10297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376</v>
      </c>
      <c r="F12" s="140">
        <f t="shared" si="1"/>
        <v>4706</v>
      </c>
      <c r="G12" s="140">
        <f t="shared" si="1"/>
        <v>390</v>
      </c>
      <c r="H12" s="140">
        <f t="shared" si="1"/>
        <v>0</v>
      </c>
      <c r="I12" s="140">
        <f t="shared" si="1"/>
        <v>0</v>
      </c>
      <c r="J12" s="140">
        <f t="shared" si="1"/>
        <v>282</v>
      </c>
      <c r="K12" s="140">
        <f>SUM(K10:K11)</f>
        <v>7423</v>
      </c>
      <c r="L12" s="141">
        <f>SUM(B12:K12)</f>
        <v>23474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[3]Pinnacle!$DM$4+[3]Pinnacle!$DM$15</f>
        <v>3445</v>
      </c>
      <c r="C15" s="111">
        <f>[3]Chautaqua_AA!$DM$4</f>
        <v>0</v>
      </c>
      <c r="D15" s="111">
        <f>[3]Chautaqua_Continental!$DM$4</f>
        <v>0</v>
      </c>
      <c r="E15" s="109">
        <f>[3]MESA_UA!$DM$4+[3]MESA_UA!$DM$15</f>
        <v>54</v>
      </c>
      <c r="F15" s="109">
        <f>'[3]Sky West'!$DM$4+'[3]Sky West'!$DM$15</f>
        <v>1516</v>
      </c>
      <c r="G15" s="109">
        <f>'[3]Sky West_UA'!$DM$4</f>
        <v>111</v>
      </c>
      <c r="H15" s="109">
        <f>[3]Comair!$DM$4+[3]Comair!$DM$15</f>
        <v>0</v>
      </c>
      <c r="I15" s="112">
        <f>[3]Republic!$DM$4</f>
        <v>80</v>
      </c>
      <c r="J15" s="112">
        <f>'[3]American Eagle'!$DM$4</f>
        <v>221</v>
      </c>
      <c r="K15" s="110">
        <f>'Other Regional'!L15</f>
        <v>2482</v>
      </c>
      <c r="L15" s="113">
        <f t="shared" si="2"/>
        <v>7909</v>
      </c>
    </row>
    <row r="16" spans="1:12" x14ac:dyDescent="0.2">
      <c r="A16" s="65" t="s">
        <v>59</v>
      </c>
      <c r="B16" s="14">
        <f>[3]Pinnacle!$DM$5+[3]Pinnacle!$DM$16</f>
        <v>3444</v>
      </c>
      <c r="C16" s="116">
        <f>[3]Chautaqua_AA!$DM$5</f>
        <v>0</v>
      </c>
      <c r="D16" s="116">
        <f>[3]Chautaqua_Continental!$DM$5</f>
        <v>0</v>
      </c>
      <c r="E16" s="114">
        <f>[3]MESA_UA!$DM$5+[3]MESA_UA!$DM$16</f>
        <v>54</v>
      </c>
      <c r="F16" s="114">
        <f>'[3]Sky West'!$DM$5+'[3]Sky West'!$DM$16</f>
        <v>1518</v>
      </c>
      <c r="G16" s="114">
        <f>'[3]Sky West_UA'!$DM$5</f>
        <v>111</v>
      </c>
      <c r="H16" s="114">
        <f>[3]Comair!$DM$5+[3]Comair!$DM$16</f>
        <v>0</v>
      </c>
      <c r="I16" s="117">
        <f>[3]Republic!$DM$5</f>
        <v>80</v>
      </c>
      <c r="J16" s="117">
        <f>'[3]American Eagle'!$DM$5</f>
        <v>220</v>
      </c>
      <c r="K16" s="115">
        <f>'Other Regional'!L16</f>
        <v>2480</v>
      </c>
      <c r="L16" s="119">
        <f t="shared" si="2"/>
        <v>7907</v>
      </c>
    </row>
    <row r="17" spans="1:12" x14ac:dyDescent="0.2">
      <c r="A17" s="74" t="s">
        <v>60</v>
      </c>
      <c r="B17" s="120">
        <f t="shared" ref="B17:J17" si="3">SUM(B15:B16)</f>
        <v>6889</v>
      </c>
      <c r="C17" s="120">
        <f t="shared" si="3"/>
        <v>0</v>
      </c>
      <c r="D17" s="120">
        <f t="shared" si="3"/>
        <v>0</v>
      </c>
      <c r="E17" s="120">
        <f t="shared" si="3"/>
        <v>108</v>
      </c>
      <c r="F17" s="120">
        <f t="shared" si="3"/>
        <v>3034</v>
      </c>
      <c r="G17" s="120">
        <f t="shared" si="3"/>
        <v>222</v>
      </c>
      <c r="H17" s="120">
        <f t="shared" si="3"/>
        <v>0</v>
      </c>
      <c r="I17" s="120">
        <f t="shared" si="3"/>
        <v>160</v>
      </c>
      <c r="J17" s="120">
        <f t="shared" si="3"/>
        <v>441</v>
      </c>
      <c r="K17" s="120">
        <f>SUM(K15:K16)</f>
        <v>4962</v>
      </c>
      <c r="L17" s="121">
        <f t="shared" si="2"/>
        <v>15816</v>
      </c>
    </row>
    <row r="18" spans="1:12" x14ac:dyDescent="0.2">
      <c r="A18" s="65" t="s">
        <v>61</v>
      </c>
      <c r="B18" s="122">
        <f>[3]Pinnacle!$DM$8</f>
        <v>0</v>
      </c>
      <c r="C18" s="123">
        <f>[3]Chautaqua_AA!$DM$8</f>
        <v>0</v>
      </c>
      <c r="D18" s="123">
        <f>[3]Chautaqua_Continental!$DM$8</f>
        <v>0</v>
      </c>
      <c r="E18" s="122">
        <f>[3]MESA_UA!$DM$8</f>
        <v>0</v>
      </c>
      <c r="F18" s="122">
        <f>'[3]Sky West'!$DM$8</f>
        <v>0</v>
      </c>
      <c r="G18" s="122">
        <f>'[3]Sky West_UA'!$DM$8</f>
        <v>0</v>
      </c>
      <c r="H18" s="122">
        <f>[3]Comair!$DM$8</f>
        <v>0</v>
      </c>
      <c r="I18" s="122">
        <f>[3]Republic!$DM$8</f>
        <v>0</v>
      </c>
      <c r="J18" s="122">
        <f>'[3]American Eagle'!$DM$8</f>
        <v>0</v>
      </c>
      <c r="K18" s="122">
        <f>'Other Regional'!L18</f>
        <v>0</v>
      </c>
      <c r="L18" s="113">
        <f t="shared" si="2"/>
        <v>0</v>
      </c>
    </row>
    <row r="19" spans="1:12" x14ac:dyDescent="0.2">
      <c r="A19" s="65" t="s">
        <v>62</v>
      </c>
      <c r="B19" s="124">
        <f>[3]Pinnacle!$DM$9</f>
        <v>3</v>
      </c>
      <c r="C19" s="125">
        <f>[3]Chautaqua_AA!$DM$9</f>
        <v>0</v>
      </c>
      <c r="D19" s="125">
        <f>[3]Chautaqua_Continental!$DM$9</f>
        <v>0</v>
      </c>
      <c r="E19" s="124">
        <f>[3]MESA_UA!$DM$9</f>
        <v>0</v>
      </c>
      <c r="F19" s="124">
        <f>'[3]Sky West'!$DM$9</f>
        <v>2</v>
      </c>
      <c r="G19" s="124">
        <f>'[3]Sky West_UA'!$DM$9</f>
        <v>0</v>
      </c>
      <c r="H19" s="124">
        <f>[3]Comair!$DM$9</f>
        <v>0</v>
      </c>
      <c r="I19" s="124">
        <f>[3]Republic!$DM$9</f>
        <v>0</v>
      </c>
      <c r="J19" s="124">
        <f>'[3]American Eagle'!$DM$9</f>
        <v>0</v>
      </c>
      <c r="K19" s="124">
        <f>'Other Regional'!L19</f>
        <v>3</v>
      </c>
      <c r="L19" s="119">
        <f t="shared" si="2"/>
        <v>8</v>
      </c>
    </row>
    <row r="20" spans="1:12" x14ac:dyDescent="0.2">
      <c r="A20" s="74" t="s">
        <v>63</v>
      </c>
      <c r="B20" s="120">
        <f t="shared" ref="B20:K20" si="4">SUM(B18:B19)</f>
        <v>3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2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3</v>
      </c>
      <c r="L20" s="121">
        <f t="shared" si="2"/>
        <v>8</v>
      </c>
    </row>
    <row r="21" spans="1:12" ht="15.75" thickBot="1" x14ac:dyDescent="0.3">
      <c r="A21" s="75" t="s">
        <v>31</v>
      </c>
      <c r="B21" s="126">
        <f t="shared" ref="B21:J21" si="5">SUM(B20,B17)</f>
        <v>6892</v>
      </c>
      <c r="C21" s="126">
        <f t="shared" si="5"/>
        <v>0</v>
      </c>
      <c r="D21" s="126">
        <f t="shared" si="5"/>
        <v>0</v>
      </c>
      <c r="E21" s="126">
        <f t="shared" si="5"/>
        <v>108</v>
      </c>
      <c r="F21" s="126">
        <f t="shared" si="5"/>
        <v>3036</v>
      </c>
      <c r="G21" s="126">
        <f t="shared" si="5"/>
        <v>222</v>
      </c>
      <c r="H21" s="126">
        <f t="shared" si="5"/>
        <v>0</v>
      </c>
      <c r="I21" s="126">
        <f t="shared" si="5"/>
        <v>160</v>
      </c>
      <c r="J21" s="126">
        <f t="shared" si="5"/>
        <v>441</v>
      </c>
      <c r="K21" s="126">
        <f>SUM(K20,K17)</f>
        <v>4965</v>
      </c>
      <c r="L21" s="127">
        <f t="shared" si="2"/>
        <v>15824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[3]Pinnacle!$DM$47</f>
        <v>0</v>
      </c>
      <c r="C25" s="136">
        <f>[3]Chautaqua_AA!$DM$47</f>
        <v>0</v>
      </c>
      <c r="D25" s="136">
        <f>[3]Chautaqua_Continental!$DM$47</f>
        <v>0</v>
      </c>
      <c r="E25" s="134">
        <f>[3]MESA_UA!$DM$47</f>
        <v>0</v>
      </c>
      <c r="F25" s="134">
        <f>'[3]Sky West'!$DM$47</f>
        <v>0</v>
      </c>
      <c r="G25" s="134">
        <f>'[3]Sky West_UA'!$DM$47</f>
        <v>0</v>
      </c>
      <c r="H25" s="134">
        <f>[3]Comair!$DM$47</f>
        <v>0</v>
      </c>
      <c r="I25" s="134">
        <f>[3]Republic!$DM$47</f>
        <v>0</v>
      </c>
      <c r="J25" s="134">
        <f>'[3]American Eagle'!$DM$47</f>
        <v>116</v>
      </c>
      <c r="K25" s="134">
        <f>'Other Regional'!L25</f>
        <v>0</v>
      </c>
      <c r="L25" s="113">
        <f>SUM(B25:K25)</f>
        <v>116</v>
      </c>
    </row>
    <row r="26" spans="1:12" x14ac:dyDescent="0.2">
      <c r="A26" s="78" t="s">
        <v>41</v>
      </c>
      <c r="B26" s="134">
        <f>[3]Pinnacle!$DM$48</f>
        <v>0</v>
      </c>
      <c r="C26" s="136">
        <f>[3]Chautaqua_AA!$DM$48</f>
        <v>0</v>
      </c>
      <c r="D26" s="136">
        <f>[3]Chautaqua_Continental!$DM$48</f>
        <v>0</v>
      </c>
      <c r="E26" s="134">
        <f>[3]MESA_UA!$DM$48</f>
        <v>0</v>
      </c>
      <c r="F26" s="134">
        <f>'[3]Sky West'!$DM$48</f>
        <v>0</v>
      </c>
      <c r="G26" s="134">
        <f>'[3]Sky West_UA'!$DM$48</f>
        <v>0</v>
      </c>
      <c r="H26" s="134">
        <f>[3]Comair!$DM$48</f>
        <v>0</v>
      </c>
      <c r="I26" s="134">
        <f>[3]Republic!$DM$48</f>
        <v>0</v>
      </c>
      <c r="J26" s="134">
        <f>'[3]American Eagle'!$DM$48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116</v>
      </c>
      <c r="K27" s="137">
        <f t="shared" si="6"/>
        <v>0</v>
      </c>
      <c r="L27" s="138">
        <f>SUM(B27:K27)</f>
        <v>116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[3]Pinnacle!$DM$52</f>
        <v>0</v>
      </c>
      <c r="C30" s="136">
        <f>[3]Chautaqua_AA!$DM$52</f>
        <v>0</v>
      </c>
      <c r="D30" s="136">
        <f>[3]Chautaqua_Continental!$DM$52</f>
        <v>0</v>
      </c>
      <c r="E30" s="134">
        <f>[3]MESA_UA!$DM$52</f>
        <v>0</v>
      </c>
      <c r="F30" s="134">
        <f>'[3]Sky West'!$DM$52</f>
        <v>0</v>
      </c>
      <c r="G30" s="134">
        <f>'[3]Sky West_UA'!$DM$52</f>
        <v>0</v>
      </c>
      <c r="H30" s="134">
        <f>[3]Comair!$DM$52</f>
        <v>0</v>
      </c>
      <c r="I30" s="134">
        <f>[3]Republic!$DM$52</f>
        <v>0</v>
      </c>
      <c r="J30" s="134">
        <f>'[3]American Eagle'!$DM$52</f>
        <v>75</v>
      </c>
      <c r="K30" s="134">
        <f>'Other Regional'!L30</f>
        <v>0</v>
      </c>
      <c r="L30" s="113">
        <f t="shared" ref="L30:L37" si="7">SUM(B30:K30)</f>
        <v>75</v>
      </c>
    </row>
    <row r="31" spans="1:12" x14ac:dyDescent="0.2">
      <c r="A31" s="78" t="s">
        <v>65</v>
      </c>
      <c r="B31" s="134">
        <f>[3]Pinnacle!$DM$53</f>
        <v>0</v>
      </c>
      <c r="C31" s="136">
        <f>[3]Chautaqua_AA!$DM$53</f>
        <v>0</v>
      </c>
      <c r="D31" s="136">
        <f>[3]Chautaqua_Continental!$DM$53</f>
        <v>0</v>
      </c>
      <c r="E31" s="134">
        <f>[3]MESA_UA!$DM$53</f>
        <v>0</v>
      </c>
      <c r="F31" s="134">
        <f>'[3]Sky West'!$DM$53</f>
        <v>0</v>
      </c>
      <c r="G31" s="134">
        <f>'[3]Sky West_UA'!$DM$53</f>
        <v>0</v>
      </c>
      <c r="H31" s="134">
        <f>[3]Comair!$DM$53</f>
        <v>0</v>
      </c>
      <c r="I31" s="134">
        <f>[3]Republic!$DM$53</f>
        <v>0</v>
      </c>
      <c r="J31" s="134">
        <f>'[3]American Eagle'!$DM$53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75</v>
      </c>
      <c r="K32" s="137">
        <f>SUM(K30:K31)</f>
        <v>0</v>
      </c>
      <c r="L32" s="138">
        <f t="shared" si="7"/>
        <v>75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[3]Pinnacle!$DM$57</f>
        <v>0</v>
      </c>
      <c r="C35" s="136">
        <f>[3]Chautaqua_AA!$DM$57</f>
        <v>0</v>
      </c>
      <c r="D35" s="136">
        <f>[3]Chautaqua_Continental!$DM$57</f>
        <v>0</v>
      </c>
      <c r="E35" s="134">
        <f>[3]MESA_UA!$DM$57</f>
        <v>0</v>
      </c>
      <c r="F35" s="134">
        <f>'[3]Sky West'!$DM$57</f>
        <v>0</v>
      </c>
      <c r="G35" s="134">
        <f>'[3]Sky West_UA'!$DM$57</f>
        <v>0</v>
      </c>
      <c r="H35" s="134">
        <f>[3]Comair!$DM$57</f>
        <v>0</v>
      </c>
      <c r="I35" s="134">
        <f>[3]Republic!$DM$57</f>
        <v>0</v>
      </c>
      <c r="J35" s="134">
        <f>'[3]American Eagle'!$DM$57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[3]Pinnacle!$DM$58</f>
        <v>0</v>
      </c>
      <c r="C36" s="136">
        <f>[3]Chautaqua_AA!$DM$58</f>
        <v>0</v>
      </c>
      <c r="D36" s="136">
        <f>[3]Chautaqua_Continental!$DM$58</f>
        <v>0</v>
      </c>
      <c r="E36" s="134">
        <f>[3]MESA_UA!$DM$58</f>
        <v>0</v>
      </c>
      <c r="F36" s="134">
        <f>'[3]Sky West'!$DM$58</f>
        <v>0</v>
      </c>
      <c r="G36" s="134">
        <f>'[3]Sky West_UA'!$DM$58</f>
        <v>0</v>
      </c>
      <c r="H36" s="134">
        <f>[3]Comair!$DM$58</f>
        <v>0</v>
      </c>
      <c r="I36" s="134">
        <f>[3]Republic!$DM$58</f>
        <v>0</v>
      </c>
      <c r="J36" s="134">
        <f>'[3]American Eagle'!$DM$58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191</v>
      </c>
      <c r="K40" s="134">
        <f>K35+K30+K25</f>
        <v>0</v>
      </c>
      <c r="L40" s="113">
        <f>SUM(B40:K40)</f>
        <v>191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191</v>
      </c>
      <c r="K42" s="140">
        <f>SUM(K37,K32,K27)</f>
        <v>0</v>
      </c>
      <c r="L42" s="141">
        <f>SUM(B42:K42)</f>
        <v>191</v>
      </c>
    </row>
    <row r="44" spans="1:12" x14ac:dyDescent="0.2">
      <c r="A44" s="395" t="s">
        <v>135</v>
      </c>
      <c r="B44" s="327">
        <f>[3]Pinnacle!$DM$70+[3]Pinnacle!$DM$73</f>
        <v>44224</v>
      </c>
      <c r="F44" s="328">
        <f>'[3]Sky West'!$DM$70+'[3]Sky West'!$DM$73</f>
        <v>13028</v>
      </c>
      <c r="H44" s="328">
        <f>[3]Comair!$DM$70+[3]Comair!$DM$73</f>
        <v>0</v>
      </c>
      <c r="K44" s="5">
        <f>+'Other Regional'!L46</f>
        <v>38644</v>
      </c>
      <c r="L44" s="316">
        <f>SUM(B44:K44)</f>
        <v>95896</v>
      </c>
    </row>
    <row r="45" spans="1:12" x14ac:dyDescent="0.2">
      <c r="A45" s="411" t="s">
        <v>136</v>
      </c>
      <c r="B45" s="327">
        <f>[3]Pinnacle!$DM$71+[3]Pinnacle!$DM$74</f>
        <v>116914</v>
      </c>
      <c r="F45" s="328">
        <f>'[3]Sky West'!$DM$71+'[3]Sky West'!$DM$74</f>
        <v>47569</v>
      </c>
      <c r="H45" s="328">
        <f>[3]Comair!$DM$71+[3]Comair!$DM$74</f>
        <v>0</v>
      </c>
      <c r="K45" s="5">
        <f>+'Other Regional'!L47</f>
        <v>71808</v>
      </c>
      <c r="L45" s="316">
        <f>SUM(B45:K45)</f>
        <v>236291</v>
      </c>
    </row>
    <row r="46" spans="1:12" x14ac:dyDescent="0.2">
      <c r="A46" s="318" t="s">
        <v>137</v>
      </c>
      <c r="B46" s="319">
        <f>SUM(B44:B45)</f>
        <v>161138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April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zoomScaleNormal="100" zoomScaleSheetLayoutView="100" workbookViewId="0">
      <selection activeCell="I16" sqref="I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7"/>
    </row>
    <row r="2" spans="1:12" s="7" customFormat="1" ht="55.5" customHeight="1" thickBot="1" x14ac:dyDescent="0.25">
      <c r="A2" s="400">
        <v>41730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215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3"/>
      <c r="C3" s="423"/>
      <c r="D3" s="423"/>
      <c r="E3" s="423"/>
      <c r="F3" s="424"/>
      <c r="G3" s="424"/>
      <c r="H3" s="424"/>
      <c r="I3" s="424"/>
      <c r="J3" s="424"/>
      <c r="K3" s="423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America'!$DM$22</f>
        <v>12982</v>
      </c>
      <c r="C5" s="135">
        <f>'[3]Shuttle America_Delta'!$DM$22</f>
        <v>10318</v>
      </c>
      <c r="D5" s="135">
        <f>[3]AirCanada!$DM$32</f>
        <v>2643</v>
      </c>
      <c r="E5" s="22">
        <f>[3]Compass!$DM$22+[3]Compass!$DM$32</f>
        <v>73671</v>
      </c>
      <c r="F5" s="135">
        <f>'[3]Atlantic Southeast'!$DM$22+'[3]Atlantic Southeast'!$DM$32</f>
        <v>28789</v>
      </c>
      <c r="G5" s="135">
        <f>'[3]Continental Express'!$DM$22</f>
        <v>10500</v>
      </c>
      <c r="H5" s="134">
        <f>'[3]Go Jet_UA'!$DM$22</f>
        <v>9156</v>
      </c>
      <c r="I5" s="134">
        <f>'[3]Go Jet'!$DM$22</f>
        <v>0</v>
      </c>
      <c r="J5" s="136">
        <f>'[3]Air Wisconsin'!$DM$22</f>
        <v>0</v>
      </c>
      <c r="K5" s="134">
        <f>[3]MESA!$DM$22</f>
        <v>0</v>
      </c>
      <c r="L5" s="113">
        <f>SUM(B5:K5)</f>
        <v>148059</v>
      </c>
    </row>
    <row r="6" spans="1:12" s="10" customFormat="1" x14ac:dyDescent="0.2">
      <c r="A6" s="65" t="s">
        <v>34</v>
      </c>
      <c r="B6" s="135">
        <f>'[3]Shuttle America'!$DM$23</f>
        <v>12611</v>
      </c>
      <c r="C6" s="135">
        <f>'[3]Shuttle America_Delta'!$DM$23</f>
        <v>9601</v>
      </c>
      <c r="D6" s="135">
        <f>[3]AirCanada!$DM$33</f>
        <v>2298</v>
      </c>
      <c r="E6" s="14">
        <f>[3]Compass!$DM$23+[3]Compass!$DM$33</f>
        <v>72078</v>
      </c>
      <c r="F6" s="135">
        <f>'[3]Atlantic Southeast'!$DM$23+'[3]Atlantic Southeast'!$DM$33</f>
        <v>28773</v>
      </c>
      <c r="G6" s="135">
        <f>'[3]Continental Express'!$DM$23</f>
        <v>8858</v>
      </c>
      <c r="H6" s="134">
        <f>'[3]Go Jet_UA'!$DM$23</f>
        <v>8516</v>
      </c>
      <c r="I6" s="134">
        <f>'[3]Go Jet'!$DM$23</f>
        <v>0</v>
      </c>
      <c r="J6" s="136">
        <f>'[3]Air Wisconsin'!$DM$23</f>
        <v>0</v>
      </c>
      <c r="K6" s="134">
        <f>[3]MESA!$DM$23</f>
        <v>0</v>
      </c>
      <c r="L6" s="119">
        <f>SUM(B6:K6)</f>
        <v>142735</v>
      </c>
    </row>
    <row r="7" spans="1:12" ht="15" thickBot="1" x14ac:dyDescent="0.25">
      <c r="A7" s="76" t="s">
        <v>7</v>
      </c>
      <c r="B7" s="137">
        <f t="shared" ref="B7:K7" si="0">SUM(B5:B6)</f>
        <v>25593</v>
      </c>
      <c r="C7" s="137">
        <f t="shared" si="0"/>
        <v>19919</v>
      </c>
      <c r="D7" s="137">
        <f t="shared" si="0"/>
        <v>4941</v>
      </c>
      <c r="E7" s="137">
        <f>SUM(E5:E6)</f>
        <v>145749</v>
      </c>
      <c r="F7" s="137">
        <f t="shared" si="0"/>
        <v>57562</v>
      </c>
      <c r="G7" s="137">
        <f t="shared" si="0"/>
        <v>19358</v>
      </c>
      <c r="H7" s="137">
        <f t="shared" si="0"/>
        <v>17672</v>
      </c>
      <c r="I7" s="137">
        <f t="shared" si="0"/>
        <v>0</v>
      </c>
      <c r="J7" s="137">
        <f t="shared" si="0"/>
        <v>0</v>
      </c>
      <c r="K7" s="137">
        <f t="shared" si="0"/>
        <v>0</v>
      </c>
      <c r="L7" s="138">
        <f>SUM(L5:L6)</f>
        <v>290794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America'!$DM$27</f>
        <v>0</v>
      </c>
      <c r="C10" s="135">
        <f>'[3]Shuttle America_Delta'!$DM$27</f>
        <v>286</v>
      </c>
      <c r="D10" s="135">
        <f>[3]AirCanada!$DM$37</f>
        <v>38</v>
      </c>
      <c r="E10" s="22">
        <f>[3]Compass!$DM$27+[3]Compass!$DM$37</f>
        <v>1893</v>
      </c>
      <c r="F10" s="22">
        <f>'[3]Atlantic Southeast'!$DM$27+'[3]Atlantic Southeast'!$DM$37</f>
        <v>871</v>
      </c>
      <c r="G10" s="135">
        <f>'[3]Continental Express'!$DM$27</f>
        <v>309</v>
      </c>
      <c r="H10" s="134">
        <f>'[3]Go Jet_UA'!$DM$27</f>
        <v>229</v>
      </c>
      <c r="I10" s="134">
        <f>'[3]Go Jet'!$DM$27</f>
        <v>0</v>
      </c>
      <c r="J10" s="136">
        <f>'[3]Air Wisconsin'!$DM$27</f>
        <v>0</v>
      </c>
      <c r="K10" s="134">
        <f>[3]MESA!$DM$27</f>
        <v>0</v>
      </c>
      <c r="L10" s="113">
        <f>SUM(B10:K10)</f>
        <v>3626</v>
      </c>
    </row>
    <row r="11" spans="1:12" x14ac:dyDescent="0.2">
      <c r="A11" s="65" t="s">
        <v>36</v>
      </c>
      <c r="B11" s="135">
        <f>'[3]Shuttle America'!$DM$28</f>
        <v>0</v>
      </c>
      <c r="C11" s="135">
        <f>'[3]Shuttle America_Delta'!$DM$28</f>
        <v>299</v>
      </c>
      <c r="D11" s="135">
        <f>[3]AirCanada!$DM$38</f>
        <v>35</v>
      </c>
      <c r="E11" s="14">
        <f>[3]Compass!$DM$28+[3]Compass!$DM$38</f>
        <v>2163</v>
      </c>
      <c r="F11" s="14">
        <f>'[3]Atlantic Southeast'!$DM$28+'[3]Atlantic Southeast'!$DM$38</f>
        <v>715</v>
      </c>
      <c r="G11" s="135">
        <f>'[3]Continental Express'!$DM$28</f>
        <v>395</v>
      </c>
      <c r="H11" s="134">
        <f>'[3]Go Jet_UA'!$DM$28</f>
        <v>190</v>
      </c>
      <c r="I11" s="134">
        <f>'[3]Go Jet'!$DM$28</f>
        <v>0</v>
      </c>
      <c r="J11" s="136">
        <f>'[3]Air Wisconsin'!$DM$28</f>
        <v>0</v>
      </c>
      <c r="K11" s="134">
        <f>[3]MESA!$DM$28</f>
        <v>0</v>
      </c>
      <c r="L11" s="119">
        <f>SUM(B11:K11)</f>
        <v>3797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585</v>
      </c>
      <c r="D12" s="140">
        <f t="shared" ref="D12:K12" si="1">SUM(D10:D11)</f>
        <v>73</v>
      </c>
      <c r="E12" s="140">
        <f t="shared" si="1"/>
        <v>4056</v>
      </c>
      <c r="F12" s="140">
        <f t="shared" si="1"/>
        <v>1586</v>
      </c>
      <c r="G12" s="140">
        <f t="shared" si="1"/>
        <v>704</v>
      </c>
      <c r="H12" s="140">
        <f t="shared" si="1"/>
        <v>419</v>
      </c>
      <c r="I12" s="140">
        <f t="shared" si="1"/>
        <v>0</v>
      </c>
      <c r="J12" s="140">
        <f t="shared" si="1"/>
        <v>0</v>
      </c>
      <c r="K12" s="140">
        <f t="shared" si="1"/>
        <v>0</v>
      </c>
      <c r="L12" s="141">
        <f>SUM(B12:K12)</f>
        <v>7423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America'!$DM$4</f>
        <v>200</v>
      </c>
      <c r="C15" s="109">
        <f>'[3]Shuttle America_Delta'!$DM$4</f>
        <v>165</v>
      </c>
      <c r="D15" s="110">
        <f>[3]AirCanada!$DM$15</f>
        <v>81</v>
      </c>
      <c r="E15" s="22">
        <f>[3]Compass!$DM$4+[3]Compass!$DM$15</f>
        <v>1177</v>
      </c>
      <c r="F15" s="110">
        <f>'[3]Atlantic Southeast'!$DM$4+'[3]Atlantic Southeast'!$DM$15</f>
        <v>498</v>
      </c>
      <c r="G15" s="110">
        <f>'[3]Continental Express'!$DM$4</f>
        <v>219</v>
      </c>
      <c r="H15" s="109">
        <f>'[3]Go Jet_UA'!$DM$4</f>
        <v>141</v>
      </c>
      <c r="I15" s="109">
        <f>'[3]Go Jet'!$DM$4</f>
        <v>0</v>
      </c>
      <c r="J15" s="111">
        <f>'[3]Air Wisconsin'!$DM$4</f>
        <v>1</v>
      </c>
      <c r="K15" s="109">
        <f>[3]MESA!$DM$4</f>
        <v>0</v>
      </c>
      <c r="L15" s="113">
        <f t="shared" ref="L15:L21" si="2">SUM(B15:K15)</f>
        <v>2482</v>
      </c>
    </row>
    <row r="16" spans="1:12" x14ac:dyDescent="0.2">
      <c r="A16" s="65" t="s">
        <v>59</v>
      </c>
      <c r="B16" s="114">
        <f>'[3]Shuttle America'!$DM$5</f>
        <v>200</v>
      </c>
      <c r="C16" s="114">
        <f>'[3]Shuttle America_Delta'!$DM$5</f>
        <v>165</v>
      </c>
      <c r="D16" s="115">
        <f>[3]AirCanada!$DM$16</f>
        <v>81</v>
      </c>
      <c r="E16" s="14">
        <f>[3]Compass!$DM$5+[3]Compass!$DM$16</f>
        <v>1175</v>
      </c>
      <c r="F16" s="115">
        <f>'[3]Atlantic Southeast'!$DM$5+'[3]Atlantic Southeast'!$DM$16</f>
        <v>499</v>
      </c>
      <c r="G16" s="115">
        <f>'[3]Continental Express'!$DM$5</f>
        <v>219</v>
      </c>
      <c r="H16" s="114">
        <f>'[3]Go Jet_UA'!$DM$5</f>
        <v>141</v>
      </c>
      <c r="I16" s="114">
        <f>'[3]Go Jet'!$DM$5</f>
        <v>0</v>
      </c>
      <c r="J16" s="116">
        <f>'[3]Air Wisconsin'!$DM$5</f>
        <v>0</v>
      </c>
      <c r="K16" s="114">
        <f>[3]MESA!$DM$5</f>
        <v>0</v>
      </c>
      <c r="L16" s="119">
        <f t="shared" si="2"/>
        <v>2480</v>
      </c>
    </row>
    <row r="17" spans="1:12" x14ac:dyDescent="0.2">
      <c r="A17" s="74" t="s">
        <v>60</v>
      </c>
      <c r="B17" s="120">
        <f>SUM(B15:B16)</f>
        <v>400</v>
      </c>
      <c r="C17" s="120">
        <f>SUM(C15:C16)</f>
        <v>330</v>
      </c>
      <c r="D17" s="120">
        <f t="shared" ref="D17:K17" si="3">SUM(D15:D16)</f>
        <v>162</v>
      </c>
      <c r="E17" s="291">
        <f>SUM(E15:E16)</f>
        <v>2352</v>
      </c>
      <c r="F17" s="120">
        <f t="shared" si="3"/>
        <v>997</v>
      </c>
      <c r="G17" s="120">
        <f t="shared" si="3"/>
        <v>438</v>
      </c>
      <c r="H17" s="120">
        <f t="shared" si="3"/>
        <v>282</v>
      </c>
      <c r="I17" s="120">
        <f t="shared" si="3"/>
        <v>0</v>
      </c>
      <c r="J17" s="120">
        <f t="shared" si="3"/>
        <v>1</v>
      </c>
      <c r="K17" s="120">
        <f t="shared" si="3"/>
        <v>0</v>
      </c>
      <c r="L17" s="121">
        <f t="shared" si="2"/>
        <v>4962</v>
      </c>
    </row>
    <row r="18" spans="1:12" x14ac:dyDescent="0.2">
      <c r="A18" s="65" t="s">
        <v>61</v>
      </c>
      <c r="B18" s="122">
        <f>'[3]Shuttle America'!$DM$8</f>
        <v>0</v>
      </c>
      <c r="C18" s="122">
        <f>'[3]Shuttle America_Delta'!$DM$8</f>
        <v>0</v>
      </c>
      <c r="D18" s="122">
        <f>[3]AirCanada!$DM$8</f>
        <v>0</v>
      </c>
      <c r="E18" s="22">
        <f>[3]Compass!$DM$8</f>
        <v>0</v>
      </c>
      <c r="F18" s="112">
        <f>'[3]Atlantic Southeast'!$DM$8</f>
        <v>0</v>
      </c>
      <c r="G18" s="112">
        <f>'[3]Continental Express'!$DM$8</f>
        <v>0</v>
      </c>
      <c r="H18" s="122">
        <f>'[3]Go Jet_UA'!$DM$8</f>
        <v>0</v>
      </c>
      <c r="I18" s="122">
        <f>'[3]Go Jet'!$DM$8</f>
        <v>0</v>
      </c>
      <c r="J18" s="123">
        <f>'[3]Air Wisconsin'!$DM$8</f>
        <v>0</v>
      </c>
      <c r="K18" s="122">
        <f>[3]MESA!$DM$8</f>
        <v>0</v>
      </c>
      <c r="L18" s="113">
        <f t="shared" si="2"/>
        <v>0</v>
      </c>
    </row>
    <row r="19" spans="1:12" x14ac:dyDescent="0.2">
      <c r="A19" s="65" t="s">
        <v>62</v>
      </c>
      <c r="B19" s="124">
        <f>'[3]Shuttle America'!$DM$9</f>
        <v>0</v>
      </c>
      <c r="C19" s="124">
        <f>'[3]Shuttle America_Delta'!$DM$9</f>
        <v>0</v>
      </c>
      <c r="D19" s="124">
        <f>[3]AirCanada!$DM$9</f>
        <v>0</v>
      </c>
      <c r="E19" s="14">
        <f>[3]Compass!$DM$9</f>
        <v>3</v>
      </c>
      <c r="F19" s="117">
        <f>'[3]Atlantic Southeast'!$DM$9</f>
        <v>0</v>
      </c>
      <c r="G19" s="117">
        <f>'[3]Continental Express'!$DM$9</f>
        <v>0</v>
      </c>
      <c r="H19" s="124">
        <f>'[3]Go Jet_UA'!$DM$9</f>
        <v>0</v>
      </c>
      <c r="I19" s="124">
        <f>'[3]Go Jet'!$DM$9</f>
        <v>0</v>
      </c>
      <c r="J19" s="125">
        <f>'[3]Air Wisconsin'!$DM$9</f>
        <v>0</v>
      </c>
      <c r="K19" s="124">
        <f>[3]MESA!$DM$9</f>
        <v>0</v>
      </c>
      <c r="L19" s="119">
        <f t="shared" si="2"/>
        <v>3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3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3</v>
      </c>
    </row>
    <row r="21" spans="1:12" ht="15.75" thickBot="1" x14ac:dyDescent="0.3">
      <c r="A21" s="75" t="s">
        <v>31</v>
      </c>
      <c r="B21" s="126">
        <f>SUM(B20,B17)</f>
        <v>400</v>
      </c>
      <c r="C21" s="126">
        <f>SUM(C20,C17)</f>
        <v>330</v>
      </c>
      <c r="D21" s="126">
        <f t="shared" ref="D21:K21" si="5">SUM(D20,D17)</f>
        <v>162</v>
      </c>
      <c r="E21" s="126">
        <f t="shared" si="5"/>
        <v>2355</v>
      </c>
      <c r="F21" s="126">
        <f t="shared" si="5"/>
        <v>997</v>
      </c>
      <c r="G21" s="126">
        <f t="shared" si="5"/>
        <v>438</v>
      </c>
      <c r="H21" s="126">
        <f t="shared" si="5"/>
        <v>282</v>
      </c>
      <c r="I21" s="126">
        <f t="shared" si="5"/>
        <v>0</v>
      </c>
      <c r="J21" s="126">
        <f t="shared" si="5"/>
        <v>1</v>
      </c>
      <c r="K21" s="126">
        <f t="shared" si="5"/>
        <v>0</v>
      </c>
      <c r="L21" s="127">
        <f t="shared" si="2"/>
        <v>4965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America'!$DM$47</f>
        <v>0</v>
      </c>
      <c r="C25" s="134">
        <f>'[3]Shuttle America_Delta'!$DM$47</f>
        <v>0</v>
      </c>
      <c r="D25" s="134">
        <f>[3]AirCanada!$DM$47</f>
        <v>0</v>
      </c>
      <c r="E25" s="134">
        <f>[3]Compass!$DM$47</f>
        <v>0</v>
      </c>
      <c r="F25" s="135">
        <f>'[3]Atlantic Southeast'!$DM$47</f>
        <v>0</v>
      </c>
      <c r="G25" s="135">
        <f>'[3]Continental Express'!$DM$47</f>
        <v>0</v>
      </c>
      <c r="H25" s="134">
        <f>'[3]Go Jet_UA'!$DM$47</f>
        <v>0</v>
      </c>
      <c r="I25" s="134">
        <f>'[3]Go Jet'!$DM$47</f>
        <v>0</v>
      </c>
      <c r="J25" s="136">
        <f>'[3]Air Wisconsin'!$DM$47</f>
        <v>0</v>
      </c>
      <c r="K25" s="134">
        <f>[3]MESA!$DM$47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America'!$DM$48</f>
        <v>0</v>
      </c>
      <c r="C26" s="134">
        <f>'[3]Shuttle America_Delta'!$DM$48</f>
        <v>0</v>
      </c>
      <c r="D26" s="134">
        <f>[3]AirCanada!$DM$48</f>
        <v>0</v>
      </c>
      <c r="E26" s="134">
        <f>[3]Compass!$DM$48</f>
        <v>0</v>
      </c>
      <c r="F26" s="135">
        <f>'[3]Atlantic Southeast'!$DM$48</f>
        <v>0</v>
      </c>
      <c r="G26" s="135">
        <f>'[3]Continental Express'!$DM$48</f>
        <v>0</v>
      </c>
      <c r="H26" s="134">
        <f>'[3]Go Jet_UA'!$DM$48</f>
        <v>0</v>
      </c>
      <c r="I26" s="134">
        <f>'[3]Go Jet'!$DM$48</f>
        <v>0</v>
      </c>
      <c r="J26" s="136">
        <f>'[3]Air Wisconsin'!$DM$48</f>
        <v>0</v>
      </c>
      <c r="K26" s="134">
        <f>[3]MESA!$DM$48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America'!$DM$52</f>
        <v>0</v>
      </c>
      <c r="C30" s="134">
        <f>'[3]Shuttle America_Delta'!$DM$52</f>
        <v>0</v>
      </c>
      <c r="D30" s="134">
        <f>[3]AirCanada!$DM$52</f>
        <v>0</v>
      </c>
      <c r="E30" s="134">
        <f>[3]Compass!$DM$52</f>
        <v>0</v>
      </c>
      <c r="F30" s="135">
        <f>'[3]Atlantic Southeast'!$DM$52</f>
        <v>0</v>
      </c>
      <c r="G30" s="135">
        <f>'[3]Continental Express'!$DM$52</f>
        <v>0</v>
      </c>
      <c r="H30" s="134">
        <f>'[3]Go Jet_UA'!$DM$52</f>
        <v>0</v>
      </c>
      <c r="I30" s="134">
        <f>'[3]Go Jet'!$DM$52</f>
        <v>0</v>
      </c>
      <c r="J30" s="136">
        <f>'[3]Air Wisconsin'!BH$52</f>
        <v>0</v>
      </c>
      <c r="K30" s="134">
        <f>[3]MESA!$DM$52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America'!$DM$53</f>
        <v>0</v>
      </c>
      <c r="C31" s="134">
        <f>'[3]Shuttle America_Delta'!$DM$53</f>
        <v>0</v>
      </c>
      <c r="D31" s="134">
        <f>[3]AirCanada!$DM$53</f>
        <v>0</v>
      </c>
      <c r="E31" s="134">
        <f>[3]Compass!$DM$53</f>
        <v>0</v>
      </c>
      <c r="F31" s="135">
        <f>'[3]Atlantic Southeast'!$DM$53</f>
        <v>0</v>
      </c>
      <c r="G31" s="135">
        <f>'[3]Continental Express'!$DM$53</f>
        <v>0</v>
      </c>
      <c r="H31" s="134">
        <f>'[3]Go Jet_UA'!$DM$53</f>
        <v>0</v>
      </c>
      <c r="I31" s="134">
        <f>'[3]Go Jet'!$DM$53</f>
        <v>0</v>
      </c>
      <c r="J31" s="136">
        <f>'[3]Air Wisconsin'!$DM$53</f>
        <v>0</v>
      </c>
      <c r="K31" s="134">
        <f>[3]MESA!$DM$53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America'!$DM$57</f>
        <v>0</v>
      </c>
      <c r="C35" s="134">
        <f>'[3]Shuttle America_Delta'!$DM$57</f>
        <v>0</v>
      </c>
      <c r="D35" s="134">
        <f>[3]AirCanada!$DM$57</f>
        <v>0</v>
      </c>
      <c r="E35" s="134">
        <f>[3]Compass!$DM$57</f>
        <v>0</v>
      </c>
      <c r="F35" s="135">
        <f>'[3]Atlantic Southeast'!$DM$57</f>
        <v>0</v>
      </c>
      <c r="G35" s="135">
        <f>'[3]Continental Express'!$DM$57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5" t="s">
        <v>135</v>
      </c>
      <c r="C46" s="328">
        <f>'[3]Shuttle America_Delta'!$DM$70+'[3]Shuttle America_Delta'!$DM$73</f>
        <v>3533</v>
      </c>
      <c r="E46" s="328">
        <f>[3]Compass!$DM$70+[3]Compass!$DM$73</f>
        <v>25443</v>
      </c>
      <c r="F46" s="328">
        <f>'[3]Atlantic Southeast'!$DM$70+'[3]Atlantic Southeast'!$DM$73</f>
        <v>9668</v>
      </c>
      <c r="L46" s="410">
        <f>SUM(B46:K46)</f>
        <v>38644</v>
      </c>
    </row>
    <row r="47" spans="1:12" x14ac:dyDescent="0.2">
      <c r="A47" s="411" t="s">
        <v>136</v>
      </c>
      <c r="C47" s="328">
        <f>'[3]Shuttle America_Delta'!$DM$71+'[3]Shuttle America_Delta'!$DM$74</f>
        <v>6068</v>
      </c>
      <c r="E47" s="328">
        <f>[3]Compass!$DM$71+[3]Compass!$DM$74</f>
        <v>46635</v>
      </c>
      <c r="F47" s="328">
        <f>'[3]Atlantic Southeast'!$DM$71+'[3]Atlantic Southeast'!$DM$74</f>
        <v>19105</v>
      </c>
      <c r="L47" s="410">
        <f>SUM(B47:K47)</f>
        <v>71808</v>
      </c>
    </row>
  </sheetData>
  <phoneticPr fontId="6" type="noConversion"/>
  <printOptions horizontalCentered="1"/>
  <pageMargins left="0.75" right="0.75" top="0.92" bottom="1" header="0.5" footer="0.5"/>
  <pageSetup scale="91" orientation="landscape" r:id="rId1"/>
  <headerFooter alignWithMargins="0">
    <oddHeader>&amp;L
Schedule 5
&amp;CMinneapolis-St. Paul International Airport
&amp;"Arial,Bold"Other Regional
April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workbookViewId="0">
      <selection activeCell="N25" sqref="N2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0">
        <v>41730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7"/>
      <c r="C4" s="188"/>
      <c r="D4" s="188"/>
      <c r="E4" s="188"/>
      <c r="F4" s="188"/>
      <c r="G4" s="253"/>
    </row>
    <row r="5" spans="1:17" x14ac:dyDescent="0.2">
      <c r="A5" s="65" t="s">
        <v>33</v>
      </c>
      <c r="B5" s="447">
        <f>'[3]Charter Misc'!$DM$22</f>
        <v>136</v>
      </c>
      <c r="C5" s="188">
        <f>[3]Ryan!$DM$22</f>
        <v>0</v>
      </c>
      <c r="D5" s="188">
        <f>'[3]Charter Misc'!$DM$32</f>
        <v>0</v>
      </c>
      <c r="E5" s="188">
        <f>[3]Omni!$DM$32</f>
        <v>0</v>
      </c>
      <c r="F5" s="188">
        <f>[3]Xtra!$DM$32+[3]Xtra!$DM$22</f>
        <v>0</v>
      </c>
      <c r="G5" s="340">
        <f>SUM(B5:F5)</f>
        <v>136</v>
      </c>
    </row>
    <row r="6" spans="1:17" x14ac:dyDescent="0.2">
      <c r="A6" s="65" t="s">
        <v>34</v>
      </c>
      <c r="B6" s="448">
        <f>'[3]Charter Misc'!$DM$23</f>
        <v>0</v>
      </c>
      <c r="C6" s="191">
        <f>[3]Ryan!$DM$23</f>
        <v>0</v>
      </c>
      <c r="D6" s="191">
        <f>'[3]Charter Misc'!$DM$33</f>
        <v>0</v>
      </c>
      <c r="E6" s="191">
        <f>[3]Omni!$DM$33</f>
        <v>0</v>
      </c>
      <c r="F6" s="191">
        <f>[3]Xtra!$DM$33+[3]Xtra!$DM$23</f>
        <v>0</v>
      </c>
      <c r="G6" s="339">
        <f>SUM(B6:F6)</f>
        <v>0</v>
      </c>
    </row>
    <row r="7" spans="1:17" ht="15.75" thickBot="1" x14ac:dyDescent="0.3">
      <c r="A7" s="187" t="s">
        <v>7</v>
      </c>
      <c r="B7" s="449">
        <f>SUM(B5:B6)</f>
        <v>136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136</v>
      </c>
    </row>
    <row r="8" spans="1:17" ht="13.5" thickBot="1" x14ac:dyDescent="0.25"/>
    <row r="9" spans="1:17" x14ac:dyDescent="0.2">
      <c r="A9" s="185" t="s">
        <v>9</v>
      </c>
      <c r="B9" s="450"/>
      <c r="C9" s="47"/>
      <c r="D9" s="47"/>
      <c r="E9" s="47"/>
      <c r="F9" s="47"/>
      <c r="G9" s="60"/>
    </row>
    <row r="10" spans="1:17" x14ac:dyDescent="0.2">
      <c r="A10" s="186" t="s">
        <v>85</v>
      </c>
      <c r="B10" s="447">
        <f>'[3]Charter Misc'!$DM$4</f>
        <v>1</v>
      </c>
      <c r="C10" s="188">
        <f>[3]Ryan!$DM$4</f>
        <v>0</v>
      </c>
      <c r="D10" s="188">
        <f>'[3]Charter Misc'!$DM$15</f>
        <v>0</v>
      </c>
      <c r="E10" s="188">
        <f>[3]Omni!$DM$15</f>
        <v>0</v>
      </c>
      <c r="F10" s="188">
        <f>[3]Xtra!$DM$15+[3]Xtra!$DM$4</f>
        <v>0</v>
      </c>
      <c r="G10" s="339">
        <f>SUM(B10:F10)</f>
        <v>1</v>
      </c>
    </row>
    <row r="11" spans="1:17" x14ac:dyDescent="0.2">
      <c r="A11" s="186" t="s">
        <v>86</v>
      </c>
      <c r="B11" s="447">
        <f>'[3]Charter Misc'!$DM$5</f>
        <v>0</v>
      </c>
      <c r="C11" s="188">
        <f>[3]Ryan!$DM$5</f>
        <v>0</v>
      </c>
      <c r="D11" s="188">
        <f>'[3]Charter Misc'!$DM$16</f>
        <v>0</v>
      </c>
      <c r="E11" s="188">
        <f>[3]Omni!$DM$16</f>
        <v>0</v>
      </c>
      <c r="F11" s="188">
        <f>[3]Xtra!$DM$16+[3]Xtra!$DM$5</f>
        <v>0</v>
      </c>
      <c r="G11" s="339">
        <f>SUM(B11:F11)</f>
        <v>0</v>
      </c>
    </row>
    <row r="12" spans="1:17" ht="15.75" thickBot="1" x14ac:dyDescent="0.3">
      <c r="A12" s="282" t="s">
        <v>31</v>
      </c>
      <c r="B12" s="451">
        <f>SUM(B10:B11)</f>
        <v>1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1</v>
      </c>
      <c r="Q12" s="134"/>
    </row>
    <row r="17" spans="1:16" x14ac:dyDescent="0.2">
      <c r="B17" s="488" t="s">
        <v>175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90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5"/>
      <c r="B19" s="491" t="s">
        <v>132</v>
      </c>
      <c r="C19" s="492"/>
      <c r="D19" s="492"/>
      <c r="E19" s="493"/>
      <c r="G19" s="491" t="s">
        <v>133</v>
      </c>
      <c r="H19" s="494"/>
      <c r="I19" s="494"/>
      <c r="J19" s="495"/>
      <c r="L19" s="496" t="s">
        <v>134</v>
      </c>
      <c r="M19" s="497"/>
      <c r="N19" s="497"/>
      <c r="O19" s="498"/>
    </row>
    <row r="20" spans="1:16" ht="13.5" thickBot="1" x14ac:dyDescent="0.25">
      <c r="A20" s="241" t="s">
        <v>111</v>
      </c>
      <c r="B20" s="466" t="s">
        <v>112</v>
      </c>
      <c r="C20" s="8" t="s">
        <v>113</v>
      </c>
      <c r="D20" s="8" t="s">
        <v>196</v>
      </c>
      <c r="E20" s="8" t="s">
        <v>189</v>
      </c>
      <c r="F20" s="477" t="s">
        <v>107</v>
      </c>
      <c r="G20" s="466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6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thickBot="1" x14ac:dyDescent="0.25">
      <c r="A21" s="246" t="s">
        <v>114</v>
      </c>
      <c r="B21" s="463">
        <f>[4]Charter!B21</f>
        <v>109706</v>
      </c>
      <c r="C21" s="462">
        <f>[4]Charter!C21</f>
        <v>106761</v>
      </c>
      <c r="D21" s="462">
        <f t="shared" ref="D21:D32" si="0">SUM(B21:C21)</f>
        <v>216467</v>
      </c>
      <c r="E21" s="476">
        <f>[5]Charter!$D$21</f>
        <v>188869</v>
      </c>
      <c r="F21" s="461">
        <f t="shared" ref="F21:F32" si="1">(D21-E21)/E21</f>
        <v>0.14612244465740803</v>
      </c>
      <c r="G21" s="463">
        <f>[4]Charter!G21</f>
        <v>1158780</v>
      </c>
      <c r="H21" s="462">
        <f>[4]Charter!H21</f>
        <v>1183104</v>
      </c>
      <c r="I21" s="462">
        <f>SUM(G21:H21)</f>
        <v>2341884</v>
      </c>
      <c r="J21" s="464">
        <f>[5]Charter!$I21</f>
        <v>2215560</v>
      </c>
      <c r="K21" s="471">
        <f t="shared" ref="K21:K32" si="2">(I21-J21)/J21</f>
        <v>5.7016736175052811E-2</v>
      </c>
      <c r="L21" s="463">
        <f>[4]Charter!$L$21</f>
        <v>1268486</v>
      </c>
      <c r="M21" s="462">
        <f>[4]Charter!$M$21</f>
        <v>1289865</v>
      </c>
      <c r="N21" s="462">
        <f t="shared" ref="N21:N32" si="3">SUM(L21:M21)</f>
        <v>2558351</v>
      </c>
      <c r="O21" s="474">
        <f>[5]Charter!$N$21</f>
        <v>2404429</v>
      </c>
      <c r="P21" s="247">
        <f>(N21-O21)/O21</f>
        <v>6.4016030417200928E-2</v>
      </c>
    </row>
    <row r="22" spans="1:16" ht="14.1" customHeight="1" thickBot="1" x14ac:dyDescent="0.25">
      <c r="A22" s="248" t="s">
        <v>115</v>
      </c>
      <c r="B22" s="463">
        <f>[6]Charter!B22</f>
        <v>109972</v>
      </c>
      <c r="C22" s="462">
        <f>[6]Charter!C22</f>
        <v>111618</v>
      </c>
      <c r="D22" s="462">
        <f>SUM(B22:C22)</f>
        <v>221590</v>
      </c>
      <c r="E22" s="465">
        <f>[7]Charter!$D22</f>
        <v>206738</v>
      </c>
      <c r="F22" s="467">
        <f t="shared" si="1"/>
        <v>7.1839719838636337E-2</v>
      </c>
      <c r="G22" s="463">
        <f>[6]Charter!G22</f>
        <v>1106888</v>
      </c>
      <c r="H22" s="462">
        <f>[6]Charter!H22</f>
        <v>1123416</v>
      </c>
      <c r="I22" s="462">
        <f>SUM(G22:H22)</f>
        <v>2230304</v>
      </c>
      <c r="J22" s="464">
        <f>[7]Charter!$I22</f>
        <v>2137287</v>
      </c>
      <c r="K22" s="472">
        <f t="shared" si="2"/>
        <v>4.3521061981848949E-2</v>
      </c>
      <c r="L22" s="463">
        <f>[6]Charter!$L22</f>
        <v>1216860</v>
      </c>
      <c r="M22" s="462">
        <f>[6]Charter!$M22</f>
        <v>1235034</v>
      </c>
      <c r="N22" s="462">
        <f>SUM(L22:M22)</f>
        <v>2451894</v>
      </c>
      <c r="O22" s="475">
        <f>[7]Charter!$N22</f>
        <v>2344025</v>
      </c>
      <c r="P22" s="249">
        <f t="shared" ref="P22:P32" si="4">(N22-O22)/O22</f>
        <v>4.6018707138362432E-2</v>
      </c>
    </row>
    <row r="23" spans="1:16" ht="14.1" customHeight="1" thickBot="1" x14ac:dyDescent="0.25">
      <c r="A23" s="248" t="s">
        <v>116</v>
      </c>
      <c r="B23" s="463">
        <f>[2]Charter!B23</f>
        <v>147446</v>
      </c>
      <c r="C23" s="462">
        <f>[2]Charter!C23</f>
        <v>144943</v>
      </c>
      <c r="D23" s="462">
        <f t="shared" si="0"/>
        <v>292389</v>
      </c>
      <c r="E23" s="465">
        <f>[8]Charter!$D23</f>
        <v>270939</v>
      </c>
      <c r="F23" s="468">
        <f t="shared" si="1"/>
        <v>7.9169111866508698E-2</v>
      </c>
      <c r="G23" s="463">
        <f>[2]Charter!G23</f>
        <v>1458223</v>
      </c>
      <c r="H23" s="462">
        <f>[2]Charter!H23</f>
        <v>1470796</v>
      </c>
      <c r="I23" s="462">
        <f>SUM(G23:H23)</f>
        <v>2929019</v>
      </c>
      <c r="J23" s="464">
        <f>[8]Charter!$I23</f>
        <v>2750397</v>
      </c>
      <c r="K23" s="472">
        <f t="shared" si="2"/>
        <v>6.4944078982052414E-2</v>
      </c>
      <c r="L23" s="463">
        <f>[2]Charter!$L23</f>
        <v>1605669</v>
      </c>
      <c r="M23" s="462">
        <f>[2]Charter!$M23</f>
        <v>1615739</v>
      </c>
      <c r="N23" s="462">
        <f>SUM(L23:M23)</f>
        <v>3221408</v>
      </c>
      <c r="O23" s="475">
        <f>[8]Charter!$N23</f>
        <v>3021336</v>
      </c>
      <c r="P23" s="249">
        <f t="shared" si="4"/>
        <v>6.6219712074393575E-2</v>
      </c>
    </row>
    <row r="24" spans="1:16" ht="14.1" customHeight="1" x14ac:dyDescent="0.2">
      <c r="A24" s="248" t="s">
        <v>117</v>
      </c>
      <c r="B24" s="463">
        <f>'Intl Detail'!$M$4+'Intl Detail'!$M$9</f>
        <v>96003</v>
      </c>
      <c r="C24" s="462">
        <f>'Intl Detail'!$M$5+'Intl Detail'!$M$10</f>
        <v>84563</v>
      </c>
      <c r="D24" s="462">
        <f>SUM(B24:C24)</f>
        <v>180566</v>
      </c>
      <c r="E24" s="465">
        <f>[1]Charter!$D24</f>
        <v>163833</v>
      </c>
      <c r="F24" s="468">
        <f t="shared" si="1"/>
        <v>0.10213449060934</v>
      </c>
      <c r="G24" s="463">
        <f>L24-B24</f>
        <v>1355032</v>
      </c>
      <c r="H24" s="462">
        <f>M24-C24</f>
        <v>1280528</v>
      </c>
      <c r="I24" s="462">
        <f>SUM(G24:H24)</f>
        <v>2635560</v>
      </c>
      <c r="J24" s="464">
        <f>[1]Charter!$I24</f>
        <v>2509733</v>
      </c>
      <c r="K24" s="472">
        <f t="shared" si="2"/>
        <v>5.0135612035224465E-2</v>
      </c>
      <c r="L24" s="463">
        <f>'Monthly Summary'!$B$11</f>
        <v>1451035</v>
      </c>
      <c r="M24" s="462">
        <f>+'Monthly Summary'!$C$11</f>
        <v>1365091</v>
      </c>
      <c r="N24" s="462">
        <f>SUM(L24:M24)</f>
        <v>2816126</v>
      </c>
      <c r="O24" s="475">
        <f>[1]Charter!$N24</f>
        <v>2673566</v>
      </c>
      <c r="P24" s="249">
        <f t="shared" si="4"/>
        <v>5.3322042545424352E-2</v>
      </c>
    </row>
    <row r="25" spans="1:16" ht="14.1" customHeight="1" x14ac:dyDescent="0.2">
      <c r="A25" s="239" t="s">
        <v>81</v>
      </c>
      <c r="B25" s="463"/>
      <c r="C25" s="462"/>
      <c r="D25" s="462">
        <f t="shared" si="0"/>
        <v>0</v>
      </c>
      <c r="E25" s="465"/>
      <c r="F25" s="469" t="e">
        <f t="shared" si="1"/>
        <v>#DIV/0!</v>
      </c>
      <c r="G25" s="463"/>
      <c r="H25" s="462"/>
      <c r="I25" s="462">
        <f t="shared" ref="I25:I32" si="5">SUM(G25:H25)</f>
        <v>0</v>
      </c>
      <c r="J25" s="465"/>
      <c r="K25" s="473" t="e">
        <f t="shared" si="2"/>
        <v>#DIV/0!</v>
      </c>
      <c r="L25" s="463"/>
      <c r="M25" s="462"/>
      <c r="N25" s="462">
        <f t="shared" si="3"/>
        <v>0</v>
      </c>
      <c r="O25" s="465"/>
      <c r="P25" s="242" t="e">
        <f t="shared" si="4"/>
        <v>#DIV/0!</v>
      </c>
    </row>
    <row r="26" spans="1:16" ht="14.1" customHeight="1" x14ac:dyDescent="0.2">
      <c r="A26" s="248" t="s">
        <v>118</v>
      </c>
      <c r="B26" s="463"/>
      <c r="C26" s="462"/>
      <c r="D26" s="462">
        <f t="shared" si="0"/>
        <v>0</v>
      </c>
      <c r="E26" s="465"/>
      <c r="F26" s="468" t="e">
        <f t="shared" si="1"/>
        <v>#DIV/0!</v>
      </c>
      <c r="G26" s="463"/>
      <c r="H26" s="462"/>
      <c r="I26" s="462">
        <f t="shared" si="5"/>
        <v>0</v>
      </c>
      <c r="J26" s="465"/>
      <c r="K26" s="472" t="e">
        <f t="shared" si="2"/>
        <v>#DIV/0!</v>
      </c>
      <c r="L26" s="463"/>
      <c r="M26" s="462"/>
      <c r="N26" s="462">
        <f t="shared" si="3"/>
        <v>0</v>
      </c>
      <c r="O26" s="465"/>
      <c r="P26" s="249" t="e">
        <f t="shared" si="4"/>
        <v>#DIV/0!</v>
      </c>
    </row>
    <row r="27" spans="1:16" ht="14.1" customHeight="1" x14ac:dyDescent="0.2">
      <c r="A27" s="239" t="s">
        <v>119</v>
      </c>
      <c r="B27" s="463"/>
      <c r="C27" s="462"/>
      <c r="D27" s="462">
        <f t="shared" si="0"/>
        <v>0</v>
      </c>
      <c r="E27" s="465"/>
      <c r="F27" s="469" t="e">
        <f t="shared" si="1"/>
        <v>#DIV/0!</v>
      </c>
      <c r="G27" s="463"/>
      <c r="H27" s="462"/>
      <c r="I27" s="462">
        <f t="shared" si="5"/>
        <v>0</v>
      </c>
      <c r="J27" s="465"/>
      <c r="K27" s="473" t="e">
        <f t="shared" si="2"/>
        <v>#DIV/0!</v>
      </c>
      <c r="L27" s="463"/>
      <c r="M27" s="462"/>
      <c r="N27" s="462">
        <f t="shared" si="3"/>
        <v>0</v>
      </c>
      <c r="O27" s="465"/>
      <c r="P27" s="242" t="e">
        <f t="shared" si="4"/>
        <v>#DIV/0!</v>
      </c>
    </row>
    <row r="28" spans="1:16" ht="14.1" customHeight="1" x14ac:dyDescent="0.2">
      <c r="A28" s="248" t="s">
        <v>120</v>
      </c>
      <c r="B28" s="463"/>
      <c r="C28" s="462"/>
      <c r="D28" s="462">
        <f t="shared" si="0"/>
        <v>0</v>
      </c>
      <c r="E28" s="465"/>
      <c r="F28" s="468" t="e">
        <f t="shared" si="1"/>
        <v>#DIV/0!</v>
      </c>
      <c r="G28" s="463"/>
      <c r="H28" s="462"/>
      <c r="I28" s="462">
        <f t="shared" si="5"/>
        <v>0</v>
      </c>
      <c r="J28" s="465"/>
      <c r="K28" s="472" t="e">
        <f t="shared" si="2"/>
        <v>#DIV/0!</v>
      </c>
      <c r="L28" s="463"/>
      <c r="M28" s="462"/>
      <c r="N28" s="462">
        <f t="shared" si="3"/>
        <v>0</v>
      </c>
      <c r="O28" s="465"/>
      <c r="P28" s="249" t="e">
        <f t="shared" si="4"/>
        <v>#DIV/0!</v>
      </c>
    </row>
    <row r="29" spans="1:16" ht="14.1" customHeight="1" x14ac:dyDescent="0.2">
      <c r="A29" s="239" t="s">
        <v>121</v>
      </c>
      <c r="B29" s="463"/>
      <c r="C29" s="462"/>
      <c r="D29" s="462">
        <f t="shared" si="0"/>
        <v>0</v>
      </c>
      <c r="E29" s="465"/>
      <c r="F29" s="469" t="e">
        <f t="shared" si="1"/>
        <v>#DIV/0!</v>
      </c>
      <c r="G29" s="463"/>
      <c r="H29" s="462"/>
      <c r="I29" s="462">
        <f t="shared" si="5"/>
        <v>0</v>
      </c>
      <c r="J29" s="465"/>
      <c r="K29" s="473" t="e">
        <f t="shared" si="2"/>
        <v>#DIV/0!</v>
      </c>
      <c r="L29" s="463"/>
      <c r="M29" s="462"/>
      <c r="N29" s="462">
        <f t="shared" si="3"/>
        <v>0</v>
      </c>
      <c r="O29" s="465"/>
      <c r="P29" s="242" t="e">
        <f t="shared" si="4"/>
        <v>#DIV/0!</v>
      </c>
    </row>
    <row r="30" spans="1:16" ht="14.1" customHeight="1" x14ac:dyDescent="0.2">
      <c r="A30" s="248" t="s">
        <v>122</v>
      </c>
      <c r="B30" s="463"/>
      <c r="C30" s="462"/>
      <c r="D30" s="462">
        <f>SUM(B30:C30)</f>
        <v>0</v>
      </c>
      <c r="E30" s="465"/>
      <c r="F30" s="468" t="e">
        <f t="shared" si="1"/>
        <v>#DIV/0!</v>
      </c>
      <c r="G30" s="463"/>
      <c r="H30" s="462"/>
      <c r="I30" s="462">
        <f>SUM(G30:H30)</f>
        <v>0</v>
      </c>
      <c r="J30" s="465"/>
      <c r="K30" s="472" t="e">
        <f t="shared" si="2"/>
        <v>#DIV/0!</v>
      </c>
      <c r="L30" s="463"/>
      <c r="M30" s="462"/>
      <c r="N30" s="462">
        <f>SUM(L30:M30)</f>
        <v>0</v>
      </c>
      <c r="O30" s="465"/>
      <c r="P30" s="249" t="e">
        <f t="shared" si="4"/>
        <v>#DIV/0!</v>
      </c>
    </row>
    <row r="31" spans="1:16" ht="14.1" customHeight="1" x14ac:dyDescent="0.2">
      <c r="A31" s="239" t="s">
        <v>123</v>
      </c>
      <c r="B31" s="463"/>
      <c r="C31" s="462"/>
      <c r="D31" s="462">
        <f>SUM(B31:C31)</f>
        <v>0</v>
      </c>
      <c r="E31" s="465"/>
      <c r="F31" s="469" t="e">
        <f t="shared" si="1"/>
        <v>#DIV/0!</v>
      </c>
      <c r="G31" s="463"/>
      <c r="H31" s="462"/>
      <c r="I31" s="462">
        <f t="shared" si="5"/>
        <v>0</v>
      </c>
      <c r="J31" s="465"/>
      <c r="K31" s="473" t="e">
        <f t="shared" si="2"/>
        <v>#DIV/0!</v>
      </c>
      <c r="L31" s="463"/>
      <c r="M31" s="462"/>
      <c r="N31" s="462">
        <f>SUM(L31:M31)</f>
        <v>0</v>
      </c>
      <c r="O31" s="465"/>
      <c r="P31" s="242" t="e">
        <f t="shared" si="4"/>
        <v>#DIV/0!</v>
      </c>
    </row>
    <row r="32" spans="1:16" ht="14.1" customHeight="1" x14ac:dyDescent="0.2">
      <c r="A32" s="250" t="s">
        <v>124</v>
      </c>
      <c r="B32" s="463"/>
      <c r="C32" s="462"/>
      <c r="D32" s="462">
        <f t="shared" si="0"/>
        <v>0</v>
      </c>
      <c r="E32" s="465"/>
      <c r="F32" s="470" t="e">
        <f t="shared" si="1"/>
        <v>#DIV/0!</v>
      </c>
      <c r="G32" s="463"/>
      <c r="H32" s="462"/>
      <c r="I32" s="462">
        <f t="shared" si="5"/>
        <v>0</v>
      </c>
      <c r="J32" s="465"/>
      <c r="K32" s="470" t="e">
        <f t="shared" si="2"/>
        <v>#DIV/0!</v>
      </c>
      <c r="L32" s="463"/>
      <c r="M32" s="462"/>
      <c r="N32" s="462">
        <f t="shared" si="3"/>
        <v>0</v>
      </c>
      <c r="O32" s="465"/>
      <c r="P32" s="251" t="e">
        <f t="shared" si="4"/>
        <v>#DIV/0!</v>
      </c>
    </row>
    <row r="33" spans="1:16" ht="13.5" thickBot="1" x14ac:dyDescent="0.25">
      <c r="A33" s="245" t="s">
        <v>82</v>
      </c>
      <c r="B33" s="254">
        <f>SUM(B21:B32)</f>
        <v>463127</v>
      </c>
      <c r="C33" s="255">
        <f>SUM(C21:C32)</f>
        <v>447885</v>
      </c>
      <c r="D33" s="255">
        <f>SUM(D21:D32)</f>
        <v>911012</v>
      </c>
      <c r="E33" s="256">
        <f>SUM(E21:E32)</f>
        <v>830379</v>
      </c>
      <c r="F33" s="478">
        <f>(D33-E33)/E33</f>
        <v>9.7103852578160094E-2</v>
      </c>
      <c r="G33" s="257">
        <f>SUM(G21:G32)</f>
        <v>5078923</v>
      </c>
      <c r="H33" s="255">
        <f>SUM(H21:H32)</f>
        <v>5057844</v>
      </c>
      <c r="I33" s="255">
        <f>SUM(I21:I32)</f>
        <v>10136767</v>
      </c>
      <c r="J33" s="258">
        <f>SUM(J21:J32)</f>
        <v>9612977</v>
      </c>
      <c r="K33" s="479">
        <f>(I33-J33)/J33</f>
        <v>5.4487803310046407E-2</v>
      </c>
      <c r="L33" s="257">
        <f>SUM(L21:L32)</f>
        <v>5542050</v>
      </c>
      <c r="M33" s="255">
        <f>SUM(M21:M32)</f>
        <v>5505729</v>
      </c>
      <c r="N33" s="255">
        <f>SUM(N21:N32)</f>
        <v>11047779</v>
      </c>
      <c r="O33" s="256">
        <f>SUM(O21:O32)</f>
        <v>10443356</v>
      </c>
      <c r="P33" s="243">
        <f>(N33-O33)/O33</f>
        <v>5.7876318685296184E-2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G4" sqref="G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502" t="s">
        <v>102</v>
      </c>
      <c r="C1" s="503"/>
      <c r="D1" s="503"/>
      <c r="E1" s="503"/>
      <c r="F1" s="264"/>
      <c r="G1" s="502" t="s">
        <v>101</v>
      </c>
      <c r="H1" s="504"/>
      <c r="I1" s="504"/>
      <c r="J1" s="504"/>
      <c r="K1" s="504"/>
      <c r="L1" s="505"/>
    </row>
    <row r="2" spans="1:20" s="195" customFormat="1" ht="30.75" customHeight="1" thickBot="1" x14ac:dyDescent="0.25">
      <c r="A2" s="400">
        <v>41730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216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6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[3]Airborne!$DM$4</f>
        <v>0</v>
      </c>
      <c r="C4" s="165">
        <f>[3]DHL!$DM$4</f>
        <v>22</v>
      </c>
      <c r="D4" s="165">
        <f>[3]FedEx!$DM$4+[3]FedEx!$DM$15</f>
        <v>98</v>
      </c>
      <c r="E4" s="165">
        <f>[3]UPS!$DM$4</f>
        <v>82</v>
      </c>
      <c r="F4" s="196"/>
      <c r="G4" s="122">
        <f>[3]ATI_BAX!$DM$4</f>
        <v>0</v>
      </c>
      <c r="H4" s="481">
        <f>'[3]Suburban Air Freight'!$DM$15</f>
        <v>21</v>
      </c>
      <c r="I4" s="122">
        <f>[3]Bemidji!$DM$4</f>
        <v>224</v>
      </c>
      <c r="J4" s="122">
        <f>'[3]CSA Air'!$DM$4</f>
        <v>0</v>
      </c>
      <c r="K4" s="122">
        <f>'[3]Mountain Cargo'!$DM$4</f>
        <v>23</v>
      </c>
      <c r="L4" s="122">
        <f>'[3]Misc Cargo'!$DM$4</f>
        <v>26</v>
      </c>
      <c r="M4" s="208">
        <f>SUM(B4:L4)</f>
        <v>496</v>
      </c>
    </row>
    <row r="5" spans="1:20" x14ac:dyDescent="0.2">
      <c r="A5" s="55" t="s">
        <v>59</v>
      </c>
      <c r="B5" s="427">
        <f>[3]Airborne!$DM$5</f>
        <v>0</v>
      </c>
      <c r="C5" s="202">
        <f>[3]DHL!$DM$5</f>
        <v>22</v>
      </c>
      <c r="D5" s="202">
        <f>[3]FedEx!$DM$5</f>
        <v>98</v>
      </c>
      <c r="E5" s="202">
        <f>[3]UPS!$DM$5</f>
        <v>79</v>
      </c>
      <c r="F5" s="196"/>
      <c r="G5" s="124">
        <f>[3]ATI_BAX!$DM$5</f>
        <v>0</v>
      </c>
      <c r="H5" s="124">
        <f>'[3]Suburban Air Freight'!$DM$16</f>
        <v>21</v>
      </c>
      <c r="I5" s="124">
        <f>[3]Bemidji!$DM$5</f>
        <v>224</v>
      </c>
      <c r="J5" s="124">
        <f>'[3]CSA Air'!$DM$5</f>
        <v>0</v>
      </c>
      <c r="K5" s="124">
        <f>'[3]Mountain Cargo'!$DM$5</f>
        <v>23</v>
      </c>
      <c r="L5" s="124">
        <f>'[3]Misc Cargo'!$DM$5</f>
        <v>26</v>
      </c>
      <c r="M5" s="212">
        <f>SUM(B5:L5)</f>
        <v>493</v>
      </c>
    </row>
    <row r="6" spans="1:20" s="193" customFormat="1" x14ac:dyDescent="0.2">
      <c r="A6" s="209" t="s">
        <v>60</v>
      </c>
      <c r="B6" s="428">
        <f>SUM(B4:B5)</f>
        <v>0</v>
      </c>
      <c r="C6" s="210">
        <f>SUM(C4:C5)</f>
        <v>44</v>
      </c>
      <c r="D6" s="210">
        <f>SUM(D4:D5)</f>
        <v>196</v>
      </c>
      <c r="E6" s="210">
        <f>SUM(E4:E5)</f>
        <v>161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448</v>
      </c>
      <c r="J6" s="192">
        <f t="shared" si="0"/>
        <v>0</v>
      </c>
      <c r="K6" s="192">
        <f t="shared" si="0"/>
        <v>46</v>
      </c>
      <c r="L6" s="192">
        <f t="shared" si="0"/>
        <v>52</v>
      </c>
      <c r="M6" s="211">
        <f>SUM(B6:L6)</f>
        <v>989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[3]Airborne!$DM$8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Cargo'!$DM$8</f>
        <v>0</v>
      </c>
      <c r="M8" s="208">
        <f>SUM(B8:L8)</f>
        <v>0</v>
      </c>
    </row>
    <row r="9" spans="1:20" ht="15" x14ac:dyDescent="0.25">
      <c r="A9" s="55" t="s">
        <v>62</v>
      </c>
      <c r="B9" s="427">
        <f>[3]Airborne!$DM$9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Cargo'!$DM$9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8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9">
        <f>B6+B10</f>
        <v>0</v>
      </c>
      <c r="C12" s="214">
        <f>C6+C10</f>
        <v>44</v>
      </c>
      <c r="D12" s="214">
        <f>D6+D10</f>
        <v>196</v>
      </c>
      <c r="E12" s="214">
        <f>E6+E10</f>
        <v>161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448</v>
      </c>
      <c r="J12" s="216">
        <f t="shared" si="2"/>
        <v>0</v>
      </c>
      <c r="K12" s="216">
        <f t="shared" si="2"/>
        <v>46</v>
      </c>
      <c r="L12" s="216">
        <f t="shared" si="2"/>
        <v>52</v>
      </c>
      <c r="M12" s="217">
        <f>SUM(B12:L12)</f>
        <v>989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30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[3]Airborne!$DM$47</f>
        <v>0</v>
      </c>
      <c r="C16" s="165">
        <f>[3]DHL!$DM$47</f>
        <v>632941</v>
      </c>
      <c r="D16" s="165">
        <f>[3]FedEx!$DM$47</f>
        <v>6024786</v>
      </c>
      <c r="E16" s="165">
        <f>[3]UPS!$DM$47</f>
        <v>4886021</v>
      </c>
      <c r="F16" s="196"/>
      <c r="G16" s="122">
        <f>[3]ATI_BAX!$DM$47</f>
        <v>0</v>
      </c>
      <c r="H16" s="122">
        <f>'[3]Suburban Air Freight'!$DM$47</f>
        <v>14591</v>
      </c>
      <c r="I16" s="499" t="s">
        <v>95</v>
      </c>
      <c r="J16" s="122">
        <f>'[3]CSA Air'!$DM$47</f>
        <v>0</v>
      </c>
      <c r="K16" s="122">
        <f>'[3]Mountain Cargo'!$DM$47</f>
        <v>129681</v>
      </c>
      <c r="L16" s="122">
        <f>'[3]Misc Cargo'!$DM$47</f>
        <v>34446</v>
      </c>
      <c r="M16" s="208">
        <f>SUM(B16:H16)+SUM(J16:L16)</f>
        <v>11722466</v>
      </c>
    </row>
    <row r="17" spans="1:14" x14ac:dyDescent="0.2">
      <c r="A17" s="55" t="s">
        <v>41</v>
      </c>
      <c r="B17" s="252">
        <f>[3]Airborne!$DM$48</f>
        <v>0</v>
      </c>
      <c r="C17" s="165">
        <f>[3]DHL!$DM$48</f>
        <v>0</v>
      </c>
      <c r="D17" s="165">
        <f>[3]FedEx!$DM$48</f>
        <v>0</v>
      </c>
      <c r="E17" s="165">
        <f>[3]UPS!$DM$48</f>
        <v>4027</v>
      </c>
      <c r="F17" s="196"/>
      <c r="G17" s="122">
        <f>[3]ATI_BAX!$DM$48</f>
        <v>0</v>
      </c>
      <c r="H17" s="122">
        <f>'[3]Suburban Air Freight'!$DM$48</f>
        <v>0</v>
      </c>
      <c r="I17" s="500"/>
      <c r="J17" s="122">
        <f>'[3]CSA Air'!$DM$48</f>
        <v>0</v>
      </c>
      <c r="K17" s="122">
        <f>'[3]Mountain Cargo'!$DM$48</f>
        <v>0</v>
      </c>
      <c r="L17" s="122">
        <f>'[3]Misc Cargo'!$DM$48</f>
        <v>0</v>
      </c>
      <c r="M17" s="208">
        <f t="shared" ref="M17:M18" si="3">SUM(B17:H17)+SUM(J17:L17)</f>
        <v>4027</v>
      </c>
    </row>
    <row r="18" spans="1:14" ht="18" customHeight="1" x14ac:dyDescent="0.2">
      <c r="A18" s="223" t="s">
        <v>42</v>
      </c>
      <c r="B18" s="431">
        <f>SUM(B16:B17)</f>
        <v>0</v>
      </c>
      <c r="C18" s="308">
        <f>SUM(C16:C17)</f>
        <v>632941</v>
      </c>
      <c r="D18" s="308">
        <f>SUM(D16:D17)</f>
        <v>6024786</v>
      </c>
      <c r="E18" s="308">
        <f>SUM(E16:E17)</f>
        <v>4890048</v>
      </c>
      <c r="F18" s="201"/>
      <c r="G18" s="309">
        <f>SUM(G16:G17)</f>
        <v>0</v>
      </c>
      <c r="H18" s="309">
        <f>SUM(H16:H17)</f>
        <v>14591</v>
      </c>
      <c r="I18" s="500"/>
      <c r="J18" s="309">
        <f>SUM(J16:J17)</f>
        <v>0</v>
      </c>
      <c r="K18" s="309">
        <f>SUM(K16:K17)</f>
        <v>129681</v>
      </c>
      <c r="L18" s="309">
        <f>SUM(L16:L17)</f>
        <v>34446</v>
      </c>
      <c r="M18" s="224">
        <f t="shared" si="3"/>
        <v>11726493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500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500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[3]Airborne!$DM$52</f>
        <v>0</v>
      </c>
      <c r="C21" s="165">
        <f>[3]DHL!$DM$52</f>
        <v>419319</v>
      </c>
      <c r="D21" s="165">
        <f>[3]FedEx!$DM$52</f>
        <v>8894863</v>
      </c>
      <c r="E21" s="165">
        <f>[3]UPS!$DM$52</f>
        <v>4463707</v>
      </c>
      <c r="F21" s="196"/>
      <c r="G21" s="122">
        <f>[3]ATI_BAX!$DM$52</f>
        <v>0</v>
      </c>
      <c r="H21" s="122">
        <f>'[3]Suburban Air Freight'!$DM$52</f>
        <v>61032</v>
      </c>
      <c r="I21" s="500"/>
      <c r="J21" s="122">
        <f>'[3]CSA Air'!$DM$52</f>
        <v>0</v>
      </c>
      <c r="K21" s="122">
        <f>'[3]Mountain Cargo'!$DM$52</f>
        <v>43842</v>
      </c>
      <c r="L21" s="122">
        <f>'[3]Misc Cargo'!$DM$52</f>
        <v>40901</v>
      </c>
      <c r="M21" s="208">
        <f t="shared" ref="M21:M23" si="4">SUM(B21:H21)+SUM(J21:L21)</f>
        <v>13923664</v>
      </c>
    </row>
    <row r="22" spans="1:14" x14ac:dyDescent="0.2">
      <c r="A22" s="55" t="s">
        <v>65</v>
      </c>
      <c r="B22" s="252">
        <f>[3]Airborne!$DM$53</f>
        <v>0</v>
      </c>
      <c r="C22" s="165">
        <f>[3]DHL!$DM$53</f>
        <v>0</v>
      </c>
      <c r="D22" s="165">
        <f>[3]FedEx!$DM$53</f>
        <v>0</v>
      </c>
      <c r="E22" s="165">
        <f>[3]UPS!$DM$53</f>
        <v>92833</v>
      </c>
      <c r="F22" s="196"/>
      <c r="G22" s="122">
        <f>[3]ATI_BAX!$DM$53</f>
        <v>0</v>
      </c>
      <c r="H22" s="122">
        <f>'[3]Suburban Air Freight'!$DM$53</f>
        <v>0</v>
      </c>
      <c r="I22" s="500"/>
      <c r="J22" s="122">
        <f>'[3]CSA Air'!$DM$53</f>
        <v>0</v>
      </c>
      <c r="K22" s="122">
        <f>'[3]Mountain Cargo'!$DM$53</f>
        <v>0</v>
      </c>
      <c r="L22" s="122">
        <f>'[3]Misc Cargo'!$DM$53</f>
        <v>0</v>
      </c>
      <c r="M22" s="208">
        <f t="shared" si="4"/>
        <v>92833</v>
      </c>
    </row>
    <row r="23" spans="1:14" ht="18" customHeight="1" x14ac:dyDescent="0.2">
      <c r="A23" s="223" t="s">
        <v>44</v>
      </c>
      <c r="B23" s="431">
        <f>SUM(B21:B22)</f>
        <v>0</v>
      </c>
      <c r="C23" s="308">
        <f>SUM(C21:C22)</f>
        <v>419319</v>
      </c>
      <c r="D23" s="308">
        <f>SUM(D21:D22)</f>
        <v>8894863</v>
      </c>
      <c r="E23" s="308">
        <f>SUM(E21:E22)</f>
        <v>4556540</v>
      </c>
      <c r="F23" s="201"/>
      <c r="G23" s="309">
        <f>SUM(G21:G22)</f>
        <v>0</v>
      </c>
      <c r="H23" s="309">
        <f>SUM(H21:H22)</f>
        <v>61032</v>
      </c>
      <c r="I23" s="500"/>
      <c r="J23" s="309">
        <f>SUM(J21:J22)</f>
        <v>0</v>
      </c>
      <c r="K23" s="309">
        <f>SUM(K21:K22)</f>
        <v>43842</v>
      </c>
      <c r="L23" s="309">
        <f>SUM(L21:L22)</f>
        <v>40901</v>
      </c>
      <c r="M23" s="224">
        <f t="shared" si="4"/>
        <v>14016497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500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500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[3]Airborne!$DM$57</f>
        <v>0</v>
      </c>
      <c r="C26" s="165">
        <f>[3]DHL!$DM$57</f>
        <v>0</v>
      </c>
      <c r="D26" s="165">
        <f>[3]FedEx!$DM$57</f>
        <v>0</v>
      </c>
      <c r="E26" s="165">
        <f>[3]UPS!$DM$57</f>
        <v>0</v>
      </c>
      <c r="F26" s="196"/>
      <c r="G26" s="122">
        <f>[3]ATI_BAX!$DM$57</f>
        <v>0</v>
      </c>
      <c r="H26" s="122">
        <f>'[3]Suburban Air Freight'!$DM$57</f>
        <v>0</v>
      </c>
      <c r="I26" s="500"/>
      <c r="J26" s="122">
        <f>'[3]CSA Air'!$DM$57</f>
        <v>0</v>
      </c>
      <c r="K26" s="122">
        <f>'[3]Mountain Cargo'!$DM$57</f>
        <v>0</v>
      </c>
      <c r="L26" s="122">
        <f>'[3]Misc Cargo'!$DM$57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[3]Airborne!$DM$58</f>
        <v>0</v>
      </c>
      <c r="C27" s="165">
        <f>[3]DHL!$DM$58</f>
        <v>0</v>
      </c>
      <c r="D27" s="165">
        <f>[3]FedEx!$DM$58</f>
        <v>0</v>
      </c>
      <c r="E27" s="165">
        <f>[3]UPS!$DM$58</f>
        <v>0</v>
      </c>
      <c r="F27" s="196"/>
      <c r="G27" s="122">
        <f>[3]ATI_BAX!$DM$58</f>
        <v>0</v>
      </c>
      <c r="H27" s="122">
        <f>'[3]Suburban Air Freight'!$DM$58</f>
        <v>0</v>
      </c>
      <c r="I27" s="500"/>
      <c r="J27" s="122">
        <f>'[3]CSA Air'!$DM$58</f>
        <v>0</v>
      </c>
      <c r="K27" s="122">
        <f>'[3]Mountain Cargo'!$DM$58</f>
        <v>0</v>
      </c>
      <c r="L27" s="122">
        <f>'[3]Misc Cargo'!$DM$58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1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500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500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500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6">B26+B21+B16</f>
        <v>0</v>
      </c>
      <c r="C31" s="165">
        <f t="shared" si="6"/>
        <v>1052260</v>
      </c>
      <c r="D31" s="165">
        <f t="shared" si="6"/>
        <v>14919649</v>
      </c>
      <c r="E31" s="165">
        <f t="shared" si="6"/>
        <v>9349728</v>
      </c>
      <c r="F31" s="196"/>
      <c r="G31" s="122">
        <f t="shared" ref="G31:H33" si="7">G26+G21+G16</f>
        <v>0</v>
      </c>
      <c r="H31" s="122">
        <f t="shared" si="7"/>
        <v>75623</v>
      </c>
      <c r="I31" s="500"/>
      <c r="J31" s="122">
        <f t="shared" ref="J31:L33" si="8">J26+J21+J16</f>
        <v>0</v>
      </c>
      <c r="K31" s="122">
        <f t="shared" si="8"/>
        <v>173523</v>
      </c>
      <c r="L31" s="122">
        <f>L26+L21+L16</f>
        <v>75347</v>
      </c>
      <c r="M31" s="208">
        <f t="shared" ref="M31:M32" si="9">SUM(B31:H31)+SUM(J31:L31)</f>
        <v>25646130</v>
      </c>
    </row>
    <row r="32" spans="1:14" x14ac:dyDescent="0.2">
      <c r="A32" s="55" t="s">
        <v>65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96860</v>
      </c>
      <c r="F32" s="196"/>
      <c r="G32" s="122">
        <f t="shared" si="7"/>
        <v>0</v>
      </c>
      <c r="H32" s="122">
        <f t="shared" si="7"/>
        <v>0</v>
      </c>
      <c r="I32" s="501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96860</v>
      </c>
    </row>
    <row r="33" spans="1:13" ht="18" customHeight="1" thickBot="1" x14ac:dyDescent="0.25">
      <c r="A33" s="213" t="s">
        <v>49</v>
      </c>
      <c r="B33" s="429">
        <f t="shared" si="6"/>
        <v>0</v>
      </c>
      <c r="C33" s="214">
        <f t="shared" si="6"/>
        <v>1052260</v>
      </c>
      <c r="D33" s="214">
        <f t="shared" si="6"/>
        <v>14919649</v>
      </c>
      <c r="E33" s="214">
        <f t="shared" si="6"/>
        <v>9446588</v>
      </c>
      <c r="F33" s="227"/>
      <c r="G33" s="216">
        <f t="shared" si="7"/>
        <v>0</v>
      </c>
      <c r="H33" s="216">
        <f t="shared" si="7"/>
        <v>75623</v>
      </c>
      <c r="I33" s="310">
        <f>I28+I23+I18</f>
        <v>0</v>
      </c>
      <c r="J33" s="216">
        <f t="shared" si="8"/>
        <v>0</v>
      </c>
      <c r="K33" s="216">
        <f t="shared" si="8"/>
        <v>173523</v>
      </c>
      <c r="L33" s="216">
        <f t="shared" si="8"/>
        <v>75347</v>
      </c>
      <c r="M33" s="217">
        <f>SUM(B33:H33)+SUM(J33:L33)</f>
        <v>25742990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April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G23" sqref="G2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0">
        <v>41730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Stats'!H28</f>
        <v>3799043</v>
      </c>
      <c r="C5" s="122">
        <f>'Regional Major'!L25</f>
        <v>116</v>
      </c>
      <c r="D5" s="122">
        <f>Cargo!M16</f>
        <v>11722466</v>
      </c>
      <c r="E5" s="122">
        <f>SUM(B5:D5)</f>
        <v>15521625</v>
      </c>
      <c r="F5" s="122">
        <f>E5*0.00045359237</f>
        <v>7040.4906700012498</v>
      </c>
      <c r="G5" s="150">
        <f>'[1]Cargo Summary'!F5</f>
        <v>6476.1600731589297</v>
      </c>
      <c r="H5" s="101">
        <f>(F5-G5)/G5</f>
        <v>8.7139692420705087E-2</v>
      </c>
      <c r="I5" s="150">
        <f>+F5+'[2]Cargo Summary'!I5</f>
        <v>28252.32508399455</v>
      </c>
      <c r="J5" s="150">
        <f>'[1]Cargo Summary'!I5</f>
        <v>30196.183845820298</v>
      </c>
      <c r="K5" s="88">
        <f>(I5-J5)/J5</f>
        <v>-6.4374318680498213E-2</v>
      </c>
      <c r="M5" s="37"/>
    </row>
    <row r="6" spans="1:18" x14ac:dyDescent="0.2">
      <c r="A6" s="65" t="s">
        <v>18</v>
      </c>
      <c r="B6" s="173">
        <f>'Major Airline Stats'!H29</f>
        <v>1273470</v>
      </c>
      <c r="C6" s="122">
        <f>'Regional Major'!L26</f>
        <v>0</v>
      </c>
      <c r="D6" s="122">
        <f>Cargo!M17</f>
        <v>4027</v>
      </c>
      <c r="E6" s="122">
        <f>SUM(B6:D6)</f>
        <v>1277497</v>
      </c>
      <c r="F6" s="122">
        <f>E6*0.00045359237</f>
        <v>579.46289189789002</v>
      </c>
      <c r="G6" s="150">
        <f>'[1]Cargo Summary'!F6</f>
        <v>454.30632439037998</v>
      </c>
      <c r="H6" s="39">
        <f>(F6-G6)/G6</f>
        <v>0.27548937971632659</v>
      </c>
      <c r="I6" s="150">
        <f>+F6+'[2]Cargo Summary'!I6</f>
        <v>2485.4829782182396</v>
      </c>
      <c r="J6" s="150">
        <f>'[1]Cargo Summary'!I6</f>
        <v>1869.5163331598599</v>
      </c>
      <c r="K6" s="88">
        <f>(I6-J6)/J6</f>
        <v>0.32947914609404444</v>
      </c>
      <c r="M6" s="37"/>
    </row>
    <row r="7" spans="1:18" ht="18" customHeight="1" thickBot="1" x14ac:dyDescent="0.25">
      <c r="A7" s="76" t="s">
        <v>77</v>
      </c>
      <c r="B7" s="175">
        <f>SUM(B5:B6)</f>
        <v>5072513</v>
      </c>
      <c r="C7" s="137">
        <f t="shared" ref="C7:J7" si="0">SUM(C5:C6)</f>
        <v>116</v>
      </c>
      <c r="D7" s="137">
        <f t="shared" si="0"/>
        <v>11726493</v>
      </c>
      <c r="E7" s="137">
        <f t="shared" si="0"/>
        <v>16799122</v>
      </c>
      <c r="F7" s="137">
        <f t="shared" si="0"/>
        <v>7619.9535618991395</v>
      </c>
      <c r="G7" s="137">
        <f t="shared" si="0"/>
        <v>6930.4663975493095</v>
      </c>
      <c r="H7" s="46">
        <f>(F7-G7)/G7</f>
        <v>9.9486401751206863E-2</v>
      </c>
      <c r="I7" s="137">
        <f t="shared" si="0"/>
        <v>30737.808062212789</v>
      </c>
      <c r="J7" s="137">
        <f t="shared" si="0"/>
        <v>32065.700178980158</v>
      </c>
      <c r="K7" s="324">
        <f>(I7-J7)/J7</f>
        <v>-4.1411605215401916E-2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Stats'!H33</f>
        <v>3629951</v>
      </c>
      <c r="C10" s="122">
        <f>'Regional Major'!L30</f>
        <v>75</v>
      </c>
      <c r="D10" s="122">
        <f>Cargo!M21</f>
        <v>13923664</v>
      </c>
      <c r="E10" s="122">
        <f>SUM(B10:D10)</f>
        <v>17553690</v>
      </c>
      <c r="F10" s="122">
        <f>E10*0.00045359237</f>
        <v>7962.2198493452997</v>
      </c>
      <c r="G10" s="150">
        <f>'[1]Cargo Summary'!F10</f>
        <v>7106.9959296982797</v>
      </c>
      <c r="H10" s="39">
        <f>(F10-G10)/G10</f>
        <v>0.12033550154056831</v>
      </c>
      <c r="I10" s="150">
        <f>+F10+'[2]Cargo Summary'!I10</f>
        <v>31896.087023288947</v>
      </c>
      <c r="J10" s="150">
        <f>'[1]Cargo Summary'!I10</f>
        <v>29216.455170901463</v>
      </c>
      <c r="K10" s="88">
        <f>(I10-J10)/J10</f>
        <v>9.1716528809295803E-2</v>
      </c>
      <c r="M10" s="37"/>
    </row>
    <row r="11" spans="1:18" x14ac:dyDescent="0.2">
      <c r="A11" s="65" t="s">
        <v>18</v>
      </c>
      <c r="B11" s="173">
        <f>'Major Airline Stats'!H34</f>
        <v>514043</v>
      </c>
      <c r="C11" s="122">
        <f>'Regional Major'!L31</f>
        <v>0</v>
      </c>
      <c r="D11" s="122">
        <f>Cargo!M22</f>
        <v>92833</v>
      </c>
      <c r="E11" s="122">
        <f>SUM(B11:D11)</f>
        <v>606876</v>
      </c>
      <c r="F11" s="122">
        <f>E11*0.00045359237</f>
        <v>275.27432313612002</v>
      </c>
      <c r="G11" s="150">
        <f>'[1]Cargo Summary'!F11</f>
        <v>858.61815135173003</v>
      </c>
      <c r="H11" s="37">
        <f>(F11-G11)/G11</f>
        <v>-0.6793984349122445</v>
      </c>
      <c r="I11" s="150">
        <f>+F11+'[2]Cargo Summary'!I11</f>
        <v>3952.2206266273502</v>
      </c>
      <c r="J11" s="150">
        <f>'[1]Cargo Summary'!I11</f>
        <v>3808.02497298146</v>
      </c>
      <c r="K11" s="88">
        <f>(I11-J11)/J11</f>
        <v>3.7866257356236145E-2</v>
      </c>
      <c r="M11" s="37"/>
    </row>
    <row r="12" spans="1:18" ht="18" customHeight="1" thickBot="1" x14ac:dyDescent="0.25">
      <c r="A12" s="76" t="s">
        <v>78</v>
      </c>
      <c r="B12" s="175">
        <f>SUM(B10:B11)</f>
        <v>4143994</v>
      </c>
      <c r="C12" s="137">
        <f t="shared" ref="C12:J12" si="1">SUM(C10:C11)</f>
        <v>75</v>
      </c>
      <c r="D12" s="137">
        <f t="shared" si="1"/>
        <v>14016497</v>
      </c>
      <c r="E12" s="137">
        <f t="shared" si="1"/>
        <v>18160566</v>
      </c>
      <c r="F12" s="137">
        <f t="shared" si="1"/>
        <v>8237.4941724814198</v>
      </c>
      <c r="G12" s="137">
        <f t="shared" si="1"/>
        <v>7965.6140810500101</v>
      </c>
      <c r="H12" s="46">
        <f>(F12-G12)/G12</f>
        <v>3.4131717738900433E-2</v>
      </c>
      <c r="I12" s="137">
        <f t="shared" si="1"/>
        <v>35848.3076499163</v>
      </c>
      <c r="J12" s="137">
        <f t="shared" si="1"/>
        <v>33024.480143882924</v>
      </c>
      <c r="K12" s="324">
        <f>(I12-J12)/J12</f>
        <v>8.5507099392037808E-2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Stats'!H38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2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Stats'!H39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7428994</v>
      </c>
      <c r="C20" s="122">
        <f t="shared" si="3"/>
        <v>191</v>
      </c>
      <c r="D20" s="122">
        <f t="shared" si="3"/>
        <v>25646130</v>
      </c>
      <c r="E20" s="122">
        <f>SUM(B20:D20)</f>
        <v>33075315</v>
      </c>
      <c r="F20" s="122">
        <f>E20*0.00045359237</f>
        <v>15002.71051934655</v>
      </c>
      <c r="G20" s="150">
        <f>'[1]Cargo Summary'!F20</f>
        <v>13583.156002857209</v>
      </c>
      <c r="H20" s="39">
        <f>(F20-G20)/G20</f>
        <v>0.10450844532675164</v>
      </c>
      <c r="I20" s="150">
        <f>+I5+I10+I15</f>
        <v>60148.412107283497</v>
      </c>
      <c r="J20" s="150">
        <f>+J5+J10+J15</f>
        <v>59412.639016721761</v>
      </c>
      <c r="K20" s="88">
        <f>(I20-J20)/J20</f>
        <v>1.2384117297914526E-2</v>
      </c>
      <c r="M20" s="37"/>
    </row>
    <row r="21" spans="1:13" x14ac:dyDescent="0.2">
      <c r="A21" s="65" t="s">
        <v>18</v>
      </c>
      <c r="B21" s="173">
        <f t="shared" si="3"/>
        <v>1787513</v>
      </c>
      <c r="C21" s="124">
        <f t="shared" si="3"/>
        <v>0</v>
      </c>
      <c r="D21" s="124">
        <f t="shared" si="3"/>
        <v>96860</v>
      </c>
      <c r="E21" s="122">
        <f>SUM(B21:D21)</f>
        <v>1884373</v>
      </c>
      <c r="F21" s="122">
        <f>E21*0.00045359237</f>
        <v>854.73721503400998</v>
      </c>
      <c r="G21" s="150">
        <f>'[1]Cargo Summary'!F21</f>
        <v>1312.92447574211</v>
      </c>
      <c r="H21" s="39">
        <f>(F21-G21)/G21</f>
        <v>-0.34898219141593567</v>
      </c>
      <c r="I21" s="150">
        <f>+I6+I11+I16</f>
        <v>6437.7036048455902</v>
      </c>
      <c r="J21" s="150">
        <f>+J6+J11+J16</f>
        <v>5677.5413061413201</v>
      </c>
      <c r="K21" s="88">
        <f>(I21-J21)/J21</f>
        <v>0.13388934711615622</v>
      </c>
      <c r="M21" s="37"/>
    </row>
    <row r="22" spans="1:13" ht="18" customHeight="1" thickBot="1" x14ac:dyDescent="0.25">
      <c r="A22" s="91" t="s">
        <v>67</v>
      </c>
      <c r="B22" s="176">
        <f>SUM(B20:B21)</f>
        <v>9216507</v>
      </c>
      <c r="C22" s="177">
        <f t="shared" ref="C22:J22" si="4">SUM(C20:C21)</f>
        <v>191</v>
      </c>
      <c r="D22" s="177">
        <f t="shared" si="4"/>
        <v>25742990</v>
      </c>
      <c r="E22" s="177">
        <f t="shared" si="4"/>
        <v>34959688</v>
      </c>
      <c r="F22" s="177">
        <f t="shared" si="4"/>
        <v>15857.447734380561</v>
      </c>
      <c r="G22" s="177">
        <f t="shared" si="4"/>
        <v>14896.080478599319</v>
      </c>
      <c r="H22" s="330">
        <f>(F22-G22)/G22</f>
        <v>6.4538269457016254E-2</v>
      </c>
      <c r="I22" s="177">
        <f t="shared" si="4"/>
        <v>66586.115712129089</v>
      </c>
      <c r="J22" s="177">
        <f t="shared" si="4"/>
        <v>65090.180322863082</v>
      </c>
      <c r="K22" s="331">
        <f>(I22-J22)/J22</f>
        <v>2.2982504916191738E-2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zoomScaleSheetLayoutView="100" workbookViewId="0">
      <selection activeCell="M23" activeCellId="1" sqref="M18 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39" thickBot="1" x14ac:dyDescent="0.25">
      <c r="A1" s="400">
        <v>41730</v>
      </c>
      <c r="B1" s="460" t="s">
        <v>20</v>
      </c>
      <c r="C1" s="459" t="s">
        <v>209</v>
      </c>
      <c r="D1" s="19" t="s">
        <v>203</v>
      </c>
      <c r="E1" s="19" t="s">
        <v>212</v>
      </c>
      <c r="F1" s="480" t="s">
        <v>210</v>
      </c>
      <c r="G1" s="460" t="s">
        <v>53</v>
      </c>
      <c r="H1" s="460" t="s">
        <v>125</v>
      </c>
      <c r="I1" s="460" t="s">
        <v>110</v>
      </c>
      <c r="J1" s="460" t="s">
        <v>198</v>
      </c>
      <c r="K1" s="480" t="s">
        <v>211</v>
      </c>
      <c r="L1" s="460" t="s">
        <v>158</v>
      </c>
      <c r="M1" s="277" t="s">
        <v>24</v>
      </c>
    </row>
    <row r="2" spans="1:13" ht="15" x14ac:dyDescent="0.25">
      <c r="A2" s="506" t="s">
        <v>159</v>
      </c>
      <c r="B2" s="507"/>
      <c r="C2" s="507"/>
      <c r="D2" s="508"/>
      <c r="E2" s="507"/>
      <c r="F2" s="507"/>
      <c r="G2" s="507"/>
      <c r="H2" s="507"/>
      <c r="I2" s="507"/>
      <c r="J2" s="507"/>
      <c r="K2" s="507"/>
      <c r="L2" s="507"/>
      <c r="M2" s="509"/>
    </row>
    <row r="3" spans="1:13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8"/>
    </row>
    <row r="4" spans="1:13" x14ac:dyDescent="0.2">
      <c r="A4" s="65" t="s">
        <v>33</v>
      </c>
      <c r="B4" s="22">
        <f>[3]Delta!$DM$32</f>
        <v>47581</v>
      </c>
      <c r="C4" s="22">
        <f>'[3]Atlantic Southeast'!$DM$32</f>
        <v>0</v>
      </c>
      <c r="D4" s="22">
        <f>[3]Pinnacle!$DM$32</f>
        <v>11747</v>
      </c>
      <c r="E4" s="22">
        <f>[3]Compass!$DM$32</f>
        <v>14506</v>
      </c>
      <c r="F4" s="22">
        <f>'[3]Sky West'!$DM$32</f>
        <v>3953</v>
      </c>
      <c r="G4" s="22">
        <f>'[3]Sun Country'!$DM$32</f>
        <v>13681</v>
      </c>
      <c r="H4" s="22">
        <f>[3]Icelandair!$DM$32</f>
        <v>0</v>
      </c>
      <c r="I4" s="22">
        <f>[3]AirCanada!$DM$32</f>
        <v>2643</v>
      </c>
      <c r="J4" s="22">
        <f>'[3]Air France'!$DM$32</f>
        <v>0</v>
      </c>
      <c r="K4" s="22">
        <f>[3]Comair!$DM$32</f>
        <v>0</v>
      </c>
      <c r="L4" s="22">
        <f>'[3]Charter Misc'!$DM$32+[3]Ryan!$DM$32+[3]Omni!$DM$32</f>
        <v>0</v>
      </c>
      <c r="M4" s="286">
        <f>SUM(B4:L4)</f>
        <v>94111</v>
      </c>
    </row>
    <row r="5" spans="1:13" x14ac:dyDescent="0.2">
      <c r="A5" s="65" t="s">
        <v>34</v>
      </c>
      <c r="B5" s="14">
        <f>[3]Delta!$DM$33</f>
        <v>43902</v>
      </c>
      <c r="C5" s="14">
        <f>'[3]Atlantic Southeast'!$DM$33</f>
        <v>0</v>
      </c>
      <c r="D5" s="14">
        <f>[3]Pinnacle!$DM$33</f>
        <v>11032</v>
      </c>
      <c r="E5" s="14">
        <f>[3]Compass!$DM$33</f>
        <v>14114</v>
      </c>
      <c r="F5" s="14">
        <f>'[3]Sky West'!$DM$33</f>
        <v>4214</v>
      </c>
      <c r="G5" s="14">
        <f>'[3]Sun Country'!$DM$33</f>
        <v>7246</v>
      </c>
      <c r="H5" s="14">
        <f>[3]Icelandair!$DM$33</f>
        <v>0</v>
      </c>
      <c r="I5" s="14">
        <f>[3]AirCanada!$DM$33</f>
        <v>2298</v>
      </c>
      <c r="J5" s="14">
        <f>'[3]Air France'!$DM$33</f>
        <v>0</v>
      </c>
      <c r="K5" s="14">
        <f>[3]Comair!$DM$33</f>
        <v>0</v>
      </c>
      <c r="L5" s="14">
        <f>'[3]Charter Misc'!$DM$33++[3]Ryan!$DM$33+[3]Omni!$DM$33</f>
        <v>0</v>
      </c>
      <c r="M5" s="287">
        <f>SUM(B5:L5)</f>
        <v>82806</v>
      </c>
    </row>
    <row r="6" spans="1:13" ht="15" x14ac:dyDescent="0.25">
      <c r="A6" s="63" t="s">
        <v>7</v>
      </c>
      <c r="B6" s="36">
        <f t="shared" ref="B6:L6" si="0">SUM(B4:B5)</f>
        <v>91483</v>
      </c>
      <c r="C6" s="36">
        <f t="shared" si="0"/>
        <v>0</v>
      </c>
      <c r="D6" s="36">
        <f t="shared" si="0"/>
        <v>22779</v>
      </c>
      <c r="E6" s="36">
        <f t="shared" si="0"/>
        <v>28620</v>
      </c>
      <c r="F6" s="36">
        <f t="shared" si="0"/>
        <v>8167</v>
      </c>
      <c r="G6" s="36">
        <f t="shared" si="0"/>
        <v>20927</v>
      </c>
      <c r="H6" s="36">
        <f t="shared" si="0"/>
        <v>0</v>
      </c>
      <c r="I6" s="36">
        <f t="shared" si="0"/>
        <v>4941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288">
        <f>SUM(B6:L6)</f>
        <v>176917</v>
      </c>
    </row>
    <row r="7" spans="1:13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86"/>
    </row>
    <row r="8" spans="1:13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86">
        <f>SUM(B8:L8)</f>
        <v>0</v>
      </c>
    </row>
    <row r="9" spans="1:13" x14ac:dyDescent="0.2">
      <c r="A9" s="65" t="s">
        <v>33</v>
      </c>
      <c r="B9" s="22">
        <f>[3]Delta!$DM$37</f>
        <v>1401</v>
      </c>
      <c r="C9" s="22">
        <f>'[3]Atlantic Southeast'!$DM$37</f>
        <v>0</v>
      </c>
      <c r="D9" s="22">
        <f>[3]Pinnacle!$DM$37</f>
        <v>167</v>
      </c>
      <c r="E9" s="22">
        <f>[3]Compass!$DM$37</f>
        <v>175</v>
      </c>
      <c r="F9" s="22">
        <f>'[3]Sky West'!$DM$37</f>
        <v>30</v>
      </c>
      <c r="G9" s="22">
        <f>'[3]Sun Country'!$DM$37</f>
        <v>81</v>
      </c>
      <c r="H9" s="22">
        <f>[3]Icelandair!$DM$37</f>
        <v>0</v>
      </c>
      <c r="I9" s="22">
        <f>[3]AirCanada!$DM$37</f>
        <v>38</v>
      </c>
      <c r="J9" s="22">
        <f>'[3]Air France'!$DM$37</f>
        <v>0</v>
      </c>
      <c r="K9" s="22">
        <f>[3]Comair!$DM$37</f>
        <v>0</v>
      </c>
      <c r="L9" s="22">
        <f>'[3]Charter Misc'!$DM$37+[3]Ryan!$DM$37+[3]Omni!$DM$37</f>
        <v>0</v>
      </c>
      <c r="M9" s="286">
        <f>SUM(B9:L9)</f>
        <v>1892</v>
      </c>
    </row>
    <row r="10" spans="1:13" x14ac:dyDescent="0.2">
      <c r="A10" s="65" t="s">
        <v>36</v>
      </c>
      <c r="B10" s="14">
        <f>[3]Delta!$DM$38</f>
        <v>1264</v>
      </c>
      <c r="C10" s="14">
        <f>'[3]Atlantic Southeast'!$DM$38</f>
        <v>0</v>
      </c>
      <c r="D10" s="14">
        <f>[3]Pinnacle!$DM$38</f>
        <v>174</v>
      </c>
      <c r="E10" s="14">
        <f>[3]Compass!$DM$38</f>
        <v>173</v>
      </c>
      <c r="F10" s="14">
        <f>'[3]Sky West'!$DM$38</f>
        <v>45</v>
      </c>
      <c r="G10" s="14">
        <f>'[3]Sun Country'!$DM$38</f>
        <v>66</v>
      </c>
      <c r="H10" s="14">
        <f>[3]Icelandair!$DM$38</f>
        <v>0</v>
      </c>
      <c r="I10" s="14">
        <f>[3]AirCanada!$DM$38</f>
        <v>35</v>
      </c>
      <c r="J10" s="14">
        <f>'[3]Air France'!$DM$38</f>
        <v>0</v>
      </c>
      <c r="K10" s="14">
        <f>[3]Comair!$DM$38</f>
        <v>0</v>
      </c>
      <c r="L10" s="14">
        <f>'[3]Charter Misc'!$DM$38+[3]Ryan!$DM$38+[3]Omni!$DM$38</f>
        <v>0</v>
      </c>
      <c r="M10" s="287">
        <f>SUM(B10:L10)</f>
        <v>1757</v>
      </c>
    </row>
    <row r="11" spans="1:13" ht="15.75" thickBot="1" x14ac:dyDescent="0.3">
      <c r="A11" s="66" t="s">
        <v>37</v>
      </c>
      <c r="B11" s="289">
        <f t="shared" ref="B11:G11" si="1">SUM(B9:B10)</f>
        <v>2665</v>
      </c>
      <c r="C11" s="289">
        <f t="shared" si="1"/>
        <v>0</v>
      </c>
      <c r="D11" s="289">
        <f t="shared" si="1"/>
        <v>341</v>
      </c>
      <c r="E11" s="289">
        <f t="shared" si="1"/>
        <v>348</v>
      </c>
      <c r="F11" s="289">
        <f t="shared" si="1"/>
        <v>75</v>
      </c>
      <c r="G11" s="289">
        <f t="shared" si="1"/>
        <v>147</v>
      </c>
      <c r="H11" s="289">
        <f>SUM(H9:H10)</f>
        <v>0</v>
      </c>
      <c r="I11" s="289">
        <f>SUM(I9:I10)</f>
        <v>73</v>
      </c>
      <c r="J11" s="289">
        <f>SUM(J9:J10)</f>
        <v>0</v>
      </c>
      <c r="K11" s="289">
        <f>SUM(K9:K10)</f>
        <v>0</v>
      </c>
      <c r="L11" s="289">
        <f>SUM(L9:L10)</f>
        <v>0</v>
      </c>
      <c r="M11" s="290">
        <f>SUM(B11:L11)</f>
        <v>3649</v>
      </c>
    </row>
    <row r="12" spans="1:13" ht="15" x14ac:dyDescent="0.25">
      <c r="A12" s="405"/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2"/>
    </row>
    <row r="13" spans="1:13" ht="39" thickBot="1" x14ac:dyDescent="0.25">
      <c r="B13" s="460" t="s">
        <v>20</v>
      </c>
      <c r="C13" s="459" t="s">
        <v>209</v>
      </c>
      <c r="D13" s="19" t="s">
        <v>203</v>
      </c>
      <c r="E13" s="19" t="s">
        <v>212</v>
      </c>
      <c r="F13" s="480" t="s">
        <v>210</v>
      </c>
      <c r="G13" s="460" t="s">
        <v>157</v>
      </c>
      <c r="H13" s="460" t="s">
        <v>125</v>
      </c>
      <c r="I13" s="460" t="s">
        <v>110</v>
      </c>
      <c r="J13" s="460" t="s">
        <v>198</v>
      </c>
      <c r="K13" s="480" t="s">
        <v>211</v>
      </c>
      <c r="L13" s="460" t="s">
        <v>158</v>
      </c>
      <c r="M13" s="277" t="s">
        <v>160</v>
      </c>
    </row>
    <row r="14" spans="1:13" ht="15" x14ac:dyDescent="0.25">
      <c r="A14" s="510" t="s">
        <v>161</v>
      </c>
      <c r="B14" s="511"/>
      <c r="C14" s="511"/>
      <c r="D14" s="512"/>
      <c r="E14" s="511"/>
      <c r="F14" s="511"/>
      <c r="G14" s="511"/>
      <c r="H14" s="511"/>
      <c r="I14" s="511"/>
      <c r="J14" s="511"/>
      <c r="K14" s="511"/>
      <c r="L14" s="511"/>
      <c r="M14" s="513"/>
    </row>
    <row r="15" spans="1:13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8"/>
    </row>
    <row r="16" spans="1:13" x14ac:dyDescent="0.2">
      <c r="A16" s="65" t="s">
        <v>33</v>
      </c>
      <c r="B16" s="22">
        <f>SUM([3]Delta!$DJ$32:$DM$32)</f>
        <v>248312</v>
      </c>
      <c r="C16" s="22">
        <f>SUM('[3]Atlantic Southeast'!$DJ$32:$DM$32)</f>
        <v>0</v>
      </c>
      <c r="D16" s="22">
        <f>SUM([3]Pinnacle!$DJ$32:$DM$32)</f>
        <v>35758</v>
      </c>
      <c r="E16" s="22">
        <f>SUM([3]Compass!$DJ$32:$DM$32)</f>
        <v>60313</v>
      </c>
      <c r="F16" s="22">
        <f>SUM('[3]Sky West'!$DJ$32:$DM$32)</f>
        <v>17032</v>
      </c>
      <c r="G16" s="22">
        <f>SUM('[3]Sun Country'!$DJ$32:$DM$32)</f>
        <v>83485</v>
      </c>
      <c r="H16" s="22">
        <f>SUM([3]Icelandair!$DJ$32:$DM$32)</f>
        <v>0</v>
      </c>
      <c r="I16" s="22">
        <f>SUM([3]AirCanada!$DJ$32:$DM$32)</f>
        <v>9336</v>
      </c>
      <c r="J16" s="22">
        <f>SUM('[3]Air France'!$DJ$32:$DM$32)</f>
        <v>0</v>
      </c>
      <c r="K16" s="22">
        <f>SUM([3]Comair!$DJ$32:$DM$32)</f>
        <v>0</v>
      </c>
      <c r="L16" s="22">
        <f>SUM('[3]Charter Misc'!$DJ$32:$DM$32)+SUM([3]Ryan!$DJ$32:$DM$32)+SUM([3]Omni!$DJ$32:$DM$32)</f>
        <v>0</v>
      </c>
      <c r="M16" s="286">
        <f>SUM(B16:L16)</f>
        <v>454236</v>
      </c>
    </row>
    <row r="17" spans="1:13" x14ac:dyDescent="0.2">
      <c r="A17" s="65" t="s">
        <v>34</v>
      </c>
      <c r="B17" s="14">
        <f>SUM([3]Delta!$DJ$33:$DM$33)</f>
        <v>239469</v>
      </c>
      <c r="C17" s="14">
        <f>SUM('[3]Atlantic Southeast'!$DJ$33:$DM$33)</f>
        <v>0</v>
      </c>
      <c r="D17" s="14">
        <f>SUM([3]Pinnacle!$DJ$33:$DM$33)</f>
        <v>34148</v>
      </c>
      <c r="E17" s="14">
        <f>SUM([3]Compass!$DJ$33:$DM$33)</f>
        <v>60440</v>
      </c>
      <c r="F17" s="14">
        <f>SUM('[3]Sky West'!$DJ$33:$DM$33)</f>
        <v>17308</v>
      </c>
      <c r="G17" s="14">
        <f>SUM('[3]Sun Country'!$DJ$33:$DM$33)</f>
        <v>79323</v>
      </c>
      <c r="H17" s="14">
        <f>SUM([3]Icelandair!$DJ$33:$DM$33)</f>
        <v>0</v>
      </c>
      <c r="I17" s="14">
        <f>SUM([3]AirCanada!$DJ$33:$DM$33)</f>
        <v>8499</v>
      </c>
      <c r="J17" s="14">
        <f>SUM('[3]Air France'!$DJ$33:$DM$33)</f>
        <v>0</v>
      </c>
      <c r="K17" s="14">
        <f>SUM([3]Comair!$DJ$33:$DM$33)</f>
        <v>0</v>
      </c>
      <c r="L17" s="14">
        <f>SUM('[3]Charter Misc'!$DJ$33:$DM$33)++SUM([3]Ryan!$DJ$33:$DM$33)+SUM([3]Omni!$DJ$33:$DM$33)</f>
        <v>0</v>
      </c>
      <c r="M17" s="287">
        <f>SUM(B17:L17)</f>
        <v>439187</v>
      </c>
    </row>
    <row r="18" spans="1:13" ht="15" x14ac:dyDescent="0.25">
      <c r="A18" s="63" t="s">
        <v>7</v>
      </c>
      <c r="B18" s="36">
        <f t="shared" ref="B18:L18" si="2">SUM(B16:B17)</f>
        <v>487781</v>
      </c>
      <c r="C18" s="36">
        <f t="shared" si="2"/>
        <v>0</v>
      </c>
      <c r="D18" s="36">
        <f t="shared" si="2"/>
        <v>69906</v>
      </c>
      <c r="E18" s="36">
        <f t="shared" si="2"/>
        <v>120753</v>
      </c>
      <c r="F18" s="36">
        <f t="shared" si="2"/>
        <v>34340</v>
      </c>
      <c r="G18" s="36">
        <f t="shared" si="2"/>
        <v>162808</v>
      </c>
      <c r="H18" s="36">
        <f t="shared" si="2"/>
        <v>0</v>
      </c>
      <c r="I18" s="36">
        <f t="shared" si="2"/>
        <v>17835</v>
      </c>
      <c r="J18" s="36">
        <f t="shared" si="2"/>
        <v>0</v>
      </c>
      <c r="K18" s="36">
        <f t="shared" si="2"/>
        <v>0</v>
      </c>
      <c r="L18" s="36">
        <f t="shared" si="2"/>
        <v>0</v>
      </c>
      <c r="M18" s="288">
        <f>SUM(B18:L18)</f>
        <v>893423</v>
      </c>
    </row>
    <row r="19" spans="1:13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86"/>
    </row>
    <row r="20" spans="1:13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86">
        <f>SUM(B20:L20)</f>
        <v>0</v>
      </c>
    </row>
    <row r="21" spans="1:13" x14ac:dyDescent="0.2">
      <c r="A21" s="65" t="s">
        <v>33</v>
      </c>
      <c r="B21" s="22">
        <f>SUM([3]Delta!$DJ$37:$DM$37)</f>
        <v>6601</v>
      </c>
      <c r="C21" s="22">
        <f>SUM('[3]Atlantic Southeast'!$DJ$37:$DM$37)</f>
        <v>0</v>
      </c>
      <c r="D21" s="22">
        <f>SUM([3]Pinnacle!$DJ$37:$DM$37)</f>
        <v>681</v>
      </c>
      <c r="E21" s="22">
        <f>SUM([3]Compass!$DJ$37:$DM$37)</f>
        <v>774</v>
      </c>
      <c r="F21" s="22">
        <f>SUM('[3]Sky West'!$DJ$37:$DM$37)</f>
        <v>139</v>
      </c>
      <c r="G21" s="22">
        <f>SUM('[3]Sun Country'!$DJ$37:$DM$37)</f>
        <v>557</v>
      </c>
      <c r="H21" s="22">
        <f>SUM([3]Icelandair!$DJ$37:$DM$37)</f>
        <v>0</v>
      </c>
      <c r="I21" s="22">
        <f>SUM([3]AirCanada!$DJ$37:$DM$37)</f>
        <v>139</v>
      </c>
      <c r="J21" s="22">
        <f>SUM('[3]Air France'!$DJ$37:$DM$37)</f>
        <v>0</v>
      </c>
      <c r="K21" s="22">
        <f>SUM([3]Comair!$DJ$37:$DM$37)</f>
        <v>0</v>
      </c>
      <c r="L21" s="22">
        <f>SUM('[3]Charter Misc'!$DJ$37:$DM$37)++SUM([3]Ryan!$DJ$37:$DM$37)+SUM([3]Omni!$DJ$37:$DM$37)</f>
        <v>0</v>
      </c>
      <c r="M21" s="286">
        <f>SUM(B21:L21)</f>
        <v>8891</v>
      </c>
    </row>
    <row r="22" spans="1:13" x14ac:dyDescent="0.2">
      <c r="A22" s="65" t="s">
        <v>36</v>
      </c>
      <c r="B22" s="14">
        <f>SUM([3]Delta!$DJ$38:$DM$38)</f>
        <v>6425</v>
      </c>
      <c r="C22" s="14">
        <f>SUM('[3]Atlantic Southeast'!$DJ$38:$DM$38)</f>
        <v>0</v>
      </c>
      <c r="D22" s="14">
        <f>SUM([3]Pinnacle!$DJ$38:$DM$38)</f>
        <v>586</v>
      </c>
      <c r="E22" s="14">
        <f>SUM([3]Compass!$DJ$38:$DM$38)</f>
        <v>730</v>
      </c>
      <c r="F22" s="14">
        <f>SUM('[3]Sky West'!$DJ$38:$DM$38)</f>
        <v>169</v>
      </c>
      <c r="G22" s="14">
        <f>SUM('[3]Sun Country'!$DJ$38:$DM$38)</f>
        <v>664</v>
      </c>
      <c r="H22" s="14">
        <f>SUM([3]Icelandair!$DJ$38:$DM$38)</f>
        <v>0</v>
      </c>
      <c r="I22" s="14">
        <f>SUM([3]AirCanada!$DJ$38:$DM$38)</f>
        <v>124</v>
      </c>
      <c r="J22" s="14">
        <f>SUM('[3]Air France'!$DJ$38:$DM$38)</f>
        <v>0</v>
      </c>
      <c r="K22" s="14">
        <f>SUM([3]Comair!$DJ$38:$DM$38)</f>
        <v>0</v>
      </c>
      <c r="L22" s="14">
        <f>SUM('[3]Charter Misc'!$DJ$38:$DM$38)++SUM([3]Ryan!$DJ$38:$DM$38)+SUM([3]Omni!$DJ$38:$DM$38)</f>
        <v>0</v>
      </c>
      <c r="M22" s="287">
        <f>SUM(B22:L22)</f>
        <v>8698</v>
      </c>
    </row>
    <row r="23" spans="1:13" ht="15.75" thickBot="1" x14ac:dyDescent="0.3">
      <c r="A23" s="66" t="s">
        <v>37</v>
      </c>
      <c r="B23" s="289">
        <f t="shared" ref="B23:L23" si="3">SUM(B21:B22)</f>
        <v>13026</v>
      </c>
      <c r="C23" s="289">
        <f t="shared" si="3"/>
        <v>0</v>
      </c>
      <c r="D23" s="289">
        <f t="shared" si="3"/>
        <v>1267</v>
      </c>
      <c r="E23" s="289">
        <f t="shared" si="3"/>
        <v>1504</v>
      </c>
      <c r="F23" s="289">
        <f t="shared" si="3"/>
        <v>308</v>
      </c>
      <c r="G23" s="289">
        <f t="shared" si="3"/>
        <v>1221</v>
      </c>
      <c r="H23" s="289">
        <f t="shared" si="3"/>
        <v>0</v>
      </c>
      <c r="I23" s="289">
        <f t="shared" si="3"/>
        <v>263</v>
      </c>
      <c r="J23" s="289">
        <f t="shared" si="3"/>
        <v>0</v>
      </c>
      <c r="K23" s="289">
        <f t="shared" si="3"/>
        <v>0</v>
      </c>
      <c r="L23" s="289">
        <f t="shared" si="3"/>
        <v>0</v>
      </c>
      <c r="M23" s="290">
        <f>SUM(B23:L23)</f>
        <v>17589</v>
      </c>
    </row>
    <row r="25" spans="1:13" ht="39" thickBot="1" x14ac:dyDescent="0.25">
      <c r="B25" s="460" t="s">
        <v>20</v>
      </c>
      <c r="C25" s="459" t="s">
        <v>209</v>
      </c>
      <c r="D25" s="19" t="s">
        <v>203</v>
      </c>
      <c r="E25" s="19" t="s">
        <v>212</v>
      </c>
      <c r="F25" s="480" t="s">
        <v>210</v>
      </c>
      <c r="G25" s="460" t="s">
        <v>157</v>
      </c>
      <c r="H25" s="460" t="s">
        <v>125</v>
      </c>
      <c r="I25" s="460" t="s">
        <v>110</v>
      </c>
      <c r="J25" s="460" t="s">
        <v>198</v>
      </c>
      <c r="K25" s="480" t="s">
        <v>211</v>
      </c>
      <c r="L25" s="460" t="s">
        <v>158</v>
      </c>
      <c r="M25" s="277" t="s">
        <v>24</v>
      </c>
    </row>
    <row r="26" spans="1:13" ht="15" x14ac:dyDescent="0.25">
      <c r="A26" s="514" t="s">
        <v>162</v>
      </c>
      <c r="B26" s="515"/>
      <c r="C26" s="515"/>
      <c r="D26" s="516"/>
      <c r="E26" s="515"/>
      <c r="F26" s="515"/>
      <c r="G26" s="515"/>
      <c r="H26" s="515"/>
      <c r="I26" s="515"/>
      <c r="J26" s="515"/>
      <c r="K26" s="515"/>
      <c r="L26" s="515"/>
      <c r="M26" s="517"/>
    </row>
    <row r="27" spans="1:13" x14ac:dyDescent="0.2">
      <c r="A27" s="65" t="s">
        <v>25</v>
      </c>
      <c r="B27" s="22">
        <f>[3]Delta!$DM$15</f>
        <v>263</v>
      </c>
      <c r="C27" s="22">
        <f>'[3]Atlantic Southeast'!$DM$15</f>
        <v>0</v>
      </c>
      <c r="D27" s="22">
        <f>[3]Pinnacle!$DM$15</f>
        <v>255</v>
      </c>
      <c r="E27" s="22">
        <f>[3]Compass!$DM$15</f>
        <v>238</v>
      </c>
      <c r="F27" s="22">
        <f>'[3]Sky West'!$DM$15</f>
        <v>85</v>
      </c>
      <c r="G27" s="22">
        <f>'[3]Sun Country'!$DM$15</f>
        <v>97</v>
      </c>
      <c r="H27" s="22">
        <f>[3]Icelandair!$DM$15</f>
        <v>0</v>
      </c>
      <c r="I27" s="22">
        <f>[3]AirCanada!$DM$15</f>
        <v>81</v>
      </c>
      <c r="J27" s="22">
        <f>'[3]Air France'!$DM$15</f>
        <v>0</v>
      </c>
      <c r="K27" s="22">
        <f>[3]Comair!$DM$15</f>
        <v>0</v>
      </c>
      <c r="L27" s="22">
        <f>'[3]Charter Misc'!$DM$15+[3]Ryan!$DM$15+[3]Omni!$DM$15</f>
        <v>0</v>
      </c>
      <c r="M27" s="286">
        <f>SUM(B27:L27)</f>
        <v>1019</v>
      </c>
    </row>
    <row r="28" spans="1:13" x14ac:dyDescent="0.2">
      <c r="A28" s="65" t="s">
        <v>26</v>
      </c>
      <c r="B28" s="22">
        <f>[3]Delta!$DM$16</f>
        <v>266</v>
      </c>
      <c r="C28" s="22">
        <f>'[3]Atlantic Southeast'!$DM$16</f>
        <v>0</v>
      </c>
      <c r="D28" s="22">
        <f>[3]Pinnacle!$DM$16</f>
        <v>250</v>
      </c>
      <c r="E28" s="22">
        <f>[3]Compass!$DM$16</f>
        <v>233</v>
      </c>
      <c r="F28" s="22">
        <f>'[3]Sky West'!$DM$16</f>
        <v>89</v>
      </c>
      <c r="G28" s="22">
        <f>'[3]Sun Country'!$DM$16</f>
        <v>97</v>
      </c>
      <c r="H28" s="22">
        <f>[3]Icelandair!$DM$16</f>
        <v>0</v>
      </c>
      <c r="I28" s="22">
        <f>[3]AirCanada!$DM$16</f>
        <v>81</v>
      </c>
      <c r="J28" s="22">
        <f>'[3]Air France'!$DM$16</f>
        <v>0</v>
      </c>
      <c r="K28" s="22">
        <f>[3]Comair!$DM$16</f>
        <v>0</v>
      </c>
      <c r="L28" s="22">
        <f>'[3]Charter Misc'!$DM$16+[3]Ryan!$DM$16+[3]Omni!$DM$16</f>
        <v>0</v>
      </c>
      <c r="M28" s="286">
        <f>SUM(B28:L28)</f>
        <v>1016</v>
      </c>
    </row>
    <row r="29" spans="1:13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86"/>
    </row>
    <row r="30" spans="1:13" ht="15.75" thickBot="1" x14ac:dyDescent="0.3">
      <c r="A30" s="66" t="s">
        <v>31</v>
      </c>
      <c r="B30" s="403">
        <f t="shared" ref="B30:I30" si="4">SUM(B27:B28)</f>
        <v>529</v>
      </c>
      <c r="C30" s="403">
        <f t="shared" si="4"/>
        <v>0</v>
      </c>
      <c r="D30" s="403">
        <f t="shared" si="4"/>
        <v>505</v>
      </c>
      <c r="E30" s="403">
        <f t="shared" si="4"/>
        <v>471</v>
      </c>
      <c r="F30" s="403">
        <f>SUM(F27:F28)</f>
        <v>174</v>
      </c>
      <c r="G30" s="403">
        <f t="shared" si="4"/>
        <v>194</v>
      </c>
      <c r="H30" s="403">
        <f t="shared" si="4"/>
        <v>0</v>
      </c>
      <c r="I30" s="403">
        <f t="shared" si="4"/>
        <v>162</v>
      </c>
      <c r="J30" s="403">
        <f>SUM(J27:J28)</f>
        <v>0</v>
      </c>
      <c r="K30" s="403">
        <f>SUM(K27:K28)</f>
        <v>0</v>
      </c>
      <c r="L30" s="403">
        <f>SUM(L27:L28)</f>
        <v>0</v>
      </c>
      <c r="M30" s="404">
        <f>SUM(B30:L30)</f>
        <v>2035</v>
      </c>
    </row>
    <row r="31" spans="1:13" ht="15" x14ac:dyDescent="0.25">
      <c r="A31" s="405"/>
    </row>
    <row r="32" spans="1:13" ht="39" thickBot="1" x14ac:dyDescent="0.25">
      <c r="B32" s="460" t="s">
        <v>20</v>
      </c>
      <c r="C32" s="459" t="s">
        <v>209</v>
      </c>
      <c r="D32" s="19" t="s">
        <v>203</v>
      </c>
      <c r="E32" s="19" t="s">
        <v>212</v>
      </c>
      <c r="F32" s="480" t="s">
        <v>210</v>
      </c>
      <c r="G32" s="460" t="s">
        <v>157</v>
      </c>
      <c r="H32" s="460" t="s">
        <v>125</v>
      </c>
      <c r="I32" s="460" t="s">
        <v>110</v>
      </c>
      <c r="J32" s="460" t="s">
        <v>198</v>
      </c>
      <c r="K32" s="480" t="s">
        <v>211</v>
      </c>
      <c r="L32" s="460" t="s">
        <v>158</v>
      </c>
      <c r="M32" s="277" t="s">
        <v>160</v>
      </c>
    </row>
    <row r="33" spans="1:13" ht="15" x14ac:dyDescent="0.25">
      <c r="A33" s="518" t="s">
        <v>163</v>
      </c>
      <c r="B33" s="519"/>
      <c r="C33" s="519"/>
      <c r="D33" s="519"/>
      <c r="E33" s="519"/>
      <c r="F33" s="519"/>
      <c r="G33" s="519"/>
      <c r="H33" s="519"/>
      <c r="I33" s="519"/>
      <c r="J33" s="519"/>
      <c r="K33" s="519"/>
      <c r="L33" s="519"/>
      <c r="M33" s="520"/>
    </row>
    <row r="34" spans="1:13" x14ac:dyDescent="0.2">
      <c r="A34" s="65" t="s">
        <v>25</v>
      </c>
      <c r="B34" s="22">
        <f>SUM([3]Delta!$DJ$15:$DM$15)</f>
        <v>1493</v>
      </c>
      <c r="C34" s="22">
        <f>SUM('[3]Atlantic Southeast'!$DJ$15:$DM$15)</f>
        <v>0</v>
      </c>
      <c r="D34" s="22">
        <f>SUM([3]Pinnacle!$DJ$15:$DM$15)</f>
        <v>829</v>
      </c>
      <c r="E34" s="22">
        <f>SUM([3]Compass!$DJ$15:$DM$15)</f>
        <v>995</v>
      </c>
      <c r="F34" s="22">
        <f>SUM('[3]Sky West'!$DJ$15:$DM$15)</f>
        <v>391</v>
      </c>
      <c r="G34" s="22">
        <f>SUM('[3]Sun Country'!$DJ$15:$DM$15)</f>
        <v>630</v>
      </c>
      <c r="H34" s="22">
        <f>SUM([3]Icelandair!$DJ$15:$DM$15)</f>
        <v>0</v>
      </c>
      <c r="I34" s="22">
        <f>SUM([3]AirCanada!$DJ$15:$DM$15)</f>
        <v>325</v>
      </c>
      <c r="J34" s="22">
        <f>SUM('[3]Air France'!$DJ$15:$DM$15)</f>
        <v>0</v>
      </c>
      <c r="K34" s="22">
        <f>SUM([3]Comair!$DJ$15:$DM$15)</f>
        <v>0</v>
      </c>
      <c r="L34" s="22">
        <f>SUM('[3]Charter Misc'!$DJ$15:$DM$15)+SUM([3]Ryan!$DJ$15:$DM$15)+SUM([3]Omni!$DJ$15:$DM$15)</f>
        <v>0</v>
      </c>
      <c r="M34" s="286">
        <f>SUM(B34:L34)</f>
        <v>4663</v>
      </c>
    </row>
    <row r="35" spans="1:13" x14ac:dyDescent="0.2">
      <c r="A35" s="65" t="s">
        <v>26</v>
      </c>
      <c r="B35" s="22">
        <f>SUM([3]Delta!$DJ$16:$DM$16)</f>
        <v>1496</v>
      </c>
      <c r="C35" s="14">
        <f>SUM('[3]Atlantic Southeast'!$DJ$16:$DM$16)</f>
        <v>0</v>
      </c>
      <c r="D35" s="14">
        <f>SUM([3]Pinnacle!$DJ$16:$DM$16)</f>
        <v>823</v>
      </c>
      <c r="E35" s="14">
        <f>SUM([3]Compass!$DJ$16:$DM$16)</f>
        <v>988</v>
      </c>
      <c r="F35" s="14">
        <f>SUM('[3]Sky West'!$DJ$16:$DM$16)</f>
        <v>392</v>
      </c>
      <c r="G35" s="14">
        <f>SUM('[3]Sun Country'!$DJ$16:$DM$16)</f>
        <v>643</v>
      </c>
      <c r="H35" s="14">
        <f>SUM([3]Icelandair!$DJ$16:$DM$16)</f>
        <v>0</v>
      </c>
      <c r="I35" s="14">
        <f>SUM([3]AirCanada!$DJ$16:$DM$16)</f>
        <v>324</v>
      </c>
      <c r="J35" s="14">
        <f>SUM('[3]Air France'!$DJ$16:$DM$16)</f>
        <v>0</v>
      </c>
      <c r="K35" s="14">
        <f>SUM([3]Comair!$DJ$16:$DM$16)</f>
        <v>0</v>
      </c>
      <c r="L35" s="14">
        <f>SUM('[3]Charter Misc'!$DJ$16:$DM$16)++SUM([3]Ryan!$DJ$16:$DM$16)+SUM([3]Omni!$DJ$16:$DM$16)</f>
        <v>0</v>
      </c>
      <c r="M35" s="286">
        <f>SUM(B35:L35)</f>
        <v>4666</v>
      </c>
    </row>
    <row r="36" spans="1:13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86"/>
    </row>
    <row r="37" spans="1:13" ht="15.75" thickBot="1" x14ac:dyDescent="0.3">
      <c r="A37" s="66" t="s">
        <v>31</v>
      </c>
      <c r="B37" s="403">
        <f t="shared" ref="B37:I37" si="5">+SUM(B34:B35)</f>
        <v>2989</v>
      </c>
      <c r="C37" s="403">
        <f t="shared" si="5"/>
        <v>0</v>
      </c>
      <c r="D37" s="403">
        <f t="shared" si="5"/>
        <v>1652</v>
      </c>
      <c r="E37" s="403">
        <f t="shared" si="5"/>
        <v>1983</v>
      </c>
      <c r="F37" s="403">
        <f>+SUM(F34:F35)</f>
        <v>783</v>
      </c>
      <c r="G37" s="403">
        <f t="shared" si="5"/>
        <v>1273</v>
      </c>
      <c r="H37" s="403">
        <f t="shared" si="5"/>
        <v>0</v>
      </c>
      <c r="I37" s="403">
        <f t="shared" si="5"/>
        <v>649</v>
      </c>
      <c r="J37" s="403">
        <f>+SUM(J34:J35)</f>
        <v>0</v>
      </c>
      <c r="K37" s="403">
        <f>+SUM(K34:K35)</f>
        <v>0</v>
      </c>
      <c r="L37" s="403">
        <f>+SUM(L34:L35)</f>
        <v>0</v>
      </c>
      <c r="M37" s="404">
        <f>SUM(B37:L37)</f>
        <v>9329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&amp;"Arial,Bold"April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2014-05-21T16:20:05Z</cp:lastPrinted>
  <dcterms:created xsi:type="dcterms:W3CDTF">2007-09-24T12:26:24Z</dcterms:created>
  <dcterms:modified xsi:type="dcterms:W3CDTF">2018-11-14T00:50:27Z</dcterms:modified>
</cp:coreProperties>
</file>