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G23" i="17" l="1"/>
  <c r="F23" i="17"/>
  <c r="G21" i="17"/>
  <c r="F21" i="17"/>
  <c r="G19" i="17"/>
  <c r="F19" i="17"/>
  <c r="G17" i="17"/>
  <c r="F17" i="17"/>
  <c r="G15" i="17"/>
  <c r="F15" i="17"/>
  <c r="G13" i="17"/>
  <c r="F13" i="17"/>
  <c r="G11" i="17"/>
  <c r="F11" i="17"/>
  <c r="G9" i="17"/>
  <c r="F9" i="17"/>
  <c r="G7" i="17"/>
  <c r="F7" i="17"/>
  <c r="G5" i="17"/>
  <c r="F5" i="17"/>
  <c r="D23" i="17"/>
  <c r="D21" i="17"/>
  <c r="D19" i="17"/>
  <c r="D17" i="17"/>
  <c r="D15" i="17"/>
  <c r="D13" i="17"/>
  <c r="D11" i="17"/>
  <c r="E11" i="17" s="1"/>
  <c r="D9" i="17"/>
  <c r="D7" i="17"/>
  <c r="D5" i="17"/>
  <c r="C23" i="17"/>
  <c r="C21" i="17"/>
  <c r="C19" i="17"/>
  <c r="C17" i="17"/>
  <c r="C15" i="17"/>
  <c r="C13" i="17"/>
  <c r="C11" i="17"/>
  <c r="C9" i="17"/>
  <c r="C7" i="17"/>
  <c r="C5" i="17"/>
  <c r="P11" i="17"/>
  <c r="O11" i="17"/>
  <c r="M11" i="17"/>
  <c r="L11" i="17"/>
  <c r="B20" i="1"/>
  <c r="C27" i="8"/>
  <c r="C26" i="8"/>
  <c r="C22" i="8"/>
  <c r="C21" i="8"/>
  <c r="C23" i="8" s="1"/>
  <c r="C17" i="8"/>
  <c r="C16" i="8"/>
  <c r="C9" i="8"/>
  <c r="C8" i="8"/>
  <c r="C5" i="8"/>
  <c r="C4" i="8"/>
  <c r="C18" i="8" l="1"/>
  <c r="N11" i="17"/>
  <c r="C10" i="8"/>
  <c r="C6" i="8"/>
  <c r="C32" i="8"/>
  <c r="C12" i="8"/>
  <c r="C31" i="8"/>
  <c r="C28" i="8"/>
  <c r="C26" i="17"/>
  <c r="Q11" i="17"/>
  <c r="H11" i="17"/>
  <c r="P23" i="17"/>
  <c r="M23" i="17"/>
  <c r="P21" i="17"/>
  <c r="M21" i="17"/>
  <c r="P19" i="17"/>
  <c r="M19" i="17"/>
  <c r="P15" i="17"/>
  <c r="M15" i="17"/>
  <c r="P13" i="17"/>
  <c r="M13" i="17"/>
  <c r="P9" i="17"/>
  <c r="M9" i="17"/>
  <c r="P7" i="17"/>
  <c r="M7" i="17"/>
  <c r="P5" i="17"/>
  <c r="M5" i="17"/>
  <c r="C33" i="8" l="1"/>
  <c r="E16" i="1"/>
  <c r="P61" i="9" l="1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23" i="17"/>
  <c r="L23" i="17"/>
  <c r="O21" i="17"/>
  <c r="L21" i="17"/>
  <c r="O19" i="17"/>
  <c r="L19" i="17"/>
  <c r="O15" i="17"/>
  <c r="L15" i="17"/>
  <c r="O13" i="17"/>
  <c r="L13" i="17"/>
  <c r="O9" i="17"/>
  <c r="L9" i="17"/>
  <c r="O7" i="17"/>
  <c r="L7" i="17"/>
  <c r="O5" i="17"/>
  <c r="L5" i="17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M27" i="8"/>
  <c r="L27" i="8"/>
  <c r="K27" i="8"/>
  <c r="I27" i="8"/>
  <c r="H27" i="8"/>
  <c r="G27" i="8"/>
  <c r="E27" i="8"/>
  <c r="D27" i="8"/>
  <c r="B27" i="8"/>
  <c r="M26" i="8"/>
  <c r="L26" i="8"/>
  <c r="K26" i="8"/>
  <c r="I26" i="8"/>
  <c r="H26" i="8"/>
  <c r="G26" i="8"/>
  <c r="E26" i="8"/>
  <c r="D26" i="8"/>
  <c r="B26" i="8"/>
  <c r="M22" i="8"/>
  <c r="L22" i="8"/>
  <c r="K22" i="8"/>
  <c r="I22" i="8"/>
  <c r="H22" i="8"/>
  <c r="G22" i="8"/>
  <c r="E22" i="8"/>
  <c r="D22" i="8"/>
  <c r="B22" i="8"/>
  <c r="M21" i="8"/>
  <c r="L21" i="8"/>
  <c r="K21" i="8"/>
  <c r="I21" i="8"/>
  <c r="H21" i="8"/>
  <c r="G21" i="8"/>
  <c r="E21" i="8"/>
  <c r="D21" i="8"/>
  <c r="B21" i="8"/>
  <c r="M17" i="8"/>
  <c r="L17" i="8"/>
  <c r="K17" i="8"/>
  <c r="I17" i="8"/>
  <c r="H17" i="8"/>
  <c r="G17" i="8"/>
  <c r="E17" i="8"/>
  <c r="D17" i="8"/>
  <c r="B17" i="8"/>
  <c r="M16" i="8"/>
  <c r="L16" i="8"/>
  <c r="K16" i="8"/>
  <c r="I16" i="8"/>
  <c r="H16" i="8"/>
  <c r="G16" i="8"/>
  <c r="E16" i="8"/>
  <c r="D16" i="8"/>
  <c r="B16" i="8"/>
  <c r="M9" i="8"/>
  <c r="M8" i="8"/>
  <c r="M5" i="8"/>
  <c r="L5" i="8"/>
  <c r="K5" i="8"/>
  <c r="J5" i="8"/>
  <c r="I5" i="8"/>
  <c r="H5" i="8"/>
  <c r="G5" i="8"/>
  <c r="E5" i="8"/>
  <c r="D5" i="8"/>
  <c r="B5" i="8"/>
  <c r="M4" i="8"/>
  <c r="L4" i="8"/>
  <c r="K4" i="8"/>
  <c r="J4" i="8"/>
  <c r="I4" i="8"/>
  <c r="H4" i="8"/>
  <c r="G4" i="8"/>
  <c r="E4" i="8"/>
  <c r="D4" i="8"/>
  <c r="B4" i="8"/>
  <c r="O26" i="7"/>
  <c r="O25" i="7"/>
  <c r="M25" i="7"/>
  <c r="L25" i="7"/>
  <c r="J26" i="7"/>
  <c r="E26" i="7"/>
  <c r="E25" i="7"/>
  <c r="C25" i="7"/>
  <c r="B25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H10" i="1"/>
  <c r="E10" i="1"/>
  <c r="H7" i="1"/>
  <c r="E7" i="1"/>
  <c r="H6" i="1"/>
  <c r="E6" i="1"/>
  <c r="H5" i="1"/>
  <c r="E5" i="1"/>
  <c r="C20" i="1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16" i="3"/>
  <c r="J17" i="3"/>
  <c r="J20" i="3"/>
  <c r="J21" i="3"/>
  <c r="H35" i="2"/>
  <c r="E44" i="9"/>
  <c r="N44" i="9"/>
  <c r="Q44" i="9"/>
  <c r="H44" i="9"/>
  <c r="H43" i="2"/>
  <c r="H45" i="2" s="1"/>
  <c r="M23" i="7" l="1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21" i="4" s="1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D21" i="15" l="1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6" i="17" l="1"/>
  <c r="P26" i="17" l="1"/>
  <c r="D26" i="17"/>
  <c r="G26" i="17"/>
  <c r="H15" i="17"/>
  <c r="Q15" i="17"/>
  <c r="H23" i="17"/>
  <c r="Q23" i="17"/>
  <c r="E5" i="17"/>
  <c r="E13" i="17"/>
  <c r="E15" i="17"/>
  <c r="H13" i="17"/>
  <c r="Q13" i="17"/>
  <c r="H21" i="17"/>
  <c r="Q21" i="17"/>
  <c r="F26" i="17"/>
  <c r="I11" i="17" s="1"/>
  <c r="Q5" i="17"/>
  <c r="Q7" i="17"/>
  <c r="H9" i="17"/>
  <c r="Q9" i="17"/>
  <c r="E17" i="17"/>
  <c r="E19" i="17"/>
  <c r="E23" i="17"/>
  <c r="H19" i="17"/>
  <c r="E7" i="17"/>
  <c r="N7" i="17"/>
  <c r="H7" i="17"/>
  <c r="E9" i="17"/>
  <c r="N13" i="17"/>
  <c r="H17" i="17"/>
  <c r="E21" i="17"/>
  <c r="N21" i="17"/>
  <c r="L26" i="17"/>
  <c r="Q19" i="17"/>
  <c r="O26" i="17"/>
  <c r="R11" i="17" s="1"/>
  <c r="H5" i="17"/>
  <c r="N5" i="17"/>
  <c r="N9" i="17"/>
  <c r="N15" i="17"/>
  <c r="N19" i="17"/>
  <c r="N23" i="17"/>
  <c r="Q26" i="17" l="1"/>
  <c r="H26" i="17"/>
  <c r="R5" i="17"/>
  <c r="R23" i="17"/>
  <c r="R15" i="17"/>
  <c r="R21" i="17"/>
  <c r="R13" i="17"/>
  <c r="R9" i="17"/>
  <c r="R19" i="17"/>
  <c r="R7" i="17"/>
  <c r="I23" i="17"/>
  <c r="I17" i="17"/>
  <c r="I13" i="17"/>
  <c r="I9" i="17"/>
  <c r="I21" i="17"/>
  <c r="I15" i="17"/>
  <c r="I7" i="17"/>
  <c r="I19" i="17"/>
  <c r="I5" i="17"/>
  <c r="N26" i="17"/>
  <c r="E26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D20" i="1"/>
  <c r="G20" i="1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G21" i="1" s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P17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P10" i="16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P9" i="16"/>
  <c r="B26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26" i="7" l="1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D33" i="1" s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G7" i="1" s="1"/>
  <c r="J17" i="2"/>
  <c r="K17" i="2" s="1"/>
  <c r="J12" i="3"/>
  <c r="J44" i="3"/>
  <c r="E45" i="2"/>
  <c r="M33" i="8"/>
  <c r="E21" i="4"/>
  <c r="D17" i="5"/>
  <c r="F45" i="3"/>
  <c r="G42" i="15"/>
  <c r="D18" i="1"/>
  <c r="G18" i="1" s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G19" i="1" s="1"/>
  <c r="J6" i="2"/>
  <c r="K6" i="2" s="1"/>
  <c r="D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D26" i="7" l="1"/>
  <c r="F26" i="7" s="1"/>
  <c r="G5" i="1"/>
  <c r="D22" i="7"/>
  <c r="F22" i="7" s="1"/>
  <c r="B8" i="1"/>
  <c r="F18" i="1"/>
  <c r="I19" i="1"/>
  <c r="I7" i="1"/>
  <c r="I21" i="1"/>
  <c r="I20" i="1"/>
  <c r="M21" i="15"/>
  <c r="D6" i="1"/>
  <c r="C8" i="1"/>
  <c r="C33" i="1" s="1"/>
  <c r="C33" i="7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B33" i="7"/>
  <c r="L42" i="4"/>
  <c r="M42" i="4" s="1"/>
  <c r="M42" i="15"/>
  <c r="J23" i="3"/>
  <c r="B17" i="1"/>
  <c r="D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G16" i="1" s="1"/>
  <c r="F5" i="1"/>
  <c r="E6" i="5"/>
  <c r="F6" i="5" s="1"/>
  <c r="I6" i="5" s="1"/>
  <c r="C7" i="5"/>
  <c r="E5" i="5"/>
  <c r="G6" i="1" l="1"/>
  <c r="G17" i="1"/>
  <c r="D10" i="1"/>
  <c r="G10" i="1" s="1"/>
  <c r="I18" i="1"/>
  <c r="D8" i="1"/>
  <c r="F8" i="1" s="1"/>
  <c r="F6" i="1"/>
  <c r="C11" i="1"/>
  <c r="M26" i="7" s="1"/>
  <c r="B32" i="1"/>
  <c r="D32" i="1" s="1"/>
  <c r="B11" i="1"/>
  <c r="L26" i="7" s="1"/>
  <c r="D33" i="7"/>
  <c r="D28" i="1"/>
  <c r="G28" i="1" s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I5" i="1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I6" i="1" l="1"/>
  <c r="H26" i="7"/>
  <c r="N26" i="7"/>
  <c r="P26" i="7" s="1"/>
  <c r="G26" i="7"/>
  <c r="I26" i="7" s="1"/>
  <c r="K26" i="7" s="1"/>
  <c r="G25" i="7"/>
  <c r="H24" i="7"/>
  <c r="H25" i="7"/>
  <c r="I10" i="1"/>
  <c r="G24" i="7"/>
  <c r="P24" i="7"/>
  <c r="F10" i="1"/>
  <c r="I23" i="7"/>
  <c r="K23" i="7" s="1"/>
  <c r="N23" i="7"/>
  <c r="P23" i="7" s="1"/>
  <c r="C32" i="1"/>
  <c r="N22" i="7"/>
  <c r="P22" i="7" s="1"/>
  <c r="H21" i="5"/>
  <c r="F28" i="1"/>
  <c r="G8" i="1"/>
  <c r="I8" i="1" s="1"/>
  <c r="F33" i="7"/>
  <c r="M33" i="7"/>
  <c r="I17" i="1"/>
  <c r="D11" i="1"/>
  <c r="F11" i="1" s="1"/>
  <c r="N21" i="7"/>
  <c r="L33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K6" i="5"/>
  <c r="F20" i="5"/>
  <c r="I20" i="5" s="1"/>
  <c r="E22" i="5"/>
  <c r="F12" i="5"/>
  <c r="H12" i="5" s="1"/>
  <c r="H10" i="5"/>
  <c r="I24" i="7" l="1"/>
  <c r="K24" i="7" s="1"/>
  <c r="H33" i="7"/>
  <c r="I25" i="7"/>
  <c r="K25" i="7" s="1"/>
  <c r="P25" i="7"/>
  <c r="I22" i="7"/>
  <c r="K22" i="7" s="1"/>
  <c r="G11" i="1"/>
  <c r="I11" i="1" s="1"/>
  <c r="I28" i="1"/>
  <c r="D34" i="1"/>
  <c r="E33" i="1" s="1"/>
  <c r="K11" i="5"/>
  <c r="P21" i="7"/>
  <c r="I21" i="7"/>
  <c r="G33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N33" i="7" l="1"/>
  <c r="P33" i="7" s="1"/>
  <c r="I33" i="7"/>
  <c r="K33" i="7" s="1"/>
  <c r="K21" i="5"/>
  <c r="E32" i="1"/>
  <c r="K21" i="7"/>
  <c r="K20" i="5"/>
  <c r="I22" i="5"/>
  <c r="K22" i="5" s="1"/>
  <c r="H52" i="9" l="1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</calcChain>
</file>

<file path=xl/sharedStrings.xml><?xml version="1.0" encoding="utf-8"?>
<sst xmlns="http://schemas.openxmlformats.org/spreadsheetml/2006/main" count="600" uniqueCount="232">
  <si>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</si>
  <si>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</si>
  <si>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</si>
  <si>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</si>
  <si>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</si>
  <si>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</si>
  <si>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</si>
  <si>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</si>
  <si>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</si>
  <si>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</si>
  <si>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</si>
  <si>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</si>
  <si>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</si>
  <si>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</si>
  <si>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</si>
  <si>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</si>
  <si>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</si>
  <si>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</si>
  <si>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</si>
  <si>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</si>
  <si>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</si>
  <si>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</si>
  <si>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</si>
  <si>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</si>
  <si>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</si>
  <si>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</si>
  <si>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</si>
  <si>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</si>
  <si>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</si>
  <si>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</si>
  <si>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</si>
  <si>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</si>
  <si>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</si>
  <si>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</si>
  <si>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</si>
  <si>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</si>
  <si>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</si>
  <si>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</si>
  <si>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</si>
  <si>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</si>
  <si>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</si>
  <si>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</si>
  <si>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</si>
  <si>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</si>
  <si>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</si>
  <si>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</si>
  <si>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</si>
  <si>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</si>
  <si>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</si>
  <si>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</si>
  <si>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</si>
  <si>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</si>
  <si>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</si>
  <si>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</si>
  <si>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</si>
  <si>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</si>
  <si>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</si>
  <si>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</si>
  <si>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</si>
  <si>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</si>
  <si>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</si>
  <si>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</si>
  <si>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</si>
  <si>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</si>
  <si>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</si>
  <si>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</si>
  <si>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</si>
  <si>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</si>
  <si>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</si>
  <si>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</si>
  <si>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</si>
  <si>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</si>
  <si>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</si>
  <si>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</si>
  <si>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</si>
  <si>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</si>
  <si>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</si>
  <si>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</si>
  <si>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</si>
  <si>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</si>
  <si>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</si>
  <si>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</si>
  <si>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</si>
  <si>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</si>
  <si>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</si>
  <si>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</si>
  <si>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</si>
  <si>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</si>
  <si>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</si>
  <si>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</si>
  <si>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</si>
  <si>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</si>
  <si>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</si>
  <si>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</si>
  <si>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</si>
  <si>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</si>
  <si>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</si>
  <si>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</si>
  <si>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</si>
  <si>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</si>
  <si>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</si>
  <si>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</si>
  <si>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</si>
  <si>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</si>
  <si>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</si>
  <si>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</si>
  <si>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</si>
  <si>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</si>
  <si>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</si>
  <si>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</si>
  <si>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</si>
  <si>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</si>
  <si>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</si>
  <si>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</si>
  <si>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</si>
  <si>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</si>
  <si>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</si>
  <si>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</si>
  <si>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</si>
  <si>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</si>
  <si>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</si>
  <si>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</si>
  <si>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</si>
  <si>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</si>
  <si>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</si>
  <si>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</si>
  <si>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</si>
  <si>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</si>
  <si>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</si>
  <si>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</si>
  <si>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</si>
  <si>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</si>
  <si>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</si>
  <si>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</si>
  <si>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</si>
  <si>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</si>
  <si>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</si>
  <si>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</si>
  <si>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</si>
  <si>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</si>
  <si>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</si>
  <si>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</si>
  <si>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</si>
  <si>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</si>
  <si>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</si>
  <si>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</si>
  <si>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</si>
  <si>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</si>
  <si>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</si>
  <si>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</si>
  <si>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</si>
  <si>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</si>
  <si>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</si>
  <si>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</si>
  <si>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</si>
  <si>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</si>
  <si>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</si>
  <si>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</si>
  <si>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</si>
  <si>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</si>
  <si>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</si>
  <si>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</si>
  <si>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</si>
  <si>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</si>
  <si>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</si>
  <si>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</si>
  <si>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</si>
  <si>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</si>
  <si>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</si>
  <si>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</si>
  <si>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</si>
  <si>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</si>
  <si>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</si>
  <si>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</si>
  <si>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</si>
  <si>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</si>
  <si>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</si>
  <si>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</si>
  <si>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</si>
  <si>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</si>
  <si>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</si>
  <si>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</si>
  <si>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</si>
  <si>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</si>
  <si>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</si>
  <si>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</si>
  <si>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</si>
  <si>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</si>
  <si>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</si>
  <si>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</si>
  <si>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</si>
  <si>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</si>
  <si>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</si>
  <si>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</si>
  <si>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</si>
  <si>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</si>
  <si>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</si>
  <si>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</si>
  <si>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</si>
  <si>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</si>
  <si>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</si>
  <si>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</si>
  <si>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</si>
  <si>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</si>
  <si>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</si>
  <si>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</si>
  <si>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</si>
  <si>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</si>
  <si>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</si>
  <si>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</si>
  <si>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</si>
  <si>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</si>
  <si>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</si>
  <si>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</si>
  <si>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</si>
  <si>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</si>
  <si>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</si>
  <si>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</si>
  <si>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</si>
  <si>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</si>
  <si>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</si>
  <si>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</si>
  <si>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</si>
  <si>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</si>
  <si>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</si>
  <si>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</si>
  <si>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</si>
  <si>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</si>
  <si>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</si>
  <si>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</si>
  <si>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June 2017</t>
  </si>
  <si>
    <t>Atlas -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</si>
</sst>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2701569</v>
          </cell>
          <cell r="G5">
            <v>14109531</v>
          </cell>
        </row>
        <row r="6">
          <cell r="D6">
            <v>679292</v>
          </cell>
          <cell r="G6">
            <v>3816336</v>
          </cell>
        </row>
        <row r="7">
          <cell r="D7">
            <v>1640</v>
          </cell>
          <cell r="G7">
            <v>2915</v>
          </cell>
        </row>
        <row r="10">
          <cell r="D10">
            <v>113101</v>
          </cell>
          <cell r="G10">
            <v>602091</v>
          </cell>
        </row>
        <row r="16">
          <cell r="D16">
            <v>20420</v>
          </cell>
          <cell r="G16">
            <v>110389</v>
          </cell>
        </row>
        <row r="17">
          <cell r="D17">
            <v>12953</v>
          </cell>
          <cell r="G17">
            <v>75947</v>
          </cell>
        </row>
        <row r="18">
          <cell r="D18">
            <v>9</v>
          </cell>
          <cell r="G18">
            <v>22</v>
          </cell>
        </row>
        <row r="19">
          <cell r="D19">
            <v>1184</v>
          </cell>
          <cell r="G19">
            <v>7222</v>
          </cell>
        </row>
        <row r="20">
          <cell r="D20">
            <v>1949</v>
          </cell>
          <cell r="G20">
            <v>10937</v>
          </cell>
        </row>
        <row r="21">
          <cell r="D21">
            <v>68</v>
          </cell>
          <cell r="G21">
            <v>275</v>
          </cell>
        </row>
        <row r="27">
          <cell r="D27">
            <v>18546.71071356026</v>
          </cell>
          <cell r="G27">
            <v>99971.453080334992</v>
          </cell>
        </row>
        <row r="28">
          <cell r="D28">
            <v>2313.1541650078398</v>
          </cell>
          <cell r="G28">
            <v>12189.56329925719</v>
          </cell>
        </row>
        <row r="32">
          <cell r="B32">
            <v>982467</v>
          </cell>
          <cell r="D32">
            <v>5472754</v>
          </cell>
        </row>
        <row r="33">
          <cell r="B33">
            <v>699399</v>
          </cell>
          <cell r="D33">
            <v>3460114</v>
          </cell>
        </row>
      </sheetData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>
        <row r="5">
          <cell r="F5">
            <v>10335.441891135129</v>
          </cell>
          <cell r="I5">
            <v>54581.60630643028</v>
          </cell>
        </row>
        <row r="6">
          <cell r="F6">
            <v>913.79584879275001</v>
          </cell>
          <cell r="I6">
            <v>5136.3557135706196</v>
          </cell>
        </row>
        <row r="10">
          <cell r="F10">
            <v>8211.2688224251306</v>
          </cell>
          <cell r="I10">
            <v>45389.846773904712</v>
          </cell>
        </row>
        <row r="11">
          <cell r="F11">
            <v>1399.3583162150899</v>
          </cell>
          <cell r="I11">
            <v>7053.2075856865695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18546.71071356026</v>
          </cell>
        </row>
        <row r="21">
          <cell r="F21">
            <v>2313.1541650078398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11321574</v>
          </cell>
        </row>
        <row r="6">
          <cell r="G6">
            <v>3198692</v>
          </cell>
        </row>
        <row r="7">
          <cell r="G7">
            <v>2703</v>
          </cell>
        </row>
        <row r="10">
          <cell r="G10">
            <v>504833</v>
          </cell>
        </row>
        <row r="16">
          <cell r="G16">
            <v>87005</v>
          </cell>
        </row>
        <row r="17">
          <cell r="G17">
            <v>62346</v>
          </cell>
        </row>
        <row r="18">
          <cell r="G18">
            <v>21</v>
          </cell>
        </row>
        <row r="19">
          <cell r="G19">
            <v>6100</v>
          </cell>
        </row>
        <row r="20">
          <cell r="G20">
            <v>8350</v>
          </cell>
        </row>
        <row r="21">
          <cell r="G21">
            <v>506</v>
          </cell>
        </row>
        <row r="27">
          <cell r="G27">
            <v>82789.01213802374</v>
          </cell>
        </row>
        <row r="28">
          <cell r="G28">
            <v>10454.205527779859</v>
          </cell>
        </row>
        <row r="32">
          <cell r="D32">
            <v>4692857</v>
          </cell>
        </row>
        <row r="33">
          <cell r="D33">
            <v>2546992</v>
          </cell>
        </row>
      </sheetData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>
        <row r="5">
          <cell r="I5">
            <v>46175.862023329501</v>
          </cell>
        </row>
        <row r="6">
          <cell r="I6">
            <v>4187.78838087841</v>
          </cell>
        </row>
        <row r="10">
          <cell r="I10">
            <v>36613.150114694225</v>
          </cell>
        </row>
        <row r="11">
          <cell r="I11">
            <v>6266.4171469014509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82789.01213802374</v>
          </cell>
        </row>
        <row r="21">
          <cell r="I21">
            <v>10454.205527779859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S4">
            <v>91</v>
          </cell>
        </row>
        <row r="5">
          <cell r="FS5">
            <v>91</v>
          </cell>
        </row>
        <row r="8">
          <cell r="FS8"/>
        </row>
        <row r="9">
          <cell r="FS9"/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</row>
        <row r="22">
          <cell r="FS22">
            <v>416</v>
          </cell>
        </row>
        <row r="23">
          <cell r="FS23">
            <v>451</v>
          </cell>
        </row>
        <row r="27">
          <cell r="FS27"/>
        </row>
        <row r="28">
          <cell r="FS28"/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3"/>
      <sheetData sheetId="4">
        <row r="4">
          <cell r="FS4"/>
        </row>
        <row r="5">
          <cell r="FS5"/>
        </row>
        <row r="8">
          <cell r="FS8"/>
        </row>
        <row r="9">
          <cell r="FS9"/>
        </row>
        <row r="15">
          <cell r="FN15"/>
          <cell r="FO15"/>
          <cell r="FP15"/>
          <cell r="FQ15"/>
          <cell r="FR15">
            <v>20</v>
          </cell>
          <cell r="FS15">
            <v>28</v>
          </cell>
        </row>
        <row r="16">
          <cell r="FN16"/>
          <cell r="FO16"/>
          <cell r="FP16"/>
          <cell r="FQ16"/>
          <cell r="FR16">
            <v>20</v>
          </cell>
          <cell r="FS16">
            <v>28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32">
          <cell r="FN32"/>
          <cell r="FO32"/>
          <cell r="FP32"/>
          <cell r="FQ32"/>
          <cell r="FR32">
            <v>3781</v>
          </cell>
          <cell r="FS32">
            <v>6449</v>
          </cell>
        </row>
        <row r="33">
          <cell r="FN33"/>
          <cell r="FO33"/>
          <cell r="FP33"/>
          <cell r="FQ33"/>
          <cell r="FR33">
            <v>3802</v>
          </cell>
          <cell r="FS33">
            <v>6319</v>
          </cell>
        </row>
        <row r="37">
          <cell r="FN37"/>
          <cell r="FO37"/>
          <cell r="FP37"/>
          <cell r="FQ37"/>
          <cell r="FR37">
            <v>16</v>
          </cell>
          <cell r="FS37">
            <v>6</v>
          </cell>
        </row>
        <row r="38">
          <cell r="FN38"/>
          <cell r="FO38"/>
          <cell r="FP38"/>
          <cell r="FQ38"/>
          <cell r="FR38">
            <v>13</v>
          </cell>
          <cell r="FS38">
            <v>8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</row>
        <row r="47">
          <cell r="FS47">
            <v>389545</v>
          </cell>
        </row>
        <row r="48">
          <cell r="FS48"/>
        </row>
        <row r="52">
          <cell r="FS52">
            <v>152719</v>
          </cell>
        </row>
        <row r="53">
          <cell r="FS53"/>
        </row>
        <row r="57">
          <cell r="FS57"/>
        </row>
        <row r="58">
          <cell r="FS58"/>
        </row>
      </sheetData>
      <sheetData sheetId="5">
        <row r="4">
          <cell r="FS4">
            <v>60</v>
          </cell>
        </row>
        <row r="5">
          <cell r="FS5">
            <v>60</v>
          </cell>
        </row>
        <row r="8">
          <cell r="FS8"/>
        </row>
        <row r="9">
          <cell r="FS9"/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</row>
        <row r="22">
          <cell r="FS22">
            <v>9803</v>
          </cell>
        </row>
        <row r="23">
          <cell r="FS23">
            <v>9945</v>
          </cell>
        </row>
        <row r="27">
          <cell r="FS27">
            <v>297</v>
          </cell>
        </row>
        <row r="28">
          <cell r="FS28">
            <v>376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</row>
        <row r="47">
          <cell r="FS47">
            <v>14924</v>
          </cell>
        </row>
        <row r="48">
          <cell r="FS48">
            <v>234</v>
          </cell>
        </row>
        <row r="52">
          <cell r="FS52">
            <v>9785</v>
          </cell>
        </row>
        <row r="53">
          <cell r="FS53">
            <v>2208</v>
          </cell>
        </row>
        <row r="57">
          <cell r="FS57"/>
        </row>
        <row r="58">
          <cell r="FS58"/>
        </row>
      </sheetData>
      <sheetData sheetId="6"/>
      <sheetData sheetId="7">
        <row r="4">
          <cell r="FS4">
            <v>660</v>
          </cell>
        </row>
        <row r="5">
          <cell r="FS5">
            <v>663</v>
          </cell>
        </row>
        <row r="8">
          <cell r="FS8">
            <v>2</v>
          </cell>
        </row>
        <row r="9">
          <cell r="FS9">
            <v>2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</row>
        <row r="22">
          <cell r="FS22">
            <v>84087</v>
          </cell>
        </row>
        <row r="23">
          <cell r="FS23">
            <v>80350</v>
          </cell>
        </row>
        <row r="27">
          <cell r="FS27">
            <v>3713</v>
          </cell>
        </row>
        <row r="28">
          <cell r="FS28">
            <v>3927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</row>
        <row r="47">
          <cell r="FS47">
            <v>59092</v>
          </cell>
        </row>
        <row r="48">
          <cell r="FS48">
            <v>17331</v>
          </cell>
        </row>
        <row r="52">
          <cell r="FS52">
            <v>14583</v>
          </cell>
        </row>
        <row r="53">
          <cell r="FS53">
            <v>39050</v>
          </cell>
        </row>
        <row r="57">
          <cell r="FS57"/>
        </row>
        <row r="58">
          <cell r="FS58"/>
        </row>
      </sheetData>
      <sheetData sheetId="8"/>
      <sheetData sheetId="9">
        <row r="4">
          <cell r="FS4">
            <v>74</v>
          </cell>
        </row>
        <row r="5">
          <cell r="FS5">
            <v>74</v>
          </cell>
        </row>
        <row r="8">
          <cell r="FS8"/>
        </row>
        <row r="9">
          <cell r="FS9"/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</row>
        <row r="22">
          <cell r="FS22">
            <v>418</v>
          </cell>
        </row>
        <row r="23">
          <cell r="FS23">
            <v>408</v>
          </cell>
        </row>
        <row r="27">
          <cell r="FS27"/>
        </row>
        <row r="28">
          <cell r="FS28"/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10">
        <row r="4">
          <cell r="FS4"/>
        </row>
        <row r="5">
          <cell r="FS5"/>
        </row>
        <row r="8">
          <cell r="FS8"/>
        </row>
        <row r="9">
          <cell r="FS9"/>
        </row>
        <row r="15">
          <cell r="FN15"/>
          <cell r="FO15"/>
          <cell r="FP15"/>
          <cell r="FQ15"/>
          <cell r="FR15">
            <v>4</v>
          </cell>
          <cell r="FS15">
            <v>11</v>
          </cell>
        </row>
        <row r="16">
          <cell r="FN16"/>
          <cell r="FO16"/>
          <cell r="FP16"/>
          <cell r="FQ16"/>
          <cell r="FR16">
            <v>4</v>
          </cell>
          <cell r="FS16">
            <v>11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32">
          <cell r="FN32"/>
          <cell r="FO32"/>
          <cell r="FP32"/>
          <cell r="FQ32"/>
          <cell r="FR32">
            <v>730</v>
          </cell>
          <cell r="FS32">
            <v>2566</v>
          </cell>
        </row>
        <row r="33">
          <cell r="FN33"/>
          <cell r="FO33"/>
          <cell r="FP33"/>
          <cell r="FQ33"/>
          <cell r="FR33">
            <v>972</v>
          </cell>
          <cell r="FS33">
            <v>2779</v>
          </cell>
        </row>
        <row r="37">
          <cell r="FN37"/>
          <cell r="FO37"/>
          <cell r="FP37"/>
          <cell r="FQ37"/>
          <cell r="FR37">
            <v>5</v>
          </cell>
          <cell r="FS37"/>
        </row>
        <row r="38">
          <cell r="FN38"/>
          <cell r="FO38"/>
          <cell r="FP38"/>
          <cell r="FQ38"/>
          <cell r="FR38">
            <v>4</v>
          </cell>
          <cell r="FS38"/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</row>
        <row r="47">
          <cell r="FS47">
            <v>50770</v>
          </cell>
        </row>
        <row r="48">
          <cell r="FS48"/>
        </row>
        <row r="52">
          <cell r="FS52">
            <v>52760</v>
          </cell>
        </row>
        <row r="53">
          <cell r="FS53"/>
        </row>
        <row r="57">
          <cell r="FS57"/>
        </row>
        <row r="58">
          <cell r="FS58"/>
        </row>
      </sheetData>
      <sheetData sheetId="11">
        <row r="4">
          <cell r="FS4">
            <v>6280</v>
          </cell>
        </row>
        <row r="5">
          <cell r="FS5">
            <v>6278</v>
          </cell>
        </row>
        <row r="8">
          <cell r="FS8">
            <v>5</v>
          </cell>
        </row>
        <row r="9">
          <cell r="FS9">
            <v>15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</row>
        <row r="22">
          <cell r="FS22">
            <v>868721</v>
          </cell>
        </row>
        <row r="23">
          <cell r="FS23">
            <v>863666</v>
          </cell>
        </row>
        <row r="27">
          <cell r="FS27">
            <v>31503</v>
          </cell>
        </row>
        <row r="28">
          <cell r="FS28">
            <v>31755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</row>
        <row r="47">
          <cell r="FS47">
            <v>4968790</v>
          </cell>
        </row>
        <row r="48">
          <cell r="FS48">
            <v>1559622</v>
          </cell>
        </row>
        <row r="52">
          <cell r="FS52">
            <v>2691671</v>
          </cell>
        </row>
        <row r="53">
          <cell r="FS53">
            <v>1955980</v>
          </cell>
        </row>
        <row r="57">
          <cell r="FS57"/>
        </row>
        <row r="58">
          <cell r="FS58"/>
        </row>
        <row r="70">
          <cell r="FS70">
            <v>430969</v>
          </cell>
        </row>
        <row r="71">
          <cell r="FS71">
            <v>432697</v>
          </cell>
        </row>
        <row r="73">
          <cell r="FS73">
            <v>40462</v>
          </cell>
        </row>
        <row r="74">
          <cell r="FS74">
            <v>40625</v>
          </cell>
        </row>
      </sheetData>
      <sheetData sheetId="12">
        <row r="4">
          <cell r="FS4">
            <v>150</v>
          </cell>
        </row>
        <row r="5">
          <cell r="FS5">
            <v>150</v>
          </cell>
        </row>
        <row r="8">
          <cell r="FS8"/>
        </row>
        <row r="9">
          <cell r="FS9"/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</row>
        <row r="22">
          <cell r="FS22">
            <v>21412</v>
          </cell>
        </row>
        <row r="23">
          <cell r="FS23">
            <v>20037</v>
          </cell>
        </row>
        <row r="27">
          <cell r="FS27">
            <v>178</v>
          </cell>
        </row>
        <row r="28">
          <cell r="FS28">
            <v>176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13"/>
      <sheetData sheetId="14">
        <row r="8">
          <cell r="FS8"/>
        </row>
        <row r="9">
          <cell r="FS9"/>
        </row>
        <row r="15">
          <cell r="FN15">
            <v>5</v>
          </cell>
          <cell r="FO15"/>
          <cell r="FP15">
            <v>17</v>
          </cell>
          <cell r="FQ15">
            <v>20</v>
          </cell>
          <cell r="FR15">
            <v>37</v>
          </cell>
          <cell r="FS15">
            <v>46</v>
          </cell>
        </row>
        <row r="16">
          <cell r="FN16">
            <v>5</v>
          </cell>
          <cell r="FO16"/>
          <cell r="FP16">
            <v>17</v>
          </cell>
          <cell r="FQ16">
            <v>20</v>
          </cell>
          <cell r="FR16">
            <v>37</v>
          </cell>
          <cell r="FS16">
            <v>46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</row>
        <row r="32">
          <cell r="FN32">
            <v>852</v>
          </cell>
          <cell r="FO32"/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</row>
        <row r="33">
          <cell r="FN33">
            <v>671</v>
          </cell>
          <cell r="FO33"/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</row>
        <row r="37">
          <cell r="FN37">
            <v>20</v>
          </cell>
          <cell r="FO37"/>
          <cell r="FP37">
            <v>75</v>
          </cell>
          <cell r="FQ37">
            <v>52</v>
          </cell>
          <cell r="FR37">
            <v>75</v>
          </cell>
          <cell r="FS37">
            <v>64</v>
          </cell>
        </row>
        <row r="38">
          <cell r="FN38">
            <v>13</v>
          </cell>
          <cell r="FO38"/>
          <cell r="FP38">
            <v>54</v>
          </cell>
          <cell r="FQ38">
            <v>60</v>
          </cell>
          <cell r="FR38">
            <v>82</v>
          </cell>
          <cell r="FS38">
            <v>78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</row>
        <row r="47">
          <cell r="FS47">
            <v>85038</v>
          </cell>
        </row>
        <row r="48">
          <cell r="FS48"/>
        </row>
        <row r="52">
          <cell r="FS52">
            <v>924</v>
          </cell>
        </row>
        <row r="53">
          <cell r="FS53"/>
        </row>
        <row r="57">
          <cell r="FS57"/>
        </row>
        <row r="58">
          <cell r="FS58"/>
        </row>
      </sheetData>
      <sheetData sheetId="15">
        <row r="4">
          <cell r="FS4">
            <v>87</v>
          </cell>
        </row>
        <row r="5">
          <cell r="FS5">
            <v>86</v>
          </cell>
        </row>
        <row r="8">
          <cell r="FS8"/>
        </row>
        <row r="9">
          <cell r="FS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</row>
        <row r="22">
          <cell r="FS22">
            <v>10650</v>
          </cell>
        </row>
        <row r="23">
          <cell r="FS23">
            <v>11551</v>
          </cell>
        </row>
        <row r="27">
          <cell r="FS27">
            <v>254</v>
          </cell>
        </row>
        <row r="28">
          <cell r="FS28">
            <v>271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16">
        <row r="4">
          <cell r="FS4"/>
        </row>
        <row r="5">
          <cell r="FS5"/>
        </row>
        <row r="8">
          <cell r="FS8"/>
        </row>
        <row r="9">
          <cell r="FS9"/>
        </row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</row>
        <row r="47">
          <cell r="FS47">
            <v>395482</v>
          </cell>
        </row>
        <row r="48">
          <cell r="FS48"/>
        </row>
        <row r="52">
          <cell r="FS52">
            <v>119288</v>
          </cell>
        </row>
        <row r="53">
          <cell r="FS53"/>
        </row>
        <row r="57">
          <cell r="FS57"/>
        </row>
        <row r="58">
          <cell r="FS58"/>
        </row>
      </sheetData>
      <sheetData sheetId="17"/>
      <sheetData sheetId="18">
        <row r="4">
          <cell r="FS4">
            <v>687</v>
          </cell>
        </row>
        <row r="5">
          <cell r="FS5">
            <v>686</v>
          </cell>
        </row>
        <row r="8">
          <cell r="FS8"/>
        </row>
        <row r="9">
          <cell r="FS9"/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</row>
        <row r="22">
          <cell r="FS22">
            <v>86891</v>
          </cell>
        </row>
        <row r="23">
          <cell r="FS23">
            <v>83884</v>
          </cell>
        </row>
        <row r="27">
          <cell r="FS27">
            <v>1807</v>
          </cell>
        </row>
        <row r="28">
          <cell r="FS28">
            <v>1945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</row>
        <row r="47">
          <cell r="FS47">
            <v>223465</v>
          </cell>
        </row>
        <row r="48">
          <cell r="FS48"/>
        </row>
        <row r="52">
          <cell r="FS52">
            <v>81159</v>
          </cell>
        </row>
        <row r="53">
          <cell r="FS53"/>
        </row>
        <row r="57">
          <cell r="FS57"/>
        </row>
        <row r="58">
          <cell r="FS58"/>
        </row>
        <row r="70">
          <cell r="FS70">
            <v>83558</v>
          </cell>
        </row>
        <row r="71">
          <cell r="FS71">
            <v>326</v>
          </cell>
        </row>
        <row r="73">
          <cell r="FS73"/>
        </row>
        <row r="74">
          <cell r="FS74"/>
        </row>
      </sheetData>
      <sheetData sheetId="19">
        <row r="4">
          <cell r="FS4">
            <v>359</v>
          </cell>
        </row>
        <row r="5">
          <cell r="FS5">
            <v>359</v>
          </cell>
        </row>
        <row r="8">
          <cell r="FS8"/>
        </row>
        <row r="9">
          <cell r="FS9"/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</row>
        <row r="22">
          <cell r="FS22">
            <v>51937</v>
          </cell>
        </row>
        <row r="23">
          <cell r="FS23">
            <v>49958</v>
          </cell>
        </row>
        <row r="27">
          <cell r="FS27">
            <v>357</v>
          </cell>
        </row>
        <row r="28">
          <cell r="FS28">
            <v>343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  <row r="70">
          <cell r="FS70"/>
        </row>
        <row r="71">
          <cell r="FS71"/>
        </row>
        <row r="73">
          <cell r="FS73"/>
        </row>
        <row r="74">
          <cell r="FS74"/>
        </row>
      </sheetData>
      <sheetData sheetId="20">
        <row r="4">
          <cell r="FS4">
            <v>629</v>
          </cell>
        </row>
        <row r="5">
          <cell r="FS5">
            <v>623</v>
          </cell>
        </row>
        <row r="8">
          <cell r="FS8">
            <v>93</v>
          </cell>
        </row>
        <row r="9">
          <cell r="FS9">
            <v>101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</row>
        <row r="22">
          <cell r="FS22">
            <v>84962</v>
          </cell>
        </row>
        <row r="23">
          <cell r="FS23">
            <v>84695</v>
          </cell>
        </row>
        <row r="27">
          <cell r="FS27">
            <v>1882</v>
          </cell>
        </row>
        <row r="28">
          <cell r="FS28">
            <v>1645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</row>
        <row r="47">
          <cell r="FS47">
            <v>282455</v>
          </cell>
        </row>
        <row r="48">
          <cell r="FS48">
            <v>383070</v>
          </cell>
        </row>
        <row r="52">
          <cell r="FS52">
            <v>195311</v>
          </cell>
        </row>
        <row r="53">
          <cell r="FS53">
            <v>450464</v>
          </cell>
        </row>
        <row r="57">
          <cell r="FS57"/>
        </row>
        <row r="58">
          <cell r="FS58"/>
        </row>
        <row r="70">
          <cell r="FS70">
            <v>79486</v>
          </cell>
        </row>
        <row r="71">
          <cell r="FS71">
            <v>5209</v>
          </cell>
        </row>
        <row r="73">
          <cell r="FS73">
            <v>1687</v>
          </cell>
        </row>
        <row r="74">
          <cell r="FS74">
            <v>119</v>
          </cell>
        </row>
      </sheetData>
      <sheetData sheetId="21">
        <row r="4">
          <cell r="FS4">
            <v>374</v>
          </cell>
        </row>
        <row r="5">
          <cell r="FS5">
            <v>374</v>
          </cell>
        </row>
        <row r="8">
          <cell r="FS8"/>
        </row>
        <row r="9">
          <cell r="FS9"/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</row>
        <row r="22">
          <cell r="FS22">
            <v>47058</v>
          </cell>
        </row>
        <row r="23">
          <cell r="FS23">
            <v>45681</v>
          </cell>
        </row>
        <row r="27">
          <cell r="FS27">
            <v>169</v>
          </cell>
        </row>
        <row r="28">
          <cell r="FS28">
            <v>1723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</row>
        <row r="47">
          <cell r="FS47">
            <v>48918</v>
          </cell>
        </row>
        <row r="48">
          <cell r="FS48">
            <v>18601</v>
          </cell>
        </row>
        <row r="52">
          <cell r="FS52">
            <v>32479</v>
          </cell>
        </row>
        <row r="53">
          <cell r="FS53">
            <v>51308</v>
          </cell>
        </row>
        <row r="57">
          <cell r="FS57"/>
        </row>
        <row r="58">
          <cell r="FS58"/>
        </row>
      </sheetData>
      <sheetData sheetId="22"/>
      <sheetData sheetId="23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</row>
      </sheetData>
      <sheetData sheetId="24"/>
      <sheetData sheetId="25"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</row>
        <row r="32">
          <cell r="FN32"/>
          <cell r="FO32"/>
          <cell r="FP32"/>
          <cell r="FQ32"/>
          <cell r="FR32"/>
          <cell r="FS32"/>
        </row>
        <row r="33">
          <cell r="FN33"/>
          <cell r="FO33"/>
          <cell r="FP33"/>
          <cell r="FQ33"/>
          <cell r="FR33"/>
          <cell r="FS33"/>
        </row>
        <row r="37">
          <cell r="FN37"/>
          <cell r="FO37"/>
          <cell r="FP37"/>
          <cell r="FQ37"/>
          <cell r="FR37"/>
          <cell r="FS37"/>
        </row>
        <row r="38">
          <cell r="FN38"/>
          <cell r="FO38"/>
          <cell r="FP38"/>
          <cell r="FQ38"/>
          <cell r="FR38"/>
          <cell r="FS38"/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</row>
      </sheetData>
      <sheetData sheetId="26">
        <row r="4">
          <cell r="FS4"/>
        </row>
        <row r="5">
          <cell r="FS5"/>
        </row>
        <row r="8">
          <cell r="FS8"/>
        </row>
        <row r="9">
          <cell r="FS9"/>
        </row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</row>
        <row r="47">
          <cell r="FS47"/>
        </row>
        <row r="48">
          <cell r="FS48"/>
        </row>
        <row r="52">
          <cell r="BH52"/>
        </row>
        <row r="53">
          <cell r="FS53"/>
        </row>
        <row r="57">
          <cell r="BG57"/>
        </row>
        <row r="58">
          <cell r="BG58"/>
        </row>
      </sheetData>
      <sheetData sheetId="27">
        <row r="4">
          <cell r="FS4">
            <v>10</v>
          </cell>
        </row>
        <row r="5">
          <cell r="FS5">
            <v>10</v>
          </cell>
        </row>
        <row r="8">
          <cell r="FS8"/>
        </row>
        <row r="9">
          <cell r="FS9"/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</row>
        <row r="22">
          <cell r="FS22">
            <v>596</v>
          </cell>
        </row>
        <row r="23">
          <cell r="FS23">
            <v>601</v>
          </cell>
        </row>
        <row r="27">
          <cell r="FS27">
            <v>53</v>
          </cell>
        </row>
        <row r="28">
          <cell r="FS28">
            <v>41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28">
        <row r="4">
          <cell r="FS4">
            <v>28</v>
          </cell>
        </row>
        <row r="5">
          <cell r="FS5">
            <v>28</v>
          </cell>
        </row>
        <row r="8">
          <cell r="FS8"/>
        </row>
        <row r="9">
          <cell r="FS9"/>
        </row>
        <row r="15">
          <cell r="FN15">
            <v>21</v>
          </cell>
          <cell r="FO15">
            <v>22</v>
          </cell>
          <cell r="FP15">
            <v>2</v>
          </cell>
          <cell r="FQ15"/>
          <cell r="FR15"/>
        </row>
        <row r="16">
          <cell r="FN16">
            <v>23</v>
          </cell>
          <cell r="FO16">
            <v>26</v>
          </cell>
          <cell r="FP16">
            <v>5</v>
          </cell>
          <cell r="FQ16"/>
          <cell r="FR16"/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</row>
        <row r="22">
          <cell r="FS22">
            <v>1254</v>
          </cell>
        </row>
        <row r="23">
          <cell r="FS23">
            <v>1246</v>
          </cell>
        </row>
        <row r="27">
          <cell r="FS27">
            <v>30</v>
          </cell>
        </row>
        <row r="28">
          <cell r="FS28">
            <v>45</v>
          </cell>
        </row>
        <row r="32">
          <cell r="FN32">
            <v>1136</v>
          </cell>
          <cell r="FO32">
            <v>1111</v>
          </cell>
          <cell r="FP32">
            <v>122</v>
          </cell>
          <cell r="FQ32"/>
          <cell r="FR32"/>
          <cell r="FS32"/>
        </row>
        <row r="33">
          <cell r="FN33">
            <v>1362</v>
          </cell>
          <cell r="FO33">
            <v>1562</v>
          </cell>
          <cell r="FP33">
            <v>242</v>
          </cell>
          <cell r="FQ33"/>
          <cell r="FR33"/>
          <cell r="FS33"/>
        </row>
        <row r="37">
          <cell r="FN37">
            <v>17</v>
          </cell>
          <cell r="FO37">
            <v>30</v>
          </cell>
          <cell r="FP37">
            <v>1</v>
          </cell>
          <cell r="FQ37"/>
          <cell r="FR37"/>
          <cell r="FS37"/>
        </row>
        <row r="38">
          <cell r="FN38">
            <v>14</v>
          </cell>
          <cell r="FO38">
            <v>17</v>
          </cell>
          <cell r="FP38">
            <v>4</v>
          </cell>
          <cell r="FQ38"/>
          <cell r="FR38"/>
          <cell r="FS38"/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G58"/>
        </row>
        <row r="70">
          <cell r="FS70">
            <v>430</v>
          </cell>
        </row>
        <row r="71">
          <cell r="FS71">
            <v>816</v>
          </cell>
        </row>
        <row r="73">
          <cell r="FS73"/>
        </row>
        <row r="74">
          <cell r="FS74"/>
        </row>
      </sheetData>
      <sheetData sheetId="29"/>
      <sheetData sheetId="30"/>
      <sheetData sheetId="31"/>
      <sheetData sheetId="32">
        <row r="4">
          <cell r="FS4"/>
        </row>
        <row r="5">
          <cell r="FS5"/>
        </row>
        <row r="8">
          <cell r="FS8"/>
        </row>
        <row r="9">
          <cell r="FS9"/>
        </row>
        <row r="15">
          <cell r="FN15"/>
          <cell r="FO15">
            <v>1</v>
          </cell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32">
          <cell r="FN32"/>
          <cell r="FO32"/>
          <cell r="FP32"/>
          <cell r="FQ32"/>
          <cell r="FR32"/>
          <cell r="FS32"/>
        </row>
        <row r="33">
          <cell r="FN33"/>
          <cell r="FO33"/>
          <cell r="FP33"/>
          <cell r="FQ33"/>
          <cell r="FR33"/>
          <cell r="FS33"/>
        </row>
        <row r="37">
          <cell r="FN37"/>
          <cell r="FO37"/>
          <cell r="FP37"/>
          <cell r="FQ37"/>
          <cell r="FR37"/>
          <cell r="FS37"/>
        </row>
        <row r="38">
          <cell r="FN38"/>
          <cell r="FO38"/>
          <cell r="FP38"/>
          <cell r="FQ38"/>
          <cell r="FR38"/>
          <cell r="FS38"/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G58"/>
        </row>
        <row r="70">
          <cell r="BG70">
            <v>26242</v>
          </cell>
          <cell r="FS70"/>
        </row>
        <row r="71">
          <cell r="BG71">
            <v>44562</v>
          </cell>
          <cell r="FS71"/>
        </row>
        <row r="73">
          <cell r="BG73">
            <v>1540</v>
          </cell>
          <cell r="FS73"/>
        </row>
        <row r="74">
          <cell r="BG74">
            <v>2614</v>
          </cell>
          <cell r="FS74"/>
        </row>
      </sheetData>
      <sheetData sheetId="33"/>
      <sheetData sheetId="34">
        <row r="4">
          <cell r="FS4"/>
        </row>
        <row r="5">
          <cell r="FS5"/>
        </row>
        <row r="8">
          <cell r="FS8"/>
        </row>
        <row r="9">
          <cell r="FS9"/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G58"/>
        </row>
      </sheetData>
      <sheetData sheetId="35"/>
      <sheetData sheetId="36">
        <row r="4">
          <cell r="FS4">
            <v>282</v>
          </cell>
        </row>
        <row r="5">
          <cell r="FS5">
            <v>282</v>
          </cell>
        </row>
        <row r="8">
          <cell r="FS8"/>
        </row>
        <row r="9">
          <cell r="FS9">
            <v>1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</row>
        <row r="22">
          <cell r="FS22">
            <v>17699</v>
          </cell>
        </row>
        <row r="23">
          <cell r="FS23">
            <v>17627</v>
          </cell>
        </row>
        <row r="27">
          <cell r="FS27">
            <v>577</v>
          </cell>
        </row>
        <row r="28">
          <cell r="FS28">
            <v>579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</row>
        <row r="37">
          <cell r="FN37">
            <v>47</v>
          </cell>
          <cell r="FO37">
            <v>35</v>
          </cell>
          <cell r="FP37"/>
          <cell r="FQ37">
            <v>53</v>
          </cell>
          <cell r="FR37">
            <v>60</v>
          </cell>
          <cell r="FS37">
            <v>18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</row>
        <row r="47">
          <cell r="FS47">
            <v>69</v>
          </cell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K58"/>
        </row>
        <row r="70">
          <cell r="FS70">
            <v>8020</v>
          </cell>
        </row>
        <row r="71">
          <cell r="FS71">
            <v>9607</v>
          </cell>
        </row>
        <row r="73">
          <cell r="FS73">
            <v>371</v>
          </cell>
        </row>
        <row r="74">
          <cell r="FS74">
            <v>444</v>
          </cell>
        </row>
      </sheetData>
      <sheetData sheetId="37">
        <row r="4">
          <cell r="FS4">
            <v>3</v>
          </cell>
        </row>
        <row r="5">
          <cell r="FS5">
            <v>3</v>
          </cell>
        </row>
        <row r="8">
          <cell r="FS8"/>
        </row>
        <row r="9">
          <cell r="FS9"/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</row>
        <row r="22">
          <cell r="FS22">
            <v>192</v>
          </cell>
        </row>
        <row r="23">
          <cell r="FS23">
            <v>199</v>
          </cell>
        </row>
        <row r="27">
          <cell r="FS27">
            <v>5</v>
          </cell>
        </row>
        <row r="28">
          <cell r="FS28">
            <v>6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AJ57"/>
        </row>
        <row r="58">
          <cell r="AJ58"/>
        </row>
      </sheetData>
      <sheetData sheetId="38">
        <row r="4">
          <cell r="FS4">
            <v>60</v>
          </cell>
        </row>
        <row r="5">
          <cell r="FS5">
            <v>60</v>
          </cell>
        </row>
        <row r="8">
          <cell r="FS8"/>
        </row>
        <row r="9">
          <cell r="FS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</row>
        <row r="22">
          <cell r="FS22">
            <v>4110</v>
          </cell>
        </row>
        <row r="23">
          <cell r="FS23">
            <v>4039</v>
          </cell>
        </row>
        <row r="27">
          <cell r="FS27">
            <v>167</v>
          </cell>
        </row>
        <row r="28">
          <cell r="FS28">
            <v>94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</row>
        <row r="47">
          <cell r="FS47">
            <v>2487</v>
          </cell>
        </row>
        <row r="48">
          <cell r="FS48">
            <v>131</v>
          </cell>
        </row>
        <row r="52">
          <cell r="FS52">
            <v>48</v>
          </cell>
        </row>
        <row r="53">
          <cell r="FS53">
            <v>96</v>
          </cell>
        </row>
        <row r="57">
          <cell r="FS57"/>
        </row>
        <row r="58">
          <cell r="BF58"/>
        </row>
      </sheetData>
      <sheetData sheetId="39">
        <row r="4">
          <cell r="FS4">
            <v>145</v>
          </cell>
        </row>
        <row r="5">
          <cell r="FS5">
            <v>145</v>
          </cell>
        </row>
        <row r="8">
          <cell r="FS8"/>
        </row>
        <row r="9">
          <cell r="FS9"/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</row>
        <row r="22">
          <cell r="FS22">
            <v>10135</v>
          </cell>
        </row>
        <row r="23">
          <cell r="FS23">
            <v>9993</v>
          </cell>
        </row>
        <row r="27">
          <cell r="FS27">
            <v>235</v>
          </cell>
        </row>
        <row r="28">
          <cell r="FS28">
            <v>258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4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S4">
            <v>866</v>
          </cell>
        </row>
        <row r="5">
          <cell r="FS5">
            <v>866</v>
          </cell>
        </row>
        <row r="8">
          <cell r="FS8">
            <v>2</v>
          </cell>
        </row>
        <row r="9">
          <cell r="FS9">
            <v>2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</row>
        <row r="22">
          <cell r="FS22">
            <v>53251</v>
          </cell>
        </row>
        <row r="23">
          <cell r="FS23">
            <v>52617</v>
          </cell>
        </row>
        <row r="27">
          <cell r="FS27">
            <v>2189</v>
          </cell>
        </row>
        <row r="28">
          <cell r="FS28">
            <v>1963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  <row r="70">
          <cell r="FS70">
            <v>19100</v>
          </cell>
        </row>
        <row r="71">
          <cell r="FS71">
            <v>33517</v>
          </cell>
        </row>
        <row r="73">
          <cell r="FS73">
            <v>3679</v>
          </cell>
        </row>
        <row r="74">
          <cell r="FS74">
            <v>6455</v>
          </cell>
        </row>
      </sheetData>
      <sheetData sheetId="43">
        <row r="4">
          <cell r="FS4"/>
        </row>
        <row r="5">
          <cell r="FS5"/>
        </row>
        <row r="8">
          <cell r="FS8"/>
        </row>
        <row r="9">
          <cell r="FS9"/>
        </row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G58"/>
        </row>
      </sheetData>
      <sheetData sheetId="44">
        <row r="4">
          <cell r="FS4">
            <v>212</v>
          </cell>
        </row>
        <row r="5">
          <cell r="FS5">
            <v>213</v>
          </cell>
        </row>
        <row r="8">
          <cell r="FS8"/>
        </row>
        <row r="9">
          <cell r="FS9"/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</row>
        <row r="22">
          <cell r="FS22">
            <v>12887</v>
          </cell>
        </row>
        <row r="23">
          <cell r="FS23">
            <v>12785</v>
          </cell>
        </row>
        <row r="27">
          <cell r="FS27">
            <v>550</v>
          </cell>
        </row>
        <row r="28">
          <cell r="FS28">
            <v>581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45">
        <row r="4">
          <cell r="FS4">
            <v>222</v>
          </cell>
        </row>
        <row r="5">
          <cell r="FS5">
            <v>222</v>
          </cell>
        </row>
        <row r="8">
          <cell r="FS8"/>
        </row>
        <row r="9">
          <cell r="FS9"/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</row>
        <row r="22">
          <cell r="FS22">
            <v>14119</v>
          </cell>
        </row>
        <row r="23">
          <cell r="FS23">
            <v>14330</v>
          </cell>
        </row>
        <row r="27">
          <cell r="FS27">
            <v>519</v>
          </cell>
        </row>
        <row r="28">
          <cell r="FS28">
            <v>551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</sheetData>
      <sheetData sheetId="46">
        <row r="8">
          <cell r="FS8"/>
        </row>
        <row r="9">
          <cell r="FS9"/>
        </row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</row>
        <row r="47">
          <cell r="FS47">
            <v>1673</v>
          </cell>
        </row>
        <row r="48">
          <cell r="FS48"/>
        </row>
        <row r="52">
          <cell r="FS52">
            <v>1669</v>
          </cell>
        </row>
        <row r="53">
          <cell r="FS53"/>
        </row>
      </sheetData>
      <sheetData sheetId="47">
        <row r="4">
          <cell r="FS4">
            <v>4088</v>
          </cell>
        </row>
        <row r="5">
          <cell r="FS5">
            <v>4082</v>
          </cell>
        </row>
        <row r="8">
          <cell r="FS8"/>
        </row>
        <row r="9">
          <cell r="FS9">
            <v>6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</row>
        <row r="22">
          <cell r="FS22">
            <v>194426</v>
          </cell>
        </row>
        <row r="23">
          <cell r="FS23">
            <v>195745</v>
          </cell>
        </row>
        <row r="27">
          <cell r="FS27">
            <v>7964</v>
          </cell>
        </row>
        <row r="28">
          <cell r="FS28">
            <v>7798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  <row r="70">
          <cell r="FS70">
            <v>60681</v>
          </cell>
        </row>
        <row r="71">
          <cell r="FS71">
            <v>135064</v>
          </cell>
        </row>
        <row r="73">
          <cell r="FS73">
            <v>2516</v>
          </cell>
        </row>
        <row r="74">
          <cell r="FS74">
            <v>5600</v>
          </cell>
        </row>
      </sheetData>
      <sheetData sheetId="48">
        <row r="4">
          <cell r="FS4">
            <v>48</v>
          </cell>
        </row>
        <row r="5">
          <cell r="FS5">
            <v>48</v>
          </cell>
        </row>
        <row r="8">
          <cell r="FS8"/>
        </row>
        <row r="9">
          <cell r="FS9"/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</row>
        <row r="22">
          <cell r="FS22">
            <v>3081</v>
          </cell>
        </row>
        <row r="23">
          <cell r="FS23">
            <v>3090</v>
          </cell>
        </row>
        <row r="27">
          <cell r="FS27">
            <v>141</v>
          </cell>
        </row>
        <row r="28">
          <cell r="FS28">
            <v>106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49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</sheetData>
      <sheetData sheetId="50">
        <row r="4">
          <cell r="FS4">
            <v>24</v>
          </cell>
        </row>
        <row r="5">
          <cell r="FS5">
            <v>24</v>
          </cell>
        </row>
        <row r="8">
          <cell r="FS8"/>
        </row>
        <row r="9">
          <cell r="FS9"/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</row>
        <row r="22">
          <cell r="FS22">
            <v>1498</v>
          </cell>
        </row>
        <row r="23">
          <cell r="FS23">
            <v>1556</v>
          </cell>
        </row>
        <row r="27">
          <cell r="FS27">
            <v>70</v>
          </cell>
        </row>
        <row r="28">
          <cell r="FS28">
            <v>54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</row>
        <row r="47">
          <cell r="FS47">
            <v>153</v>
          </cell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</sheetData>
      <sheetData sheetId="51">
        <row r="4">
          <cell r="FS4">
            <v>30</v>
          </cell>
        </row>
        <row r="5">
          <cell r="FS5">
            <v>30</v>
          </cell>
        </row>
        <row r="8">
          <cell r="FS8"/>
        </row>
        <row r="9">
          <cell r="FS9"/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</row>
        <row r="22">
          <cell r="FS22">
            <v>2142</v>
          </cell>
        </row>
        <row r="23">
          <cell r="FS23">
            <v>2069</v>
          </cell>
        </row>
        <row r="27">
          <cell r="FS27">
            <v>77</v>
          </cell>
        </row>
        <row r="28">
          <cell r="FS28">
            <v>94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</row>
        <row r="47">
          <cell r="FS47">
            <v>834</v>
          </cell>
        </row>
        <row r="48">
          <cell r="FS48"/>
        </row>
        <row r="52">
          <cell r="FS52"/>
        </row>
        <row r="53">
          <cell r="FS53">
            <v>3016</v>
          </cell>
        </row>
        <row r="57">
          <cell r="FS57"/>
        </row>
        <row r="58">
          <cell r="FS58"/>
        </row>
      </sheetData>
      <sheetData sheetId="52">
        <row r="4">
          <cell r="FS4"/>
        </row>
        <row r="5">
          <cell r="FS5"/>
        </row>
        <row r="8">
          <cell r="FS8"/>
        </row>
        <row r="9">
          <cell r="FS9"/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H58"/>
        </row>
        <row r="70">
          <cell r="FS70"/>
        </row>
        <row r="71">
          <cell r="FS71"/>
        </row>
        <row r="73">
          <cell r="FS73"/>
        </row>
        <row r="74">
          <cell r="FS74"/>
        </row>
      </sheetData>
      <sheetData sheetId="53">
        <row r="4">
          <cell r="FS4"/>
        </row>
        <row r="5">
          <cell r="FS5"/>
        </row>
        <row r="8">
          <cell r="FS8"/>
        </row>
        <row r="9">
          <cell r="FS9"/>
        </row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</row>
        <row r="22">
          <cell r="FS22"/>
        </row>
        <row r="23">
          <cell r="FS23"/>
        </row>
        <row r="27">
          <cell r="FS27"/>
        </row>
        <row r="28">
          <cell r="FS28"/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BG58"/>
        </row>
      </sheetData>
      <sheetData sheetId="54"/>
      <sheetData sheetId="55"/>
      <sheetData sheetId="56"/>
      <sheetData sheetId="57">
        <row r="4">
          <cell r="FS4"/>
        </row>
        <row r="5">
          <cell r="FS5"/>
        </row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22">
          <cell r="FS22"/>
        </row>
        <row r="23">
          <cell r="FS23"/>
        </row>
        <row r="32">
          <cell r="FN32"/>
          <cell r="FO32"/>
          <cell r="FP32"/>
          <cell r="FQ32"/>
          <cell r="FR32"/>
          <cell r="FS32"/>
        </row>
        <row r="33">
          <cell r="FN33"/>
          <cell r="FO33"/>
          <cell r="FP33"/>
          <cell r="FQ33"/>
          <cell r="FR33"/>
          <cell r="FS33"/>
        </row>
        <row r="37">
          <cell r="FN37"/>
          <cell r="FO37"/>
          <cell r="FP37"/>
          <cell r="FQ37"/>
          <cell r="FR37"/>
          <cell r="FS37"/>
        </row>
        <row r="38">
          <cell r="FN38"/>
          <cell r="FO38"/>
          <cell r="FP38"/>
          <cell r="FQ38"/>
          <cell r="FR38"/>
          <cell r="FS38"/>
        </row>
      </sheetData>
      <sheetData sheetId="58">
        <row r="4">
          <cell r="FS4"/>
        </row>
        <row r="5">
          <cell r="FS5"/>
        </row>
        <row r="22">
          <cell r="FS22"/>
        </row>
        <row r="23">
          <cell r="FS23"/>
        </row>
        <row r="32">
          <cell r="FS32"/>
        </row>
        <row r="33">
          <cell r="FS33"/>
        </row>
      </sheetData>
      <sheetData sheetId="59"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32">
          <cell r="FN32"/>
          <cell r="FO32"/>
          <cell r="FP32"/>
          <cell r="FQ32"/>
          <cell r="FR32"/>
          <cell r="FS32"/>
        </row>
        <row r="33">
          <cell r="FN33"/>
          <cell r="FO33"/>
          <cell r="FP33"/>
          <cell r="FQ33"/>
          <cell r="FR33"/>
          <cell r="FS33"/>
        </row>
        <row r="37">
          <cell r="FN37"/>
          <cell r="FO37"/>
          <cell r="FP37"/>
          <cell r="FQ37"/>
          <cell r="FR37"/>
          <cell r="FS37"/>
        </row>
        <row r="38">
          <cell r="FN38"/>
          <cell r="FO38"/>
          <cell r="FP38"/>
          <cell r="FQ38"/>
          <cell r="FR38"/>
          <cell r="FS38"/>
        </row>
      </sheetData>
      <sheetData sheetId="60">
        <row r="4">
          <cell r="FS4">
            <v>27</v>
          </cell>
        </row>
        <row r="5">
          <cell r="FS5">
            <v>27</v>
          </cell>
        </row>
        <row r="8">
          <cell r="FS8"/>
        </row>
        <row r="9">
          <cell r="FS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56</v>
          </cell>
        </row>
        <row r="47">
          <cell r="FS47">
            <v>939406</v>
          </cell>
        </row>
        <row r="48">
          <cell r="FS48"/>
        </row>
        <row r="52">
          <cell r="FS52">
            <v>889203</v>
          </cell>
        </row>
        <row r="53">
          <cell r="FS53"/>
        </row>
        <row r="57">
          <cell r="FS57"/>
        </row>
        <row r="58">
          <cell r="FS58"/>
        </row>
        <row r="64"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</row>
      </sheetData>
      <sheetData sheetId="61">
        <row r="4">
          <cell r="FS4">
            <v>1</v>
          </cell>
        </row>
        <row r="5">
          <cell r="FS5"/>
        </row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22">
          <cell r="FS22">
            <v>140</v>
          </cell>
        </row>
        <row r="23">
          <cell r="FS23"/>
        </row>
        <row r="32">
          <cell r="FN32"/>
          <cell r="FO32"/>
          <cell r="FP32"/>
          <cell r="FQ32">
            <v>37</v>
          </cell>
          <cell r="FR32"/>
          <cell r="FS32"/>
        </row>
        <row r="33">
          <cell r="FN33"/>
          <cell r="FO33"/>
          <cell r="FP33"/>
          <cell r="FQ33"/>
          <cell r="FR33"/>
          <cell r="FS33"/>
        </row>
        <row r="37">
          <cell r="FN37"/>
          <cell r="FO37"/>
          <cell r="FP37"/>
          <cell r="FQ37"/>
          <cell r="FR37"/>
          <cell r="FS37"/>
        </row>
        <row r="38">
          <cell r="FN38"/>
          <cell r="FO38"/>
          <cell r="FP38"/>
          <cell r="FQ38"/>
          <cell r="FR38"/>
          <cell r="FS38"/>
        </row>
      </sheetData>
      <sheetData sheetId="62"/>
      <sheetData sheetId="63">
        <row r="4">
          <cell r="FS4">
            <v>20</v>
          </cell>
        </row>
        <row r="5">
          <cell r="FS5">
            <v>20</v>
          </cell>
        </row>
        <row r="19"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N19">
            <v>42</v>
          </cell>
          <cell r="FO19">
            <v>40</v>
          </cell>
          <cell r="FP19">
            <v>32</v>
          </cell>
          <cell r="FQ19">
            <v>40</v>
          </cell>
          <cell r="FR19">
            <v>42</v>
          </cell>
          <cell r="FS19">
            <v>40</v>
          </cell>
        </row>
        <row r="47">
          <cell r="FS47">
            <v>762635</v>
          </cell>
        </row>
        <row r="48">
          <cell r="FS48"/>
        </row>
        <row r="52">
          <cell r="FS52">
            <v>532933</v>
          </cell>
        </row>
        <row r="53">
          <cell r="FS53"/>
        </row>
        <row r="57">
          <cell r="FS57"/>
        </row>
        <row r="58">
          <cell r="FS58"/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</row>
      </sheetData>
      <sheetData sheetId="64">
        <row r="4">
          <cell r="FS4">
            <v>20</v>
          </cell>
        </row>
        <row r="5">
          <cell r="FS5">
            <v>20</v>
          </cell>
        </row>
        <row r="19"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N19">
            <v>38</v>
          </cell>
          <cell r="FO19">
            <v>52</v>
          </cell>
          <cell r="FP19">
            <v>48</v>
          </cell>
          <cell r="FQ19">
            <v>40</v>
          </cell>
          <cell r="FR19">
            <v>44</v>
          </cell>
          <cell r="FS19">
            <v>40</v>
          </cell>
        </row>
        <row r="47">
          <cell r="FS47">
            <v>22207</v>
          </cell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</row>
      </sheetData>
      <sheetData sheetId="65">
        <row r="19"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</row>
      </sheetData>
      <sheetData sheetId="66">
        <row r="4">
          <cell r="FS4">
            <v>107</v>
          </cell>
        </row>
        <row r="5">
          <cell r="FS5">
            <v>107</v>
          </cell>
        </row>
        <row r="19"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N19">
            <v>258</v>
          </cell>
          <cell r="FO19">
            <v>242</v>
          </cell>
          <cell r="FP19">
            <v>270</v>
          </cell>
          <cell r="FQ19">
            <v>202</v>
          </cell>
          <cell r="FR19">
            <v>232</v>
          </cell>
          <cell r="FS19">
            <v>214</v>
          </cell>
        </row>
        <row r="47">
          <cell r="FS47">
            <v>8712522</v>
          </cell>
        </row>
        <row r="48">
          <cell r="FS48"/>
        </row>
        <row r="52">
          <cell r="FS52">
            <v>8102358</v>
          </cell>
        </row>
        <row r="53">
          <cell r="FS53"/>
        </row>
        <row r="57">
          <cell r="FS57"/>
        </row>
        <row r="58">
          <cell r="FS58"/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</row>
      </sheetData>
      <sheetData sheetId="67">
        <row r="4">
          <cell r="FS4">
            <v>107</v>
          </cell>
        </row>
        <row r="5">
          <cell r="FS5">
            <v>107</v>
          </cell>
        </row>
        <row r="15">
          <cell r="FS15">
            <v>18</v>
          </cell>
        </row>
        <row r="16">
          <cell r="FS16">
            <v>18</v>
          </cell>
        </row>
        <row r="19"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N19">
            <v>232</v>
          </cell>
          <cell r="FO19">
            <v>216</v>
          </cell>
          <cell r="FP19">
            <v>238</v>
          </cell>
          <cell r="FQ19">
            <v>220</v>
          </cell>
          <cell r="FR19">
            <v>258</v>
          </cell>
          <cell r="FS19">
            <v>250</v>
          </cell>
        </row>
        <row r="47">
          <cell r="FS47">
            <v>6017314</v>
          </cell>
        </row>
        <row r="48">
          <cell r="FS48">
            <v>108</v>
          </cell>
        </row>
        <row r="52">
          <cell r="FS52">
            <v>5184675</v>
          </cell>
        </row>
        <row r="53">
          <cell r="FS53">
            <v>528743</v>
          </cell>
        </row>
        <row r="57">
          <cell r="FS57"/>
        </row>
        <row r="58">
          <cell r="FS58"/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</row>
      </sheetData>
      <sheetData sheetId="68"/>
      <sheetData sheetId="69"/>
      <sheetData sheetId="70"/>
      <sheetData sheetId="71">
        <row r="4">
          <cell r="FS4">
            <v>270</v>
          </cell>
        </row>
        <row r="5">
          <cell r="FS5">
            <v>270</v>
          </cell>
        </row>
        <row r="19"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N19">
            <v>614</v>
          </cell>
          <cell r="FO19">
            <v>520</v>
          </cell>
          <cell r="FP19">
            <v>554</v>
          </cell>
          <cell r="FQ19">
            <v>520</v>
          </cell>
          <cell r="FR19">
            <v>590</v>
          </cell>
          <cell r="FS19">
            <v>540</v>
          </cell>
        </row>
      </sheetData>
      <sheetData sheetId="72">
        <row r="4">
          <cell r="FS4"/>
        </row>
        <row r="5">
          <cell r="FS5"/>
        </row>
        <row r="19"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4</v>
          </cell>
          <cell r="FS19">
            <v>0</v>
          </cell>
        </row>
        <row r="47">
          <cell r="FS47"/>
        </row>
        <row r="48">
          <cell r="FS48"/>
        </row>
        <row r="52">
          <cell r="FS52"/>
        </row>
        <row r="53">
          <cell r="FS53"/>
        </row>
        <row r="57">
          <cell r="FS57"/>
        </row>
        <row r="58">
          <cell r="FS58"/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</row>
      </sheetData>
      <sheetData sheetId="73">
        <row r="4">
          <cell r="FS4">
            <v>22</v>
          </cell>
        </row>
        <row r="5">
          <cell r="FS5">
            <v>22</v>
          </cell>
        </row>
        <row r="19"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N19">
            <v>38</v>
          </cell>
          <cell r="FO19">
            <v>38</v>
          </cell>
          <cell r="FP19">
            <v>38</v>
          </cell>
          <cell r="FQ19">
            <v>38</v>
          </cell>
          <cell r="FR19">
            <v>44</v>
          </cell>
          <cell r="FS19">
            <v>44</v>
          </cell>
        </row>
        <row r="47">
          <cell r="FS47">
            <v>59971</v>
          </cell>
        </row>
        <row r="48">
          <cell r="FS48"/>
        </row>
        <row r="52">
          <cell r="FS52">
            <v>80459</v>
          </cell>
        </row>
        <row r="53">
          <cell r="FS53"/>
        </row>
        <row r="57">
          <cell r="FS57"/>
        </row>
        <row r="58">
          <cell r="FS58"/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</row>
      </sheetData>
      <sheetData sheetId="74">
        <row r="4">
          <cell r="FS4">
            <v>41</v>
          </cell>
        </row>
        <row r="5">
          <cell r="FS5">
            <v>41</v>
          </cell>
        </row>
        <row r="8">
          <cell r="FS8"/>
        </row>
        <row r="9">
          <cell r="FS9">
            <v>1</v>
          </cell>
        </row>
        <row r="19"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N19">
            <v>48</v>
          </cell>
          <cell r="FO19">
            <v>1</v>
          </cell>
          <cell r="FP19">
            <v>88</v>
          </cell>
          <cell r="FQ19">
            <v>90</v>
          </cell>
          <cell r="FR19">
            <v>88</v>
          </cell>
          <cell r="FS19">
            <v>83</v>
          </cell>
        </row>
        <row r="47">
          <cell r="FS47">
            <v>73950</v>
          </cell>
        </row>
        <row r="48">
          <cell r="FS48"/>
        </row>
        <row r="52">
          <cell r="FS52">
            <v>46083</v>
          </cell>
        </row>
        <row r="53">
          <cell r="FS53"/>
        </row>
        <row r="57">
          <cell r="FS57"/>
        </row>
        <row r="58">
          <cell r="FS58"/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</row>
      </sheetData>
      <sheetData sheetId="75">
        <row r="4">
          <cell r="FS4">
            <v>52</v>
          </cell>
        </row>
        <row r="5">
          <cell r="FS5">
            <v>52</v>
          </cell>
        </row>
      </sheetData>
      <sheetData sheetId="76">
        <row r="4">
          <cell r="FS4">
            <v>891</v>
          </cell>
        </row>
        <row r="5">
          <cell r="FS5">
            <v>892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43252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1367996</v>
      </c>
      <c r="C5" s="296">
        <f>'Major Airline Stats'!K5</f>
        <v>1355000</v>
      </c>
      <c r="D5" s="5">
        <f>'Major Airline Stats'!K6</f>
        <v>2722996</v>
      </c>
      <c r="E5" s="9">
        <f>'[1]Monthly Summary'!D5</f>
        <v>2701569</v>
      </c>
      <c r="F5" s="39">
        <f>(D5-E5)/E5</f>
        <v>7.9313169495208152E-3</v>
      </c>
      <c r="G5" s="9">
        <f>+D5+'[2]Monthly Summary'!G5</f>
        <v>14044570</v>
      </c>
      <c r="H5" s="9">
        <f>'[1]Monthly Summary'!G5</f>
        <v>14109531</v>
      </c>
      <c r="I5" s="85">
        <f>(G5-H5)/H5</f>
        <v>-4.6040509780232953E-3</v>
      </c>
      <c r="J5" s="9"/>
    </row>
    <row r="6" spans="1:14" x14ac:dyDescent="0.2">
      <c r="A6" s="67" t="s">
        <v>5</v>
      </c>
      <c r="B6" s="294">
        <f>'Regional Major'!M5</f>
        <v>339378</v>
      </c>
      <c r="C6" s="294">
        <f>'Regional Major'!M6</f>
        <v>341084</v>
      </c>
      <c r="D6" s="5">
        <f>B6+C6</f>
        <v>680462</v>
      </c>
      <c r="E6" s="9">
        <f>'[1]Monthly Summary'!D6</f>
        <v>679292</v>
      </c>
      <c r="F6" s="39">
        <f>(D6-E6)/E6</f>
        <v>1.7223815384253016E-3</v>
      </c>
      <c r="G6" s="9">
        <f>+D6+'[2]Monthly Summary'!G6</f>
        <v>3879154</v>
      </c>
      <c r="H6" s="9">
        <f>'[1]Monthly Summary'!G6</f>
        <v>3816336</v>
      </c>
      <c r="I6" s="85">
        <f>(G6-H6)/H6</f>
        <v>1.6460290708155675E-2</v>
      </c>
      <c r="J6" s="20"/>
      <c r="K6" s="2"/>
    </row>
    <row r="7" spans="1:14" x14ac:dyDescent="0.2">
      <c r="A7" s="67" t="s">
        <v>6</v>
      </c>
      <c r="B7" s="9">
        <f>Charter!G5</f>
        <v>140</v>
      </c>
      <c r="C7" s="295">
        <f>Charter!G6</f>
        <v>0</v>
      </c>
      <c r="D7" s="5">
        <f>B7+C7</f>
        <v>140</v>
      </c>
      <c r="E7" s="9">
        <f>'[1]Monthly Summary'!D7</f>
        <v>1640</v>
      </c>
      <c r="F7" s="39">
        <f>(D7-E7)/E7</f>
        <v>-0.91463414634146345</v>
      </c>
      <c r="G7" s="9">
        <f>+D7+'[2]Monthly Summary'!G7</f>
        <v>2843</v>
      </c>
      <c r="H7" s="9">
        <f>'[1]Monthly Summary'!G7</f>
        <v>2915</v>
      </c>
      <c r="I7" s="85">
        <f>(G7-H7)/H7</f>
        <v>-2.4699828473413378E-2</v>
      </c>
      <c r="J7" s="20"/>
      <c r="K7" s="2"/>
    </row>
    <row r="8" spans="1:14" x14ac:dyDescent="0.2">
      <c r="A8" s="70" t="s">
        <v>7</v>
      </c>
      <c r="B8" s="148">
        <f>SUM(B5:B7)</f>
        <v>1707514</v>
      </c>
      <c r="C8" s="148">
        <f>SUM(C5:C7)</f>
        <v>1696084</v>
      </c>
      <c r="D8" s="148">
        <f>SUM(D5:D7)</f>
        <v>3403598</v>
      </c>
      <c r="E8" s="148">
        <f>SUM(E5:E7)</f>
        <v>3382501</v>
      </c>
      <c r="F8" s="92">
        <f>(D8-E8)/E8</f>
        <v>6.2371008907314441E-3</v>
      </c>
      <c r="G8" s="148">
        <f>SUM(G5:G7)</f>
        <v>17926567</v>
      </c>
      <c r="H8" s="148">
        <f>SUM(H5:H7)</f>
        <v>17928782</v>
      </c>
      <c r="I8" s="91">
        <f>(G8-H8)/H8</f>
        <v>-1.2354436570203152E-4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55112</v>
      </c>
      <c r="C10" s="297">
        <f>'Major Airline Stats'!K10+'Regional Major'!M11</f>
        <v>56955</v>
      </c>
      <c r="D10" s="120">
        <f>SUM(B10:C10)</f>
        <v>112067</v>
      </c>
      <c r="E10" s="120">
        <f>'[1]Monthly Summary'!D10</f>
        <v>113101</v>
      </c>
      <c r="F10" s="93">
        <f>(D10-E10)/E10</f>
        <v>-9.1422710674529846E-3</v>
      </c>
      <c r="G10" s="508">
        <f>+D10+'[2]Monthly Summary'!G10</f>
        <v>616900</v>
      </c>
      <c r="H10" s="120">
        <f>'[1]Monthly Summary'!G10</f>
        <v>602091</v>
      </c>
      <c r="I10" s="96">
        <f>(G10-H10)/H10</f>
        <v>2.459594978167752E-2</v>
      </c>
      <c r="J10" s="264"/>
    </row>
    <row r="11" spans="1:14" ht="15.75" thickBot="1" x14ac:dyDescent="0.3">
      <c r="A11" s="69" t="s">
        <v>13</v>
      </c>
      <c r="B11" s="273">
        <f>B10+B8</f>
        <v>1762626</v>
      </c>
      <c r="C11" s="273">
        <f>C10+C8</f>
        <v>1753039</v>
      </c>
      <c r="D11" s="273">
        <f>D10+D8</f>
        <v>3515665</v>
      </c>
      <c r="E11" s="273">
        <f>E10+E8</f>
        <v>3495602</v>
      </c>
      <c r="F11" s="94">
        <f>(D11-E11)/E11</f>
        <v>5.7394978032396134E-3</v>
      </c>
      <c r="G11" s="273">
        <f>G8+G10</f>
        <v>18543467</v>
      </c>
      <c r="H11" s="273">
        <f>H8+H10</f>
        <v>18530873</v>
      </c>
      <c r="I11" s="97">
        <f>(G11-H11)/H11</f>
        <v>6.7962259522257799E-4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8"/>
      <c r="G13" s="448"/>
      <c r="H13" s="448"/>
      <c r="I13" s="448"/>
    </row>
    <row r="14" spans="1:14" ht="13.5" thickBot="1" x14ac:dyDescent="0.25">
      <c r="A14" s="16"/>
      <c r="B14" s="448" t="s">
        <v>208</v>
      </c>
      <c r="C14" s="448" t="s">
        <v>209</v>
      </c>
      <c r="D14" s="521"/>
      <c r="E14" s="522"/>
      <c r="F14" s="448" t="s">
        <v>2</v>
      </c>
      <c r="G14" s="499" t="s">
        <v>212</v>
      </c>
      <c r="H14" s="499" t="s">
        <v>189</v>
      </c>
      <c r="I14" s="448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10123</v>
      </c>
      <c r="C16" s="305">
        <f>'Major Airline Stats'!K16+'Major Airline Stats'!K20</f>
        <v>10131</v>
      </c>
      <c r="D16" s="47">
        <f t="shared" ref="D16:D21" si="0">SUM(B16:C16)</f>
        <v>20254</v>
      </c>
      <c r="E16" s="9">
        <f>'[1]Monthly Summary'!D16</f>
        <v>20420</v>
      </c>
      <c r="F16" s="95">
        <f t="shared" ref="F16:F22" si="1">(D16-E16)/E16</f>
        <v>-8.1292850146914789E-3</v>
      </c>
      <c r="G16" s="9">
        <f>+D16+'[2]Monthly Summary'!G16</f>
        <v>107259</v>
      </c>
      <c r="H16" s="9">
        <f>'[1]Monthly Summary'!G16</f>
        <v>110389</v>
      </c>
      <c r="I16" s="262">
        <f t="shared" ref="I16:I22" si="2">(G16-H16)/H16</f>
        <v>-2.8354274429517434E-2</v>
      </c>
      <c r="N16" s="130"/>
    </row>
    <row r="17" spans="1:12" x14ac:dyDescent="0.2">
      <c r="A17" s="68" t="s">
        <v>5</v>
      </c>
      <c r="B17" s="47">
        <f>'Regional Major'!M15+'Regional Major'!M18</f>
        <v>6401</v>
      </c>
      <c r="C17" s="47">
        <f>'Regional Major'!M16+'Regional Major'!M19</f>
        <v>6402</v>
      </c>
      <c r="D17" s="47">
        <f>SUM(B17:C17)</f>
        <v>12803</v>
      </c>
      <c r="E17" s="9">
        <f>'[1]Monthly Summary'!D17</f>
        <v>12953</v>
      </c>
      <c r="F17" s="95">
        <f t="shared" si="1"/>
        <v>-1.1580328881340231E-2</v>
      </c>
      <c r="G17" s="9">
        <f>+D17+'[2]Monthly Summary'!G17</f>
        <v>75149</v>
      </c>
      <c r="H17" s="9">
        <f>'[1]Monthly Summary'!G17</f>
        <v>75947</v>
      </c>
      <c r="I17" s="262">
        <f t="shared" si="2"/>
        <v>-1.0507327478373076E-2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0</v>
      </c>
      <c r="D18" s="47">
        <f t="shared" si="0"/>
        <v>1</v>
      </c>
      <c r="E18" s="9">
        <f>'[1]Monthly Summary'!D18</f>
        <v>9</v>
      </c>
      <c r="F18" s="95">
        <f t="shared" si="1"/>
        <v>-0.88888888888888884</v>
      </c>
      <c r="G18" s="9">
        <f>+D18+'[2]Monthly Summary'!G18</f>
        <v>22</v>
      </c>
      <c r="H18" s="9">
        <f>'[1]Monthly Summary'!G18</f>
        <v>22</v>
      </c>
      <c r="I18" s="262">
        <f t="shared" si="2"/>
        <v>0</v>
      </c>
    </row>
    <row r="19" spans="1:12" x14ac:dyDescent="0.2">
      <c r="A19" s="68" t="s">
        <v>11</v>
      </c>
      <c r="B19" s="47">
        <f>Cargo!N4</f>
        <v>632</v>
      </c>
      <c r="C19" s="47">
        <f>Cargo!N5</f>
        <v>632</v>
      </c>
      <c r="D19" s="47">
        <f t="shared" si="0"/>
        <v>1264</v>
      </c>
      <c r="E19" s="9">
        <f>'[1]Monthly Summary'!D19</f>
        <v>1184</v>
      </c>
      <c r="F19" s="95">
        <f t="shared" si="1"/>
        <v>6.7567567567567571E-2</v>
      </c>
      <c r="G19" s="9">
        <f>+D19+'[2]Monthly Summary'!G19</f>
        <v>7364</v>
      </c>
      <c r="H19" s="9">
        <f>'[1]Monthly Summary'!G19</f>
        <v>7222</v>
      </c>
      <c r="I19" s="262">
        <f t="shared" si="2"/>
        <v>1.9662143450567708E-2</v>
      </c>
    </row>
    <row r="20" spans="1:12" x14ac:dyDescent="0.2">
      <c r="A20" s="68" t="s">
        <v>153</v>
      </c>
      <c r="B20" s="47">
        <f>'[3]General Avation'!$FS$4</f>
        <v>891</v>
      </c>
      <c r="C20" s="47">
        <f>'[3]General Avation'!$FS$5</f>
        <v>892</v>
      </c>
      <c r="D20" s="47">
        <f t="shared" si="0"/>
        <v>1783</v>
      </c>
      <c r="E20" s="9">
        <f>'[1]Monthly Summary'!D20</f>
        <v>1949</v>
      </c>
      <c r="F20" s="95">
        <f t="shared" si="1"/>
        <v>-8.5171883016931765E-2</v>
      </c>
      <c r="G20" s="9">
        <f>+D20+'[2]Monthly Summary'!G20</f>
        <v>10133</v>
      </c>
      <c r="H20" s="9">
        <f>'[1]Monthly Summary'!G20</f>
        <v>10937</v>
      </c>
      <c r="I20" s="262">
        <f t="shared" si="2"/>
        <v>-7.3511931974033093E-2</v>
      </c>
    </row>
    <row r="21" spans="1:12" ht="12.75" customHeight="1" x14ac:dyDescent="0.2">
      <c r="A21" s="68" t="s">
        <v>12</v>
      </c>
      <c r="B21" s="18">
        <f>'[3]Military '!$FS$4</f>
        <v>52</v>
      </c>
      <c r="C21" s="18">
        <f>'[3]Military '!$FS$5</f>
        <v>52</v>
      </c>
      <c r="D21" s="18">
        <f t="shared" si="0"/>
        <v>104</v>
      </c>
      <c r="E21" s="120">
        <f>'[1]Monthly Summary'!D21</f>
        <v>68</v>
      </c>
      <c r="F21" s="260">
        <f t="shared" si="1"/>
        <v>0.52941176470588236</v>
      </c>
      <c r="G21" s="120">
        <f>+D21+'[2]Monthly Summary'!G21</f>
        <v>610</v>
      </c>
      <c r="H21" s="120">
        <f>'[1]Monthly Summary'!G21</f>
        <v>275</v>
      </c>
      <c r="I21" s="263">
        <f t="shared" si="2"/>
        <v>1.2181818181818183</v>
      </c>
    </row>
    <row r="22" spans="1:12" ht="15.75" thickBot="1" x14ac:dyDescent="0.3">
      <c r="A22" s="69" t="s">
        <v>28</v>
      </c>
      <c r="B22" s="274">
        <f>SUM(B16:B21)</f>
        <v>18100</v>
      </c>
      <c r="C22" s="274">
        <f>SUM(C16:C21)</f>
        <v>18109</v>
      </c>
      <c r="D22" s="274">
        <f>SUM(D16:D21)</f>
        <v>36209</v>
      </c>
      <c r="E22" s="274">
        <f>SUM(E16:E21)</f>
        <v>36583</v>
      </c>
      <c r="F22" s="270">
        <f t="shared" si="1"/>
        <v>-1.0223327775196129E-2</v>
      </c>
      <c r="G22" s="274">
        <f>SUM(G16:G21)</f>
        <v>200537</v>
      </c>
      <c r="H22" s="274">
        <f>SUM(H16:H21)</f>
        <v>204792</v>
      </c>
      <c r="I22" s="271">
        <f t="shared" si="2"/>
        <v>-2.0777178796046722E-2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8"/>
      <c r="G24" s="448"/>
      <c r="H24" s="448"/>
      <c r="I24" s="448"/>
    </row>
    <row r="25" spans="1:12" ht="13.5" thickBot="1" x14ac:dyDescent="0.25">
      <c r="B25" s="448" t="s">
        <v>0</v>
      </c>
      <c r="C25" s="448" t="s">
        <v>1</v>
      </c>
      <c r="D25" s="521"/>
      <c r="E25" s="522"/>
      <c r="F25" s="448" t="s">
        <v>2</v>
      </c>
      <c r="G25" s="499" t="s">
        <v>212</v>
      </c>
      <c r="H25" s="499" t="s">
        <v>189</v>
      </c>
      <c r="I25" s="448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10483.290777729</v>
      </c>
      <c r="C27" s="22">
        <f>(Cargo!N21+'Major Airline Stats'!K33+'Regional Major'!M30)*0.00045359237</f>
        <v>8249.9865599435907</v>
      </c>
      <c r="D27" s="22">
        <f>(SUM(B27:C27)+('Cargo Summary'!E17*0.00045359237))</f>
        <v>18733.277337672589</v>
      </c>
      <c r="E27" s="9">
        <f>'[1]Monthly Summary'!D27</f>
        <v>18546.71071356026</v>
      </c>
      <c r="F27" s="98">
        <f>(D27-E27)/E27</f>
        <v>1.0059283664564978E-2</v>
      </c>
      <c r="G27" s="9">
        <f>+D27+'[2]Monthly Summary'!G27</f>
        <v>101522.28947569634</v>
      </c>
      <c r="H27" s="9">
        <f>'[1]Monthly Summary'!G27</f>
        <v>99971.453080334992</v>
      </c>
      <c r="I27" s="100">
        <f>(G27-H27)/H27</f>
        <v>1.5512792377991387E-2</v>
      </c>
    </row>
    <row r="28" spans="1:12" x14ac:dyDescent="0.2">
      <c r="A28" s="62" t="s">
        <v>16</v>
      </c>
      <c r="B28" s="22">
        <f>(Cargo!N17+'Major Airline Stats'!K29+'Regional Major'!M26)*0.00045359237</f>
        <v>897.70329868988995</v>
      </c>
      <c r="C28" s="22">
        <f>(Cargo!N22+'Major Airline Stats'!K34+'Regional Major'!M31)*0.00045359237</f>
        <v>1374.7772385000499</v>
      </c>
      <c r="D28" s="22">
        <f>SUM(B28:C28)</f>
        <v>2272.4805371899397</v>
      </c>
      <c r="E28" s="9">
        <f>'[1]Monthly Summary'!D28</f>
        <v>2313.1541650078398</v>
      </c>
      <c r="F28" s="98">
        <f>(D28-E28)/E28</f>
        <v>-1.7583621720155526E-2</v>
      </c>
      <c r="G28" s="120">
        <f>+D28+'[2]Monthly Summary'!G28</f>
        <v>12726.686064969799</v>
      </c>
      <c r="H28" s="9">
        <f>'[1]Monthly Summary'!G28</f>
        <v>12189.56329925719</v>
      </c>
      <c r="I28" s="100">
        <f>(G28-H28)/H28</f>
        <v>4.406415164564103E-2</v>
      </c>
    </row>
    <row r="29" spans="1:12" ht="15.75" thickBot="1" x14ac:dyDescent="0.3">
      <c r="A29" s="63" t="s">
        <v>62</v>
      </c>
      <c r="B29" s="54">
        <f>SUM(B27:B28)</f>
        <v>11380.99407641889</v>
      </c>
      <c r="C29" s="54">
        <f>SUM(C27:C28)</f>
        <v>9624.7637984436406</v>
      </c>
      <c r="D29" s="54">
        <f>SUM(D27:D28)</f>
        <v>21005.757874862527</v>
      </c>
      <c r="E29" s="54">
        <f>SUM(E27:E28)</f>
        <v>20859.8648785681</v>
      </c>
      <c r="F29" s="99">
        <f>(D29-E29)/E29</f>
        <v>6.9939569188830824E-3</v>
      </c>
      <c r="G29" s="54">
        <f>SUM(G27:G28)</f>
        <v>114248.97554066614</v>
      </c>
      <c r="H29" s="54">
        <f>SUM(H27:H28)</f>
        <v>112161.01637959218</v>
      </c>
      <c r="I29" s="101">
        <f>(G29-H29)/H29</f>
        <v>1.8615729675697423E-2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1025605</v>
      </c>
      <c r="C32" s="392">
        <f>B32/C8</f>
        <v>0.60468997997740681</v>
      </c>
      <c r="D32" s="393">
        <f>+B32+'[2]Monthly Summary'!$D$32</f>
        <v>5718462</v>
      </c>
      <c r="E32" s="394">
        <f>+D32/D34</f>
        <v>0.63994011593417277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670479</v>
      </c>
      <c r="C33" s="397">
        <f>+B33/C8</f>
        <v>0.39531002002259324</v>
      </c>
      <c r="D33" s="398">
        <f>+B33+'[2]Monthly Summary'!$D$33</f>
        <v>3217471</v>
      </c>
      <c r="E33" s="399">
        <f>+D33/D34</f>
        <v>0.36005988406582728</v>
      </c>
      <c r="G33" s="408"/>
      <c r="H33" s="408"/>
      <c r="I33" s="407"/>
    </row>
    <row r="34" spans="1:14" ht="13.5" thickBot="1" x14ac:dyDescent="0.25">
      <c r="B34" s="309"/>
      <c r="D34" s="400">
        <f>SUM(D32:D33)</f>
        <v>8935933</v>
      </c>
    </row>
    <row r="35" spans="1:14" ht="13.5" thickBot="1" x14ac:dyDescent="0.25">
      <c r="B35" s="517" t="s">
        <v>230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982467</v>
      </c>
      <c r="C36" s="392">
        <f>+B36/B38</f>
        <v>0.58415295867803974</v>
      </c>
      <c r="D36" s="393">
        <f>'[1]Monthly Summary'!$D$32</f>
        <v>5472754</v>
      </c>
      <c r="E36" s="394">
        <f>+D36/D38</f>
        <v>0.61265362927113665</v>
      </c>
    </row>
    <row r="37" spans="1:14" ht="13.5" thickBot="1" x14ac:dyDescent="0.25">
      <c r="A37" s="395" t="s">
        <v>151</v>
      </c>
      <c r="B37" s="396">
        <f>'[1]Monthly Summary'!$B$33</f>
        <v>699399</v>
      </c>
      <c r="C37" s="399">
        <f>+B37/B38</f>
        <v>0.41584704132196026</v>
      </c>
      <c r="D37" s="398">
        <f>'[1]Monthly Summary'!$D$33</f>
        <v>3460114</v>
      </c>
      <c r="E37" s="399">
        <f>+D37/D38</f>
        <v>0.38734637072886335</v>
      </c>
      <c r="M37" s="13"/>
    </row>
    <row r="38" spans="1:14" x14ac:dyDescent="0.2">
      <c r="B38" s="415">
        <f>+SUM(B36:B37)</f>
        <v>1681866</v>
      </c>
      <c r="D38" s="400">
        <f>SUM(D36:D37)</f>
        <v>8932868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H9" sqref="H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43252</v>
      </c>
      <c r="B1" s="12" t="s">
        <v>18</v>
      </c>
      <c r="C1" s="498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[3]Delta!$FS$32</f>
        <v>79056</v>
      </c>
      <c r="C4" s="21">
        <f>'[3]Atlantic Southeast'!$FS$32</f>
        <v>0</v>
      </c>
      <c r="D4" s="21">
        <f>[3]Pinnacle!$FS$32</f>
        <v>9734</v>
      </c>
      <c r="E4" s="21">
        <f>[3]Compass!$FS$32</f>
        <v>0</v>
      </c>
      <c r="F4" s="21">
        <f>'[3]Sky West'!$FS$32</f>
        <v>7659</v>
      </c>
      <c r="G4" s="21">
        <f>'[3]Go Jet'!$FS$32</f>
        <v>849</v>
      </c>
      <c r="H4" s="21">
        <f>'[3]Sun Country'!$FS$32</f>
        <v>1767</v>
      </c>
      <c r="I4" s="21">
        <f>[3]Icelandair!$FS$32</f>
        <v>6735</v>
      </c>
      <c r="J4" s="21">
        <f>[3]KLM!$FS$32</f>
        <v>5068</v>
      </c>
      <c r="K4" s="21">
        <f>'[3]Air Georgian'!$FS$32</f>
        <v>0</v>
      </c>
      <c r="L4" s="21">
        <f>'[3]Sky Regional'!$FS$32</f>
        <v>5746</v>
      </c>
      <c r="M4" s="21">
        <f>[3]Condor!$FS$32</f>
        <v>2566</v>
      </c>
      <c r="N4" s="21">
        <f>'[3]Air France'!$FS$32</f>
        <v>6449</v>
      </c>
      <c r="O4" s="21">
        <f>'[3]Charter Misc'!$FS$32+[3]Ryan!$FS$32+[3]Omni!$FS$32</f>
        <v>0</v>
      </c>
      <c r="P4" s="281">
        <f>SUM(B4:O4)</f>
        <v>125629</v>
      </c>
    </row>
    <row r="5" spans="1:16" x14ac:dyDescent="0.2">
      <c r="A5" s="62" t="s">
        <v>31</v>
      </c>
      <c r="B5" s="14">
        <f>[3]Delta!$FS$33</f>
        <v>81087</v>
      </c>
      <c r="C5" s="14">
        <f>'[3]Atlantic Southeast'!$FS$33</f>
        <v>0</v>
      </c>
      <c r="D5" s="14">
        <f>[3]Pinnacle!$FS$33</f>
        <v>10134</v>
      </c>
      <c r="E5" s="14">
        <f>[3]Compass!$FS$33</f>
        <v>0</v>
      </c>
      <c r="F5" s="14">
        <f>'[3]Sky West'!$FS$33</f>
        <v>8116</v>
      </c>
      <c r="G5" s="14">
        <f>'[3]Go Jet'!$FS$33</f>
        <v>815</v>
      </c>
      <c r="H5" s="14">
        <f>'[3]Sun Country'!$FS$33</f>
        <v>1806</v>
      </c>
      <c r="I5" s="14">
        <f>[3]Icelandair!$FS$33</f>
        <v>7357</v>
      </c>
      <c r="J5" s="14">
        <f>[3]KLM!$FS$33</f>
        <v>5026</v>
      </c>
      <c r="K5" s="14">
        <f>'[3]Air Georgian'!$FS$33</f>
        <v>0</v>
      </c>
      <c r="L5" s="14">
        <f>'[3]Sky Regional'!$FS$33</f>
        <v>6122</v>
      </c>
      <c r="M5" s="14">
        <f>[3]Condor!$FS$33</f>
        <v>2779</v>
      </c>
      <c r="N5" s="14">
        <f>'[3]Air France'!$FS$33</f>
        <v>6319</v>
      </c>
      <c r="O5" s="14">
        <f>'[3]Charter Misc'!$FS$33++[3]Ryan!$FS$33+[3]Omni!$FS$33</f>
        <v>0</v>
      </c>
      <c r="P5" s="282">
        <f>SUM(B5:O5)</f>
        <v>129561</v>
      </c>
    </row>
    <row r="6" spans="1:16" ht="15" x14ac:dyDescent="0.25">
      <c r="A6" s="60" t="s">
        <v>7</v>
      </c>
      <c r="B6" s="34">
        <f t="shared" ref="B6:O6" si="0">SUM(B4:B5)</f>
        <v>160143</v>
      </c>
      <c r="C6" s="34">
        <f t="shared" si="0"/>
        <v>0</v>
      </c>
      <c r="D6" s="34">
        <f t="shared" si="0"/>
        <v>19868</v>
      </c>
      <c r="E6" s="34">
        <f t="shared" si="0"/>
        <v>0</v>
      </c>
      <c r="F6" s="34">
        <f t="shared" si="0"/>
        <v>15775</v>
      </c>
      <c r="G6" s="34">
        <f t="shared" ref="G6" si="1">SUM(G4:G5)</f>
        <v>1664</v>
      </c>
      <c r="H6" s="34">
        <f t="shared" si="0"/>
        <v>3573</v>
      </c>
      <c r="I6" s="34">
        <f t="shared" si="0"/>
        <v>14092</v>
      </c>
      <c r="J6" s="34">
        <f t="shared" ref="J6" si="2">SUM(J4:J5)</f>
        <v>10094</v>
      </c>
      <c r="K6" s="34">
        <f t="shared" si="0"/>
        <v>0</v>
      </c>
      <c r="L6" s="34">
        <f t="shared" ref="L6" si="3">SUM(L4:L5)</f>
        <v>11868</v>
      </c>
      <c r="M6" s="34">
        <f t="shared" ref="M6" si="4">SUM(M4:M5)</f>
        <v>5345</v>
      </c>
      <c r="N6" s="34">
        <f t="shared" si="0"/>
        <v>12768</v>
      </c>
      <c r="O6" s="34">
        <f t="shared" si="0"/>
        <v>0</v>
      </c>
      <c r="P6" s="283">
        <f>SUM(B6:O6)</f>
        <v>255190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[3]Delta!$FS$37</f>
        <v>2000</v>
      </c>
      <c r="C9" s="21">
        <f>'[3]Atlantic Southeast'!$FS$37</f>
        <v>0</v>
      </c>
      <c r="D9" s="21">
        <f>[3]Pinnacle!$FS$37</f>
        <v>134</v>
      </c>
      <c r="E9" s="21">
        <f>[3]Compass!$FS$37</f>
        <v>0</v>
      </c>
      <c r="F9" s="21">
        <f>'[3]Sky West'!$FS$37</f>
        <v>59</v>
      </c>
      <c r="G9" s="21">
        <f>'[3]Go Jet'!$FS$37</f>
        <v>18</v>
      </c>
      <c r="H9" s="21">
        <f>'[3]Sun Country'!$FS$37</f>
        <v>1</v>
      </c>
      <c r="I9" s="21">
        <f>[3]Icelandair!$FS$37</f>
        <v>64</v>
      </c>
      <c r="J9" s="21">
        <f>[3]KLM!$FS$37</f>
        <v>47</v>
      </c>
      <c r="K9" s="21">
        <f>'[3]Air Georgian'!$FS$37</f>
        <v>0</v>
      </c>
      <c r="L9" s="21">
        <f>'[3]Sky Regional'!$FS$37</f>
        <v>46</v>
      </c>
      <c r="M9" s="21">
        <f>[3]Condor!$FS$37</f>
        <v>0</v>
      </c>
      <c r="N9" s="21">
        <f>'[3]Air France'!$FS$37</f>
        <v>6</v>
      </c>
      <c r="O9" s="21">
        <f>'[3]Charter Misc'!$FS$37+[3]Ryan!$FS$37+[3]Omni!$FS$37</f>
        <v>0</v>
      </c>
      <c r="P9" s="281">
        <f>SUM(B9:O9)</f>
        <v>2375</v>
      </c>
    </row>
    <row r="10" spans="1:16" x14ac:dyDescent="0.2">
      <c r="A10" s="62" t="s">
        <v>33</v>
      </c>
      <c r="B10" s="14">
        <f>[3]Delta!$FS$38</f>
        <v>2239</v>
      </c>
      <c r="C10" s="14">
        <f>'[3]Atlantic Southeast'!$FS$38</f>
        <v>0</v>
      </c>
      <c r="D10" s="14">
        <f>[3]Pinnacle!$FS$38</f>
        <v>156</v>
      </c>
      <c r="E10" s="14">
        <f>[3]Compass!$FS$38</f>
        <v>0</v>
      </c>
      <c r="F10" s="14">
        <f>'[3]Sky West'!$FS$38</f>
        <v>60</v>
      </c>
      <c r="G10" s="14">
        <f>'[3]Go Jet'!$FS$38</f>
        <v>20</v>
      </c>
      <c r="H10" s="14">
        <f>'[3]Sun Country'!$FS$38</f>
        <v>7</v>
      </c>
      <c r="I10" s="14">
        <f>[3]Icelandair!$FS$38</f>
        <v>78</v>
      </c>
      <c r="J10" s="14">
        <f>[3]KLM!$FS$38</f>
        <v>16</v>
      </c>
      <c r="K10" s="14">
        <f>'[3]Air Georgian'!$FS$38</f>
        <v>0</v>
      </c>
      <c r="L10" s="14">
        <f>'[3]Sky Regional'!$FS$38</f>
        <v>40</v>
      </c>
      <c r="M10" s="14">
        <f>[3]Condor!$FS$38</f>
        <v>0</v>
      </c>
      <c r="N10" s="14">
        <f>'[3]Air France'!$FS$38</f>
        <v>8</v>
      </c>
      <c r="O10" s="14">
        <f>'[3]Charter Misc'!$FS$38+[3]Ryan!$FS$38+[3]Omni!$FS$38</f>
        <v>0</v>
      </c>
      <c r="P10" s="282">
        <f>SUM(B10:O10)</f>
        <v>2624</v>
      </c>
    </row>
    <row r="11" spans="1:16" ht="15.75" thickBot="1" x14ac:dyDescent="0.3">
      <c r="A11" s="63" t="s">
        <v>34</v>
      </c>
      <c r="B11" s="284">
        <f t="shared" ref="B11:H11" si="5">SUM(B9:B10)</f>
        <v>4239</v>
      </c>
      <c r="C11" s="284">
        <f t="shared" si="5"/>
        <v>0</v>
      </c>
      <c r="D11" s="284">
        <f t="shared" si="5"/>
        <v>290</v>
      </c>
      <c r="E11" s="284">
        <f t="shared" si="5"/>
        <v>0</v>
      </c>
      <c r="F11" s="284">
        <f t="shared" si="5"/>
        <v>119</v>
      </c>
      <c r="G11" s="284">
        <f t="shared" ref="G11" si="6">SUM(G9:G10)</f>
        <v>38</v>
      </c>
      <c r="H11" s="284">
        <f t="shared" si="5"/>
        <v>8</v>
      </c>
      <c r="I11" s="284">
        <f t="shared" ref="I11:O11" si="7">SUM(I9:I10)</f>
        <v>142</v>
      </c>
      <c r="J11" s="284">
        <f t="shared" ref="J11" si="8">SUM(J9:J10)</f>
        <v>63</v>
      </c>
      <c r="K11" s="284">
        <f t="shared" si="7"/>
        <v>0</v>
      </c>
      <c r="L11" s="284">
        <f t="shared" ref="L11" si="9">SUM(L9:L10)</f>
        <v>86</v>
      </c>
      <c r="M11" s="284">
        <f t="shared" si="7"/>
        <v>0</v>
      </c>
      <c r="N11" s="284">
        <f t="shared" si="7"/>
        <v>14</v>
      </c>
      <c r="O11" s="284">
        <f t="shared" si="7"/>
        <v>0</v>
      </c>
      <c r="P11" s="285">
        <f>SUM(B11:O11)</f>
        <v>4999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8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SUM([3]Delta!$FN$32:$FS$32)</f>
        <v>494322</v>
      </c>
      <c r="C16" s="21">
        <f>SUM('[3]Atlantic Southeast'!$FN$32:$FS$32)</f>
        <v>2369</v>
      </c>
      <c r="D16" s="21">
        <f>SUM([3]Pinnacle!$FN$32:$FS$32)</f>
        <v>34628</v>
      </c>
      <c r="E16" s="21">
        <f>SUM([3]Compass!$FN$32:$FS$32)</f>
        <v>0</v>
      </c>
      <c r="F16" s="21">
        <f>SUM('[3]Sky West'!$FN$32:$FS$32)</f>
        <v>67353</v>
      </c>
      <c r="G16" s="21">
        <f>SUM('[3]Go Jet'!$FN$32:$FS$32)</f>
        <v>13660</v>
      </c>
      <c r="H16" s="21">
        <f>SUM('[3]Sun Country'!$FN$32:$FS$32)</f>
        <v>124615</v>
      </c>
      <c r="I16" s="21">
        <f>SUM([3]Icelandair!$FN$32:$FS$32)</f>
        <v>16713</v>
      </c>
      <c r="J16" s="21">
        <f>SUM([3]KLM!$FN$32:$FS$32)</f>
        <v>19956</v>
      </c>
      <c r="K16" s="21">
        <f>SUM('[3]Air Georgian'!$FN$32:$FS$32)</f>
        <v>0</v>
      </c>
      <c r="L16" s="21">
        <f>SUM('[3]Sky Regional'!$FN$32:$FS$32)</f>
        <v>27492</v>
      </c>
      <c r="M16" s="21">
        <f>SUM([3]Condor!$FN$32:$FS$32)</f>
        <v>3296</v>
      </c>
      <c r="N16" s="21">
        <f>SUM('[3]Air France'!$FN$32:$FS$32)</f>
        <v>10230</v>
      </c>
      <c r="O16" s="21">
        <f>SUM('[3]Charter Misc'!$FN$32:$FS$32)+SUM([3]Ryan!$FN$32:$FS$32)+SUM([3]Omni!$FN$32:$FS$32)</f>
        <v>37</v>
      </c>
      <c r="P16" s="281">
        <f>SUM(B16:O16)</f>
        <v>814671</v>
      </c>
    </row>
    <row r="17" spans="1:19" x14ac:dyDescent="0.2">
      <c r="A17" s="62" t="s">
        <v>31</v>
      </c>
      <c r="B17" s="14">
        <f>SUM([3]Delta!$FN$33:$FS$33)</f>
        <v>487095</v>
      </c>
      <c r="C17" s="14">
        <f>SUM('[3]Atlantic Southeast'!$FN$33:$FS$33)</f>
        <v>3166</v>
      </c>
      <c r="D17" s="14">
        <f>SUM([3]Pinnacle!$FN$33:$FS$33)</f>
        <v>35492</v>
      </c>
      <c r="E17" s="14">
        <f>SUM([3]Compass!$FN$33:$FS$33)</f>
        <v>0</v>
      </c>
      <c r="F17" s="14">
        <f>SUM('[3]Sky West'!$FN$33:$FS$33)</f>
        <v>70411</v>
      </c>
      <c r="G17" s="14">
        <f>SUM('[3]Go Jet'!$FN$33:$FS$33)</f>
        <v>12657</v>
      </c>
      <c r="H17" s="14">
        <f>SUM('[3]Sun Country'!$FN$33:$FS$33)</f>
        <v>118278</v>
      </c>
      <c r="I17" s="14">
        <f>SUM([3]Icelandair!$FN$33:$FS$33)</f>
        <v>18748</v>
      </c>
      <c r="J17" s="14">
        <f>SUM([3]KLM!$FN$33:$FS$33)</f>
        <v>18391</v>
      </c>
      <c r="K17" s="14">
        <f>SUM('[3]Air Georgian'!$FN$33:$FS$33)</f>
        <v>0</v>
      </c>
      <c r="L17" s="14">
        <f>SUM('[3]Sky Regional'!$FN$33:$FS$33)</f>
        <v>27083</v>
      </c>
      <c r="M17" s="14">
        <f>SUM([3]Condor!$FN$33:$FS$33)</f>
        <v>3751</v>
      </c>
      <c r="N17" s="14">
        <f>SUM('[3]Air France'!$FN$33:$FS$33)</f>
        <v>10121</v>
      </c>
      <c r="O17" s="14">
        <f>SUM('[3]Charter Misc'!$FN$33:$FS$33)++SUM([3]Ryan!$FN$33:$FS$33)+SUM([3]Omni!$FN$33:$FS$33)</f>
        <v>0</v>
      </c>
      <c r="P17" s="282">
        <f>SUM(B17:O17)</f>
        <v>805193</v>
      </c>
    </row>
    <row r="18" spans="1:19" ht="15" x14ac:dyDescent="0.25">
      <c r="A18" s="60" t="s">
        <v>7</v>
      </c>
      <c r="B18" s="34">
        <f t="shared" ref="B18:O18" si="10">SUM(B16:B17)</f>
        <v>981417</v>
      </c>
      <c r="C18" s="34">
        <f t="shared" si="10"/>
        <v>5535</v>
      </c>
      <c r="D18" s="34">
        <f t="shared" si="10"/>
        <v>70120</v>
      </c>
      <c r="E18" s="34">
        <f t="shared" si="10"/>
        <v>0</v>
      </c>
      <c r="F18" s="34">
        <f t="shared" si="10"/>
        <v>137764</v>
      </c>
      <c r="G18" s="34">
        <f t="shared" ref="G18" si="11">SUM(G16:G17)</f>
        <v>26317</v>
      </c>
      <c r="H18" s="34">
        <f t="shared" si="10"/>
        <v>242893</v>
      </c>
      <c r="I18" s="34">
        <f t="shared" si="10"/>
        <v>35461</v>
      </c>
      <c r="J18" s="34">
        <f t="shared" ref="J18" si="12">SUM(J16:J17)</f>
        <v>38347</v>
      </c>
      <c r="K18" s="34">
        <f t="shared" si="10"/>
        <v>0</v>
      </c>
      <c r="L18" s="34">
        <f t="shared" ref="L18" si="13">SUM(L16:L17)</f>
        <v>54575</v>
      </c>
      <c r="M18" s="34">
        <f t="shared" ref="M18" si="14">SUM(M16:M17)</f>
        <v>7047</v>
      </c>
      <c r="N18" s="34">
        <f t="shared" si="10"/>
        <v>20351</v>
      </c>
      <c r="O18" s="34">
        <f t="shared" si="10"/>
        <v>37</v>
      </c>
      <c r="P18" s="283">
        <f>SUM(B18:O18)</f>
        <v>1619864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SUM([3]Delta!$FN$37:$FS$37)</f>
        <v>31228</v>
      </c>
      <c r="C21" s="21">
        <f>SUM('[3]Atlantic Southeast'!$FN$37:$FS$37)</f>
        <v>48</v>
      </c>
      <c r="D21" s="21">
        <f>SUM([3]Pinnacle!$FN$37:$FS$37)</f>
        <v>532</v>
      </c>
      <c r="E21" s="21">
        <f>SUM([3]Compass!$FN$37:$FS$37)</f>
        <v>0</v>
      </c>
      <c r="F21" s="21">
        <f>SUM('[3]Sky West'!$FN$37:$FS$37)</f>
        <v>645</v>
      </c>
      <c r="G21" s="21">
        <f>SUM('[3]Go Jet'!$FN$37:$FS$37)</f>
        <v>213</v>
      </c>
      <c r="H21" s="21">
        <f>SUM('[3]Sun Country'!$FN$37:$FS$37)</f>
        <v>767</v>
      </c>
      <c r="I21" s="21">
        <f>SUM([3]Icelandair!$FN$37:$FS$37)</f>
        <v>286</v>
      </c>
      <c r="J21" s="21">
        <f>SUM([3]KLM!$FN$37:$FS$37)</f>
        <v>158</v>
      </c>
      <c r="K21" s="21">
        <f>SUM('[3]Air Georgian'!$FN$37:$FS$37)</f>
        <v>0</v>
      </c>
      <c r="L21" s="21">
        <f>SUM('[3]Sky Regional'!$FN$37:$FS$37)</f>
        <v>307</v>
      </c>
      <c r="M21" s="21">
        <f>SUM([3]Condor!$FN$37:$FS$37)</f>
        <v>5</v>
      </c>
      <c r="N21" s="21">
        <f>SUM('[3]Air France'!$FN$37:$FS$37)</f>
        <v>22</v>
      </c>
      <c r="O21" s="21">
        <f>SUM('[3]Charter Misc'!$FN$37:$FS$37)++SUM([3]Ryan!$FN$37:$FS$37)+SUM([3]Omni!$FN$37:$FS$37)</f>
        <v>0</v>
      </c>
      <c r="P21" s="281">
        <f>SUM(B21:O21)</f>
        <v>34211</v>
      </c>
    </row>
    <row r="22" spans="1:19" x14ac:dyDescent="0.2">
      <c r="A22" s="62" t="s">
        <v>33</v>
      </c>
      <c r="B22" s="14">
        <f>SUM([3]Delta!$FN$38:$FS$38)</f>
        <v>13490</v>
      </c>
      <c r="C22" s="14">
        <f>SUM('[3]Atlantic Southeast'!$FN$38:$FS$38)</f>
        <v>35</v>
      </c>
      <c r="D22" s="14">
        <f>SUM([3]Pinnacle!$FN$38:$FS$38)</f>
        <v>549</v>
      </c>
      <c r="E22" s="14">
        <f>SUM([3]Compass!$FN$38:$FS$38)</f>
        <v>0</v>
      </c>
      <c r="F22" s="14">
        <f>SUM('[3]Sky West'!$FN$38:$FS$38)</f>
        <v>645</v>
      </c>
      <c r="G22" s="14">
        <f>SUM('[3]Go Jet'!$FN$38:$FS$38)</f>
        <v>245</v>
      </c>
      <c r="H22" s="14">
        <f>SUM('[3]Sun Country'!$FN$38:$FS$38)</f>
        <v>932</v>
      </c>
      <c r="I22" s="14">
        <f>SUM([3]Icelandair!$FN$38:$FS$38)</f>
        <v>287</v>
      </c>
      <c r="J22" s="14">
        <f>SUM([3]KLM!$FN$38:$FS$38)</f>
        <v>114</v>
      </c>
      <c r="K22" s="14">
        <f>SUM('[3]Air Georgian'!$FN$38:$FS$38)</f>
        <v>0</v>
      </c>
      <c r="L22" s="14">
        <f>SUM('[3]Sky Regional'!$FN$38:$FS$38)</f>
        <v>324</v>
      </c>
      <c r="M22" s="14">
        <f>SUM([3]Condor!$FN$38:$FS$38)</f>
        <v>4</v>
      </c>
      <c r="N22" s="14">
        <f>SUM('[3]Air France'!$FN$38:$FS$38)</f>
        <v>21</v>
      </c>
      <c r="O22" s="14">
        <f>SUM('[3]Charter Misc'!$FN$38:$FS$38)++SUM([3]Ryan!$FN$38:$FS$38)+SUM([3]Omni!$FN$38:$FS$38)</f>
        <v>0</v>
      </c>
      <c r="P22" s="282">
        <f>SUM(B22:O22)</f>
        <v>16646</v>
      </c>
    </row>
    <row r="23" spans="1:19" ht="15.75" thickBot="1" x14ac:dyDescent="0.3">
      <c r="A23" s="63" t="s">
        <v>34</v>
      </c>
      <c r="B23" s="284">
        <f t="shared" ref="B23:O23" si="15">SUM(B21:B22)</f>
        <v>44718</v>
      </c>
      <c r="C23" s="284">
        <f t="shared" si="15"/>
        <v>83</v>
      </c>
      <c r="D23" s="284">
        <f t="shared" si="15"/>
        <v>1081</v>
      </c>
      <c r="E23" s="284">
        <f t="shared" si="15"/>
        <v>0</v>
      </c>
      <c r="F23" s="284">
        <f t="shared" si="15"/>
        <v>1290</v>
      </c>
      <c r="G23" s="284">
        <f t="shared" ref="G23" si="16">SUM(G21:G22)</f>
        <v>458</v>
      </c>
      <c r="H23" s="284">
        <f t="shared" si="15"/>
        <v>1699</v>
      </c>
      <c r="I23" s="284">
        <f t="shared" si="15"/>
        <v>573</v>
      </c>
      <c r="J23" s="284">
        <f t="shared" ref="J23" si="17">SUM(J21:J22)</f>
        <v>272</v>
      </c>
      <c r="K23" s="284">
        <f t="shared" si="15"/>
        <v>0</v>
      </c>
      <c r="L23" s="284">
        <f t="shared" ref="L23" si="18">SUM(L21:L22)</f>
        <v>631</v>
      </c>
      <c r="M23" s="284">
        <f t="shared" ref="M23" si="19">SUM(M21:M22)</f>
        <v>9</v>
      </c>
      <c r="N23" s="284">
        <f t="shared" si="15"/>
        <v>43</v>
      </c>
      <c r="O23" s="284">
        <f t="shared" si="15"/>
        <v>0</v>
      </c>
      <c r="P23" s="285">
        <f>SUM(B23:O23)</f>
        <v>50857</v>
      </c>
    </row>
    <row r="25" spans="1:19" ht="39" thickBot="1" x14ac:dyDescent="0.25">
      <c r="B25" s="12" t="s">
        <v>18</v>
      </c>
      <c r="C25" s="498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[3]Delta!$FS$15</f>
        <v>452</v>
      </c>
      <c r="C27" s="21">
        <f>'[3]Atlantic Southeast'!$FS$15</f>
        <v>0</v>
      </c>
      <c r="D27" s="21">
        <f>[3]Pinnacle!$FS$15</f>
        <v>152</v>
      </c>
      <c r="E27" s="21">
        <f>[3]Compass!$FS$15</f>
        <v>0</v>
      </c>
      <c r="F27" s="21">
        <f>'[3]Sky West'!$FS$15</f>
        <v>126</v>
      </c>
      <c r="G27" s="21">
        <f>'[3]Go Jet'!$FS$15</f>
        <v>13</v>
      </c>
      <c r="H27" s="21">
        <f>'[3]Sun Country'!$FS$15</f>
        <v>15</v>
      </c>
      <c r="I27" s="21">
        <f>[3]Icelandair!$FS$15</f>
        <v>46</v>
      </c>
      <c r="J27" s="21">
        <f>[3]KLM!$FS$15</f>
        <v>20</v>
      </c>
      <c r="K27" s="21">
        <f>'[3]Air Georgian'!$FS$15</f>
        <v>0</v>
      </c>
      <c r="L27" s="21">
        <f>'[3]Sky Regional'!$FS$15</f>
        <v>90</v>
      </c>
      <c r="M27" s="21">
        <f>[3]Condor!$FS$15</f>
        <v>11</v>
      </c>
      <c r="N27" s="21">
        <f>'[3]Air France'!$FS$15</f>
        <v>28</v>
      </c>
      <c r="O27" s="21">
        <f>'[3]Charter Misc'!$FS$15+[3]Ryan!$FS$15+[3]Omni!$FS$15</f>
        <v>0</v>
      </c>
      <c r="P27" s="281">
        <f>SUM(B27:O27)</f>
        <v>953</v>
      </c>
    </row>
    <row r="28" spans="1:19" x14ac:dyDescent="0.2">
      <c r="A28" s="62" t="s">
        <v>23</v>
      </c>
      <c r="B28" s="21">
        <f>[3]Delta!$FS$16</f>
        <v>450</v>
      </c>
      <c r="C28" s="21">
        <f>'[3]Atlantic Southeast'!$FS$16</f>
        <v>0</v>
      </c>
      <c r="D28" s="21">
        <f>[3]Pinnacle!$FS$16</f>
        <v>152</v>
      </c>
      <c r="E28" s="21">
        <f>[3]Compass!$FS$16</f>
        <v>0</v>
      </c>
      <c r="F28" s="21">
        <f>'[3]Sky West'!$FS$16</f>
        <v>126</v>
      </c>
      <c r="G28" s="21">
        <f>'[3]Go Jet'!$FS$16</f>
        <v>12</v>
      </c>
      <c r="H28" s="21">
        <f>'[3]Sun Country'!$FS$16</f>
        <v>14</v>
      </c>
      <c r="I28" s="21">
        <f>[3]Icelandair!$FS$16</f>
        <v>46</v>
      </c>
      <c r="J28" s="21">
        <f>[3]KLM!$FS$16</f>
        <v>20</v>
      </c>
      <c r="K28" s="21">
        <f>'[3]Air Georgian'!$FS$16</f>
        <v>0</v>
      </c>
      <c r="L28" s="21">
        <f>'[3]Sky Regional'!$FS$16</f>
        <v>90</v>
      </c>
      <c r="M28" s="21">
        <f>[3]Condor!$FS$16</f>
        <v>11</v>
      </c>
      <c r="N28" s="21">
        <f>'[3]Air France'!$FS$16</f>
        <v>28</v>
      </c>
      <c r="O28" s="21">
        <f>'[3]Charter Misc'!$FS$16+[3]Ryan!$FS$16+[3]Omni!$FS$16</f>
        <v>0</v>
      </c>
      <c r="P28" s="281">
        <f>SUM(B28:O28)</f>
        <v>949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902</v>
      </c>
      <c r="C30" s="381">
        <f t="shared" si="20"/>
        <v>0</v>
      </c>
      <c r="D30" s="381">
        <f t="shared" si="20"/>
        <v>304</v>
      </c>
      <c r="E30" s="381">
        <f t="shared" si="20"/>
        <v>0</v>
      </c>
      <c r="F30" s="381">
        <f>SUM(F27:F28)</f>
        <v>252</v>
      </c>
      <c r="G30" s="381">
        <f>SUM(G27:G28)</f>
        <v>25</v>
      </c>
      <c r="H30" s="381">
        <f t="shared" si="20"/>
        <v>29</v>
      </c>
      <c r="I30" s="381">
        <f t="shared" si="20"/>
        <v>92</v>
      </c>
      <c r="J30" s="381">
        <f t="shared" ref="J30" si="21">SUM(J27:J28)</f>
        <v>40</v>
      </c>
      <c r="K30" s="381">
        <f t="shared" si="20"/>
        <v>0</v>
      </c>
      <c r="L30" s="381">
        <f t="shared" ref="L30" si="22">SUM(L27:L28)</f>
        <v>180</v>
      </c>
      <c r="M30" s="381">
        <f>SUM(M27:M28)</f>
        <v>22</v>
      </c>
      <c r="N30" s="381">
        <f>SUM(N27:N28)</f>
        <v>56</v>
      </c>
      <c r="O30" s="381">
        <f>SUM(O27:O28)</f>
        <v>0</v>
      </c>
      <c r="P30" s="382">
        <f>SUM(B30:O30)</f>
        <v>1902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8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SUM([3]Delta!$FN$15:$FS$15)</f>
        <v>3007</v>
      </c>
      <c r="C34" s="21">
        <f>SUM('[3]Atlantic Southeast'!$FN$15:$FS$15)</f>
        <v>45</v>
      </c>
      <c r="D34" s="21">
        <f>SUM([3]Pinnacle!$FN$15:$FS$15)</f>
        <v>545</v>
      </c>
      <c r="E34" s="21">
        <f>SUM([3]Compass!$FN$15:$FS$15)</f>
        <v>1</v>
      </c>
      <c r="F34" s="21">
        <f>SUM('[3]Sky West'!$FN$15:$FS$15)</f>
        <v>1107</v>
      </c>
      <c r="G34" s="21">
        <f>SUM('[3]Go Jet'!$FN$15:$FS$15)</f>
        <v>217</v>
      </c>
      <c r="H34" s="21">
        <f>SUM('[3]Sun Country'!$FN$15:$FS$15)</f>
        <v>1017</v>
      </c>
      <c r="I34" s="21">
        <f>SUM([3]Icelandair!$FN$15:$FS$15)</f>
        <v>125</v>
      </c>
      <c r="J34" s="21">
        <f>SUM([3]KLM!$FN$15:$FS$15)</f>
        <v>84</v>
      </c>
      <c r="K34" s="21">
        <f>SUM('[3]Air Georgian'!$FN$15:$FS$15)</f>
        <v>0</v>
      </c>
      <c r="L34" s="21">
        <f>SUM('[3]Sky Regional'!$FN$15:$FS$15)</f>
        <v>503</v>
      </c>
      <c r="M34" s="21">
        <f>SUM([3]Condor!$FN$15:$FS$15)</f>
        <v>15</v>
      </c>
      <c r="N34" s="21">
        <f>SUM('[3]Air France'!$FN$15:$FS$15)</f>
        <v>48</v>
      </c>
      <c r="O34" s="21">
        <f>SUM('[3]Charter Misc'!$FN$15:$FS$15)+SUM([3]Ryan!$FN$15:$FS$15)+SUM([3]Omni!$FN$15:$FS$15)</f>
        <v>0</v>
      </c>
      <c r="P34" s="281">
        <f>SUM(B34:O34)</f>
        <v>6714</v>
      </c>
    </row>
    <row r="35" spans="1:16" x14ac:dyDescent="0.2">
      <c r="A35" s="62" t="s">
        <v>23</v>
      </c>
      <c r="B35" s="21">
        <f>SUM([3]Delta!$FN$16:$FS$16)</f>
        <v>3025</v>
      </c>
      <c r="C35" s="21">
        <f>SUM('[3]Atlantic Southeast'!$FN$16:$FS$16)</f>
        <v>54</v>
      </c>
      <c r="D35" s="21">
        <f>SUM([3]Pinnacle!$FN$16:$FS$16)</f>
        <v>544</v>
      </c>
      <c r="E35" s="21">
        <f>SUM([3]Compass!$FN$16:$FS$16)</f>
        <v>0</v>
      </c>
      <c r="F35" s="21">
        <f>SUM('[3]Sky West'!$FN$16:$FS$16)</f>
        <v>1114</v>
      </c>
      <c r="G35" s="21">
        <f>SUM('[3]Go Jet'!$FN$16:$FS$16)</f>
        <v>210</v>
      </c>
      <c r="H35" s="21">
        <f>SUM('[3]Sun Country'!$FN$16:$FS$16)</f>
        <v>1009</v>
      </c>
      <c r="I35" s="21">
        <f>SUM([3]Icelandair!$FN$16:$FS$16)</f>
        <v>125</v>
      </c>
      <c r="J35" s="21">
        <f>SUM([3]KLM!$FN$16:$FS$16)</f>
        <v>84</v>
      </c>
      <c r="K35" s="21">
        <f>SUM('[3]Air Georgian'!$FN$16:$FS$16)</f>
        <v>0</v>
      </c>
      <c r="L35" s="21">
        <f>SUM('[3]Sky Regional'!$FN$16:$FS$16)</f>
        <v>503</v>
      </c>
      <c r="M35" s="21">
        <f>SUM([3]Condor!$FN$16:$FS$16)</f>
        <v>15</v>
      </c>
      <c r="N35" s="21">
        <f>SUM('[3]Air France'!$FN$16:$FS$16)</f>
        <v>48</v>
      </c>
      <c r="O35" s="21">
        <f>SUM('[3]Charter Misc'!$FN$16:$FS$16)+SUM([3]Ryan!$FN$16:$FS$16)+SUM([3]Omni!$FN$16:$FS$16)</f>
        <v>0</v>
      </c>
      <c r="P35" s="281">
        <f>SUM(B35:O35)</f>
        <v>6731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6032</v>
      </c>
      <c r="C37" s="381">
        <f t="shared" si="23"/>
        <v>99</v>
      </c>
      <c r="D37" s="381">
        <f t="shared" si="23"/>
        <v>1089</v>
      </c>
      <c r="E37" s="381">
        <f t="shared" si="23"/>
        <v>1</v>
      </c>
      <c r="F37" s="381">
        <f>+SUM(F34:F35)</f>
        <v>2221</v>
      </c>
      <c r="G37" s="381">
        <f>+SUM(G34:G35)</f>
        <v>427</v>
      </c>
      <c r="H37" s="381">
        <f t="shared" si="23"/>
        <v>2026</v>
      </c>
      <c r="I37" s="381">
        <f t="shared" si="23"/>
        <v>250</v>
      </c>
      <c r="J37" s="381">
        <f t="shared" ref="J37" si="24">+SUM(J34:J35)</f>
        <v>168</v>
      </c>
      <c r="K37" s="381">
        <f t="shared" si="23"/>
        <v>0</v>
      </c>
      <c r="L37" s="381">
        <f t="shared" ref="L37" si="25">+SUM(L34:L35)</f>
        <v>1006</v>
      </c>
      <c r="M37" s="381">
        <f>+SUM(M34:M35)</f>
        <v>30</v>
      </c>
      <c r="N37" s="381">
        <f>+SUM(N34:N35)</f>
        <v>96</v>
      </c>
      <c r="O37" s="381">
        <f>+SUM(O34:O35)</f>
        <v>0</v>
      </c>
      <c r="P37" s="382">
        <f>SUM(B37:O37)</f>
        <v>13445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&amp;"Arial,Bold"June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3"/>
  <sheetViews>
    <sheetView topLeftCell="A10" zoomScaleNormal="100" zoomScaleSheetLayoutView="85" workbookViewId="0">
      <selection activeCell="N54" sqref="N54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1" t="s">
        <v>217</v>
      </c>
      <c r="D1" s="452" t="s">
        <v>192</v>
      </c>
      <c r="E1" s="267" t="s">
        <v>98</v>
      </c>
      <c r="F1" s="266" t="s">
        <v>218</v>
      </c>
      <c r="G1" s="452" t="s">
        <v>193</v>
      </c>
      <c r="H1" s="265" t="s">
        <v>99</v>
      </c>
      <c r="I1" s="267" t="s">
        <v>140</v>
      </c>
      <c r="J1" s="575" t="s">
        <v>139</v>
      </c>
      <c r="K1" s="576"/>
      <c r="L1" s="449" t="s">
        <v>219</v>
      </c>
      <c r="M1" s="450" t="s">
        <v>194</v>
      </c>
      <c r="N1" s="341" t="s">
        <v>99</v>
      </c>
      <c r="O1" s="490" t="s">
        <v>220</v>
      </c>
      <c r="P1" s="268" t="s">
        <v>195</v>
      </c>
      <c r="Q1" s="486" t="s">
        <v>99</v>
      </c>
      <c r="R1" s="491" t="s">
        <v>221</v>
      </c>
    </row>
    <row r="2" spans="1:19" s="224" customFormat="1" ht="13.5" customHeight="1" thickBot="1" x14ac:dyDescent="0.25">
      <c r="A2" s="571">
        <v>43252</v>
      </c>
      <c r="B2" s="572"/>
      <c r="C2" s="573" t="s">
        <v>9</v>
      </c>
      <c r="D2" s="574"/>
      <c r="E2" s="574"/>
      <c r="F2" s="574"/>
      <c r="G2" s="574"/>
      <c r="H2" s="574"/>
      <c r="I2" s="453"/>
      <c r="J2" s="571">
        <f>+A2</f>
        <v>43252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3"/>
      <c r="I3" s="346"/>
      <c r="J3" s="347"/>
      <c r="K3" s="343"/>
      <c r="L3" s="492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180</v>
      </c>
      <c r="D4" s="352">
        <f>SUM(D5:D7)</f>
        <v>181</v>
      </c>
      <c r="E4" s="353">
        <f>(C4-D4)/D4</f>
        <v>-5.5248618784530384E-3</v>
      </c>
      <c r="F4" s="350">
        <f>SUM(F5:F7)</f>
        <v>1006</v>
      </c>
      <c r="G4" s="352">
        <f>SUM(G5:G7)</f>
        <v>1037</v>
      </c>
      <c r="H4" s="351">
        <f>(F4-G4)/G4</f>
        <v>-2.9893924783027964E-2</v>
      </c>
      <c r="I4" s="353">
        <f>F4/$F$66</f>
        <v>5.5151089864479627E-3</v>
      </c>
      <c r="J4" s="349" t="s">
        <v>101</v>
      </c>
      <c r="K4" s="55"/>
      <c r="L4" s="350">
        <f>SUM(L5:L7)</f>
        <v>11868</v>
      </c>
      <c r="M4" s="352">
        <f>SUM(M5:M7)</f>
        <v>10133</v>
      </c>
      <c r="N4" s="353">
        <f>(L4-M4)/M4</f>
        <v>0.1712227375900523</v>
      </c>
      <c r="O4" s="350">
        <f>SUM(O5:O7)</f>
        <v>54575</v>
      </c>
      <c r="P4" s="352">
        <f>SUM(P5:P7)</f>
        <v>43757</v>
      </c>
      <c r="Q4" s="351">
        <f>(O4-P4)/P4</f>
        <v>0.24722901478620563</v>
      </c>
      <c r="R4" s="353">
        <f>O4/$O$66</f>
        <v>3.0448471534152166E-3</v>
      </c>
      <c r="S4" s="20"/>
    </row>
    <row r="5" spans="1:19" ht="14.1" customHeight="1" x14ac:dyDescent="0.2">
      <c r="A5" s="349"/>
      <c r="B5" s="425" t="s">
        <v>101</v>
      </c>
      <c r="C5" s="354">
        <f>+[3]AirCanada!$FS$19</f>
        <v>0</v>
      </c>
      <c r="D5" s="9">
        <f>+[3]AirCanada!$FE$19</f>
        <v>0</v>
      </c>
      <c r="E5" s="86" t="e">
        <f>(C5-D5)/D5</f>
        <v>#DIV/0!</v>
      </c>
      <c r="F5" s="295">
        <f>SUM([3]AirCanada!$FN$19:$FS$19)</f>
        <v>0</v>
      </c>
      <c r="G5" s="295">
        <f>SUM([3]AirCanada!$EZ$19:$FE$19)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+[3]AirCanada!$FS$41</f>
        <v>0</v>
      </c>
      <c r="M5" s="295">
        <f>+[3]AirCanada!$FE$41</f>
        <v>0</v>
      </c>
      <c r="N5" s="433" t="e">
        <f>(L5-M5)/M5</f>
        <v>#DIV/0!</v>
      </c>
      <c r="O5" s="431">
        <f>SUM([3]AirCanada!$FN$41:$FS$41)</f>
        <v>0</v>
      </c>
      <c r="P5" s="295">
        <f>SUM([3]AirCanada!$EZ$41:$FE$41)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Georgian'!$FS$19</f>
        <v>0</v>
      </c>
      <c r="D6" s="9">
        <f>'[3]Air Georgian'!$FE$19</f>
        <v>79</v>
      </c>
      <c r="E6" s="86">
        <f>(C6-D6)/D6</f>
        <v>-1</v>
      </c>
      <c r="F6" s="295">
        <f>SUM('[3]Air Georgian'!$FN$19:$FS$19)</f>
        <v>0</v>
      </c>
      <c r="G6" s="295">
        <f>SUM('[3]Air Georgian'!$EZ$19:$FE$19)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Georgian'!$FS$41</f>
        <v>0</v>
      </c>
      <c r="M6" s="9">
        <f>'[3]Air Georgian'!$FE$41</f>
        <v>3525</v>
      </c>
      <c r="N6" s="86">
        <f>(L6-M6)/M6</f>
        <v>-1</v>
      </c>
      <c r="O6" s="354">
        <f>SUM('[3]Air Georgian'!$FN$41:$FS$41)</f>
        <v>0</v>
      </c>
      <c r="P6" s="9">
        <f>SUM('[3]Air Georgian'!$EZ$41:$FE$41)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Regional'!$FS$19</f>
        <v>180</v>
      </c>
      <c r="D7" s="9">
        <f>'[3]Sky Regional'!$FE$19</f>
        <v>102</v>
      </c>
      <c r="E7" s="86">
        <f>(C7-D7)/D7</f>
        <v>0.76470588235294112</v>
      </c>
      <c r="F7" s="295">
        <f>SUM('[3]Sky Regional'!$FN$19:$FS$19)</f>
        <v>1006</v>
      </c>
      <c r="G7" s="295">
        <f>SUM('[3]Sky Regional'!$EZ$19:$FE$19)</f>
        <v>102</v>
      </c>
      <c r="H7" s="432">
        <f>(F7-G7)/G7</f>
        <v>8.8627450980392162</v>
      </c>
      <c r="I7" s="86">
        <f>F7/$F$66</f>
        <v>5.5151089864479627E-3</v>
      </c>
      <c r="J7" s="349"/>
      <c r="K7" s="425" t="s">
        <v>214</v>
      </c>
      <c r="L7" s="354">
        <f>'[3]Sky Regional'!$FS$41</f>
        <v>11868</v>
      </c>
      <c r="M7" s="9">
        <f>'[3]Sky Regional'!$FE$41</f>
        <v>6608</v>
      </c>
      <c r="N7" s="86">
        <f>(L7-M7)/M7</f>
        <v>0.79600484261501214</v>
      </c>
      <c r="O7" s="354">
        <f>SUM('[3]Sky Regional'!$FN$41:$FS$41)</f>
        <v>54575</v>
      </c>
      <c r="P7" s="9">
        <f>SUM('[3]Sky Regional'!$EZ$41:$FE$41)</f>
        <v>6608</v>
      </c>
      <c r="Q7" s="39">
        <f>(O7-P7)/P7</f>
        <v>7.2589285714285712</v>
      </c>
      <c r="R7" s="86">
        <f>O7/$O$66</f>
        <v>3.0448471534152166E-3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One'!$FS$19</f>
        <v>182</v>
      </c>
      <c r="D9" s="352">
        <f>'[3]Air Choice One'!$FE$19</f>
        <v>250</v>
      </c>
      <c r="E9" s="353">
        <f>(C9-D9)/D9</f>
        <v>-0.27200000000000002</v>
      </c>
      <c r="F9" s="352">
        <f>SUM('[3]Air Choice One'!$FN$19:$FS$19)</f>
        <v>1198</v>
      </c>
      <c r="G9" s="352">
        <f>SUM('[3]Air Choice One'!$EZ$19:$FE$19)</f>
        <v>1468</v>
      </c>
      <c r="H9" s="351">
        <f>(F9-G9)/G9</f>
        <v>-0.18392370572207084</v>
      </c>
      <c r="I9" s="353">
        <f>F9/$F$66</f>
        <v>6.5676943993684487E-3</v>
      </c>
      <c r="J9" s="349" t="s">
        <v>196</v>
      </c>
      <c r="K9" s="55"/>
      <c r="L9" s="350">
        <f>'[3]Air Choice One'!$FS$41</f>
        <v>867</v>
      </c>
      <c r="M9" s="352">
        <f>'[3]Air Choice One'!$FE$41</f>
        <v>923</v>
      </c>
      <c r="N9" s="353">
        <f>(L9-M9)/M9</f>
        <v>-6.0671722643553631E-2</v>
      </c>
      <c r="O9" s="350">
        <f>SUM('[3]Air Choice One'!$FN$41:$FS$41)</f>
        <v>4847</v>
      </c>
      <c r="P9" s="352">
        <f>SUM('[3]Air Choice One'!$EZ$41:$FE$41)</f>
        <v>4837</v>
      </c>
      <c r="Q9" s="351">
        <f>(O9-P9)/P9</f>
        <v>2.0673971469919372E-3</v>
      </c>
      <c r="R9" s="353">
        <f>O9/$O$66</f>
        <v>2.7042371328636839E-4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France'!$FS$19</f>
        <v>56</v>
      </c>
      <c r="D11" s="352">
        <f>'[3]Air France'!$FE$19</f>
        <v>58</v>
      </c>
      <c r="E11" s="353">
        <f>(C11-D11)/D11</f>
        <v>-3.4482758620689655E-2</v>
      </c>
      <c r="F11" s="352">
        <f>SUM('[3]Air France'!$FN$19:$FS$19)</f>
        <v>96</v>
      </c>
      <c r="G11" s="352">
        <f>SUM('[3]Air France'!$EZ$19:$FE$19)</f>
        <v>94</v>
      </c>
      <c r="H11" s="351">
        <f>(F11-G11)/G11</f>
        <v>2.1276595744680851E-2</v>
      </c>
      <c r="I11" s="353">
        <f>F11/$F$66</f>
        <v>5.2629270646024299E-4</v>
      </c>
      <c r="J11" s="349" t="s">
        <v>162</v>
      </c>
      <c r="K11" s="55"/>
      <c r="L11" s="350">
        <f>'[3]Air France'!$FS$41</f>
        <v>12768</v>
      </c>
      <c r="M11" s="352">
        <f>'[3]Air France'!$FE$41</f>
        <v>15010</v>
      </c>
      <c r="N11" s="353">
        <f>(L11-M11)/M11</f>
        <v>-0.14936708860759493</v>
      </c>
      <c r="O11" s="350">
        <f>SUM('[3]Air France'!$FN$41:$FS$41)</f>
        <v>20351</v>
      </c>
      <c r="P11" s="352">
        <f>SUM('[3]Air France'!$EZ$41:$FE$41)</f>
        <v>23714</v>
      </c>
      <c r="Q11" s="351">
        <f>(O11-P11)/P11</f>
        <v>-0.14181496162604368</v>
      </c>
      <c r="R11" s="353">
        <f>O11/$O$66</f>
        <v>1.135422527148934E-3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300</v>
      </c>
      <c r="D13" s="352">
        <f>SUM(D14:D16)</f>
        <v>238</v>
      </c>
      <c r="E13" s="353">
        <f>(C13-D13)/D13</f>
        <v>0.26050420168067229</v>
      </c>
      <c r="F13" s="352">
        <f>SUM(F14:F16)</f>
        <v>1908</v>
      </c>
      <c r="G13" s="352">
        <f>SUM(G14:G16)</f>
        <v>1092</v>
      </c>
      <c r="H13" s="351">
        <f>(F13-G13)/G13</f>
        <v>0.74725274725274726</v>
      </c>
      <c r="I13" s="353">
        <f>F13/$F$66</f>
        <v>1.0460067540897329E-2</v>
      </c>
      <c r="J13" s="349" t="s">
        <v>131</v>
      </c>
      <c r="K13" s="55"/>
      <c r="L13" s="350">
        <f>SUM(L14:L16)</f>
        <v>32108</v>
      </c>
      <c r="M13" s="352">
        <f>SUM(M14:M16)</f>
        <v>31358</v>
      </c>
      <c r="N13" s="353">
        <f>(L13-M13)/M13</f>
        <v>2.3917341667198163E-2</v>
      </c>
      <c r="O13" s="350">
        <f>SUM(O14:O16)</f>
        <v>182102</v>
      </c>
      <c r="P13" s="352">
        <f>SUM(P14:P16)</f>
        <v>130257</v>
      </c>
      <c r="Q13" s="351">
        <f>(O13-P13)/P13</f>
        <v>0.39802083573243663</v>
      </c>
      <c r="R13" s="353">
        <f>O13/$O$66</f>
        <v>1.0159830624484063E-2</v>
      </c>
      <c r="S13" s="20"/>
    </row>
    <row r="14" spans="1:19" ht="14.1" customHeight="1" x14ac:dyDescent="0.2">
      <c r="A14" s="349"/>
      <c r="B14" s="425" t="s">
        <v>131</v>
      </c>
      <c r="C14" s="431">
        <f>[3]Alaska!$FS$19</f>
        <v>120</v>
      </c>
      <c r="D14" s="295">
        <f>[3]Alaska!$FE$19</f>
        <v>178</v>
      </c>
      <c r="E14" s="433">
        <f>(C14-D14)/D14</f>
        <v>-0.3258426966292135</v>
      </c>
      <c r="F14" s="295">
        <f>SUM([3]Alaska!$FN$19:$FS$19)</f>
        <v>700</v>
      </c>
      <c r="G14" s="295">
        <f>SUM([3]Alaska!$EZ$19:$FE$19)</f>
        <v>735</v>
      </c>
      <c r="H14" s="432">
        <f>(F14-G14)/G14</f>
        <v>-4.7619047619047616E-2</v>
      </c>
      <c r="I14" s="433">
        <f>F14/$F$66</f>
        <v>3.8375509846059383E-3</v>
      </c>
      <c r="J14" s="349"/>
      <c r="K14" s="425" t="s">
        <v>131</v>
      </c>
      <c r="L14" s="431">
        <f>[3]Alaska!$FS$41</f>
        <v>19748</v>
      </c>
      <c r="M14" s="295">
        <f>[3]Alaska!$FE$41</f>
        <v>27296</v>
      </c>
      <c r="N14" s="433">
        <f>(L14-M14)/M14</f>
        <v>-0.2765240328253224</v>
      </c>
      <c r="O14" s="431">
        <f>SUM([3]Alaska!$FN$41:$FS$41)</f>
        <v>103507</v>
      </c>
      <c r="P14" s="295">
        <f>SUM([3]Alaska!$EZ$41:$FE$41)</f>
        <v>106775</v>
      </c>
      <c r="Q14" s="432">
        <f>(O14-P14)/P14</f>
        <v>-3.0606415359400608E-2</v>
      </c>
      <c r="R14" s="433">
        <f>O14/$O$66</f>
        <v>5.7748601797260437E-3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West_AS'!$FS$19</f>
        <v>60</v>
      </c>
      <c r="D15" s="9">
        <f>'[3]Sky West_AS'!$FE$19</f>
        <v>60</v>
      </c>
      <c r="E15" s="86">
        <f>(C15-D15)/D15</f>
        <v>0</v>
      </c>
      <c r="F15" s="9">
        <f>SUM('[3]Sky West_AS'!$FN$19:$FS$19)</f>
        <v>582</v>
      </c>
      <c r="G15" s="9">
        <f>SUM('[3]Sky West_AS'!$EZ$19:$FE$19)</f>
        <v>357</v>
      </c>
      <c r="H15" s="39">
        <f>(F15-G15)/G15</f>
        <v>0.63025210084033612</v>
      </c>
      <c r="I15" s="86">
        <f>F15/$F$66</f>
        <v>3.1906495329152231E-3</v>
      </c>
      <c r="J15" s="349"/>
      <c r="K15" s="425" t="s">
        <v>100</v>
      </c>
      <c r="L15" s="354">
        <f>'[3]Sky West_AS'!$FS$41</f>
        <v>4211</v>
      </c>
      <c r="M15" s="9">
        <f>'[3]Sky West_AS'!$FE$41</f>
        <v>4062</v>
      </c>
      <c r="N15" s="86">
        <f>(L15-M15)/M15</f>
        <v>3.668143771541113E-2</v>
      </c>
      <c r="O15" s="354">
        <f>SUM('[3]Sky West_AS'!$FN$41:$FS$41)</f>
        <v>38255</v>
      </c>
      <c r="P15" s="9">
        <f>SUM('[3]Sky West_AS'!$EZ$41:$FE$41)</f>
        <v>23482</v>
      </c>
      <c r="Q15" s="39">
        <f>(O15-P15)/P15</f>
        <v>0.62912017715697133</v>
      </c>
      <c r="R15" s="433">
        <f>O15/$O$66</f>
        <v>2.1343220861914634E-3</v>
      </c>
      <c r="S15" s="20"/>
    </row>
    <row r="16" spans="1:19" ht="14.1" customHeight="1" x14ac:dyDescent="0.2">
      <c r="A16" s="349"/>
      <c r="B16" s="425" t="s">
        <v>215</v>
      </c>
      <c r="C16" s="354">
        <f>[3]Horizon_AS!$FS$19</f>
        <v>120</v>
      </c>
      <c r="D16" s="9">
        <f>[3]Horizon_AS!$FE$19</f>
        <v>0</v>
      </c>
      <c r="E16" s="86" t="e">
        <f>(C16-D16)/D16</f>
        <v>#DIV/0!</v>
      </c>
      <c r="F16" s="9">
        <f>SUM([3]Horizon_AS!$FN$19:$FS$19)</f>
        <v>626</v>
      </c>
      <c r="G16" s="9">
        <f>SUM([3]Horizon_AS!$EZ$19:$FE$19)</f>
        <v>0</v>
      </c>
      <c r="H16" s="39" t="e">
        <f>(F16-G16)/G16</f>
        <v>#DIV/0!</v>
      </c>
      <c r="I16" s="86">
        <f>F16/$F$66</f>
        <v>3.4318670233761677E-3</v>
      </c>
      <c r="J16" s="349"/>
      <c r="K16" s="425" t="s">
        <v>215</v>
      </c>
      <c r="L16" s="354">
        <f>[3]Horizon_AS!$FS$41</f>
        <v>8149</v>
      </c>
      <c r="M16" s="9">
        <f>[3]Horizon_AS!$FE$41</f>
        <v>0</v>
      </c>
      <c r="N16" s="86" t="e">
        <f>(L16-M16)/M16</f>
        <v>#DIV/0!</v>
      </c>
      <c r="O16" s="354">
        <f>SUM([3]Horizon_AS!$FN$41:$FS$41)</f>
        <v>40340</v>
      </c>
      <c r="P16" s="9">
        <f>SUM([3]Horizon_AS!$EZ$41:$FE$41)</f>
        <v>0</v>
      </c>
      <c r="Q16" s="39" t="e">
        <f>(O16-P16)/P16</f>
        <v>#DIV/0!</v>
      </c>
      <c r="R16" s="433">
        <f>O16/$O$66</f>
        <v>2.2506483585665567E-3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1820</v>
      </c>
      <c r="D18" s="352">
        <f>SUM(D19:D25)</f>
        <v>2029</v>
      </c>
      <c r="E18" s="353">
        <f t="shared" ref="E18:E25" si="0">(C18-D18)/D18</f>
        <v>-0.10300640709709216</v>
      </c>
      <c r="F18" s="350">
        <f>SUM(F19:F25)</f>
        <v>10182</v>
      </c>
      <c r="G18" s="352">
        <f>SUM(G19:G25)</f>
        <v>11555</v>
      </c>
      <c r="H18" s="351">
        <f t="shared" ref="H18:H25" si="1">(F18-G18)/G18</f>
        <v>-0.11882302033751622</v>
      </c>
      <c r="I18" s="353">
        <f t="shared" ref="I18:I25" si="2">F18/$F$66</f>
        <v>5.5819920178939518E-2</v>
      </c>
      <c r="J18" s="349" t="s">
        <v>17</v>
      </c>
      <c r="K18" s="357"/>
      <c r="L18" s="350">
        <f>SUM(L19:L25)</f>
        <v>194360</v>
      </c>
      <c r="M18" s="352">
        <f>SUM(M19:M25)</f>
        <v>213970</v>
      </c>
      <c r="N18" s="353">
        <f t="shared" ref="N18:N25" si="3">(L18-M18)/M18</f>
        <v>-9.164836191989531E-2</v>
      </c>
      <c r="O18" s="350">
        <f>SUM(O19:O25)</f>
        <v>1053685</v>
      </c>
      <c r="P18" s="352">
        <f>SUM(P19:P25)</f>
        <v>1182404</v>
      </c>
      <c r="Q18" s="351">
        <f t="shared" ref="Q18:Q25" si="4">(O18-P18)/P18</f>
        <v>-0.1088621148101664</v>
      </c>
      <c r="R18" s="353">
        <f t="shared" ref="R18:R25" si="5">O18/$O$66</f>
        <v>5.8787169452062527E-2</v>
      </c>
      <c r="S18" s="20"/>
    </row>
    <row r="19" spans="1:22" ht="14.1" customHeight="1" x14ac:dyDescent="0.2">
      <c r="A19" s="53"/>
      <c r="B19" s="359" t="s">
        <v>17</v>
      </c>
      <c r="C19" s="354">
        <f>[3]American!$FS$19</f>
        <v>1327</v>
      </c>
      <c r="D19" s="9">
        <f>[3]American!$FE$19</f>
        <v>1522</v>
      </c>
      <c r="E19" s="86">
        <f t="shared" si="0"/>
        <v>-0.12812089356110382</v>
      </c>
      <c r="F19" s="9">
        <f>SUM([3]American!$FN$19:$FS$19)</f>
        <v>6927</v>
      </c>
      <c r="G19" s="9">
        <f>SUM([3]American!$EZ$19:$FE$19)</f>
        <v>9020</v>
      </c>
      <c r="H19" s="39">
        <f t="shared" si="1"/>
        <v>-0.23203991130820398</v>
      </c>
      <c r="I19" s="86">
        <f t="shared" si="2"/>
        <v>3.797530810052191E-2</v>
      </c>
      <c r="J19" s="53"/>
      <c r="K19" s="358" t="s">
        <v>17</v>
      </c>
      <c r="L19" s="354">
        <f>[3]American!$FS$41</f>
        <v>164437</v>
      </c>
      <c r="M19" s="9">
        <f>[3]American!$FE$41</f>
        <v>186633</v>
      </c>
      <c r="N19" s="86">
        <f t="shared" si="3"/>
        <v>-0.11892859247828626</v>
      </c>
      <c r="O19" s="354">
        <f>SUM([3]American!$FN$41:$FS$41)</f>
        <v>869198</v>
      </c>
      <c r="P19" s="9">
        <f>SUM([3]American!$EZ$41:$FE$41)</f>
        <v>1058458</v>
      </c>
      <c r="Q19" s="39">
        <f t="shared" si="4"/>
        <v>-0.1788072838034197</v>
      </c>
      <c r="R19" s="86">
        <f t="shared" si="5"/>
        <v>4.8494274962055876E-2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Eagle'!$FS$19</f>
        <v>20</v>
      </c>
      <c r="D20" s="9">
        <f>'[3]American Eagle'!$FE$19</f>
        <v>8</v>
      </c>
      <c r="E20" s="86">
        <f t="shared" si="0"/>
        <v>1.5</v>
      </c>
      <c r="F20" s="9">
        <f>SUM('[3]American Eagle'!$FN$19:$FS$19)</f>
        <v>344</v>
      </c>
      <c r="G20" s="9">
        <f>SUM('[3]American Eagle'!$EZ$19:$FE$19)</f>
        <v>108</v>
      </c>
      <c r="H20" s="39">
        <f t="shared" si="1"/>
        <v>2.1851851851851851</v>
      </c>
      <c r="I20" s="86">
        <f t="shared" si="2"/>
        <v>1.885882198149204E-3</v>
      </c>
      <c r="J20" s="53"/>
      <c r="K20" s="424" t="s">
        <v>173</v>
      </c>
      <c r="L20" s="354">
        <f>'[3]American Eagle'!$FS$41</f>
        <v>1197</v>
      </c>
      <c r="M20" s="9">
        <f>'[3]American Eagle'!$FE$41</f>
        <v>443</v>
      </c>
      <c r="N20" s="86">
        <f t="shared" si="3"/>
        <v>1.7020316027088036</v>
      </c>
      <c r="O20" s="354">
        <f>SUM('[3]American Eagle'!$FN$41:$FS$41)</f>
        <v>21827</v>
      </c>
      <c r="P20" s="9">
        <f>SUM('[3]American Eagle'!$EZ$41:$FE$41)</f>
        <v>5543</v>
      </c>
      <c r="Q20" s="39">
        <f t="shared" si="4"/>
        <v>2.9377593360995853</v>
      </c>
      <c r="R20" s="86">
        <f t="shared" si="5"/>
        <v>1.2177714854346116E-3</v>
      </c>
      <c r="S20" s="20"/>
    </row>
    <row r="21" spans="1:22" ht="14.1" customHeight="1" x14ac:dyDescent="0.2">
      <c r="A21" s="53"/>
      <c r="B21" s="426" t="s">
        <v>52</v>
      </c>
      <c r="C21" s="354">
        <f>[3]Republic!$FS$19</f>
        <v>425</v>
      </c>
      <c r="D21" s="9">
        <f>[3]Republic!$FE$19</f>
        <v>445</v>
      </c>
      <c r="E21" s="86">
        <f t="shared" si="0"/>
        <v>-4.49438202247191E-2</v>
      </c>
      <c r="F21" s="9">
        <f>SUM([3]Republic!$FN$19:$FS$19)</f>
        <v>2458</v>
      </c>
      <c r="G21" s="9">
        <f>SUM([3]Republic!$EZ$19:$FE$19)</f>
        <v>2130</v>
      </c>
      <c r="H21" s="39">
        <f t="shared" si="1"/>
        <v>0.15399061032863851</v>
      </c>
      <c r="I21" s="86">
        <f t="shared" si="2"/>
        <v>1.3475286171659138E-2</v>
      </c>
      <c r="J21" s="363"/>
      <c r="K21" s="360" t="s">
        <v>52</v>
      </c>
      <c r="L21" s="354">
        <f>[3]Republic!$FS$41</f>
        <v>25672</v>
      </c>
      <c r="M21" s="9">
        <f>[3]Republic!$FE$41</f>
        <v>24202</v>
      </c>
      <c r="N21" s="86">
        <f t="shared" si="3"/>
        <v>6.0738781918849682E-2</v>
      </c>
      <c r="O21" s="354">
        <f>SUM([3]Republic!$FN$41:$FS$41)</f>
        <v>138097</v>
      </c>
      <c r="P21" s="9">
        <f>SUM([3]Republic!$EZ$41:$FE$41)</f>
        <v>104676</v>
      </c>
      <c r="Q21" s="39">
        <f t="shared" si="4"/>
        <v>0.31928044632962665</v>
      </c>
      <c r="R21" s="86">
        <f t="shared" si="5"/>
        <v>7.7047046696322704E-3</v>
      </c>
      <c r="S21" s="20"/>
    </row>
    <row r="22" spans="1:22" ht="14.1" customHeight="1" x14ac:dyDescent="0.2">
      <c r="A22" s="53"/>
      <c r="B22" s="426" t="s">
        <v>200</v>
      </c>
      <c r="C22" s="354">
        <f>[3]PSA!$FS$19</f>
        <v>0</v>
      </c>
      <c r="D22" s="9">
        <f>[3]PSA!$FE$19</f>
        <v>44</v>
      </c>
      <c r="E22" s="86">
        <f t="shared" si="0"/>
        <v>-1</v>
      </c>
      <c r="F22" s="9">
        <f>SUM([3]PSA!$FN$19:$FS$19)</f>
        <v>178</v>
      </c>
      <c r="G22" s="9">
        <f>SUM([3]PSA!$EZ$19:$FE$19)</f>
        <v>242</v>
      </c>
      <c r="H22" s="39">
        <f t="shared" si="1"/>
        <v>-0.26446280991735538</v>
      </c>
      <c r="I22" s="86">
        <f t="shared" si="2"/>
        <v>9.7583439322836715E-4</v>
      </c>
      <c r="J22" s="363"/>
      <c r="K22" s="426" t="s">
        <v>200</v>
      </c>
      <c r="L22" s="354">
        <f>[3]PSA!$FS$41</f>
        <v>0</v>
      </c>
      <c r="M22" s="9">
        <f>[3]PSA!$FE$41</f>
        <v>2210</v>
      </c>
      <c r="N22" s="86">
        <f t="shared" si="3"/>
        <v>-1</v>
      </c>
      <c r="O22" s="354">
        <f>SUM([3]PSA!$FN$41:$FS$41)</f>
        <v>7565</v>
      </c>
      <c r="P22" s="9">
        <f>SUM([3]PSA!$EZ$41:$FE$41)</f>
        <v>10950</v>
      </c>
      <c r="Q22" s="39">
        <f t="shared" si="4"/>
        <v>-0.30913242009132419</v>
      </c>
      <c r="R22" s="86">
        <f t="shared" si="5"/>
        <v>4.2206630720267733E-4</v>
      </c>
      <c r="S22" s="20"/>
    </row>
    <row r="23" spans="1:22" ht="14.1" customHeight="1" x14ac:dyDescent="0.2">
      <c r="A23" s="53"/>
      <c r="B23" s="425" t="s">
        <v>100</v>
      </c>
      <c r="C23" s="354">
        <f>'[3]Sky West_AA'!$FS$19</f>
        <v>48</v>
      </c>
      <c r="D23" s="9">
        <f>'[3]Sky West_AA'!$FE$19</f>
        <v>10</v>
      </c>
      <c r="E23" s="86">
        <f>(C23-D23)/D23</f>
        <v>3.8</v>
      </c>
      <c r="F23" s="9">
        <f>SUM('[3]Sky West_AA'!$FN$19:$FS$19)</f>
        <v>275</v>
      </c>
      <c r="G23" s="9">
        <f>SUM('[3]Sky West_AA'!$EZ$19:$FE$19)</f>
        <v>53</v>
      </c>
      <c r="H23" s="39">
        <f>(F23-G23)/G23</f>
        <v>4.1886792452830193</v>
      </c>
      <c r="I23" s="86">
        <f t="shared" si="2"/>
        <v>1.5076093153809044E-3</v>
      </c>
      <c r="J23" s="363"/>
      <c r="K23" s="425" t="s">
        <v>100</v>
      </c>
      <c r="L23" s="354">
        <f>'[3]Sky West_AA'!$FS$41</f>
        <v>3054</v>
      </c>
      <c r="M23" s="9">
        <f>'[3]Sky West_AA'!$FE$41</f>
        <v>482</v>
      </c>
      <c r="N23" s="86">
        <f>(L23-M23)/M23</f>
        <v>5.3360995850622404</v>
      </c>
      <c r="O23" s="354">
        <f>SUM('[3]Sky West_AA'!$FN$41:$FS$41)</f>
        <v>16998</v>
      </c>
      <c r="P23" s="9">
        <f>SUM('[3]Sky West_AA'!$EZ$41:$FE$41)</f>
        <v>2687</v>
      </c>
      <c r="Q23" s="39">
        <f>(O23-P23)/P23</f>
        <v>5.3260141421659846</v>
      </c>
      <c r="R23" s="433">
        <f t="shared" si="5"/>
        <v>9.4835202773709308E-4</v>
      </c>
      <c r="S23" s="20"/>
    </row>
    <row r="24" spans="1:22" ht="14.1" customHeight="1" x14ac:dyDescent="0.2">
      <c r="A24" s="53"/>
      <c r="B24" s="426" t="s">
        <v>51</v>
      </c>
      <c r="C24" s="354">
        <f>[3]MESA!$FS$19</f>
        <v>0</v>
      </c>
      <c r="D24" s="9">
        <f>[3]MESA!$FE$19</f>
        <v>0</v>
      </c>
      <c r="E24" s="86" t="e">
        <f t="shared" si="0"/>
        <v>#DIV/0!</v>
      </c>
      <c r="F24" s="9">
        <f>SUM([3]MESA!$FN$19:$FS$19)</f>
        <v>0</v>
      </c>
      <c r="G24" s="9">
        <f>SUM([3]MESA!$EZ$19:$FE$19)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[3]MESA!$FS$41</f>
        <v>0</v>
      </c>
      <c r="M24" s="9">
        <f>[3]MESA!$FE$41</f>
        <v>0</v>
      </c>
      <c r="N24" s="86" t="e">
        <f t="shared" si="3"/>
        <v>#DIV/0!</v>
      </c>
      <c r="O24" s="354">
        <f>SUM([3]MESA!$FN$41:$FS$41)</f>
        <v>0</v>
      </c>
      <c r="P24" s="9">
        <f>SUM([3]MESA!$EZ$41:$FE$41)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Wisconsin'!$FS$19</f>
        <v>0</v>
      </c>
      <c r="D25" s="9">
        <f>'[3]Air Wisconsin'!$FE$19</f>
        <v>0</v>
      </c>
      <c r="E25" s="86" t="e">
        <f t="shared" si="0"/>
        <v>#DIV/0!</v>
      </c>
      <c r="F25" s="9">
        <f>SUM('[3]Air Wisconsin'!$FN$19:$FS$19)</f>
        <v>0</v>
      </c>
      <c r="G25" s="9">
        <f>SUM('[3]Air Wisconsin'!$EZ$19:$FE$19)</f>
        <v>2</v>
      </c>
      <c r="H25" s="484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Wisconsin'!$FS$41</f>
        <v>0</v>
      </c>
      <c r="M25" s="9">
        <f>'[3]Air Wisconsin'!$FE$41</f>
        <v>0</v>
      </c>
      <c r="N25" s="86" t="e">
        <f t="shared" si="3"/>
        <v>#DIV/0!</v>
      </c>
      <c r="O25" s="354">
        <f>SUM('[3]Air Wisconsin'!$FN$41:$FS$41)</f>
        <v>0</v>
      </c>
      <c r="P25" s="9">
        <f>SUM('[3]Air Wisconsin'!$EZ$41:$FE$41)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Air'!$FS$19</f>
        <v>148</v>
      </c>
      <c r="D27" s="352">
        <f>'[3]Boutique Air'!$FE$19</f>
        <v>150</v>
      </c>
      <c r="E27" s="353">
        <f>(C27-D27)/D27</f>
        <v>-1.3333333333333334E-2</v>
      </c>
      <c r="F27" s="352">
        <f>SUM('[3]Boutique Air'!$FN$19:$FS$19)</f>
        <v>894</v>
      </c>
      <c r="G27" s="352">
        <f>SUM('[3]Boutique Air'!$EZ$19:$FE$19)</f>
        <v>924</v>
      </c>
      <c r="H27" s="351">
        <f>(F27-G27)/G27</f>
        <v>-3.2467532467532464E-2</v>
      </c>
      <c r="I27" s="353">
        <f>F27/$F$66</f>
        <v>4.901100828911013E-3</v>
      </c>
      <c r="J27" s="349" t="s">
        <v>197</v>
      </c>
      <c r="K27" s="359"/>
      <c r="L27" s="350">
        <f>'[3]Boutique Air'!$FS$41</f>
        <v>826</v>
      </c>
      <c r="M27" s="352">
        <f>'[3]Boutique Air'!$FE$41</f>
        <v>960</v>
      </c>
      <c r="N27" s="353">
        <f>(L27-M27)/M27</f>
        <v>-0.13958333333333334</v>
      </c>
      <c r="O27" s="350">
        <f>SUM('[3]Boutique Air'!$FN$41:$FS$41)</f>
        <v>4823</v>
      </c>
      <c r="P27" s="352">
        <f>SUM('[3]Boutique Air'!$EZ$41:$FE$41)</f>
        <v>6016</v>
      </c>
      <c r="Q27" s="351">
        <f>(O27-P27)/P27</f>
        <v>-0.19830452127659576</v>
      </c>
      <c r="R27" s="353">
        <f>O27/$O$66</f>
        <v>2.6908470583456874E-4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[3]Condor!$FS$19</f>
        <v>22</v>
      </c>
      <c r="D29" s="352">
        <f>[3]Condor!$FE$19</f>
        <v>28</v>
      </c>
      <c r="E29" s="353">
        <f>(C29-D29)/D29</f>
        <v>-0.21428571428571427</v>
      </c>
      <c r="F29" s="352">
        <f>SUM([3]Condor!$FN$19:$FS$19)</f>
        <v>32</v>
      </c>
      <c r="G29" s="352">
        <f>SUM([3]Condor!$EZ$19:$FE$19)</f>
        <v>46</v>
      </c>
      <c r="H29" s="351">
        <f>(F29-G29)/G29</f>
        <v>-0.30434782608695654</v>
      </c>
      <c r="I29" s="353">
        <f>F29/$F$66</f>
        <v>1.7543090215341433E-4</v>
      </c>
      <c r="J29" s="349" t="s">
        <v>168</v>
      </c>
      <c r="K29" s="359"/>
      <c r="L29" s="350">
        <f>[3]Condor!$FS$41</f>
        <v>5345</v>
      </c>
      <c r="M29" s="352">
        <f>[3]Condor!$FE$41</f>
        <v>6544</v>
      </c>
      <c r="N29" s="353">
        <f>(L29-M29)/M29</f>
        <v>-0.18322127139364303</v>
      </c>
      <c r="O29" s="350">
        <f>SUM([3]Condor!$FN$41:$FS$41)</f>
        <v>7047</v>
      </c>
      <c r="P29" s="352">
        <f>SUM([3]Condor!$EZ$41:$FE$41)</f>
        <v>9982</v>
      </c>
      <c r="Q29" s="351">
        <f>(O29-P29)/P29</f>
        <v>-0.29402925265477858</v>
      </c>
      <c r="R29" s="353">
        <f>O29/$O$66</f>
        <v>3.9316606303466849E-4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24594</v>
      </c>
      <c r="D31" s="352">
        <f>SUM(D32:D38)</f>
        <v>24453</v>
      </c>
      <c r="E31" s="353">
        <f t="shared" ref="E31:E38" si="6">(C31-D31)/D31</f>
        <v>5.7661636609005031E-3</v>
      </c>
      <c r="F31" s="355">
        <f>SUM(F32:F38)</f>
        <v>133217</v>
      </c>
      <c r="G31" s="355">
        <f>SUM(G32:G38)</f>
        <v>134358</v>
      </c>
      <c r="H31" s="351">
        <f>(F31-G31)/G31</f>
        <v>-8.4922371574450341E-3</v>
      </c>
      <c r="I31" s="353">
        <f t="shared" ref="I31:I38" si="7">F31/$F$66</f>
        <v>0.73032432788035617</v>
      </c>
      <c r="J31" s="349" t="s">
        <v>18</v>
      </c>
      <c r="K31" s="361"/>
      <c r="L31" s="350">
        <f>SUM(L32:L38)</f>
        <v>2463702</v>
      </c>
      <c r="M31" s="352">
        <f>SUM(M32:M38)</f>
        <v>2419125</v>
      </c>
      <c r="N31" s="353">
        <f t="shared" ref="N31:N38" si="8">(L31-M31)/M31</f>
        <v>1.8426910556502869E-2</v>
      </c>
      <c r="O31" s="350">
        <f>SUM(O32:O38)</f>
        <v>12681782</v>
      </c>
      <c r="P31" s="352">
        <f>SUM(P32:P38)</f>
        <v>12567918</v>
      </c>
      <c r="Q31" s="351">
        <f t="shared" ref="Q31:Q38" si="9">(O31-P31)/P31</f>
        <v>9.0598936116546916E-3</v>
      </c>
      <c r="R31" s="353">
        <f t="shared" ref="R31:R38" si="10">O31/$O$66</f>
        <v>0.70754169167077108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[3]Delta!$FS$19</f>
        <v>13480</v>
      </c>
      <c r="D32" s="9">
        <f>[3]Delta!$FE$19</f>
        <v>13186</v>
      </c>
      <c r="E32" s="86">
        <f t="shared" si="6"/>
        <v>2.2296374943121491E-2</v>
      </c>
      <c r="F32" s="9">
        <f>SUM([3]Delta!$FN$19:$FS$19)</f>
        <v>68741</v>
      </c>
      <c r="G32" s="9">
        <f>SUM([3]Delta!$EZ$19:$FE$19)</f>
        <v>67820</v>
      </c>
      <c r="H32" s="39">
        <f t="shared" ref="H32:H38" si="11">(F32-G32)/G32</f>
        <v>1.3580064877617221E-2</v>
      </c>
      <c r="I32" s="86">
        <f t="shared" si="7"/>
        <v>0.37685298890399543</v>
      </c>
      <c r="J32" s="53"/>
      <c r="K32" s="358" t="s">
        <v>18</v>
      </c>
      <c r="L32" s="354">
        <f>[3]Delta!$FS$41</f>
        <v>1892530</v>
      </c>
      <c r="M32" s="9">
        <f>[3]Delta!$FE$41</f>
        <v>1838429</v>
      </c>
      <c r="N32" s="86">
        <f t="shared" si="8"/>
        <v>2.9427843011614808E-2</v>
      </c>
      <c r="O32" s="354">
        <f>SUM([3]Delta!$FN$41:$FS$41)</f>
        <v>9451625</v>
      </c>
      <c r="P32" s="9">
        <f>SUM([3]Delta!$EZ$41:$FE$41)</f>
        <v>9267352</v>
      </c>
      <c r="Q32" s="39">
        <f t="shared" si="9"/>
        <v>1.9884104974106951E-2</v>
      </c>
      <c r="R32" s="86">
        <f t="shared" si="10"/>
        <v>0.52732484610898944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[3]Compass!$FS$19</f>
        <v>0</v>
      </c>
      <c r="D33" s="9">
        <f>[3]Compass!$FE$19</f>
        <v>928</v>
      </c>
      <c r="E33" s="86">
        <f t="shared" si="6"/>
        <v>-1</v>
      </c>
      <c r="F33" s="9">
        <f>SUM([3]Compass!$FN$19:$FS$19)</f>
        <v>2</v>
      </c>
      <c r="G33" s="9">
        <f>SUM([3]Compass!$EZ$19:$FE$19)</f>
        <v>6365</v>
      </c>
      <c r="H33" s="39">
        <f t="shared" si="11"/>
        <v>-0.99968578161822463</v>
      </c>
      <c r="I33" s="86">
        <f t="shared" si="7"/>
        <v>1.0964431384588396E-5</v>
      </c>
      <c r="J33" s="53"/>
      <c r="K33" s="360" t="s">
        <v>120</v>
      </c>
      <c r="L33" s="354">
        <f>[3]Compass!$FS$41</f>
        <v>0</v>
      </c>
      <c r="M33" s="9">
        <f>[3]Compass!$FE$41</f>
        <v>58464</v>
      </c>
      <c r="N33" s="86">
        <f t="shared" si="8"/>
        <v>-1</v>
      </c>
      <c r="O33" s="354">
        <f>SUM([3]Compass!$FN$41:$FS$41)</f>
        <v>0</v>
      </c>
      <c r="P33" s="9">
        <f>SUM([3]Compass!$EZ$41:$FE$41)</f>
        <v>370320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[3]Pinnacle!$FS$19</f>
        <v>2040</v>
      </c>
      <c r="D34" s="9">
        <f>[3]Pinnacle!$FE$19</f>
        <v>3569</v>
      </c>
      <c r="E34" s="86">
        <f t="shared" si="6"/>
        <v>-0.42841131969739421</v>
      </c>
      <c r="F34" s="9">
        <f>SUM([3]Pinnacle!$FN$19:$FS$19)</f>
        <v>12108</v>
      </c>
      <c r="G34" s="9">
        <f>SUM([3]Pinnacle!$EZ$19:$FE$19)</f>
        <v>18862</v>
      </c>
      <c r="H34" s="39">
        <f t="shared" si="11"/>
        <v>-0.35807443537270706</v>
      </c>
      <c r="I34" s="86">
        <f t="shared" si="7"/>
        <v>6.6378667602298144E-2</v>
      </c>
      <c r="J34" s="53"/>
      <c r="K34" s="359" t="s">
        <v>164</v>
      </c>
      <c r="L34" s="354">
        <f>[3]Pinnacle!$FS$41</f>
        <v>125736</v>
      </c>
      <c r="M34" s="9">
        <f>[3]Pinnacle!$FE$41</f>
        <v>187272</v>
      </c>
      <c r="N34" s="86">
        <f t="shared" si="8"/>
        <v>-0.32859156734589262</v>
      </c>
      <c r="O34" s="354">
        <f>SUM([3]Pinnacle!$FN$41:$FS$41)</f>
        <v>700877</v>
      </c>
      <c r="P34" s="9">
        <f>SUM([3]Pinnacle!$EZ$41:$FE$41)</f>
        <v>943342</v>
      </c>
      <c r="Q34" s="39">
        <f t="shared" si="9"/>
        <v>-0.2570276739506987</v>
      </c>
      <c r="R34" s="86">
        <f t="shared" si="10"/>
        <v>3.9103313574790598E-2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Jet'!$FS$19</f>
        <v>590</v>
      </c>
      <c r="D35" s="9">
        <f>'[3]Go Jet'!$FE$19</f>
        <v>281</v>
      </c>
      <c r="E35" s="86">
        <f t="shared" si="6"/>
        <v>1.0996441281138789</v>
      </c>
      <c r="F35" s="9">
        <f>SUM('[3]Go Jet'!$FN$19:$FS$19)</f>
        <v>3936</v>
      </c>
      <c r="G35" s="9">
        <f>SUM('[3]Go Jet'!$EZ$19:$FE$19)</f>
        <v>3136</v>
      </c>
      <c r="H35" s="39">
        <f>(F35-G35)/G35</f>
        <v>0.25510204081632654</v>
      </c>
      <c r="I35" s="86">
        <f t="shared" si="7"/>
        <v>2.1578000964869962E-2</v>
      </c>
      <c r="J35" s="53"/>
      <c r="K35" s="358" t="s">
        <v>160</v>
      </c>
      <c r="L35" s="354">
        <f>'[3]Go Jet'!$FS$41</f>
        <v>36990</v>
      </c>
      <c r="M35" s="9">
        <f>'[3]Go Jet'!$FE$41</f>
        <v>17051</v>
      </c>
      <c r="N35" s="86">
        <f t="shared" si="8"/>
        <v>1.1693742302504251</v>
      </c>
      <c r="O35" s="354">
        <f>SUM('[3]Go Jet'!$FN$41:$FS$41)</f>
        <v>229668</v>
      </c>
      <c r="P35" s="9">
        <f>SUM('[3]Go Jet'!$EZ$41:$FE$41)</f>
        <v>174914</v>
      </c>
      <c r="Q35" s="39">
        <f>(O35-P35)/P35</f>
        <v>0.31303383376973826</v>
      </c>
      <c r="R35" s="86">
        <f t="shared" si="10"/>
        <v>1.2813631809996628E-2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West'!$FS$19</f>
        <v>8428</v>
      </c>
      <c r="D36" s="9">
        <f>'[3]Sky West'!$FE$19</f>
        <v>6021</v>
      </c>
      <c r="E36" s="86">
        <f t="shared" si="6"/>
        <v>0.3997674804849693</v>
      </c>
      <c r="F36" s="9">
        <f>SUM('[3]Sky West'!$FN$19:$FS$19)</f>
        <v>47002</v>
      </c>
      <c r="G36" s="9">
        <f>SUM('[3]Sky West'!$EZ$19:$FE$19)</f>
        <v>33973</v>
      </c>
      <c r="H36" s="39">
        <f t="shared" si="11"/>
        <v>0.38351043475701291</v>
      </c>
      <c r="I36" s="86">
        <f t="shared" si="7"/>
        <v>0.25767510196921189</v>
      </c>
      <c r="J36" s="53"/>
      <c r="K36" s="359" t="s">
        <v>100</v>
      </c>
      <c r="L36" s="354">
        <f>'[3]Sky West'!$FS$41</f>
        <v>405946</v>
      </c>
      <c r="M36" s="9">
        <f>'[3]Sky West'!$FE$41</f>
        <v>291037</v>
      </c>
      <c r="N36" s="86">
        <f t="shared" si="8"/>
        <v>0.39482608740469427</v>
      </c>
      <c r="O36" s="354">
        <f>SUM('[3]Sky West'!$FN$41:$FS$41)</f>
        <v>2226285</v>
      </c>
      <c r="P36" s="9">
        <f>SUM('[3]Sky West'!$EZ$41:$FE$41)</f>
        <v>1573959</v>
      </c>
      <c r="Q36" s="39">
        <f t="shared" si="9"/>
        <v>0.41444916926044451</v>
      </c>
      <c r="R36" s="86">
        <f t="shared" si="10"/>
        <v>0.12420884186790647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America_Delta'!$FS$19</f>
        <v>0</v>
      </c>
      <c r="D37" s="9">
        <f>'[3]Shuttle America_Delta'!$FE$19</f>
        <v>0</v>
      </c>
      <c r="E37" s="86" t="e">
        <f t="shared" si="6"/>
        <v>#DIV/0!</v>
      </c>
      <c r="F37" s="9">
        <f>SUM('[3]Shuttle America_Delta'!$FN$19:$FS$19)</f>
        <v>76</v>
      </c>
      <c r="G37" s="9">
        <f>SUM('[3]Shuttle America_Delta'!$EZ$19:$FE$19)</f>
        <v>158</v>
      </c>
      <c r="H37" s="39">
        <f t="shared" si="11"/>
        <v>-0.51898734177215189</v>
      </c>
      <c r="I37" s="86">
        <f t="shared" si="7"/>
        <v>4.1664839261435903E-4</v>
      </c>
      <c r="J37" s="53"/>
      <c r="K37" s="359" t="s">
        <v>134</v>
      </c>
      <c r="L37" s="354">
        <f>'[3]Shuttle America_Delta'!$FS$41</f>
        <v>0</v>
      </c>
      <c r="M37" s="9">
        <f>'[3]Shuttle America_Delta'!$FE$41</f>
        <v>0</v>
      </c>
      <c r="N37" s="86" t="e">
        <f t="shared" si="8"/>
        <v>#DIV/0!</v>
      </c>
      <c r="O37" s="354">
        <f>SUM('[3]Shuttle America_Delta'!$FN$41:$FS$41)</f>
        <v>4528</v>
      </c>
      <c r="P37" s="9">
        <f>SUM('[3]Shuttle America_Delta'!$EZ$41:$FE$41)</f>
        <v>8496</v>
      </c>
      <c r="Q37" s="39">
        <f t="shared" si="9"/>
        <v>-0.46704331450094161</v>
      </c>
      <c r="R37" s="86">
        <f t="shared" si="10"/>
        <v>2.5262607257286486E-4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Southeast'!$FS$19</f>
        <v>56</v>
      </c>
      <c r="D38" s="9">
        <f>'[3]Atlantic Southeast'!$FE$19</f>
        <v>468</v>
      </c>
      <c r="E38" s="86">
        <f t="shared" si="6"/>
        <v>-0.88034188034188032</v>
      </c>
      <c r="F38" s="9">
        <f>SUM('[3]Atlantic Southeast'!$FN$19:$FS$19)</f>
        <v>1352</v>
      </c>
      <c r="G38" s="9">
        <f>SUM('[3]Atlantic Southeast'!$EZ$19:$FE$19)</f>
        <v>4044</v>
      </c>
      <c r="H38" s="39">
        <f t="shared" si="11"/>
        <v>-0.66567754698318493</v>
      </c>
      <c r="I38" s="86">
        <f t="shared" si="7"/>
        <v>7.4119556159817548E-3</v>
      </c>
      <c r="J38" s="53"/>
      <c r="K38" s="426" t="s">
        <v>174</v>
      </c>
      <c r="L38" s="354">
        <f>'[3]Atlantic Southeast'!$FS$41</f>
        <v>2500</v>
      </c>
      <c r="M38" s="9">
        <f>'[3]Atlantic Southeast'!$FE$41</f>
        <v>26872</v>
      </c>
      <c r="N38" s="86">
        <f t="shared" si="8"/>
        <v>-0.90696635903542722</v>
      </c>
      <c r="O38" s="354">
        <f>SUM('[3]Atlantic Southeast'!$FN$41:$FS$41)</f>
        <v>68799</v>
      </c>
      <c r="P38" s="9">
        <f>SUM('[3]Atlantic Southeast'!$EZ$41:$FE$41)</f>
        <v>229535</v>
      </c>
      <c r="Q38" s="39">
        <f t="shared" si="9"/>
        <v>-0.70026793299496803</v>
      </c>
      <c r="R38" s="86">
        <f t="shared" si="10"/>
        <v>3.8384322365151349E-3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[3]Frontier!$FS$19</f>
        <v>300</v>
      </c>
      <c r="D40" s="352">
        <f>[3]Frontier!$FE$19</f>
        <v>180</v>
      </c>
      <c r="E40" s="353">
        <f>(C40-D40)/D40</f>
        <v>0.66666666666666663</v>
      </c>
      <c r="F40" s="352">
        <f>SUM([3]Frontier!$FN$19:$FS$19)</f>
        <v>1620</v>
      </c>
      <c r="G40" s="352">
        <f>SUM([3]Frontier!$EZ$19:$FE$19)</f>
        <v>1051</v>
      </c>
      <c r="H40" s="351">
        <f>(F40-G40)/G40</f>
        <v>0.54138915318744052</v>
      </c>
      <c r="I40" s="353">
        <f>F40/$F$66</f>
        <v>8.8811894215166005E-3</v>
      </c>
      <c r="J40" s="349" t="s">
        <v>47</v>
      </c>
      <c r="K40" s="362"/>
      <c r="L40" s="350">
        <f>[3]Frontier!$FS$41</f>
        <v>41449</v>
      </c>
      <c r="M40" s="352">
        <f>[3]Frontier!$FE$41</f>
        <v>22777</v>
      </c>
      <c r="N40" s="353">
        <f>(L40-M40)/M40</f>
        <v>0.81977433375773812</v>
      </c>
      <c r="O40" s="350">
        <f>SUM([3]Frontier!$FN$41:$FS$41)</f>
        <v>239635</v>
      </c>
      <c r="P40" s="352">
        <f>SUM([3]Frontier!$EZ$41:$FE$41)</f>
        <v>161223</v>
      </c>
      <c r="Q40" s="351">
        <f>(O40-P40)/P40</f>
        <v>0.48635740558108953</v>
      </c>
      <c r="R40" s="353">
        <f>O40/$O$66</f>
        <v>1.3369710446333586E-2</v>
      </c>
      <c r="S40" s="468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8"/>
    </row>
    <row r="42" spans="1:22" s="7" customFormat="1" ht="14.1" customHeight="1" x14ac:dyDescent="0.2">
      <c r="A42" s="349" t="s">
        <v>48</v>
      </c>
      <c r="B42" s="362"/>
      <c r="C42" s="350">
        <f>[3]Icelandair!$FS$19</f>
        <v>92</v>
      </c>
      <c r="D42" s="352">
        <f>[3]Icelandair!$FE$19</f>
        <v>58</v>
      </c>
      <c r="E42" s="353">
        <f>(C42-D42)/D42</f>
        <v>0.58620689655172409</v>
      </c>
      <c r="F42" s="352">
        <f>SUM([3]Icelandair!$FN$19:$FS$19)</f>
        <v>250</v>
      </c>
      <c r="G42" s="352">
        <f>SUM([3]Icelandair!$EZ$19:$FE$19)</f>
        <v>258</v>
      </c>
      <c r="H42" s="351">
        <f>(F42-G42)/G42</f>
        <v>-3.1007751937984496E-2</v>
      </c>
      <c r="I42" s="353">
        <f>F42/$F$66</f>
        <v>1.3705539230735495E-3</v>
      </c>
      <c r="J42" s="349" t="s">
        <v>48</v>
      </c>
      <c r="K42" s="362"/>
      <c r="L42" s="350">
        <f>[3]Icelandair!$FS$41</f>
        <v>14092</v>
      </c>
      <c r="M42" s="352">
        <f>[3]Icelandair!$FE$41</f>
        <v>13699</v>
      </c>
      <c r="N42" s="353">
        <f>(L42-M42)/M42</f>
        <v>2.8688225417913715E-2</v>
      </c>
      <c r="O42" s="350">
        <f>SUM([3]Icelandair!$FN$41:$FS$41)</f>
        <v>35461</v>
      </c>
      <c r="P42" s="352">
        <f>SUM([3]Icelandair!$EZ$41:$FE$41)</f>
        <v>44037</v>
      </c>
      <c r="Q42" s="351">
        <f>(O42-P42)/P42</f>
        <v>-0.19474532779253809</v>
      </c>
      <c r="R42" s="353">
        <f>O42/$O$66</f>
        <v>1.9784393020111221E-3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Blue'!$FS$19</f>
        <v>173</v>
      </c>
      <c r="D44" s="352">
        <f>'[3]Jet Blue'!$FE$19</f>
        <v>0</v>
      </c>
      <c r="E44" s="353" t="e">
        <f>(C44-D44)/D44</f>
        <v>#DIV/0!</v>
      </c>
      <c r="F44" s="352">
        <f>SUM('[3]Jet Blue'!$FN$19:$FS$19)</f>
        <v>346</v>
      </c>
      <c r="G44" s="352">
        <f>SUM('[3]Jet Blue'!$EZ$19:$FE$19)</f>
        <v>0</v>
      </c>
      <c r="H44" s="351" t="e">
        <f>(F44-G44)/G44</f>
        <v>#DIV/0!</v>
      </c>
      <c r="I44" s="353">
        <f>F44/$F$66</f>
        <v>1.8968466295337923E-3</v>
      </c>
      <c r="J44" s="349" t="s">
        <v>229</v>
      </c>
      <c r="K44" s="362"/>
      <c r="L44" s="350">
        <f>'[3]Jet Blue'!$FS$41</f>
        <v>22201</v>
      </c>
      <c r="M44" s="352">
        <f>'[3]Jet Blue'!$FE$41</f>
        <v>0</v>
      </c>
      <c r="N44" s="353" t="e">
        <f>(L44-M44)/M44</f>
        <v>#DIV/0!</v>
      </c>
      <c r="O44" s="350">
        <f>SUM('[3]Jet Blue'!$FN$41:$FS$41)</f>
        <v>41773</v>
      </c>
      <c r="P44" s="352">
        <f>SUM('[3]Jet Blue'!$EZ$41:$FE$41)</f>
        <v>0</v>
      </c>
      <c r="Q44" s="351" t="e">
        <f>(O44-P44)/P44</f>
        <v>#DIV/0!</v>
      </c>
      <c r="R44" s="353">
        <f>O44/$O$66</f>
        <v>2.3305982618344267E-3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[3]KLM!$FS$19</f>
        <v>40</v>
      </c>
      <c r="D46" s="352">
        <f>[3]KLM!$FE$19</f>
        <v>24</v>
      </c>
      <c r="E46" s="353">
        <f>(C46-D46)/D46</f>
        <v>0.66666666666666663</v>
      </c>
      <c r="F46" s="352">
        <f>SUM([3]KLM!$FN$19:$FS$19)</f>
        <v>168</v>
      </c>
      <c r="G46" s="352">
        <f>SUM([3]KLM!$EZ$19:$FE$19)</f>
        <v>80</v>
      </c>
      <c r="H46" s="351">
        <f>(F46-G46)/G46</f>
        <v>1.1000000000000001</v>
      </c>
      <c r="I46" s="353">
        <f>F46/$F$66</f>
        <v>9.2101223630542523E-4</v>
      </c>
      <c r="J46" s="349" t="s">
        <v>216</v>
      </c>
      <c r="K46" s="362"/>
      <c r="L46" s="350">
        <f>[3]KLM!$FS$41</f>
        <v>10094</v>
      </c>
      <c r="M46" s="352">
        <f>[3]KLM!$FE$41</f>
        <v>5925</v>
      </c>
      <c r="N46" s="353">
        <f>(L46-M46)/M46</f>
        <v>0.70362869198312239</v>
      </c>
      <c r="O46" s="350">
        <f>SUM([3]KLM!$FN$41:$FS$41)</f>
        <v>38347</v>
      </c>
      <c r="P46" s="352">
        <f>SUM([3]KLM!$EZ$41:$FE$41)</f>
        <v>18880</v>
      </c>
      <c r="Q46" s="351">
        <f>(O46-P46)/P46</f>
        <v>1.0310911016949154</v>
      </c>
      <c r="R46" s="353">
        <f>O46/$O$66</f>
        <v>2.1394549480900286E-3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357" t="s">
        <v>132</v>
      </c>
      <c r="C48" s="350">
        <f>[3]Southwest!$FS$19</f>
        <v>1373</v>
      </c>
      <c r="D48" s="352">
        <f>[3]Southwest!$FE$19</f>
        <v>1509</v>
      </c>
      <c r="E48" s="353">
        <f>(C48-D48)/D48</f>
        <v>-9.0125911199469846E-2</v>
      </c>
      <c r="F48" s="352">
        <f>SUM([3]Southwest!$FN$19:$FS$19)</f>
        <v>7870</v>
      </c>
      <c r="G48" s="352">
        <f>SUM([3]Southwest!$EZ$19:$FE$19)</f>
        <v>8988</v>
      </c>
      <c r="H48" s="351">
        <f>(F48-G48)/G48</f>
        <v>-0.12438807298620383</v>
      </c>
      <c r="I48" s="353">
        <f>F48/$F$66</f>
        <v>4.3145037498355333E-2</v>
      </c>
      <c r="J48" s="357" t="s">
        <v>132</v>
      </c>
      <c r="L48" s="350">
        <f>[3]Southwest!$FS$41</f>
        <v>170775</v>
      </c>
      <c r="M48" s="352">
        <f>[3]Southwest!$FE$41</f>
        <v>182823</v>
      </c>
      <c r="N48" s="353">
        <f>(L48-M48)/M48</f>
        <v>-6.5899804729164277E-2</v>
      </c>
      <c r="O48" s="350">
        <f>SUM([3]Southwest!$FN$41:$FS$41)</f>
        <v>947022</v>
      </c>
      <c r="P48" s="352">
        <f>SUM([3]Southwest!$EZ$41:$FE$41)</f>
        <v>1031723</v>
      </c>
      <c r="Q48" s="351">
        <f>(O48-P48)/P48</f>
        <v>-8.2096648034404585E-2</v>
      </c>
      <c r="R48" s="353">
        <f>O48/$O$66</f>
        <v>5.2836229792424833E-2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[3]Spirit!$FS$19</f>
        <v>718</v>
      </c>
      <c r="D50" s="352">
        <f>[3]Spirit!$FE$19</f>
        <v>739</v>
      </c>
      <c r="E50" s="353">
        <f>(C50-D50)/D50</f>
        <v>-2.8416779431664412E-2</v>
      </c>
      <c r="F50" s="352">
        <f>SUM([3]Spirit!$FN$19:$FS$19)</f>
        <v>4291</v>
      </c>
      <c r="G50" s="352">
        <f>SUM([3]Spirit!$EZ$19:$FE$19)</f>
        <v>4679</v>
      </c>
      <c r="H50" s="351">
        <f>(F50-G50)/G50</f>
        <v>-8.2923701645650785E-2</v>
      </c>
      <c r="I50" s="353">
        <f>F50/$F$66</f>
        <v>2.3524187535634403E-2</v>
      </c>
      <c r="J50" s="349" t="s">
        <v>161</v>
      </c>
      <c r="K50" s="55"/>
      <c r="L50" s="350">
        <f>[3]Spirit!$FS$41</f>
        <v>101895</v>
      </c>
      <c r="M50" s="352">
        <f>[3]Spirit!$FE$41</f>
        <v>102395</v>
      </c>
      <c r="N50" s="353">
        <f>(L50-M50)/M50</f>
        <v>-4.883050930221202E-3</v>
      </c>
      <c r="O50" s="350">
        <f>SUM([3]Spirit!$FN$41:$FS$41)</f>
        <v>572810</v>
      </c>
      <c r="P50" s="352">
        <f>SUM([3]Spirit!$EZ$41:$FE$41)</f>
        <v>628873</v>
      </c>
      <c r="Q50" s="351">
        <f>(O50-P50)/P50</f>
        <v>-8.9148365409232072E-2</v>
      </c>
      <c r="R50" s="353">
        <f>O50/$O$66</f>
        <v>3.1958202436056259E-2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Country'!$FS$19</f>
        <v>1475</v>
      </c>
      <c r="D52" s="352">
        <f>'[3]Sun Country'!$FE$19</f>
        <v>1626</v>
      </c>
      <c r="E52" s="353">
        <f>(C52-D52)/D52</f>
        <v>-9.2865928659286598E-2</v>
      </c>
      <c r="F52" s="352">
        <f>SUM('[3]Sun Country'!$FN$19:$FS$19)</f>
        <v>10704</v>
      </c>
      <c r="G52" s="352">
        <f>SUM('[3]Sun Country'!$EZ$19:$FE$19)</f>
        <v>11070</v>
      </c>
      <c r="H52" s="351">
        <f>(F52-G52)/G52</f>
        <v>-3.3062330623306234E-2</v>
      </c>
      <c r="I52" s="353">
        <f>F52/$F$66</f>
        <v>5.868163677031709E-2</v>
      </c>
      <c r="J52" s="349" t="s">
        <v>49</v>
      </c>
      <c r="K52" s="362"/>
      <c r="L52" s="350">
        <f>'[3]Sun Country'!$FS$41</f>
        <v>173230</v>
      </c>
      <c r="M52" s="352">
        <f>'[3]Sun Country'!$FE$41</f>
        <v>192376</v>
      </c>
      <c r="N52" s="353">
        <f>(L52-M52)/M52</f>
        <v>-9.9523849128789449E-2</v>
      </c>
      <c r="O52" s="350">
        <f>SUM('[3]Sun Country'!$FN$41:$FS$41)</f>
        <v>1281214</v>
      </c>
      <c r="P52" s="352">
        <f>SUM('[3]Sun Country'!$EZ$41:$FE$41)</f>
        <v>1264295</v>
      </c>
      <c r="Q52" s="351">
        <f>(O52-P52)/P52</f>
        <v>1.3382161599943052E-2</v>
      </c>
      <c r="R52" s="353">
        <f>O52/$O$66</f>
        <v>7.1481462222917513E-2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1584</v>
      </c>
      <c r="D54" s="352">
        <f>SUM(D55:D61)</f>
        <v>1850</v>
      </c>
      <c r="E54" s="353">
        <f t="shared" ref="E54:E61" si="12">(C54-D54)/D54</f>
        <v>-0.14378378378378379</v>
      </c>
      <c r="F54" s="352">
        <f>SUM(F55:F61)</f>
        <v>8626</v>
      </c>
      <c r="G54" s="352">
        <f>SUM(G55:G61)</f>
        <v>9636</v>
      </c>
      <c r="H54" s="351">
        <f t="shared" ref="H54:H61" si="13">(F54-G54)/G54</f>
        <v>-0.10481527604815276</v>
      </c>
      <c r="I54" s="353">
        <f t="shared" ref="I54:I61" si="14">F54/$F$66</f>
        <v>4.7289592561729751E-2</v>
      </c>
      <c r="J54" s="349" t="s">
        <v>19</v>
      </c>
      <c r="K54" s="357"/>
      <c r="L54" s="350">
        <f>SUM(L55:L61)</f>
        <v>147878</v>
      </c>
      <c r="M54" s="352">
        <f>SUM(M55:M61)</f>
        <v>162843</v>
      </c>
      <c r="N54" s="353">
        <f t="shared" ref="N54:N61" si="15">(L54-M54)/M54</f>
        <v>-9.18983315217725E-2</v>
      </c>
      <c r="O54" s="350">
        <f>SUM(O55:O61)</f>
        <v>758250</v>
      </c>
      <c r="P54" s="352">
        <f>SUM(P55:P61)</f>
        <v>807951</v>
      </c>
      <c r="Q54" s="351">
        <f t="shared" ref="Q54:Q61" si="16">(O54-P54)/P54</f>
        <v>-6.1514869094784215E-2</v>
      </c>
      <c r="R54" s="353">
        <f t="shared" ref="R54:R61" si="17">O54/$O$66</f>
        <v>4.2304266680294786E-2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[3]United!$FS$19</f>
        <v>748</v>
      </c>
      <c r="D55" s="9">
        <f>[3]United!$FE$19+[3]Continental!$FE$19</f>
        <v>912</v>
      </c>
      <c r="E55" s="86">
        <f t="shared" si="12"/>
        <v>-0.17982456140350878</v>
      </c>
      <c r="F55" s="9">
        <f>SUM([3]United!$FN$19:$FS$19)</f>
        <v>3422</v>
      </c>
      <c r="G55" s="9">
        <f>SUM([3]United!$EZ$19:$FE$19)+SUM([3]Continental!$EZ$19:$FE$19)</f>
        <v>4156</v>
      </c>
      <c r="H55" s="39">
        <f t="shared" si="13"/>
        <v>-0.17661212704523579</v>
      </c>
      <c r="I55" s="86">
        <f t="shared" si="14"/>
        <v>1.8760142099030746E-2</v>
      </c>
      <c r="J55" s="363"/>
      <c r="K55" s="424" t="s">
        <v>19</v>
      </c>
      <c r="L55" s="354">
        <f>[3]United!$FS$41</f>
        <v>92739</v>
      </c>
      <c r="M55" s="9">
        <f>[3]United!$FE$41+[3]Continental!$FE$41</f>
        <v>105779</v>
      </c>
      <c r="N55" s="86">
        <f t="shared" si="15"/>
        <v>-0.12327588651811797</v>
      </c>
      <c r="O55" s="354">
        <f>SUM([3]United!$FN$41:$FS$41)</f>
        <v>426910</v>
      </c>
      <c r="P55" s="9">
        <f>SUM([3]United!$EZ$41:$FE$41)+SUM([3]Continental!$EZ$41:$FE$41)</f>
        <v>483366</v>
      </c>
      <c r="Q55" s="39">
        <f t="shared" si="16"/>
        <v>-0.11679762333304369</v>
      </c>
      <c r="R55" s="86">
        <f t="shared" si="17"/>
        <v>2.3818152968657628E-2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Express'!$FS$19</f>
        <v>0</v>
      </c>
      <c r="D56" s="9">
        <f>'[3]Continental Express'!$FE$19</f>
        <v>6</v>
      </c>
      <c r="E56" s="86">
        <f t="shared" si="12"/>
        <v>-1</v>
      </c>
      <c r="F56" s="9">
        <f>SUM('[3]Continental Express'!$FN$19:$FS$19)</f>
        <v>52</v>
      </c>
      <c r="G56" s="9">
        <f>SUM('[3]Continental Express'!$EZ$19:$FE$19)</f>
        <v>120</v>
      </c>
      <c r="H56" s="39">
        <f t="shared" si="13"/>
        <v>-0.56666666666666665</v>
      </c>
      <c r="I56" s="86">
        <f t="shared" si="14"/>
        <v>2.8507521599929829E-4</v>
      </c>
      <c r="J56" s="53"/>
      <c r="K56" s="424" t="s">
        <v>174</v>
      </c>
      <c r="L56" s="354">
        <f>'[3]Continental Express'!$FS$41</f>
        <v>0</v>
      </c>
      <c r="M56" s="9">
        <f>'[3]Continental Express'!$FE$41</f>
        <v>293</v>
      </c>
      <c r="N56" s="86">
        <f t="shared" si="15"/>
        <v>-1</v>
      </c>
      <c r="O56" s="354">
        <f>SUM('[3]Continental Express'!$FN$41:$FS$41)</f>
        <v>1597</v>
      </c>
      <c r="P56" s="9">
        <f>SUM('[3]Continental Express'!$EZ$41:$FE$41)</f>
        <v>4863</v>
      </c>
      <c r="Q56" s="39">
        <f t="shared" si="16"/>
        <v>-0.67160189183631502</v>
      </c>
      <c r="R56" s="86">
        <f t="shared" si="17"/>
        <v>8.9099787521834185E-5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Jet_UA'!$FS$19</f>
        <v>6</v>
      </c>
      <c r="D57" s="9">
        <f>'[3]Go Jet_UA'!$FE$19</f>
        <v>56</v>
      </c>
      <c r="E57" s="86">
        <f t="shared" si="12"/>
        <v>-0.8928571428571429</v>
      </c>
      <c r="F57" s="9">
        <f>SUM('[3]Go Jet_UA'!$FN$19:$FS$19)</f>
        <v>156</v>
      </c>
      <c r="G57" s="9">
        <f>SUM('[3]Go Jet_UA'!$EZ$19:$FE$19)</f>
        <v>140</v>
      </c>
      <c r="H57" s="39">
        <f t="shared" si="13"/>
        <v>0.11428571428571428</v>
      </c>
      <c r="I57" s="86">
        <f t="shared" si="14"/>
        <v>8.5522564799789486E-4</v>
      </c>
      <c r="J57" s="363"/>
      <c r="K57" s="358" t="s">
        <v>160</v>
      </c>
      <c r="L57" s="354">
        <f>'[3]Go Jet_UA'!$FS$41</f>
        <v>391</v>
      </c>
      <c r="M57" s="9">
        <f>'[3]Go Jet_UA'!$FE$41</f>
        <v>3573</v>
      </c>
      <c r="N57" s="86">
        <f t="shared" si="15"/>
        <v>-0.89056815001399381</v>
      </c>
      <c r="O57" s="354">
        <f>SUM('[3]Go Jet_UA'!$FN$41:$FS$41)</f>
        <v>10304</v>
      </c>
      <c r="P57" s="9">
        <f>SUM('[3]Go Jet_UA'!$EZ$41:$FE$41)</f>
        <v>8891</v>
      </c>
      <c r="Q57" s="39">
        <f t="shared" si="16"/>
        <v>0.1589247553705995</v>
      </c>
      <c r="R57" s="86">
        <f t="shared" si="17"/>
        <v>5.7488053263931086E-4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[3]MESA_UA!$FS$19</f>
        <v>290</v>
      </c>
      <c r="D58" s="9">
        <f>[3]MESA_UA!$FE$19</f>
        <v>288</v>
      </c>
      <c r="E58" s="86">
        <f t="shared" si="12"/>
        <v>6.9444444444444441E-3</v>
      </c>
      <c r="F58" s="9">
        <f>SUM([3]MESA_UA!$FN$19:$FS$19)</f>
        <v>1684</v>
      </c>
      <c r="G58" s="9">
        <f>SUM([3]MESA_UA!$EZ$19:$FE$19)</f>
        <v>1846</v>
      </c>
      <c r="H58" s="39">
        <f>(F58-G58)/G58</f>
        <v>-8.7757313109425791E-2</v>
      </c>
      <c r="I58" s="86">
        <f t="shared" si="14"/>
        <v>9.2320512258234292E-3</v>
      </c>
      <c r="J58" s="363"/>
      <c r="K58" s="358" t="s">
        <v>51</v>
      </c>
      <c r="L58" s="354">
        <f>[3]MESA_UA!$FS$41</f>
        <v>20128</v>
      </c>
      <c r="M58" s="9">
        <f>[3]MESA_UA!$FE$41</f>
        <v>17247</v>
      </c>
      <c r="N58" s="86">
        <f t="shared" si="15"/>
        <v>0.16704354380471967</v>
      </c>
      <c r="O58" s="354">
        <f>SUM([3]MESA_UA!$FN$41:$FS$41)</f>
        <v>106556</v>
      </c>
      <c r="P58" s="9">
        <f>SUM([3]MESA_UA!$EZ$41:$FE$41)</f>
        <v>106381</v>
      </c>
      <c r="Q58" s="39">
        <f t="shared" si="16"/>
        <v>1.6450305975691149E-3</v>
      </c>
      <c r="R58" s="86">
        <f t="shared" si="17"/>
        <v>5.9449699180817561E-3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[3]Republic_UA!$FS$19</f>
        <v>444</v>
      </c>
      <c r="D59" s="9">
        <f>[3]Republic_UA!$FE$19</f>
        <v>362</v>
      </c>
      <c r="E59" s="86">
        <f t="shared" si="12"/>
        <v>0.22651933701657459</v>
      </c>
      <c r="F59" s="9">
        <f>SUM([3]Republic_UA!$FN$19:$FS$19)</f>
        <v>2270</v>
      </c>
      <c r="G59" s="9">
        <f>SUM([3]Republic_UA!$EZ$19:$FE$19)</f>
        <v>1742</v>
      </c>
      <c r="H59" s="39">
        <f t="shared" ref="H59" si="18">(F59-G59)/G59</f>
        <v>0.30309988518943742</v>
      </c>
      <c r="I59" s="86">
        <f t="shared" si="14"/>
        <v>1.2444629621507828E-2</v>
      </c>
      <c r="J59" s="363"/>
      <c r="K59" s="426" t="s">
        <v>52</v>
      </c>
      <c r="L59" s="354">
        <f>[3]Republic_UA!$FS$41</f>
        <v>28449</v>
      </c>
      <c r="M59" s="9">
        <f>[3]Republic_UA!$FE$41</f>
        <v>21738</v>
      </c>
      <c r="N59" s="86">
        <f t="shared" si="15"/>
        <v>0.30872205354678445</v>
      </c>
      <c r="O59" s="354">
        <f>SUM([3]Republic_UA!$FN$41:$FS$41)</f>
        <v>144654</v>
      </c>
      <c r="P59" s="9">
        <f>SUM([3]Republic_UA!$EZ$41:$FE$41)</f>
        <v>98737</v>
      </c>
      <c r="Q59" s="39">
        <f t="shared" si="16"/>
        <v>0.46504349939738904</v>
      </c>
      <c r="R59" s="86">
        <f t="shared" si="17"/>
        <v>8.0705326638593634E-3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West_UA'!$FS$19</f>
        <v>96</v>
      </c>
      <c r="D60" s="9">
        <f>'[3]Sky West_UA'!$FE$19+'[3]Sky West_CO'!$FE$19</f>
        <v>226</v>
      </c>
      <c r="E60" s="86">
        <f t="shared" si="12"/>
        <v>-0.5752212389380531</v>
      </c>
      <c r="F60" s="9">
        <f>SUM('[3]Sky West_UA'!$FN$19:$FS$19)</f>
        <v>1042</v>
      </c>
      <c r="G60" s="9">
        <f>SUM('[3]Sky West_UA'!$EZ$19:$FE$19)+SUM('[3]Sky West_CO'!$EZ$19:$FE$19)</f>
        <v>1608</v>
      </c>
      <c r="H60" s="39">
        <f t="shared" si="13"/>
        <v>-0.35199004975124376</v>
      </c>
      <c r="I60" s="86">
        <f t="shared" si="14"/>
        <v>5.7124687513705535E-3</v>
      </c>
      <c r="J60" s="363"/>
      <c r="K60" s="358" t="s">
        <v>100</v>
      </c>
      <c r="L60" s="354">
        <f>'[3]Sky West_UA'!$FS$41</f>
        <v>6171</v>
      </c>
      <c r="M60" s="9">
        <f>'[3]Sky West_UA'!$FE$41+'[3]Sky West_CO'!$FE$41</f>
        <v>14213</v>
      </c>
      <c r="N60" s="86">
        <f t="shared" si="15"/>
        <v>-0.56582002392176178</v>
      </c>
      <c r="O60" s="354">
        <f>SUM('[3]Sky West_UA'!$FN$41:$FS$41)</f>
        <v>68229</v>
      </c>
      <c r="P60" s="9">
        <f>SUM('[3]Sky West_UA'!$EZ$41:$FE$41)+SUM('[3]Sky West_CO'!$EZ$41:$FE$41)</f>
        <v>104440</v>
      </c>
      <c r="Q60" s="39">
        <f t="shared" si="16"/>
        <v>-0.34671581769436999</v>
      </c>
      <c r="R60" s="86">
        <f t="shared" si="17"/>
        <v>3.8066308095348936E-3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America'!$FS$19</f>
        <v>0</v>
      </c>
      <c r="D61" s="9">
        <f>'[3]Shuttle America'!$FE$19</f>
        <v>0</v>
      </c>
      <c r="E61" s="86" t="e">
        <f t="shared" si="12"/>
        <v>#DIV/0!</v>
      </c>
      <c r="F61" s="9">
        <f>SUM('[3]Shuttle America'!$FN$19:$FS$19)</f>
        <v>0</v>
      </c>
      <c r="G61" s="9">
        <f>SUM('[3]Shuttle America'!$EZ$19:$FE$19)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America'!$FS$41</f>
        <v>0</v>
      </c>
      <c r="M61" s="9">
        <f>'[3]Shuttle America'!$FE$41</f>
        <v>0</v>
      </c>
      <c r="N61" s="86" t="e">
        <f t="shared" si="15"/>
        <v>#DIV/0!</v>
      </c>
      <c r="O61" s="354">
        <f>SUM('[3]Shuttle America'!$FN$41:$FS$41)</f>
        <v>0</v>
      </c>
      <c r="P61" s="9">
        <f>SUM('[3]Shuttle America'!$EZ$41:$FE$41)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0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89"/>
      <c r="S63" s="228"/>
      <c r="T63"/>
    </row>
    <row r="64" spans="1:20" ht="14.1" customHeight="1" x14ac:dyDescent="0.2">
      <c r="B64" s="372" t="s">
        <v>136</v>
      </c>
      <c r="C64" s="437">
        <f>+C66-C65</f>
        <v>20254</v>
      </c>
      <c r="D64" s="438">
        <f>+D66-D65</f>
        <v>20420</v>
      </c>
      <c r="E64" s="439">
        <f>(C64-D64)/D64</f>
        <v>-8.1292850146914789E-3</v>
      </c>
      <c r="F64" s="437">
        <f t="shared" ref="F64:G64" si="19">+F66-F65</f>
        <v>107259</v>
      </c>
      <c r="G64" s="438">
        <f t="shared" si="19"/>
        <v>110389</v>
      </c>
      <c r="H64" s="444">
        <f>(F64-G64)/G64</f>
        <v>-2.8354274429517434E-2</v>
      </c>
      <c r="I64" s="500">
        <f>F64/$F$66</f>
        <v>0.58801697293978339</v>
      </c>
      <c r="K64" s="372" t="s">
        <v>136</v>
      </c>
      <c r="L64" s="437">
        <f>+L66-L65</f>
        <v>2722996</v>
      </c>
      <c r="M64" s="438">
        <f>+M66-M65</f>
        <v>2701569</v>
      </c>
      <c r="N64" s="439">
        <f>(L64-M64)/M64</f>
        <v>7.9313169495208152E-3</v>
      </c>
      <c r="O64" s="437">
        <f t="shared" ref="O64" si="20">+O66-O65</f>
        <v>14044570</v>
      </c>
      <c r="P64" s="438">
        <f>+P66-P65</f>
        <v>14109531</v>
      </c>
      <c r="Q64" s="487">
        <f>(O64-P64)/P64</f>
        <v>-4.6040509780232953E-3</v>
      </c>
      <c r="R64" s="493">
        <f>+O64/O66</f>
        <v>0.78357432863840126</v>
      </c>
    </row>
    <row r="65" spans="2:18" ht="14.1" customHeight="1" x14ac:dyDescent="0.2">
      <c r="B65" s="329" t="s">
        <v>137</v>
      </c>
      <c r="C65" s="440">
        <f>C61+C38+C36+C34+C33+C37+C20+C60+C57+C35+C56+C58+C25+C24+C21+C15+C6+C59+C22+C23+C7+C16</f>
        <v>12803</v>
      </c>
      <c r="D65" s="373">
        <f>D61+D38+D36+D34+D33+D37+D20+D60+D57+D35+D56+D58+D25+D24+D21+D15+D6+D59+D22+D23+D7+D16+D5</f>
        <v>12953</v>
      </c>
      <c r="E65" s="374">
        <f>(C65-D65)/D65</f>
        <v>-1.1580328881340231E-2</v>
      </c>
      <c r="F65" s="440">
        <f>F61+F38+F36+F34+F33+F37+F20+F60+F57+F35+F56+F58+F25+F24+F21+F15+F6+F59+F22+F23+F7+F16</f>
        <v>75149</v>
      </c>
      <c r="G65" s="373">
        <f>G61+G38+G36+G34+G33+G37+G20+G60+G57+G35+G56+G58+G25+G24+G21+G15+G6+G59+G22+G23+G7+G16</f>
        <v>75947</v>
      </c>
      <c r="H65" s="445">
        <f>(F65-G65)/G65</f>
        <v>-1.0507327478373076E-2</v>
      </c>
      <c r="I65" s="501">
        <f>F65/$F$66</f>
        <v>0.41198302706021667</v>
      </c>
      <c r="K65" s="329" t="s">
        <v>137</v>
      </c>
      <c r="L65" s="440">
        <f>L61+L38+L36+L34+L33+L37+L20+L60+L57+L35+L56+L58+L25+L24+L21+L15+L6+L59+L22+L23+L7+L16</f>
        <v>680462</v>
      </c>
      <c r="M65" s="373">
        <f>M61+M38+M36+M34+M33+M37+M20+M60+M57+M35+M56+M58+M25+M24+M21+M15+M6+M59+M22+M23+M7+M16</f>
        <v>679292</v>
      </c>
      <c r="N65" s="374">
        <f>(L65-M65)/M65</f>
        <v>1.7223815384253016E-3</v>
      </c>
      <c r="O65" s="440">
        <f>O61+O38+O36+O34+O33+O37+O20+O60+O57+O35+O56+O58+O25+O24+O21+O15+O6+O59+O22+O23+O7+O16</f>
        <v>3879154</v>
      </c>
      <c r="P65" s="373">
        <f>P61+P38+P36+P34+P33+P37+P20+P60+P57+P35+P56+P58+P25+P24+P21+P15+P6+P59+P22+P23+P7+P16</f>
        <v>3816336</v>
      </c>
      <c r="Q65" s="485">
        <f>(O65-P65)/P65</f>
        <v>1.6460290708155675E-2</v>
      </c>
      <c r="R65" s="494">
        <f>+O65/O66</f>
        <v>0.21642567136159874</v>
      </c>
    </row>
    <row r="66" spans="2:18" ht="14.1" customHeight="1" thickBot="1" x14ac:dyDescent="0.25">
      <c r="B66" s="329" t="s">
        <v>138</v>
      </c>
      <c r="C66" s="441">
        <f>C54+C52+C42+C40+C31+C18+C13+C4+C50+C29+C27+C9+C46+C11+C44+C48</f>
        <v>33057</v>
      </c>
      <c r="D66" s="442">
        <f>D54+D52+D42+D40+D31+D18+D13+D4+D50+D29+D27+D9+D46+D11+D44+D48</f>
        <v>33373</v>
      </c>
      <c r="E66" s="443">
        <f>(C66-D66)/D66</f>
        <v>-9.4687322086716812E-3</v>
      </c>
      <c r="F66" s="441">
        <f>F54+F52+F42+F40+F31+F18+F13+F4+F50+F29+F27+F9+F46+F11+F44+F48</f>
        <v>182408</v>
      </c>
      <c r="G66" s="442">
        <f>G54+G52+G42+G40+G31+G18+G13+G4+G50+G29+G27+G9+G46+G11+G44+G48</f>
        <v>186336</v>
      </c>
      <c r="H66" s="446">
        <f>(F66-G66)/G66</f>
        <v>-2.1080199210029196E-2</v>
      </c>
      <c r="I66" s="502">
        <f>+H66/H66</f>
        <v>1</v>
      </c>
      <c r="K66" s="329" t="s">
        <v>138</v>
      </c>
      <c r="L66" s="441">
        <f>L54+L52+L42+L40+L31+L18+L13+L4+L50+L29+L27+L9+L46+L11+L44+L48</f>
        <v>3403458</v>
      </c>
      <c r="M66" s="442">
        <f>M54+M52+M42+M40+M31+M18+M13+M4+M50+M29+M27+M9+M46+M11+M44+M48</f>
        <v>3380861</v>
      </c>
      <c r="N66" s="443">
        <f>(L66-M66)/M66</f>
        <v>6.6838003691958945E-3</v>
      </c>
      <c r="O66" s="441">
        <f>O54+O52+O42+O40+O31+O18+O13+O4+O50+O29+O27+O9+O46+O11+O44+O48</f>
        <v>17923724</v>
      </c>
      <c r="P66" s="442">
        <f>P54+P52+P42+P40+P31+P18+P13+P4+P50+P29+P27+P9+P46+P11+P44+P48</f>
        <v>17925867</v>
      </c>
      <c r="Q66" s="488">
        <f>(O66-P66)/P66</f>
        <v>-1.1954791363787313E-4</v>
      </c>
      <c r="R66" s="495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June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Normal="100" zoomScaleSheetLayoutView="100" workbookViewId="0">
      <selection activeCell="H19" sqref="H1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43252</v>
      </c>
      <c r="B1" s="511" t="s">
        <v>17</v>
      </c>
      <c r="C1" s="511" t="s">
        <v>18</v>
      </c>
      <c r="D1" s="511" t="s">
        <v>19</v>
      </c>
      <c r="E1" s="511" t="s">
        <v>161</v>
      </c>
      <c r="F1" s="511" t="s">
        <v>168</v>
      </c>
      <c r="G1" s="511" t="s">
        <v>162</v>
      </c>
      <c r="H1" s="504" t="s">
        <v>229</v>
      </c>
      <c r="I1" s="504" t="s">
        <v>216</v>
      </c>
      <c r="J1" s="511" t="s">
        <v>20</v>
      </c>
      <c r="K1" s="512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3"/>
      <c r="I2" s="503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[3]American!$FS$22</f>
        <v>84087</v>
      </c>
      <c r="C4" s="21">
        <f>[3]Delta!$FS$22+[3]Delta!$FS$32</f>
        <v>947777</v>
      </c>
      <c r="D4" s="21">
        <f>[3]United!$FS$22</f>
        <v>47058</v>
      </c>
      <c r="E4" s="21">
        <f>[3]Spirit!$FS$22</f>
        <v>51937</v>
      </c>
      <c r="F4" s="21">
        <f>[3]Condor!$FS$22+[3]Condor!$FS$32</f>
        <v>2566</v>
      </c>
      <c r="G4" s="21">
        <f>'[3]Air France'!$FS$22+'[3]Air France'!$FS$32</f>
        <v>6449</v>
      </c>
      <c r="H4" s="21">
        <f>'[3]Jet Blue'!$FS$22</f>
        <v>10650</v>
      </c>
      <c r="I4" s="21">
        <f>[3]KLM!$FS$22+[3]KLM!$FS$32</f>
        <v>5068</v>
      </c>
      <c r="J4" s="21">
        <f>'Other Major Airline Stats'!J5</f>
        <v>212404</v>
      </c>
      <c r="K4" s="281">
        <f>SUM(B4:J4)</f>
        <v>1367996</v>
      </c>
    </row>
    <row r="5" spans="1:20" x14ac:dyDescent="0.2">
      <c r="A5" s="62" t="s">
        <v>31</v>
      </c>
      <c r="B5" s="14">
        <f>[3]American!$FS$23</f>
        <v>80350</v>
      </c>
      <c r="C5" s="14">
        <f>[3]Delta!$FS$23+[3]Delta!$FS$33</f>
        <v>944753</v>
      </c>
      <c r="D5" s="14">
        <f>[3]United!$FS$23</f>
        <v>45681</v>
      </c>
      <c r="E5" s="14">
        <f>[3]Spirit!$FS$23</f>
        <v>49958</v>
      </c>
      <c r="F5" s="14">
        <f>[3]Condor!$FS$23+[3]Condor!$FS$33</f>
        <v>2779</v>
      </c>
      <c r="G5" s="14">
        <f>'[3]Air France'!$FS$23+'[3]Air France'!$FS$33</f>
        <v>6319</v>
      </c>
      <c r="H5" s="14">
        <f>'[3]Jet Blue'!$FS$23</f>
        <v>11551</v>
      </c>
      <c r="I5" s="14">
        <f>[3]KLM!$FS$23+[3]KLM!$FS$33</f>
        <v>5026</v>
      </c>
      <c r="J5" s="14">
        <f>'Other Major Airline Stats'!J6</f>
        <v>208583</v>
      </c>
      <c r="K5" s="282">
        <f>SUM(B5:J5)</f>
        <v>1355000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164437</v>
      </c>
      <c r="C6" s="34">
        <f t="shared" si="0"/>
        <v>1892530</v>
      </c>
      <c r="D6" s="34">
        <f t="shared" si="0"/>
        <v>92739</v>
      </c>
      <c r="E6" s="34">
        <f t="shared" si="0"/>
        <v>101895</v>
      </c>
      <c r="F6" s="34">
        <f t="shared" ref="F6:I6" si="1">SUM(F4:F5)</f>
        <v>5345</v>
      </c>
      <c r="G6" s="34">
        <f t="shared" si="1"/>
        <v>12768</v>
      </c>
      <c r="H6" s="34">
        <f t="shared" si="1"/>
        <v>22201</v>
      </c>
      <c r="I6" s="34">
        <f t="shared" si="1"/>
        <v>10094</v>
      </c>
      <c r="J6" s="34">
        <f t="shared" si="0"/>
        <v>420987</v>
      </c>
      <c r="K6" s="283">
        <f>SUM(B6:J6)</f>
        <v>2722996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[3]American!$FS$27</f>
        <v>3713</v>
      </c>
      <c r="C9" s="21">
        <f>[3]Delta!$FS$27+[3]Delta!$FS$37</f>
        <v>33503</v>
      </c>
      <c r="D9" s="21">
        <f>[3]United!$FS$27</f>
        <v>169</v>
      </c>
      <c r="E9" s="21">
        <f>[3]Spirit!$FS$27</f>
        <v>357</v>
      </c>
      <c r="F9" s="21">
        <f>[3]Condor!$FS$27+[3]Condor!$FS$37</f>
        <v>0</v>
      </c>
      <c r="G9" s="21">
        <f>'[3]Air France'!$FS$27+'[3]Air France'!$FS$37</f>
        <v>6</v>
      </c>
      <c r="H9" s="21">
        <f>'[3]Jet Blue'!$FS$27</f>
        <v>254</v>
      </c>
      <c r="I9" s="21">
        <f>[3]KLM!$FS$27+[3]KLM!$FS$37</f>
        <v>47</v>
      </c>
      <c r="J9" s="21">
        <f>'Other Major Airline Stats'!J10</f>
        <v>4229</v>
      </c>
      <c r="K9" s="281">
        <f>SUM(B9:J9)</f>
        <v>42278</v>
      </c>
    </row>
    <row r="10" spans="1:20" x14ac:dyDescent="0.2">
      <c r="A10" s="62" t="s">
        <v>33</v>
      </c>
      <c r="B10" s="14">
        <f>[3]American!$FS$28</f>
        <v>3927</v>
      </c>
      <c r="C10" s="14">
        <f>[3]Delta!$FS$28+[3]Delta!$FS$38</f>
        <v>33994</v>
      </c>
      <c r="D10" s="14">
        <f>[3]United!$FS$28</f>
        <v>1723</v>
      </c>
      <c r="E10" s="14">
        <f>[3]Spirit!$FS$28</f>
        <v>343</v>
      </c>
      <c r="F10" s="14">
        <f>[3]Condor!$FS$28+[3]Condor!$FS$38</f>
        <v>0</v>
      </c>
      <c r="G10" s="14">
        <f>'[3]Air France'!$FS$28+'[3]Air France'!$FS$38</f>
        <v>8</v>
      </c>
      <c r="H10" s="14">
        <f>'[3]Jet Blue'!$FS$28</f>
        <v>271</v>
      </c>
      <c r="I10" s="14">
        <f>[3]KLM!$FS$28+[3]KLM!$FS$38</f>
        <v>16</v>
      </c>
      <c r="J10" s="14">
        <f>'Other Major Airline Stats'!J11</f>
        <v>4227</v>
      </c>
      <c r="K10" s="282">
        <f>SUM(B10:J10)</f>
        <v>44509</v>
      </c>
    </row>
    <row r="11" spans="1:20" ht="15.75" thickBot="1" x14ac:dyDescent="0.3">
      <c r="A11" s="63" t="s">
        <v>34</v>
      </c>
      <c r="B11" s="284">
        <f t="shared" ref="B11:J11" si="2">SUM(B9:B10)</f>
        <v>7640</v>
      </c>
      <c r="C11" s="284">
        <f t="shared" si="2"/>
        <v>67497</v>
      </c>
      <c r="D11" s="284">
        <f t="shared" si="2"/>
        <v>1892</v>
      </c>
      <c r="E11" s="284">
        <f t="shared" si="2"/>
        <v>700</v>
      </c>
      <c r="F11" s="284">
        <f t="shared" ref="F11:I11" si="3">SUM(F9:F10)</f>
        <v>0</v>
      </c>
      <c r="G11" s="284">
        <f t="shared" si="3"/>
        <v>14</v>
      </c>
      <c r="H11" s="284">
        <f t="shared" si="3"/>
        <v>525</v>
      </c>
      <c r="I11" s="284">
        <f t="shared" si="3"/>
        <v>63</v>
      </c>
      <c r="J11" s="284">
        <f t="shared" si="2"/>
        <v>8456</v>
      </c>
      <c r="K11" s="285">
        <f>SUM(B11:J11)</f>
        <v>86787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[3]American!$FS$4</f>
        <v>660</v>
      </c>
      <c r="C15" s="21">
        <f>[3]Delta!$FS$4+[3]Delta!$FS$15</f>
        <v>6732</v>
      </c>
      <c r="D15" s="21">
        <f>[3]United!$FS$4</f>
        <v>374</v>
      </c>
      <c r="E15" s="21">
        <f>[3]Spirit!$FS$4</f>
        <v>359</v>
      </c>
      <c r="F15" s="21">
        <f>[3]Condor!$FS$4+[3]Condor!$FS$15</f>
        <v>11</v>
      </c>
      <c r="G15" s="21">
        <f>'[3]Air France'!$FS$4+'[3]Air France'!$FS$15</f>
        <v>28</v>
      </c>
      <c r="H15" s="21">
        <f>'[3]Jet Blue'!$FS$4</f>
        <v>87</v>
      </c>
      <c r="I15" s="21">
        <f>[3]KLM!$FS$4+[3]KLM!$FS$15</f>
        <v>20</v>
      </c>
      <c r="J15" s="21">
        <f>'Other Major Airline Stats'!J16</f>
        <v>1752</v>
      </c>
      <c r="K15" s="27">
        <f>SUM(B15:J15)</f>
        <v>10023</v>
      </c>
    </row>
    <row r="16" spans="1:20" x14ac:dyDescent="0.2">
      <c r="A16" s="62" t="s">
        <v>23</v>
      </c>
      <c r="B16" s="14">
        <f>[3]American!$FS$5</f>
        <v>663</v>
      </c>
      <c r="C16" s="14">
        <f>[3]Delta!$FS$5+[3]Delta!$FS$16</f>
        <v>6728</v>
      </c>
      <c r="D16" s="14">
        <f>[3]United!$FS$5</f>
        <v>374</v>
      </c>
      <c r="E16" s="14">
        <f>[3]Spirit!$FS$5</f>
        <v>359</v>
      </c>
      <c r="F16" s="14">
        <f>[3]Condor!$FS$5+[3]Condor!$FS$16</f>
        <v>11</v>
      </c>
      <c r="G16" s="14">
        <f>'[3]Air France'!$FS$5+'[3]Air France'!$FS$16</f>
        <v>28</v>
      </c>
      <c r="H16" s="14">
        <f>'[3]Jet Blue'!$FS$5</f>
        <v>86</v>
      </c>
      <c r="I16" s="14">
        <f>[3]KLM!$FS$5+[3]KLM!$FS$16</f>
        <v>20</v>
      </c>
      <c r="J16" s="14">
        <f>'Other Major Airline Stats'!J17</f>
        <v>1744</v>
      </c>
      <c r="K16" s="33">
        <f>SUM(B16:J16)</f>
        <v>10013</v>
      </c>
    </row>
    <row r="17" spans="1:11" x14ac:dyDescent="0.2">
      <c r="A17" s="62" t="s">
        <v>24</v>
      </c>
      <c r="B17" s="288">
        <f t="shared" ref="B17:J17" si="4">SUM(B15:B16)</f>
        <v>1323</v>
      </c>
      <c r="C17" s="286">
        <f t="shared" si="4"/>
        <v>13460</v>
      </c>
      <c r="D17" s="286">
        <f t="shared" si="4"/>
        <v>748</v>
      </c>
      <c r="E17" s="286">
        <f t="shared" si="4"/>
        <v>718</v>
      </c>
      <c r="F17" s="286">
        <f t="shared" ref="F17:I17" si="5">SUM(F15:F16)</f>
        <v>22</v>
      </c>
      <c r="G17" s="286">
        <f t="shared" si="5"/>
        <v>56</v>
      </c>
      <c r="H17" s="286">
        <f t="shared" si="5"/>
        <v>173</v>
      </c>
      <c r="I17" s="286">
        <f t="shared" si="5"/>
        <v>40</v>
      </c>
      <c r="J17" s="286">
        <f t="shared" si="4"/>
        <v>3496</v>
      </c>
      <c r="K17" s="287">
        <f>SUM(B17:J17)</f>
        <v>20036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[3]American!$FS$8</f>
        <v>2</v>
      </c>
      <c r="C19" s="21">
        <f>[3]Delta!$FS$8</f>
        <v>5</v>
      </c>
      <c r="D19" s="21">
        <f>[3]United!$FS$8</f>
        <v>0</v>
      </c>
      <c r="E19" s="21">
        <f>[3]Spirit!$FS$8</f>
        <v>0</v>
      </c>
      <c r="F19" s="21">
        <f>[3]Condor!$FS$8</f>
        <v>0</v>
      </c>
      <c r="G19" s="21">
        <f>'[3]Air France'!$FS$8</f>
        <v>0</v>
      </c>
      <c r="H19" s="21">
        <f>'[3]Jet Blue'!$FS$8</f>
        <v>0</v>
      </c>
      <c r="I19" s="21">
        <f>[3]KLM!$FS$8</f>
        <v>0</v>
      </c>
      <c r="J19" s="21">
        <f>'Other Major Airline Stats'!J20</f>
        <v>93</v>
      </c>
      <c r="K19" s="27">
        <f>SUM(B19:J19)</f>
        <v>100</v>
      </c>
    </row>
    <row r="20" spans="1:11" x14ac:dyDescent="0.2">
      <c r="A20" s="62" t="s">
        <v>26</v>
      </c>
      <c r="B20" s="14">
        <f>[3]American!$FS$9</f>
        <v>2</v>
      </c>
      <c r="C20" s="14">
        <f>[3]Delta!$FS$9</f>
        <v>15</v>
      </c>
      <c r="D20" s="14">
        <f>[3]United!$FS$9</f>
        <v>0</v>
      </c>
      <c r="E20" s="14">
        <f>[3]Spirit!$FS$9</f>
        <v>0</v>
      </c>
      <c r="F20" s="14">
        <f>[3]Condor!$FS$9</f>
        <v>0</v>
      </c>
      <c r="G20" s="14">
        <f>'[3]Air France'!$FS$9</f>
        <v>0</v>
      </c>
      <c r="H20" s="14">
        <f>'[3]Jet Blue'!$FS$9</f>
        <v>0</v>
      </c>
      <c r="I20" s="14">
        <f>[3]KLM!$FS$9</f>
        <v>0</v>
      </c>
      <c r="J20" s="14">
        <f>'Other Major Airline Stats'!J21</f>
        <v>101</v>
      </c>
      <c r="K20" s="33">
        <f>SUM(B20:J20)</f>
        <v>118</v>
      </c>
    </row>
    <row r="21" spans="1:11" x14ac:dyDescent="0.2">
      <c r="A21" s="62" t="s">
        <v>27</v>
      </c>
      <c r="B21" s="288">
        <f t="shared" ref="B21:J21" si="6">SUM(B19:B20)</f>
        <v>4</v>
      </c>
      <c r="C21" s="286">
        <f t="shared" si="6"/>
        <v>20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194</v>
      </c>
      <c r="K21" s="176">
        <f>SUM(B21:J21)</f>
        <v>218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1327</v>
      </c>
      <c r="C23" s="28">
        <f t="shared" si="8"/>
        <v>13480</v>
      </c>
      <c r="D23" s="28">
        <f t="shared" si="8"/>
        <v>748</v>
      </c>
      <c r="E23" s="28">
        <f>E17+E21</f>
        <v>718</v>
      </c>
      <c r="F23" s="28">
        <f t="shared" ref="F23:I23" si="9">F17+F21</f>
        <v>22</v>
      </c>
      <c r="G23" s="28">
        <f t="shared" si="9"/>
        <v>56</v>
      </c>
      <c r="H23" s="28">
        <f t="shared" si="9"/>
        <v>173</v>
      </c>
      <c r="I23" s="28">
        <f t="shared" si="9"/>
        <v>40</v>
      </c>
      <c r="J23" s="28">
        <f t="shared" si="8"/>
        <v>3690</v>
      </c>
      <c r="K23" s="29">
        <f>SUM(B23:J23)</f>
        <v>20254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[3]American!$FS$47</f>
        <v>59092</v>
      </c>
      <c r="C28" s="21">
        <f>[3]Delta!$FS$47</f>
        <v>4968790</v>
      </c>
      <c r="D28" s="21">
        <f>[3]United!$FS$47</f>
        <v>48918</v>
      </c>
      <c r="E28" s="21">
        <f>[3]Spirit!$FS$47</f>
        <v>0</v>
      </c>
      <c r="F28" s="21">
        <f>[3]Condor!$FS$47</f>
        <v>50770</v>
      </c>
      <c r="G28" s="21">
        <f>'[3]Air France'!$FS$47</f>
        <v>389545</v>
      </c>
      <c r="H28" s="21">
        <f>'[3]Jet Blue'!$FS$47</f>
        <v>0</v>
      </c>
      <c r="I28" s="21">
        <f>[3]KLM!$FS$47</f>
        <v>395482</v>
      </c>
      <c r="J28" s="21">
        <f>'Other Major Airline Stats'!J28</f>
        <v>605882</v>
      </c>
      <c r="K28" s="27">
        <f>SUM(B28:J28)</f>
        <v>6518479</v>
      </c>
    </row>
    <row r="29" spans="1:11" x14ac:dyDescent="0.2">
      <c r="A29" s="62" t="s">
        <v>38</v>
      </c>
      <c r="B29" s="14">
        <f>[3]American!$FS$48</f>
        <v>17331</v>
      </c>
      <c r="C29" s="14">
        <f>[3]Delta!$FS$48</f>
        <v>1559622</v>
      </c>
      <c r="D29" s="14">
        <f>[3]United!$FS$48</f>
        <v>18601</v>
      </c>
      <c r="E29" s="14">
        <f>[3]Spirit!$FS$48</f>
        <v>0</v>
      </c>
      <c r="F29" s="14">
        <f>[3]Condor!$FS$48</f>
        <v>0</v>
      </c>
      <c r="G29" s="14">
        <f>'[3]Air France'!$FS$48</f>
        <v>0</v>
      </c>
      <c r="H29" s="14">
        <f>'[3]Jet Blue'!$FS$48</f>
        <v>0</v>
      </c>
      <c r="I29" s="14">
        <f>[3]KLM!$FS$48</f>
        <v>0</v>
      </c>
      <c r="J29" s="14">
        <f>'Other Major Airline Stats'!J29</f>
        <v>383304</v>
      </c>
      <c r="K29" s="33">
        <f>SUM(B29:J29)</f>
        <v>1978858</v>
      </c>
    </row>
    <row r="30" spans="1:11" x14ac:dyDescent="0.2">
      <c r="A30" s="66" t="s">
        <v>39</v>
      </c>
      <c r="B30" s="288">
        <f t="shared" ref="B30:J30" si="10">SUM(B28:B29)</f>
        <v>76423</v>
      </c>
      <c r="C30" s="288">
        <f t="shared" si="10"/>
        <v>6528412</v>
      </c>
      <c r="D30" s="288">
        <f t="shared" si="10"/>
        <v>67519</v>
      </c>
      <c r="E30" s="288">
        <f t="shared" si="10"/>
        <v>0</v>
      </c>
      <c r="F30" s="288">
        <f t="shared" ref="F30:I30" si="11">SUM(F28:F29)</f>
        <v>50770</v>
      </c>
      <c r="G30" s="288">
        <f t="shared" si="11"/>
        <v>389545</v>
      </c>
      <c r="H30" s="288">
        <f t="shared" si="11"/>
        <v>0</v>
      </c>
      <c r="I30" s="288">
        <f t="shared" si="11"/>
        <v>395482</v>
      </c>
      <c r="J30" s="288">
        <f t="shared" si="10"/>
        <v>989186</v>
      </c>
      <c r="K30" s="27">
        <f>SUM(B30:J30)</f>
        <v>8497337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[3]American!$FS$52</f>
        <v>14583</v>
      </c>
      <c r="C33" s="21">
        <f>[3]Delta!$FS$52</f>
        <v>2691671</v>
      </c>
      <c r="D33" s="21">
        <f>[3]United!$FS$52</f>
        <v>32479</v>
      </c>
      <c r="E33" s="21">
        <f>[3]Spirit!$FS$52</f>
        <v>0</v>
      </c>
      <c r="F33" s="21">
        <f>[3]Condor!$FS$52</f>
        <v>52760</v>
      </c>
      <c r="G33" s="21">
        <f>'[3]Air France'!$FS$52</f>
        <v>152719</v>
      </c>
      <c r="H33" s="21">
        <f>'[3]Jet Blue'!$FS$52</f>
        <v>0</v>
      </c>
      <c r="I33" s="21">
        <f>[3]KLM!$FS$52</f>
        <v>119288</v>
      </c>
      <c r="J33" s="21">
        <f>'Other Major Airline Stats'!J33</f>
        <v>287179</v>
      </c>
      <c r="K33" s="27">
        <f t="shared" si="12"/>
        <v>3350679</v>
      </c>
    </row>
    <row r="34" spans="1:11" x14ac:dyDescent="0.2">
      <c r="A34" s="62" t="s">
        <v>38</v>
      </c>
      <c r="B34" s="14">
        <f>[3]American!$FS$53</f>
        <v>39050</v>
      </c>
      <c r="C34" s="14">
        <f>[3]Delta!$FS$53</f>
        <v>1955980</v>
      </c>
      <c r="D34" s="14">
        <f>[3]United!$FS$53</f>
        <v>51308</v>
      </c>
      <c r="E34" s="14">
        <f>[3]Spirit!$FS$53</f>
        <v>0</v>
      </c>
      <c r="F34" s="14">
        <f>[3]Condor!$FS$53</f>
        <v>0</v>
      </c>
      <c r="G34" s="14">
        <f>'[3]Air France'!$FS$53</f>
        <v>0</v>
      </c>
      <c r="H34" s="14">
        <f>'[3]Jet Blue'!$FS$53</f>
        <v>0</v>
      </c>
      <c r="I34" s="14">
        <f>[3]KLM!$FS$53</f>
        <v>0</v>
      </c>
      <c r="J34" s="14">
        <f>'Other Major Airline Stats'!J34</f>
        <v>452672</v>
      </c>
      <c r="K34" s="33">
        <f t="shared" si="12"/>
        <v>2499010</v>
      </c>
    </row>
    <row r="35" spans="1:11" x14ac:dyDescent="0.2">
      <c r="A35" s="66" t="s">
        <v>41</v>
      </c>
      <c r="B35" s="288">
        <f t="shared" ref="B35:J35" si="13">SUM(B33:B34)</f>
        <v>53633</v>
      </c>
      <c r="C35" s="288">
        <f t="shared" si="13"/>
        <v>4647651</v>
      </c>
      <c r="D35" s="288">
        <f t="shared" si="13"/>
        <v>83787</v>
      </c>
      <c r="E35" s="288">
        <f t="shared" si="13"/>
        <v>0</v>
      </c>
      <c r="F35" s="288">
        <f t="shared" ref="F35:I35" si="14">SUM(F33:F34)</f>
        <v>52760</v>
      </c>
      <c r="G35" s="288">
        <f t="shared" si="14"/>
        <v>152719</v>
      </c>
      <c r="H35" s="288">
        <f t="shared" si="14"/>
        <v>0</v>
      </c>
      <c r="I35" s="288">
        <f t="shared" si="14"/>
        <v>119288</v>
      </c>
      <c r="J35" s="288">
        <f t="shared" si="13"/>
        <v>739851</v>
      </c>
      <c r="K35" s="27">
        <f t="shared" si="12"/>
        <v>5849689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[3]American!$FS$57</f>
        <v>0</v>
      </c>
      <c r="C38" s="21">
        <f>[3]Delta!$FS$57</f>
        <v>0</v>
      </c>
      <c r="D38" s="21">
        <f>[3]United!$FS$57</f>
        <v>0</v>
      </c>
      <c r="E38" s="21">
        <f>[3]Spirit!$FS$57</f>
        <v>0</v>
      </c>
      <c r="F38" s="21">
        <f>[3]Condor!$FS$57</f>
        <v>0</v>
      </c>
      <c r="G38" s="21">
        <f>'[3]Air France'!$FS$57</f>
        <v>0</v>
      </c>
      <c r="H38" s="21">
        <f>'[3]Jet Blue'!$FS$57</f>
        <v>0</v>
      </c>
      <c r="I38" s="21">
        <f>[3]KLM!$FS$57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[3]American!$FS$58</f>
        <v>0</v>
      </c>
      <c r="C39" s="14">
        <f>[3]Delta!$FS$58</f>
        <v>0</v>
      </c>
      <c r="D39" s="14">
        <f>[3]United!$FS$58</f>
        <v>0</v>
      </c>
      <c r="E39" s="14">
        <f>[3]Spirit!$FS$58</f>
        <v>0</v>
      </c>
      <c r="F39" s="14">
        <f>[3]Condor!$FS$58</f>
        <v>0</v>
      </c>
      <c r="G39" s="14">
        <f>'[3]Air France'!$FS$58</f>
        <v>0</v>
      </c>
      <c r="H39" s="14">
        <f>'[3]Jet Blue'!$FS$58</f>
        <v>0</v>
      </c>
      <c r="I39" s="14">
        <f>[3]KLM!$FS$58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73675</v>
      </c>
      <c r="C43" s="21">
        <f t="shared" si="17"/>
        <v>7660461</v>
      </c>
      <c r="D43" s="21">
        <f t="shared" si="17"/>
        <v>81397</v>
      </c>
      <c r="E43" s="21">
        <f>E28+E33+E38</f>
        <v>0</v>
      </c>
      <c r="F43" s="21">
        <f t="shared" ref="F43:I43" si="18">F28+F33+F38</f>
        <v>103530</v>
      </c>
      <c r="G43" s="21">
        <f t="shared" si="18"/>
        <v>542264</v>
      </c>
      <c r="H43" s="21">
        <f t="shared" si="18"/>
        <v>0</v>
      </c>
      <c r="I43" s="21">
        <f t="shared" si="18"/>
        <v>514770</v>
      </c>
      <c r="J43" s="21">
        <f t="shared" si="17"/>
        <v>893061</v>
      </c>
      <c r="K43" s="27">
        <f>SUM(B43:J43)</f>
        <v>9869158</v>
      </c>
    </row>
    <row r="44" spans="1:11" x14ac:dyDescent="0.2">
      <c r="A44" s="62" t="s">
        <v>38</v>
      </c>
      <c r="B44" s="14">
        <f t="shared" si="17"/>
        <v>56381</v>
      </c>
      <c r="C44" s="14">
        <f t="shared" si="17"/>
        <v>3515602</v>
      </c>
      <c r="D44" s="14">
        <f t="shared" si="17"/>
        <v>69909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835976</v>
      </c>
      <c r="K44" s="27">
        <f>SUM(B44:J44)</f>
        <v>4477868</v>
      </c>
    </row>
    <row r="45" spans="1:11" ht="15.75" thickBot="1" x14ac:dyDescent="0.3">
      <c r="A45" s="63" t="s">
        <v>46</v>
      </c>
      <c r="B45" s="289">
        <f t="shared" ref="B45:J45" si="20">SUM(B43:B44)</f>
        <v>130056</v>
      </c>
      <c r="C45" s="289">
        <f t="shared" si="20"/>
        <v>11176063</v>
      </c>
      <c r="D45" s="289">
        <f t="shared" si="20"/>
        <v>151306</v>
      </c>
      <c r="E45" s="289">
        <f t="shared" si="20"/>
        <v>0</v>
      </c>
      <c r="F45" s="289">
        <f t="shared" ref="F45:I45" si="21">SUM(F43:F44)</f>
        <v>103530</v>
      </c>
      <c r="G45" s="289">
        <f t="shared" si="21"/>
        <v>542264</v>
      </c>
      <c r="H45" s="289">
        <f t="shared" si="21"/>
        <v>0</v>
      </c>
      <c r="I45" s="289">
        <f t="shared" si="21"/>
        <v>514770</v>
      </c>
      <c r="J45" s="289">
        <f t="shared" si="20"/>
        <v>1729037</v>
      </c>
      <c r="K45" s="290">
        <f>SUM(B45:J45)</f>
        <v>14347026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[3]Delta!$FS$70+[3]Delta!$FS$73</f>
        <v>471431</v>
      </c>
      <c r="D47" s="306"/>
      <c r="E47" s="306"/>
      <c r="F47" s="306"/>
      <c r="G47" s="306"/>
      <c r="H47" s="306"/>
      <c r="I47" s="306"/>
      <c r="J47" s="306"/>
      <c r="K47" s="307">
        <f>SUM(B47:J47)</f>
        <v>471431</v>
      </c>
    </row>
    <row r="48" spans="1:11" hidden="1" x14ac:dyDescent="0.2">
      <c r="A48" s="376" t="s">
        <v>125</v>
      </c>
      <c r="C48" s="319">
        <f>[3]Delta!$FS$71+[3]Delta!$FS$74</f>
        <v>473322</v>
      </c>
      <c r="D48" s="306"/>
      <c r="E48" s="306"/>
      <c r="F48" s="306"/>
      <c r="G48" s="306"/>
      <c r="H48" s="306"/>
      <c r="I48" s="306"/>
      <c r="J48" s="306"/>
      <c r="K48" s="307">
        <f>SUM(B48:J48)</f>
        <v>473322</v>
      </c>
    </row>
    <row r="49" spans="1:11" hidden="1" x14ac:dyDescent="0.2">
      <c r="A49" s="377" t="s">
        <v>126</v>
      </c>
      <c r="C49" s="320">
        <f>SUM(C47:C48)</f>
        <v>944753</v>
      </c>
      <c r="K49" s="307">
        <f>SUM(B49:J49)</f>
        <v>944753</v>
      </c>
    </row>
    <row r="50" spans="1:11" x14ac:dyDescent="0.2">
      <c r="A50" s="375" t="s">
        <v>124</v>
      </c>
      <c r="B50" s="387"/>
      <c r="C50" s="322">
        <f>[3]Delta!$FS$70+[3]Delta!$FS$73</f>
        <v>471431</v>
      </c>
      <c r="D50" s="387"/>
      <c r="E50" s="322">
        <f>[3]Spirit!$FS$70+[3]Spirit!$FS$73</f>
        <v>0</v>
      </c>
      <c r="F50" s="387"/>
      <c r="G50" s="387"/>
      <c r="H50" s="387"/>
      <c r="I50" s="387"/>
      <c r="J50" s="321">
        <f>'Other Major Airline Stats'!J48</f>
        <v>164731</v>
      </c>
      <c r="K50" s="310">
        <f>SUM(B50:J50)</f>
        <v>636162</v>
      </c>
    </row>
    <row r="51" spans="1:11" x14ac:dyDescent="0.2">
      <c r="A51" s="389" t="s">
        <v>125</v>
      </c>
      <c r="B51" s="387"/>
      <c r="C51" s="322">
        <f>[3]Delta!$FS$71+[3]Delta!$FS$74</f>
        <v>473322</v>
      </c>
      <c r="D51" s="387"/>
      <c r="E51" s="322">
        <f>[3]Spirit!$FS$71+[3]Spirit!$FS$74</f>
        <v>0</v>
      </c>
      <c r="F51" s="387"/>
      <c r="G51" s="387"/>
      <c r="H51" s="387"/>
      <c r="I51" s="387"/>
      <c r="J51" s="321">
        <f>+'Other Major Airline Stats'!J49</f>
        <v>5654</v>
      </c>
      <c r="K51" s="310">
        <f>SUM(B51:J51)</f>
        <v>478976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H20" activeCellId="1" sqref="H16 H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43252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3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[3]Frontier!$FS$22</f>
        <v>21412</v>
      </c>
      <c r="C5" s="146">
        <f>'[3]Great Lakes'!$FS$22</f>
        <v>0</v>
      </c>
      <c r="D5" s="118">
        <f>'[3]Air Choice One'!$FS$22</f>
        <v>416</v>
      </c>
      <c r="E5" s="118">
        <f>'[3]Boutique Air'!$FS$22</f>
        <v>418</v>
      </c>
      <c r="F5" s="146">
        <f>[3]Icelandair!$FS$32</f>
        <v>6735</v>
      </c>
      <c r="G5" s="118">
        <f>[3]Southwest!$FS$22</f>
        <v>86891</v>
      </c>
      <c r="H5" s="118">
        <f>'[3]Sun Country'!$FS$22+'[3]Sun Country'!$FS$32</f>
        <v>86729</v>
      </c>
      <c r="I5" s="118">
        <f>[3]Alaska!$FS$22</f>
        <v>9803</v>
      </c>
      <c r="J5" s="147">
        <f>SUM(B5:I5)</f>
        <v>212404</v>
      </c>
      <c r="M5" s="130"/>
    </row>
    <row r="6" spans="1:13" x14ac:dyDescent="0.2">
      <c r="A6" s="62" t="s">
        <v>31</v>
      </c>
      <c r="B6" s="146">
        <f>[3]Frontier!$FS$23</f>
        <v>20037</v>
      </c>
      <c r="C6" s="146">
        <f>'[3]Great Lakes'!$FS$23</f>
        <v>0</v>
      </c>
      <c r="D6" s="118">
        <f>'[3]Air Choice One'!$FS$23</f>
        <v>451</v>
      </c>
      <c r="E6" s="118">
        <f>'[3]Boutique Air'!$FS$23</f>
        <v>408</v>
      </c>
      <c r="F6" s="146">
        <f>[3]Icelandair!$FS$33</f>
        <v>7357</v>
      </c>
      <c r="G6" s="118">
        <f>[3]Southwest!$FS$23</f>
        <v>83884</v>
      </c>
      <c r="H6" s="118">
        <f>'[3]Sun Country'!$FS$23+'[3]Sun Country'!$FS$33</f>
        <v>86501</v>
      </c>
      <c r="I6" s="118">
        <f>[3]Alaska!$FS$23</f>
        <v>9945</v>
      </c>
      <c r="J6" s="147">
        <f>SUM(B6:I6)</f>
        <v>208583</v>
      </c>
    </row>
    <row r="7" spans="1:13" ht="15" x14ac:dyDescent="0.25">
      <c r="A7" s="60" t="s">
        <v>7</v>
      </c>
      <c r="B7" s="155">
        <f t="shared" ref="B7:I7" si="0">SUM(B5:B6)</f>
        <v>41449</v>
      </c>
      <c r="C7" s="155">
        <f t="shared" si="0"/>
        <v>0</v>
      </c>
      <c r="D7" s="155">
        <f t="shared" ref="D7:E7" si="1">SUM(D5:D6)</f>
        <v>867</v>
      </c>
      <c r="E7" s="155">
        <f t="shared" si="1"/>
        <v>826</v>
      </c>
      <c r="F7" s="155">
        <f t="shared" si="0"/>
        <v>14092</v>
      </c>
      <c r="G7" s="155">
        <f t="shared" si="0"/>
        <v>170775</v>
      </c>
      <c r="H7" s="155">
        <f>SUM(H5:H6)</f>
        <v>173230</v>
      </c>
      <c r="I7" s="155">
        <f t="shared" si="0"/>
        <v>19748</v>
      </c>
      <c r="J7" s="156">
        <f>SUM(B7:I7)</f>
        <v>420987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[3]Frontier!$FS$27</f>
        <v>178</v>
      </c>
      <c r="C10" s="154">
        <f>'[3]Great Lakes'!$FS$27</f>
        <v>0</v>
      </c>
      <c r="D10" s="154">
        <f>'[3]Air Choice One'!$FS$27</f>
        <v>0</v>
      </c>
      <c r="E10" s="154">
        <f>'[3]Boutique Air'!$FS$27</f>
        <v>0</v>
      </c>
      <c r="F10" s="154">
        <f>[3]Icelandair!$FS$37</f>
        <v>64</v>
      </c>
      <c r="G10" s="154">
        <f>[3]Southwest!$FS$27</f>
        <v>1807</v>
      </c>
      <c r="H10" s="154">
        <f>'[3]Sun Country'!$FS$27+'[3]Sun Country'!$FS$37</f>
        <v>1883</v>
      </c>
      <c r="I10" s="154">
        <f>[3]Alaska!$FS$27</f>
        <v>297</v>
      </c>
      <c r="J10" s="147">
        <f>SUM(B10:I10)</f>
        <v>4229</v>
      </c>
    </row>
    <row r="11" spans="1:13" x14ac:dyDescent="0.2">
      <c r="A11" s="62" t="s">
        <v>33</v>
      </c>
      <c r="B11" s="157">
        <f>[3]Frontier!$FS$28</f>
        <v>176</v>
      </c>
      <c r="C11" s="157">
        <f>'[3]Great Lakes'!$FS$28</f>
        <v>0</v>
      </c>
      <c r="D11" s="157">
        <f>'[3]Air Choice One'!$FS$28</f>
        <v>0</v>
      </c>
      <c r="E11" s="157">
        <f>'[3]Boutique Air'!$FS$28</f>
        <v>0</v>
      </c>
      <c r="F11" s="157">
        <f>[3]Icelandair!$FS$38</f>
        <v>78</v>
      </c>
      <c r="G11" s="157">
        <f>[3]Southwest!$FS$28</f>
        <v>1945</v>
      </c>
      <c r="H11" s="157">
        <f>'[3]Sun Country'!$FS$28+'[3]Sun Country'!$FS$38</f>
        <v>1652</v>
      </c>
      <c r="I11" s="157">
        <f>[3]Alaska!$FS$28</f>
        <v>376</v>
      </c>
      <c r="J11" s="147">
        <f>SUM(B11:I11)</f>
        <v>4227</v>
      </c>
    </row>
    <row r="12" spans="1:13" ht="15.75" thickBot="1" x14ac:dyDescent="0.3">
      <c r="A12" s="63" t="s">
        <v>34</v>
      </c>
      <c r="B12" s="150">
        <f t="shared" ref="B12:I12" si="2">SUM(B10:B11)</f>
        <v>354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142</v>
      </c>
      <c r="G12" s="150">
        <f t="shared" si="2"/>
        <v>3752</v>
      </c>
      <c r="H12" s="150">
        <f>SUM(H10:H11)</f>
        <v>3535</v>
      </c>
      <c r="I12" s="150">
        <f t="shared" si="2"/>
        <v>673</v>
      </c>
      <c r="J12" s="158">
        <f>SUM(B12:I12)</f>
        <v>8456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[3]Frontier!$FS$4</f>
        <v>150</v>
      </c>
      <c r="C16" s="146">
        <f>'[3]Great Lakes'!$FS$4</f>
        <v>0</v>
      </c>
      <c r="D16" s="106">
        <f>'[3]Air Choice One'!$FS$4</f>
        <v>91</v>
      </c>
      <c r="E16" s="106">
        <f>'[3]Boutique Air'!$FS$4</f>
        <v>74</v>
      </c>
      <c r="F16" s="146">
        <f>[3]Icelandair!$FS$15</f>
        <v>46</v>
      </c>
      <c r="G16" s="106">
        <f>[3]Southwest!$FS$4</f>
        <v>687</v>
      </c>
      <c r="H16" s="118">
        <f>'[3]Sun Country'!$FS$4+'[3]Sun Country'!$FS$15</f>
        <v>644</v>
      </c>
      <c r="I16" s="118">
        <f>[3]Alaska!$FS$4</f>
        <v>60</v>
      </c>
      <c r="J16" s="147">
        <f>SUM(B16:I16)</f>
        <v>1752</v>
      </c>
    </row>
    <row r="17" spans="1:257" x14ac:dyDescent="0.2">
      <c r="A17" s="62" t="s">
        <v>23</v>
      </c>
      <c r="B17" s="146">
        <f>[3]Frontier!$FS$5</f>
        <v>150</v>
      </c>
      <c r="C17" s="146">
        <f>'[3]Great Lakes'!$FS$5</f>
        <v>0</v>
      </c>
      <c r="D17" s="106">
        <f>'[3]Air Choice One'!$FS$5</f>
        <v>91</v>
      </c>
      <c r="E17" s="106">
        <f>'[3]Boutique Air'!$FS$5</f>
        <v>74</v>
      </c>
      <c r="F17" s="146">
        <f>[3]Icelandair!$FS$16</f>
        <v>46</v>
      </c>
      <c r="G17" s="106">
        <f>[3]Southwest!$FS$5</f>
        <v>686</v>
      </c>
      <c r="H17" s="118">
        <f>'[3]Sun Country'!$FS$5+'[3]Sun Country'!$FS$16</f>
        <v>637</v>
      </c>
      <c r="I17" s="118">
        <f>[3]Alaska!$FS$5</f>
        <v>60</v>
      </c>
      <c r="J17" s="147">
        <f>SUM(B17:I17)</f>
        <v>1744</v>
      </c>
    </row>
    <row r="18" spans="1:257" x14ac:dyDescent="0.2">
      <c r="A18" s="66" t="s">
        <v>24</v>
      </c>
      <c r="B18" s="148">
        <f t="shared" ref="B18:I18" si="4">SUM(B16:B17)</f>
        <v>300</v>
      </c>
      <c r="C18" s="148">
        <f t="shared" si="4"/>
        <v>0</v>
      </c>
      <c r="D18" s="148">
        <f t="shared" ref="D18:E18" si="5">SUM(D16:D17)</f>
        <v>182</v>
      </c>
      <c r="E18" s="148">
        <f t="shared" si="5"/>
        <v>148</v>
      </c>
      <c r="F18" s="148">
        <f t="shared" si="4"/>
        <v>92</v>
      </c>
      <c r="G18" s="148">
        <f t="shared" si="4"/>
        <v>1373</v>
      </c>
      <c r="H18" s="148">
        <f t="shared" si="4"/>
        <v>1281</v>
      </c>
      <c r="I18" s="148">
        <f t="shared" si="4"/>
        <v>120</v>
      </c>
      <c r="J18" s="149">
        <f>SUM(B18:I18)</f>
        <v>3496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[3]Frontier!$FS$8</f>
        <v>0</v>
      </c>
      <c r="C20" s="146">
        <f>'[3]Great Lakes'!$FS$8</f>
        <v>0</v>
      </c>
      <c r="D20" s="118">
        <f>'[3]Air Choice One'!$FS$8</f>
        <v>0</v>
      </c>
      <c r="E20" s="118">
        <f>'[3]Boutique Air'!$FS$8</f>
        <v>0</v>
      </c>
      <c r="F20" s="146">
        <f>[3]Icelandair!$FS$8</f>
        <v>0</v>
      </c>
      <c r="G20" s="118">
        <f>[3]Southwest!$FS$8</f>
        <v>0</v>
      </c>
      <c r="H20" s="118">
        <f>'[3]Sun Country'!$FS$8</f>
        <v>93</v>
      </c>
      <c r="I20" s="118">
        <f>[3]Alaska!$FS$8</f>
        <v>0</v>
      </c>
      <c r="J20" s="147">
        <f>SUM(B20:I20)</f>
        <v>93</v>
      </c>
    </row>
    <row r="21" spans="1:257" x14ac:dyDescent="0.2">
      <c r="A21" s="62" t="s">
        <v>26</v>
      </c>
      <c r="B21" s="146">
        <f>[3]Frontier!$FS$9</f>
        <v>0</v>
      </c>
      <c r="C21" s="146">
        <f>'[3]Great Lakes'!$FS$9</f>
        <v>0</v>
      </c>
      <c r="D21" s="118">
        <f>'[3]Air Choice One'!$FS$9</f>
        <v>0</v>
      </c>
      <c r="E21" s="118">
        <f>'[3]Boutique Air'!$FS$9</f>
        <v>0</v>
      </c>
      <c r="F21" s="146">
        <f>[3]Icelandair!$FS$9</f>
        <v>0</v>
      </c>
      <c r="G21" s="118">
        <f>[3]Southwest!$FS$9</f>
        <v>0</v>
      </c>
      <c r="H21" s="118">
        <f>'[3]Sun Country'!$FS$9</f>
        <v>101</v>
      </c>
      <c r="I21" s="118">
        <f>[3]Alaska!$FS$9</f>
        <v>0</v>
      </c>
      <c r="J21" s="147">
        <f>SUM(B21:I21)</f>
        <v>101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194</v>
      </c>
      <c r="I22" s="148">
        <f t="shared" si="6"/>
        <v>0</v>
      </c>
      <c r="J22" s="149">
        <f>SUM(B22:I22)</f>
        <v>194</v>
      </c>
    </row>
    <row r="23" spans="1:257" ht="15.75" thickBot="1" x14ac:dyDescent="0.3">
      <c r="A23" s="63" t="s">
        <v>28</v>
      </c>
      <c r="B23" s="150">
        <f t="shared" ref="B23:I23" si="8">B22+B18</f>
        <v>300</v>
      </c>
      <c r="C23" s="150">
        <f t="shared" si="8"/>
        <v>0</v>
      </c>
      <c r="D23" s="150">
        <f t="shared" ref="D23:E23" si="9">D22+D18</f>
        <v>182</v>
      </c>
      <c r="E23" s="150">
        <f t="shared" si="9"/>
        <v>148</v>
      </c>
      <c r="F23" s="150">
        <f t="shared" si="8"/>
        <v>92</v>
      </c>
      <c r="G23" s="150">
        <f t="shared" si="8"/>
        <v>1373</v>
      </c>
      <c r="H23" s="150">
        <f t="shared" si="8"/>
        <v>1475</v>
      </c>
      <c r="I23" s="150">
        <f t="shared" si="8"/>
        <v>120</v>
      </c>
      <c r="J23" s="151">
        <f>SUM(B23:I23)</f>
        <v>3690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[3]Frontier!$FS$47</f>
        <v>0</v>
      </c>
      <c r="C28" s="146">
        <f>'[3]Great Lakes'!$FS$47</f>
        <v>0</v>
      </c>
      <c r="D28" s="118">
        <f>'[3]Air Choice One'!$FS$47</f>
        <v>0</v>
      </c>
      <c r="E28" s="118">
        <f>'[3]Boutique Air'!$FS$47</f>
        <v>0</v>
      </c>
      <c r="F28" s="146">
        <f>[3]Icelandair!$FS$47</f>
        <v>85038</v>
      </c>
      <c r="G28" s="118">
        <f>[3]Southwest!$FS$47</f>
        <v>223465</v>
      </c>
      <c r="H28" s="118">
        <f>'[3]Sun Country'!$FS$47</f>
        <v>282455</v>
      </c>
      <c r="I28" s="118">
        <f>[3]Alaska!$FS$47</f>
        <v>14924</v>
      </c>
      <c r="J28" s="147">
        <f>SUM(B28:I28)</f>
        <v>605882</v>
      </c>
    </row>
    <row r="29" spans="1:257" x14ac:dyDescent="0.2">
      <c r="A29" s="62" t="s">
        <v>38</v>
      </c>
      <c r="B29" s="146">
        <f>[3]Frontier!$FS$48</f>
        <v>0</v>
      </c>
      <c r="C29" s="146">
        <f>'[3]Great Lakes'!$FS$48</f>
        <v>0</v>
      </c>
      <c r="D29" s="118">
        <f>'[3]Air Choice One'!$FS$48</f>
        <v>0</v>
      </c>
      <c r="E29" s="118">
        <f>'[3]Boutique Air'!$FS$48</f>
        <v>0</v>
      </c>
      <c r="F29" s="146">
        <f>[3]Icelandair!$FS$48</f>
        <v>0</v>
      </c>
      <c r="G29" s="118">
        <f>[3]Southwest!$FS$48</f>
        <v>0</v>
      </c>
      <c r="H29" s="118">
        <f>'[3]Sun Country'!$FS$48</f>
        <v>383070</v>
      </c>
      <c r="I29" s="118">
        <f>[3]Alaska!$FS$48</f>
        <v>234</v>
      </c>
      <c r="J29" s="147">
        <f>SUM(B29:I29)</f>
        <v>383304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85038</v>
      </c>
      <c r="G30" s="162">
        <f t="shared" si="10"/>
        <v>223465</v>
      </c>
      <c r="H30" s="162">
        <f t="shared" si="10"/>
        <v>665525</v>
      </c>
      <c r="I30" s="162">
        <f t="shared" si="10"/>
        <v>15158</v>
      </c>
      <c r="J30" s="165">
        <f>SUM(B30:I30)</f>
        <v>989186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[3]Frontier!$FS$52</f>
        <v>0</v>
      </c>
      <c r="C33" s="146">
        <f>'[3]Great Lakes'!$FS$52</f>
        <v>0</v>
      </c>
      <c r="D33" s="118">
        <f>'[3]Air Choice One'!$FS$52</f>
        <v>0</v>
      </c>
      <c r="E33" s="118">
        <f>'[3]Boutique Air'!$FS$52</f>
        <v>0</v>
      </c>
      <c r="F33" s="146">
        <f>[3]Icelandair!$FS$52</f>
        <v>924</v>
      </c>
      <c r="G33" s="118">
        <f>[3]Southwest!$FS$52</f>
        <v>81159</v>
      </c>
      <c r="H33" s="118">
        <f>'[3]Sun Country'!$FS$52</f>
        <v>195311</v>
      </c>
      <c r="I33" s="118">
        <f>[3]Alaska!$FS$52</f>
        <v>9785</v>
      </c>
      <c r="J33" s="147">
        <f>SUM(B33:I33)</f>
        <v>287179</v>
      </c>
    </row>
    <row r="34" spans="1:10" x14ac:dyDescent="0.2">
      <c r="A34" s="62" t="s">
        <v>38</v>
      </c>
      <c r="B34" s="146">
        <f>[3]Frontier!$FS$53</f>
        <v>0</v>
      </c>
      <c r="C34" s="146">
        <f>'[3]Great Lakes'!$FS$53</f>
        <v>0</v>
      </c>
      <c r="D34" s="118">
        <f>'[3]Air Choice One'!$FS$53</f>
        <v>0</v>
      </c>
      <c r="E34" s="118">
        <f>'[3]Boutique Air'!$FS$53</f>
        <v>0</v>
      </c>
      <c r="F34" s="146">
        <f>[3]Icelandair!$FS$53</f>
        <v>0</v>
      </c>
      <c r="G34" s="118">
        <f>[3]Southwest!$FS$53</f>
        <v>0</v>
      </c>
      <c r="H34" s="118">
        <f>'[3]Sun Country'!$FS$53</f>
        <v>450464</v>
      </c>
      <c r="I34" s="118">
        <f>[3]Alaska!$FS$53</f>
        <v>2208</v>
      </c>
      <c r="J34" s="163">
        <f>SUM(B34:I34)</f>
        <v>452672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924</v>
      </c>
      <c r="G35" s="164">
        <f t="shared" si="12"/>
        <v>81159</v>
      </c>
      <c r="H35" s="164">
        <f t="shared" si="12"/>
        <v>645775</v>
      </c>
      <c r="I35" s="164">
        <f t="shared" si="12"/>
        <v>11993</v>
      </c>
      <c r="J35" s="165">
        <f>SUM(B35:I35)</f>
        <v>739851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[3]Frontier!$FS$57</f>
        <v>0</v>
      </c>
      <c r="C38" s="154">
        <f>'[3]Great Lakes'!$FS$57</f>
        <v>0</v>
      </c>
      <c r="D38" s="154">
        <f>'[3]Air Choice One'!$FS$57</f>
        <v>0</v>
      </c>
      <c r="E38" s="154">
        <f>'[3]Boutique Air'!$FS$57</f>
        <v>0</v>
      </c>
      <c r="F38" s="154">
        <f>[3]Icelandair!$FS$57</f>
        <v>0</v>
      </c>
      <c r="G38" s="154">
        <f>[3]Southwest!$FS$57</f>
        <v>0</v>
      </c>
      <c r="H38" s="154">
        <f>'[3]Sun Country'!$FS$57</f>
        <v>0</v>
      </c>
      <c r="I38" s="154">
        <f>[3]Alaska!$FS$57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[3]Frontier!$FS$58</f>
        <v>0</v>
      </c>
      <c r="C39" s="157">
        <f>'[3]Great Lakes'!$FS$58</f>
        <v>0</v>
      </c>
      <c r="D39" s="157">
        <f>'[3]Air Choice One'!$FS$58</f>
        <v>0</v>
      </c>
      <c r="E39" s="157">
        <f>'[3]Boutique Air'!$FS$58</f>
        <v>0</v>
      </c>
      <c r="F39" s="157">
        <f>[3]Icelandair!$FS$58</f>
        <v>0</v>
      </c>
      <c r="G39" s="157">
        <f>[3]Southwest!$FS$58</f>
        <v>0</v>
      </c>
      <c r="H39" s="157">
        <f>'[3]Sun Country'!$FS$58</f>
        <v>0</v>
      </c>
      <c r="I39" s="157">
        <f>[3]Alaska!$FS$58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85962</v>
      </c>
      <c r="G43" s="154">
        <f t="shared" si="16"/>
        <v>304624</v>
      </c>
      <c r="H43" s="154">
        <f t="shared" si="16"/>
        <v>477766</v>
      </c>
      <c r="I43" s="154">
        <f t="shared" si="16"/>
        <v>24709</v>
      </c>
      <c r="J43" s="147">
        <f>SUM(B43:I43)</f>
        <v>893061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833534</v>
      </c>
      <c r="I44" s="157">
        <f t="shared" si="18"/>
        <v>2442</v>
      </c>
      <c r="J44" s="147">
        <f>SUM(B44:I44)</f>
        <v>835976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85962</v>
      </c>
      <c r="G45" s="167">
        <f t="shared" si="20"/>
        <v>304624</v>
      </c>
      <c r="H45" s="167">
        <f t="shared" si="20"/>
        <v>1311300</v>
      </c>
      <c r="I45" s="167">
        <f t="shared" si="20"/>
        <v>27151</v>
      </c>
      <c r="J45" s="168">
        <f>SUM(B45:I45)</f>
        <v>1729037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[3]Southwest!$FS$70+[3]Southwest!$FS$73</f>
        <v>83558</v>
      </c>
      <c r="H48" s="322">
        <f>'[3]Sun Country'!$FS$70+'[3]Sun Country'!$FS$73</f>
        <v>81173</v>
      </c>
      <c r="I48" s="387"/>
      <c r="J48" s="310">
        <f>SUM(B48:I48)</f>
        <v>164731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[3]Southwest!$FS$71+[3]Southwest!$FS$74</f>
        <v>326</v>
      </c>
      <c r="H49" s="322">
        <f>'[3]Sun Country'!$FS$71+'[3]Sun Country'!$FS$74</f>
        <v>5328</v>
      </c>
      <c r="I49" s="387"/>
      <c r="J49" s="310">
        <f>SUM(B49:I49)</f>
        <v>5654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June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E4" sqref="E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43252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[3]Pinnacle!$FS$22+[3]Pinnacle!$FS$32</f>
        <v>62985</v>
      </c>
      <c r="C5" s="132">
        <f>[3]MESA_UA!$FS$22</f>
        <v>10135</v>
      </c>
      <c r="D5" s="130">
        <f>'[3]Sky West'!$FS$22+'[3]Sky West'!$FS$32</f>
        <v>202085</v>
      </c>
      <c r="E5" s="130">
        <f>'[3]Sky West_UA'!$FS$22</f>
        <v>3081</v>
      </c>
      <c r="F5" s="130">
        <f>'[3]Sky West_AS'!$FS$22</f>
        <v>2142</v>
      </c>
      <c r="G5" s="130">
        <f>'[3]Sky West_AA'!$FS$22</f>
        <v>1498</v>
      </c>
      <c r="H5" s="130">
        <f>[3]Republic!$FS$22</f>
        <v>12887</v>
      </c>
      <c r="I5" s="130">
        <f>[3]Republic_UA!$FS$22</f>
        <v>14119</v>
      </c>
      <c r="J5" s="130">
        <f>'[3]Sky Regional'!$FS$32</f>
        <v>5746</v>
      </c>
      <c r="K5" s="130">
        <f>'[3]American Eagle'!$FS$22</f>
        <v>596</v>
      </c>
      <c r="L5" s="130">
        <f>'Other Regional'!M5</f>
        <v>24104</v>
      </c>
      <c r="M5" s="110">
        <f>SUM(B5:L5)</f>
        <v>339378</v>
      </c>
    </row>
    <row r="6" spans="1:13" s="10" customFormat="1" x14ac:dyDescent="0.2">
      <c r="A6" s="62" t="s">
        <v>31</v>
      </c>
      <c r="B6" s="131">
        <f>[3]Pinnacle!$FS$23+[3]Pinnacle!$FS$33</f>
        <v>62751</v>
      </c>
      <c r="C6" s="132">
        <f>[3]MESA_UA!$FS$23</f>
        <v>9993</v>
      </c>
      <c r="D6" s="130">
        <f>'[3]Sky West'!$FS$23+'[3]Sky West'!$FS$33</f>
        <v>203861</v>
      </c>
      <c r="E6" s="130">
        <f>'[3]Sky West_UA'!$FS$23</f>
        <v>3090</v>
      </c>
      <c r="F6" s="130">
        <f>'[3]Sky West_AS'!$FS$23</f>
        <v>2069</v>
      </c>
      <c r="G6" s="130">
        <f>'[3]Sky West_AA'!$FS$23</f>
        <v>1556</v>
      </c>
      <c r="H6" s="130">
        <f>[3]Republic!$FS$23</f>
        <v>12785</v>
      </c>
      <c r="I6" s="130">
        <f>[3]Republic_UA!$FS$23</f>
        <v>14330</v>
      </c>
      <c r="J6" s="130">
        <f>'[3]Sky Regional'!$FS$33</f>
        <v>6122</v>
      </c>
      <c r="K6" s="130">
        <f>'[3]American Eagle'!$FS$23</f>
        <v>601</v>
      </c>
      <c r="L6" s="130">
        <f>'Other Regional'!M6</f>
        <v>23926</v>
      </c>
      <c r="M6" s="115">
        <f>SUM(B6:L6)</f>
        <v>341084</v>
      </c>
    </row>
    <row r="7" spans="1:13" ht="15" thickBot="1" x14ac:dyDescent="0.25">
      <c r="A7" s="73" t="s">
        <v>7</v>
      </c>
      <c r="B7" s="133">
        <f>SUM(B5:B6)</f>
        <v>125736</v>
      </c>
      <c r="C7" s="133">
        <f t="shared" ref="C7:L7" si="0">SUM(C5:C6)</f>
        <v>20128</v>
      </c>
      <c r="D7" s="133">
        <f t="shared" si="0"/>
        <v>405946</v>
      </c>
      <c r="E7" s="133">
        <f t="shared" si="0"/>
        <v>6171</v>
      </c>
      <c r="F7" s="133">
        <f t="shared" ref="F7:G7" si="1">SUM(F5:F6)</f>
        <v>4211</v>
      </c>
      <c r="G7" s="133">
        <f t="shared" si="1"/>
        <v>3054</v>
      </c>
      <c r="H7" s="133">
        <f t="shared" si="0"/>
        <v>25672</v>
      </c>
      <c r="I7" s="133">
        <f t="shared" si="0"/>
        <v>28449</v>
      </c>
      <c r="J7" s="133">
        <f t="shared" si="0"/>
        <v>11868</v>
      </c>
      <c r="K7" s="133">
        <f t="shared" si="0"/>
        <v>1197</v>
      </c>
      <c r="L7" s="133">
        <f t="shared" si="0"/>
        <v>48030</v>
      </c>
      <c r="M7" s="134">
        <f>SUM(B7:L7)</f>
        <v>680462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[3]Pinnacle!$FS$27+[3]Pinnacle!$FS$37</f>
        <v>2323</v>
      </c>
      <c r="C10" s="132">
        <f>[3]MESA_UA!$FS$27</f>
        <v>235</v>
      </c>
      <c r="D10" s="130">
        <f>'[3]Sky West'!$FS$27+'[3]Sky West'!$FS$37</f>
        <v>8023</v>
      </c>
      <c r="E10" s="130">
        <f>'[3]Sky West_UA'!$FS$27</f>
        <v>141</v>
      </c>
      <c r="F10" s="130">
        <f>'[3]Sky West_AS'!$FS$27</f>
        <v>77</v>
      </c>
      <c r="G10" s="130">
        <f>'[3]Sky West_AA'!$FS$27</f>
        <v>70</v>
      </c>
      <c r="H10" s="130">
        <f>[3]Republic!$FS$27</f>
        <v>550</v>
      </c>
      <c r="I10" s="130">
        <f>[3]Republic_UA!$FS$27</f>
        <v>519</v>
      </c>
      <c r="J10" s="130">
        <f>'[3]Sky Regional'!$FS$37</f>
        <v>46</v>
      </c>
      <c r="K10" s="130">
        <f>'[3]American Eagle'!$FS$27</f>
        <v>53</v>
      </c>
      <c r="L10" s="130">
        <f>'Other Regional'!M10</f>
        <v>797</v>
      </c>
      <c r="M10" s="110">
        <f>SUM(B10:L10)</f>
        <v>12834</v>
      </c>
    </row>
    <row r="11" spans="1:13" x14ac:dyDescent="0.2">
      <c r="A11" s="62" t="s">
        <v>33</v>
      </c>
      <c r="B11" s="131">
        <f>[3]Pinnacle!$FS$28+[3]Pinnacle!$FS$38</f>
        <v>2119</v>
      </c>
      <c r="C11" s="132">
        <f>[3]MESA_UA!$FS$28</f>
        <v>258</v>
      </c>
      <c r="D11" s="130">
        <f>'[3]Sky West'!$FS$28+'[3]Sky West'!$FS$38</f>
        <v>7858</v>
      </c>
      <c r="E11" s="130">
        <f>'[3]Sky West_UA'!$FS$28</f>
        <v>106</v>
      </c>
      <c r="F11" s="130">
        <f>'[3]Sky West_AS'!$FS$28</f>
        <v>94</v>
      </c>
      <c r="G11" s="130">
        <f>'[3]Sky West_AA'!$FS$28</f>
        <v>54</v>
      </c>
      <c r="H11" s="130">
        <f>[3]Republic!$FS$28</f>
        <v>581</v>
      </c>
      <c r="I11" s="130">
        <f>[3]Republic_UA!$FS$28</f>
        <v>551</v>
      </c>
      <c r="J11" s="130">
        <f>'[3]Sky Regional'!$FS$38</f>
        <v>40</v>
      </c>
      <c r="K11" s="130">
        <f>'[3]American Eagle'!$FS$28</f>
        <v>41</v>
      </c>
      <c r="L11" s="130">
        <f>'Other Regional'!M11</f>
        <v>744</v>
      </c>
      <c r="M11" s="115">
        <f>SUM(B11:L11)</f>
        <v>12446</v>
      </c>
    </row>
    <row r="12" spans="1:13" ht="15" thickBot="1" x14ac:dyDescent="0.25">
      <c r="A12" s="74" t="s">
        <v>34</v>
      </c>
      <c r="B12" s="136">
        <f t="shared" ref="B12:L12" si="2">SUM(B10:B11)</f>
        <v>4442</v>
      </c>
      <c r="C12" s="136">
        <f t="shared" si="2"/>
        <v>493</v>
      </c>
      <c r="D12" s="136">
        <f t="shared" si="2"/>
        <v>15881</v>
      </c>
      <c r="E12" s="136">
        <f t="shared" si="2"/>
        <v>247</v>
      </c>
      <c r="F12" s="136">
        <f t="shared" ref="F12:G12" si="3">SUM(F10:F11)</f>
        <v>171</v>
      </c>
      <c r="G12" s="136">
        <f t="shared" si="3"/>
        <v>124</v>
      </c>
      <c r="H12" s="136">
        <f t="shared" si="2"/>
        <v>1131</v>
      </c>
      <c r="I12" s="136">
        <f t="shared" si="2"/>
        <v>1070</v>
      </c>
      <c r="J12" s="136">
        <f t="shared" si="2"/>
        <v>86</v>
      </c>
      <c r="K12" s="136">
        <f t="shared" si="2"/>
        <v>94</v>
      </c>
      <c r="L12" s="136">
        <f t="shared" si="2"/>
        <v>1541</v>
      </c>
      <c r="M12" s="137">
        <f>SUM(B12:L12)</f>
        <v>25280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[3]Pinnacle!$FS$4+[3]Pinnacle!$FS$15</f>
        <v>1018</v>
      </c>
      <c r="C15" s="108">
        <f>[3]MESA_UA!$FS$4</f>
        <v>145</v>
      </c>
      <c r="D15" s="106">
        <f>'[3]Sky West'!$FS$4+'[3]Sky West'!$FS$15</f>
        <v>4214</v>
      </c>
      <c r="E15" s="106">
        <f>'[3]Sky West_UA'!$FS$4</f>
        <v>48</v>
      </c>
      <c r="F15" s="106">
        <f>'[3]Sky West_AS'!$FS$4</f>
        <v>30</v>
      </c>
      <c r="G15" s="106">
        <f>'[3]Sky West_AA'!$FS$4</f>
        <v>24</v>
      </c>
      <c r="H15" s="109">
        <f>[3]Republic!$FS$4</f>
        <v>212</v>
      </c>
      <c r="I15" s="454">
        <f>[3]Republic_UA!$FS$4</f>
        <v>222</v>
      </c>
      <c r="J15" s="454">
        <f>'[3]Sky Regional'!$FS$15</f>
        <v>90</v>
      </c>
      <c r="K15" s="109">
        <f>'[3]American Eagle'!$FS$4</f>
        <v>10</v>
      </c>
      <c r="L15" s="107">
        <f>'Other Regional'!M15</f>
        <v>386</v>
      </c>
      <c r="M15" s="110">
        <f t="shared" ref="M15:M21" si="5">SUM(B15:L15)</f>
        <v>6399</v>
      </c>
    </row>
    <row r="16" spans="1:13" x14ac:dyDescent="0.2">
      <c r="A16" s="62" t="s">
        <v>54</v>
      </c>
      <c r="B16" s="14">
        <f>[3]Pinnacle!$FS$5+[3]Pinnacle!$FS$16</f>
        <v>1018</v>
      </c>
      <c r="C16" s="113">
        <f>[3]MESA_UA!$FS$5</f>
        <v>145</v>
      </c>
      <c r="D16" s="111">
        <f>'[3]Sky West'!$FS$5+'[3]Sky West'!$FS$16</f>
        <v>4208</v>
      </c>
      <c r="E16" s="111">
        <f>'[3]Sky West_UA'!$FS$5</f>
        <v>48</v>
      </c>
      <c r="F16" s="111">
        <f>'[3]Sky West_AS'!$FS$5</f>
        <v>30</v>
      </c>
      <c r="G16" s="111">
        <f>'[3]Sky West_AA'!$FS$5</f>
        <v>24</v>
      </c>
      <c r="H16" s="114">
        <f>[3]Republic!$FS$5</f>
        <v>213</v>
      </c>
      <c r="I16" s="297">
        <f>[3]Republic_UA!$FS$5</f>
        <v>222</v>
      </c>
      <c r="J16" s="297">
        <f>'[3]Sky Regional'!$FS$16</f>
        <v>90</v>
      </c>
      <c r="K16" s="114">
        <f>'[3]American Eagle'!$FS$5</f>
        <v>10</v>
      </c>
      <c r="L16" s="112">
        <f>'Other Regional'!M16</f>
        <v>385</v>
      </c>
      <c r="M16" s="115">
        <f t="shared" si="5"/>
        <v>6393</v>
      </c>
    </row>
    <row r="17" spans="1:13" x14ac:dyDescent="0.2">
      <c r="A17" s="71" t="s">
        <v>55</v>
      </c>
      <c r="B17" s="116">
        <f t="shared" ref="B17:K17" si="6">SUM(B15:B16)</f>
        <v>2036</v>
      </c>
      <c r="C17" s="116">
        <f t="shared" si="6"/>
        <v>290</v>
      </c>
      <c r="D17" s="116">
        <f t="shared" si="6"/>
        <v>8422</v>
      </c>
      <c r="E17" s="116">
        <f t="shared" si="6"/>
        <v>96</v>
      </c>
      <c r="F17" s="116">
        <f t="shared" ref="F17:G17" si="7">SUM(F15:F16)</f>
        <v>60</v>
      </c>
      <c r="G17" s="116">
        <f t="shared" si="7"/>
        <v>48</v>
      </c>
      <c r="H17" s="116">
        <f t="shared" si="6"/>
        <v>425</v>
      </c>
      <c r="I17" s="116">
        <f t="shared" ref="I17:J17" si="8">SUM(I15:I16)</f>
        <v>444</v>
      </c>
      <c r="J17" s="116">
        <f t="shared" si="8"/>
        <v>180</v>
      </c>
      <c r="K17" s="116">
        <f t="shared" si="6"/>
        <v>20</v>
      </c>
      <c r="L17" s="116">
        <f>SUM(L15:L16)</f>
        <v>771</v>
      </c>
      <c r="M17" s="117">
        <f t="shared" si="5"/>
        <v>12792</v>
      </c>
    </row>
    <row r="18" spans="1:13" x14ac:dyDescent="0.2">
      <c r="A18" s="62" t="s">
        <v>56</v>
      </c>
      <c r="B18" s="118">
        <f>[3]Pinnacle!$FS$8</f>
        <v>2</v>
      </c>
      <c r="C18" s="119">
        <f>[3]MESA_UA!$FS$8</f>
        <v>0</v>
      </c>
      <c r="D18" s="118">
        <f>'[3]Sky West'!$FS$8</f>
        <v>0</v>
      </c>
      <c r="E18" s="118">
        <f>'[3]Sky West_UA'!$FS$8</f>
        <v>0</v>
      </c>
      <c r="F18" s="118">
        <f>'[3]Sky West_AS'!$FS$8</f>
        <v>0</v>
      </c>
      <c r="G18" s="118">
        <f>'[3]Sky West_AA'!$FS$8</f>
        <v>0</v>
      </c>
      <c r="H18" s="118">
        <f>[3]Republic!$FS$8</f>
        <v>0</v>
      </c>
      <c r="I18" s="118">
        <f>[3]Republic_UA!$FS$8</f>
        <v>0</v>
      </c>
      <c r="J18" s="118">
        <f>'[3]Sky Regional'!$FS$8</f>
        <v>0</v>
      </c>
      <c r="K18" s="118">
        <f>'[3]American Eagle'!$FS$8</f>
        <v>0</v>
      </c>
      <c r="L18" s="118">
        <f>'Other Regional'!M18</f>
        <v>0</v>
      </c>
      <c r="M18" s="110">
        <f t="shared" si="5"/>
        <v>2</v>
      </c>
    </row>
    <row r="19" spans="1:13" x14ac:dyDescent="0.2">
      <c r="A19" s="62" t="s">
        <v>57</v>
      </c>
      <c r="B19" s="120">
        <f>[3]Pinnacle!$FS$9</f>
        <v>2</v>
      </c>
      <c r="C19" s="121">
        <f>[3]MESA_UA!$FS$9</f>
        <v>0</v>
      </c>
      <c r="D19" s="120">
        <f>'[3]Sky West'!$FS$9</f>
        <v>6</v>
      </c>
      <c r="E19" s="120">
        <f>'[3]Sky West_UA'!$FS$9</f>
        <v>0</v>
      </c>
      <c r="F19" s="120">
        <f>'[3]Sky West_AS'!$FS$9</f>
        <v>0</v>
      </c>
      <c r="G19" s="120">
        <f>'[3]Sky West_AA'!$FS$9</f>
        <v>0</v>
      </c>
      <c r="H19" s="120">
        <f>[3]Republic!$FS$9</f>
        <v>0</v>
      </c>
      <c r="I19" s="120">
        <f>[3]Republic_UA!$FS$9</f>
        <v>0</v>
      </c>
      <c r="J19" s="120">
        <f>'[3]Sky Regional'!$FS$9</f>
        <v>0</v>
      </c>
      <c r="K19" s="120">
        <f>'[3]American Eagle'!$FS$9</f>
        <v>0</v>
      </c>
      <c r="L19" s="120">
        <f>'Other Regional'!M19</f>
        <v>1</v>
      </c>
      <c r="M19" s="115">
        <f t="shared" si="5"/>
        <v>9</v>
      </c>
    </row>
    <row r="20" spans="1:13" x14ac:dyDescent="0.2">
      <c r="A20" s="71" t="s">
        <v>58</v>
      </c>
      <c r="B20" s="116">
        <f t="shared" ref="B20:L20" si="9">SUM(B18:B19)</f>
        <v>4</v>
      </c>
      <c r="C20" s="116">
        <f t="shared" si="9"/>
        <v>0</v>
      </c>
      <c r="D20" s="116">
        <f t="shared" si="9"/>
        <v>6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1</v>
      </c>
      <c r="M20" s="117">
        <f t="shared" si="5"/>
        <v>11</v>
      </c>
    </row>
    <row r="21" spans="1:13" ht="15.75" thickBot="1" x14ac:dyDescent="0.3">
      <c r="A21" s="72" t="s">
        <v>28</v>
      </c>
      <c r="B21" s="122">
        <f t="shared" ref="B21:K21" si="11">SUM(B20,B17)</f>
        <v>2040</v>
      </c>
      <c r="C21" s="122">
        <f t="shared" si="11"/>
        <v>290</v>
      </c>
      <c r="D21" s="122">
        <f t="shared" si="11"/>
        <v>8428</v>
      </c>
      <c r="E21" s="122">
        <f t="shared" si="11"/>
        <v>96</v>
      </c>
      <c r="F21" s="122">
        <f t="shared" ref="F21:G21" si="12">SUM(F20,F17)</f>
        <v>60</v>
      </c>
      <c r="G21" s="122">
        <f t="shared" si="12"/>
        <v>48</v>
      </c>
      <c r="H21" s="122">
        <f t="shared" si="11"/>
        <v>425</v>
      </c>
      <c r="I21" s="122">
        <f t="shared" si="11"/>
        <v>444</v>
      </c>
      <c r="J21" s="122">
        <f t="shared" si="11"/>
        <v>180</v>
      </c>
      <c r="K21" s="122">
        <f t="shared" si="11"/>
        <v>20</v>
      </c>
      <c r="L21" s="122">
        <f>SUM(L20,L17)</f>
        <v>772</v>
      </c>
      <c r="M21" s="123">
        <f t="shared" si="5"/>
        <v>12803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[3]Pinnacle!$FS$47</f>
        <v>0</v>
      </c>
      <c r="C25" s="132">
        <f>[3]MESA_UA!$FS$47</f>
        <v>0</v>
      </c>
      <c r="D25" s="130">
        <f>'[3]Sky West'!$FS$47</f>
        <v>0</v>
      </c>
      <c r="E25" s="130">
        <f>'[3]Sky West_UA'!$FS$47</f>
        <v>0</v>
      </c>
      <c r="F25" s="130">
        <f>'[3]Sky West_AS'!$FS$47</f>
        <v>834</v>
      </c>
      <c r="G25" s="130">
        <f>'[3]Sky West_AA'!$FS$47</f>
        <v>153</v>
      </c>
      <c r="H25" s="130">
        <f>[3]Republic!$FS$47</f>
        <v>0</v>
      </c>
      <c r="I25" s="130">
        <f>[3]Republic_UA!$FS$47</f>
        <v>0</v>
      </c>
      <c r="J25" s="130">
        <f>'[3]Sky Regional'!$FS$47</f>
        <v>1673</v>
      </c>
      <c r="K25" s="130">
        <f>'[3]American Eagle'!$FS$47</f>
        <v>0</v>
      </c>
      <c r="L25" s="130">
        <f>'Other Regional'!M25</f>
        <v>2556</v>
      </c>
      <c r="M25" s="110">
        <f>SUM(B25:L25)</f>
        <v>5216</v>
      </c>
    </row>
    <row r="26" spans="1:13" x14ac:dyDescent="0.2">
      <c r="A26" s="75" t="s">
        <v>38</v>
      </c>
      <c r="B26" s="130">
        <f>[3]Pinnacle!$FS$48</f>
        <v>0</v>
      </c>
      <c r="C26" s="132">
        <f>[3]MESA_UA!$FS$48</f>
        <v>0</v>
      </c>
      <c r="D26" s="130">
        <f>'[3]Sky West'!$FS$48</f>
        <v>0</v>
      </c>
      <c r="E26" s="130">
        <f>'[3]Sky West_UA'!$FS$48</f>
        <v>0</v>
      </c>
      <c r="F26" s="130">
        <f>'[3]Sky West_AS'!$FS$48</f>
        <v>0</v>
      </c>
      <c r="G26" s="130">
        <f>'[3]Sky West_AA'!$FS$48</f>
        <v>0</v>
      </c>
      <c r="H26" s="130">
        <f>[3]Republic!$FS$48</f>
        <v>0</v>
      </c>
      <c r="I26" s="130">
        <f>[3]Republic_UA!$FS$48</f>
        <v>0</v>
      </c>
      <c r="J26" s="130">
        <f>'[3]Sky Regional'!$FS$48</f>
        <v>0</v>
      </c>
      <c r="K26" s="130">
        <f>'[3]American Eagle'!$FS$48</f>
        <v>0</v>
      </c>
      <c r="L26" s="130">
        <f>'Other Regional'!M26</f>
        <v>131</v>
      </c>
      <c r="M26" s="110">
        <f>SUM(B26:L26)</f>
        <v>131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834</v>
      </c>
      <c r="G27" s="133">
        <f t="shared" si="14"/>
        <v>153</v>
      </c>
      <c r="H27" s="133">
        <f t="shared" si="13"/>
        <v>0</v>
      </c>
      <c r="I27" s="133">
        <f t="shared" si="13"/>
        <v>0</v>
      </c>
      <c r="J27" s="133">
        <f t="shared" si="13"/>
        <v>1673</v>
      </c>
      <c r="K27" s="133">
        <f t="shared" si="13"/>
        <v>0</v>
      </c>
      <c r="L27" s="133">
        <f t="shared" si="13"/>
        <v>2687</v>
      </c>
      <c r="M27" s="134">
        <f>SUM(B27:L27)</f>
        <v>5347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[3]Pinnacle!$FS$52</f>
        <v>0</v>
      </c>
      <c r="C30" s="132">
        <f>[3]MESA_UA!$FS$52</f>
        <v>0</v>
      </c>
      <c r="D30" s="130">
        <f>'[3]Sky West'!$FS$52</f>
        <v>0</v>
      </c>
      <c r="E30" s="130">
        <f>'[3]Sky West_UA'!$FS$52</f>
        <v>0</v>
      </c>
      <c r="F30" s="130">
        <f>'[3]Sky West_AS'!$FS$52</f>
        <v>0</v>
      </c>
      <c r="G30" s="130">
        <f>'[3]Sky West_AA'!$FS$52</f>
        <v>0</v>
      </c>
      <c r="H30" s="130">
        <f>[3]Republic!$FS$52</f>
        <v>0</v>
      </c>
      <c r="I30" s="130">
        <f>[3]Republic_UA!$FS$52</f>
        <v>0</v>
      </c>
      <c r="J30" s="130">
        <f>'[3]Sky Regional'!$FS$52</f>
        <v>1669</v>
      </c>
      <c r="K30" s="130">
        <f>'[3]American Eagle'!$FS$52</f>
        <v>0</v>
      </c>
      <c r="L30" s="130">
        <f>'Other Regional'!M30</f>
        <v>48</v>
      </c>
      <c r="M30" s="110">
        <f t="shared" ref="M30:M37" si="15">SUM(B30:L30)</f>
        <v>1717</v>
      </c>
    </row>
    <row r="31" spans="1:13" x14ac:dyDescent="0.2">
      <c r="A31" s="75" t="s">
        <v>60</v>
      </c>
      <c r="B31" s="130">
        <f>[3]Pinnacle!$FS$53</f>
        <v>0</v>
      </c>
      <c r="C31" s="132">
        <f>[3]MESA_UA!$FS$53</f>
        <v>0</v>
      </c>
      <c r="D31" s="130">
        <f>'[3]Sky West'!$FS$53</f>
        <v>0</v>
      </c>
      <c r="E31" s="130">
        <f>'[3]Sky West_UA'!$FS$53</f>
        <v>0</v>
      </c>
      <c r="F31" s="130">
        <f>'[3]Sky West_AS'!$FS$53</f>
        <v>3016</v>
      </c>
      <c r="G31" s="130">
        <f>'[3]Sky West_AA'!$FS$53</f>
        <v>0</v>
      </c>
      <c r="H31" s="130">
        <f>[3]Republic!$FS$53</f>
        <v>0</v>
      </c>
      <c r="I31" s="130">
        <f>[3]Republic_UA!$FS$53</f>
        <v>0</v>
      </c>
      <c r="J31" s="130">
        <f>'[3]Sky Regional'!$FS$53</f>
        <v>0</v>
      </c>
      <c r="K31" s="130">
        <f>'[3]American Eagle'!$FS$53</f>
        <v>0</v>
      </c>
      <c r="L31" s="130">
        <f>'Other Regional'!M31</f>
        <v>96</v>
      </c>
      <c r="M31" s="110">
        <f t="shared" si="15"/>
        <v>3112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3016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1669</v>
      </c>
      <c r="K32" s="133">
        <f t="shared" si="16"/>
        <v>0</v>
      </c>
      <c r="L32" s="133">
        <f>SUM(L30:L31)</f>
        <v>144</v>
      </c>
      <c r="M32" s="134">
        <f t="shared" si="15"/>
        <v>4829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[3]Pinnacle!$FS$57</f>
        <v>0</v>
      </c>
      <c r="C35" s="132">
        <f>[3]MESA_UA!$FS$57</f>
        <v>0</v>
      </c>
      <c r="D35" s="130">
        <f>'[3]Sky West'!$FS$57</f>
        <v>0</v>
      </c>
      <c r="E35" s="130">
        <f>'[3]Sky West_UA'!$FS$57</f>
        <v>0</v>
      </c>
      <c r="F35" s="130">
        <f>'[3]Sky West_AS'!$FS$57</f>
        <v>0</v>
      </c>
      <c r="G35" s="130">
        <f>'[3]Sky West_AA'!$FS$57</f>
        <v>0</v>
      </c>
      <c r="H35" s="130">
        <f>[3]Republic!$FS$57</f>
        <v>0</v>
      </c>
      <c r="I35" s="130">
        <f>[3]Republic!$FS$57</f>
        <v>0</v>
      </c>
      <c r="J35" s="130">
        <f>[3]Republic!$FS$57</f>
        <v>0</v>
      </c>
      <c r="K35" s="130">
        <f>'[3]American Eagle'!$FS$57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[3]Pinnacle!$FS$58</f>
        <v>0</v>
      </c>
      <c r="C36" s="132">
        <f>[3]MESA_UA!$FS$58</f>
        <v>0</v>
      </c>
      <c r="D36" s="130">
        <f>'[3]Sky West'!$FS$58</f>
        <v>0</v>
      </c>
      <c r="E36" s="130">
        <f>'[3]Sky West_UA'!$FS$58</f>
        <v>0</v>
      </c>
      <c r="F36" s="130">
        <f>'[3]Sky West_AS'!$FS$58</f>
        <v>0</v>
      </c>
      <c r="G36" s="130">
        <f>'[3]Sky West_AA'!$FS$58</f>
        <v>0</v>
      </c>
      <c r="H36" s="130">
        <f>[3]Republic!$FS$58</f>
        <v>0</v>
      </c>
      <c r="I36" s="130">
        <f>[3]Republic!$FS$58</f>
        <v>0</v>
      </c>
      <c r="J36" s="130">
        <f>[3]Republic!$FS$58</f>
        <v>0</v>
      </c>
      <c r="K36" s="130">
        <f>'[3]American Eagle'!$FS$58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834</v>
      </c>
      <c r="G40" s="130">
        <f t="shared" ref="G40" si="22">SUM(G35,G30,G25)</f>
        <v>153</v>
      </c>
      <c r="H40" s="130">
        <f t="shared" si="20"/>
        <v>0</v>
      </c>
      <c r="I40" s="130">
        <f t="shared" si="20"/>
        <v>0</v>
      </c>
      <c r="J40" s="130">
        <f t="shared" si="20"/>
        <v>3342</v>
      </c>
      <c r="K40" s="130">
        <f>SUM(K35,K30,K25)</f>
        <v>0</v>
      </c>
      <c r="L40" s="130">
        <f>L35+L30+L25</f>
        <v>2604</v>
      </c>
      <c r="M40" s="110">
        <f>SUM(B40:L40)</f>
        <v>6933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3016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227</v>
      </c>
      <c r="M41" s="110">
        <f>SUM(B41:L41)</f>
        <v>3243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3850</v>
      </c>
      <c r="G42" s="136">
        <f t="shared" ref="G42" si="24">SUM(G37,G32,G27)</f>
        <v>153</v>
      </c>
      <c r="H42" s="136">
        <f t="shared" si="20"/>
        <v>0</v>
      </c>
      <c r="I42" s="136">
        <f t="shared" si="20"/>
        <v>0</v>
      </c>
      <c r="J42" s="136">
        <f t="shared" si="20"/>
        <v>3342</v>
      </c>
      <c r="K42" s="136">
        <f>SUM(K37,K32,K27)</f>
        <v>0</v>
      </c>
      <c r="L42" s="136">
        <f>SUM(L37,L32,L27)</f>
        <v>2831</v>
      </c>
      <c r="M42" s="137">
        <f>SUM(B42:L42)</f>
        <v>10176</v>
      </c>
    </row>
    <row r="44" spans="1:13" x14ac:dyDescent="0.2">
      <c r="A44" s="375" t="s">
        <v>124</v>
      </c>
      <c r="B44" s="321">
        <f>[3]Pinnacle!$FS$70+[3]Pinnacle!$FS$73</f>
        <v>22779</v>
      </c>
      <c r="D44" s="322">
        <f>'[3]Sky West'!$FS$70+'[3]Sky West'!$FS$73</f>
        <v>63197</v>
      </c>
      <c r="E44" s="5"/>
      <c r="F44" s="5"/>
      <c r="G44" s="5"/>
      <c r="L44" s="322">
        <f>+'Other Regional'!M46</f>
        <v>8821</v>
      </c>
      <c r="M44" s="310">
        <f>SUM(B44:L44)</f>
        <v>94797</v>
      </c>
    </row>
    <row r="45" spans="1:13" x14ac:dyDescent="0.2">
      <c r="A45" s="389" t="s">
        <v>125</v>
      </c>
      <c r="B45" s="321">
        <f>[3]Pinnacle!$FS$71+[3]Pinnacle!$FS$74</f>
        <v>39972</v>
      </c>
      <c r="D45" s="322">
        <f>'[3]Sky West'!$FS$71+'[3]Sky West'!$FS$74</f>
        <v>140664</v>
      </c>
      <c r="E45" s="5"/>
      <c r="F45" s="5"/>
      <c r="G45" s="5"/>
      <c r="L45" s="322">
        <f>+'Other Regional'!M47</f>
        <v>10867</v>
      </c>
      <c r="M45" s="310">
        <f>SUM(B45:L45)</f>
        <v>191503</v>
      </c>
    </row>
    <row r="46" spans="1:13" x14ac:dyDescent="0.2">
      <c r="A46" s="312" t="s">
        <v>126</v>
      </c>
      <c r="B46" s="313">
        <f>SUM(B44:B45)</f>
        <v>62751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June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E6" sqref="E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43252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America'!$FS$22</f>
        <v>0</v>
      </c>
      <c r="C5" s="131">
        <f>'[3]Shuttle America_Delta'!$FS$22</f>
        <v>0</v>
      </c>
      <c r="D5" s="455">
        <f>[3]Horizon_AS!$FS$22</f>
        <v>4110</v>
      </c>
      <c r="E5" s="455">
        <f>[3]PSA!$FS$22</f>
        <v>0</v>
      </c>
      <c r="F5" s="21">
        <f>[3]Compass!$FS$22+[3]Compass!$FS$32</f>
        <v>0</v>
      </c>
      <c r="G5" s="131">
        <f>'[3]Atlantic Southeast'!$FS$22+'[3]Atlantic Southeast'!$FS$32</f>
        <v>1254</v>
      </c>
      <c r="H5" s="131">
        <f>'[3]Continental Express'!$FS$22</f>
        <v>0</v>
      </c>
      <c r="I5" s="130">
        <f>'[3]Go Jet_UA'!$FS$22</f>
        <v>192</v>
      </c>
      <c r="J5" s="21">
        <f>'[3]Go Jet'!$FS$22+'[3]Go Jet'!$FS$32</f>
        <v>18548</v>
      </c>
      <c r="K5" s="132">
        <f>'[3]Air Wisconsin'!$FS$22</f>
        <v>0</v>
      </c>
      <c r="L5" s="130">
        <f>[3]MESA!$FS$22</f>
        <v>0</v>
      </c>
      <c r="M5" s="110">
        <f>SUM(B5:L5)</f>
        <v>24104</v>
      </c>
    </row>
    <row r="6" spans="1:13" s="10" customFormat="1" x14ac:dyDescent="0.2">
      <c r="A6" s="62" t="s">
        <v>31</v>
      </c>
      <c r="B6" s="131">
        <f>'[3]Shuttle America'!$FS$23</f>
        <v>0</v>
      </c>
      <c r="C6" s="131">
        <f>'[3]Shuttle America_Delta'!$FS$23</f>
        <v>0</v>
      </c>
      <c r="D6" s="455">
        <f>[3]Horizon_AS!$FS$23</f>
        <v>4039</v>
      </c>
      <c r="E6" s="455">
        <f>[3]PSA!$FS$23</f>
        <v>0</v>
      </c>
      <c r="F6" s="14">
        <f>[3]Compass!$FS$23+[3]Compass!$FS$33</f>
        <v>0</v>
      </c>
      <c r="G6" s="131">
        <f>'[3]Atlantic Southeast'!$FS$23+'[3]Atlantic Southeast'!$FS$33</f>
        <v>1246</v>
      </c>
      <c r="H6" s="131">
        <f>'[3]Continental Express'!$FS$23</f>
        <v>0</v>
      </c>
      <c r="I6" s="130">
        <f>'[3]Go Jet_UA'!$FS$23</f>
        <v>199</v>
      </c>
      <c r="J6" s="14">
        <f>'[3]Go Jet'!$FS$23+'[3]Go Jet'!$FS$33</f>
        <v>18442</v>
      </c>
      <c r="K6" s="132">
        <f>'[3]Air Wisconsin'!$FS$23</f>
        <v>0</v>
      </c>
      <c r="L6" s="130">
        <f>[3]MESA!$FS$23</f>
        <v>0</v>
      </c>
      <c r="M6" s="115">
        <f>SUM(B6:L6)</f>
        <v>23926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ref="D7" si="1">SUM(D5:D6)</f>
        <v>8149</v>
      </c>
      <c r="E7" s="133">
        <f t="shared" si="0"/>
        <v>0</v>
      </c>
      <c r="F7" s="133">
        <f>SUM(F5:F6)</f>
        <v>0</v>
      </c>
      <c r="G7" s="133">
        <f t="shared" si="0"/>
        <v>2500</v>
      </c>
      <c r="H7" s="133">
        <f t="shared" si="0"/>
        <v>0</v>
      </c>
      <c r="I7" s="133">
        <f t="shared" si="0"/>
        <v>391</v>
      </c>
      <c r="J7" s="133">
        <f>SUM(J5:J6)</f>
        <v>36990</v>
      </c>
      <c r="K7" s="133">
        <f t="shared" si="0"/>
        <v>0</v>
      </c>
      <c r="L7" s="133">
        <f t="shared" si="0"/>
        <v>0</v>
      </c>
      <c r="M7" s="134">
        <f>SUM(B7:L7)</f>
        <v>48030</v>
      </c>
    </row>
    <row r="8" spans="1:13" ht="13.5" thickTop="1" x14ac:dyDescent="0.2">
      <c r="A8" s="62"/>
      <c r="B8" s="131"/>
      <c r="C8" s="131"/>
      <c r="D8" s="455"/>
      <c r="E8" s="455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5"/>
      <c r="E9" s="455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America'!$FS$27</f>
        <v>0</v>
      </c>
      <c r="C10" s="131">
        <f>'[3]Shuttle America_Delta'!$FS$27</f>
        <v>0</v>
      </c>
      <c r="D10" s="455">
        <f>[3]Horizon_AS!$FS$27</f>
        <v>167</v>
      </c>
      <c r="E10" s="455">
        <f>[3]PSA!$FS$27</f>
        <v>0</v>
      </c>
      <c r="F10" s="21">
        <f>[3]Compass!$FS$27+[3]Compass!$FS$37</f>
        <v>0</v>
      </c>
      <c r="G10" s="21">
        <f>'[3]Atlantic Southeast'!$FS$27+'[3]Atlantic Southeast'!$FS$37</f>
        <v>30</v>
      </c>
      <c r="H10" s="131">
        <f>'[3]Continental Express'!$FS$27</f>
        <v>0</v>
      </c>
      <c r="I10" s="130">
        <f>'[3]Go Jet_UA'!$FS$27</f>
        <v>5</v>
      </c>
      <c r="J10" s="21">
        <f>'[3]Go Jet'!$FS$27+'[3]Go Jet'!$FS$37</f>
        <v>595</v>
      </c>
      <c r="K10" s="132">
        <f>'[3]Air Wisconsin'!$FS$27</f>
        <v>0</v>
      </c>
      <c r="L10" s="130">
        <f>[3]MESA!$FS$27</f>
        <v>0</v>
      </c>
      <c r="M10" s="110">
        <f>SUM(B10:L10)</f>
        <v>797</v>
      </c>
    </row>
    <row r="11" spans="1:13" x14ac:dyDescent="0.2">
      <c r="A11" s="62" t="s">
        <v>33</v>
      </c>
      <c r="B11" s="131">
        <f>'[3]Shuttle America'!$FS$28</f>
        <v>0</v>
      </c>
      <c r="C11" s="131">
        <f>'[3]Shuttle America_Delta'!$FS$28</f>
        <v>0</v>
      </c>
      <c r="D11" s="455">
        <f>[3]Horizon_AS!$FS$28</f>
        <v>94</v>
      </c>
      <c r="E11" s="455">
        <f>[3]PSA!$FS$28</f>
        <v>0</v>
      </c>
      <c r="F11" s="14">
        <f>[3]Compass!$FS$28+[3]Compass!$FS$38</f>
        <v>0</v>
      </c>
      <c r="G11" s="14">
        <f>'[3]Atlantic Southeast'!$FS$28+'[3]Atlantic Southeast'!$FS$38</f>
        <v>45</v>
      </c>
      <c r="H11" s="131">
        <f>'[3]Continental Express'!$FS$28</f>
        <v>0</v>
      </c>
      <c r="I11" s="130">
        <f>'[3]Go Jet_UA'!$FS$28</f>
        <v>6</v>
      </c>
      <c r="J11" s="14">
        <f>'[3]Go Jet'!$FS$28+'[3]Go Jet'!$FS$38</f>
        <v>599</v>
      </c>
      <c r="K11" s="132">
        <f>'[3]Air Wisconsin'!$FS$28</f>
        <v>0</v>
      </c>
      <c r="L11" s="130">
        <f>[3]MESA!$FS$28</f>
        <v>0</v>
      </c>
      <c r="M11" s="115">
        <f>SUM(B11:L11)</f>
        <v>744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261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75</v>
      </c>
      <c r="H12" s="136">
        <f t="shared" si="3"/>
        <v>0</v>
      </c>
      <c r="I12" s="136">
        <f t="shared" si="3"/>
        <v>11</v>
      </c>
      <c r="J12" s="136">
        <f t="shared" ref="J12" si="4">SUM(J10:J11)</f>
        <v>1194</v>
      </c>
      <c r="K12" s="136">
        <f t="shared" si="3"/>
        <v>0</v>
      </c>
      <c r="L12" s="136">
        <f t="shared" si="3"/>
        <v>0</v>
      </c>
      <c r="M12" s="137">
        <f>SUM(B12:L12)</f>
        <v>1541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America'!$FS$4</f>
        <v>0</v>
      </c>
      <c r="C15" s="106">
        <f>'[3]Shuttle America_Delta'!$FS$4</f>
        <v>0</v>
      </c>
      <c r="D15" s="456">
        <f>[3]Horizon_AS!$FS$4</f>
        <v>60</v>
      </c>
      <c r="E15" s="456">
        <f>[3]PSA!$FS$4</f>
        <v>0</v>
      </c>
      <c r="F15" s="21">
        <f>[3]Compass!$FS$4+[3]Compass!$FS$15</f>
        <v>0</v>
      </c>
      <c r="G15" s="107">
        <f>'[3]Atlantic Southeast'!$FS$4+'[3]Atlantic Southeast'!$FS$15</f>
        <v>28</v>
      </c>
      <c r="H15" s="107">
        <f>'[3]Continental Express'!$FS$4</f>
        <v>0</v>
      </c>
      <c r="I15" s="106">
        <f>'[3]Go Jet_UA'!$FS$4</f>
        <v>3</v>
      </c>
      <c r="J15" s="21">
        <f>'[3]Go Jet'!$FS$4+'[3]Go Jet'!$FS$15</f>
        <v>295</v>
      </c>
      <c r="K15" s="108">
        <f>'[3]Air Wisconsin'!$FS$4</f>
        <v>0</v>
      </c>
      <c r="L15" s="106">
        <f>[3]MESA!$FS$4</f>
        <v>0</v>
      </c>
      <c r="M15" s="110">
        <f t="shared" ref="M15:M21" si="5">SUM(B15:L15)</f>
        <v>386</v>
      </c>
    </row>
    <row r="16" spans="1:13" x14ac:dyDescent="0.2">
      <c r="A16" s="62" t="s">
        <v>54</v>
      </c>
      <c r="B16" s="111">
        <f>'[3]Shuttle America'!$FS$5</f>
        <v>0</v>
      </c>
      <c r="C16" s="111">
        <f>'[3]Shuttle America_Delta'!$FS$5</f>
        <v>0</v>
      </c>
      <c r="D16" s="457">
        <f>[3]Horizon_AS!$FS$5</f>
        <v>60</v>
      </c>
      <c r="E16" s="457">
        <f>[3]PSA!$FS$5</f>
        <v>0</v>
      </c>
      <c r="F16" s="14">
        <f>[3]Compass!$FS$5+[3]Compass!$FS$16</f>
        <v>0</v>
      </c>
      <c r="G16" s="112">
        <f>'[3]Atlantic Southeast'!$FS$5+'[3]Atlantic Southeast'!$FS$16</f>
        <v>28</v>
      </c>
      <c r="H16" s="112">
        <f>'[3]Continental Express'!$FS$5</f>
        <v>0</v>
      </c>
      <c r="I16" s="111">
        <f>'[3]Go Jet_UA'!$FS$5</f>
        <v>3</v>
      </c>
      <c r="J16" s="14">
        <f>'[3]Go Jet'!$FS$5+'[3]Go Jet'!$FS$16</f>
        <v>294</v>
      </c>
      <c r="K16" s="113">
        <f>'[3]Air Wisconsin'!$FS$5</f>
        <v>0</v>
      </c>
      <c r="L16" s="111">
        <f>[3]MESA!$FS$5</f>
        <v>0</v>
      </c>
      <c r="M16" s="115">
        <f t="shared" si="5"/>
        <v>385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120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56</v>
      </c>
      <c r="H17" s="116">
        <f t="shared" si="7"/>
        <v>0</v>
      </c>
      <c r="I17" s="116">
        <f t="shared" si="7"/>
        <v>6</v>
      </c>
      <c r="J17" s="286">
        <f>SUM(J15:J16)</f>
        <v>589</v>
      </c>
      <c r="K17" s="116">
        <f t="shared" si="7"/>
        <v>0</v>
      </c>
      <c r="L17" s="116">
        <f t="shared" si="7"/>
        <v>0</v>
      </c>
      <c r="M17" s="117">
        <f t="shared" si="5"/>
        <v>771</v>
      </c>
    </row>
    <row r="18" spans="1:13" x14ac:dyDescent="0.2">
      <c r="A18" s="62" t="s">
        <v>56</v>
      </c>
      <c r="B18" s="118">
        <f>'[3]Shuttle America'!$FS$8</f>
        <v>0</v>
      </c>
      <c r="C18" s="118">
        <f>'[3]Shuttle America_Delta'!$FS$8</f>
        <v>0</v>
      </c>
      <c r="D18" s="118">
        <f>[3]Horizon_AS!$FS$8</f>
        <v>0</v>
      </c>
      <c r="E18" s="118">
        <f>[3]PSA!$FS$8</f>
        <v>0</v>
      </c>
      <c r="F18" s="21">
        <f>[3]Compass!$FS$8</f>
        <v>0</v>
      </c>
      <c r="G18" s="109">
        <f>'[3]Atlantic Southeast'!$FS$8</f>
        <v>0</v>
      </c>
      <c r="H18" s="109">
        <f>'[3]Continental Express'!$FS$8</f>
        <v>0</v>
      </c>
      <c r="I18" s="118">
        <f>'[3]Go Jet_UA'!$FS$8</f>
        <v>0</v>
      </c>
      <c r="J18" s="21">
        <f>'[3]Go Jet'!$FS$8</f>
        <v>0</v>
      </c>
      <c r="K18" s="119">
        <f>'[3]Air Wisconsin'!$FS$8</f>
        <v>0</v>
      </c>
      <c r="L18" s="118">
        <f>[3]MESA!$FS$8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America'!$FS$9</f>
        <v>0</v>
      </c>
      <c r="C19" s="120">
        <f>'[3]Shuttle America_Delta'!$FS$9</f>
        <v>0</v>
      </c>
      <c r="D19" s="120">
        <f>[3]Horizon_AS!$FS$9</f>
        <v>0</v>
      </c>
      <c r="E19" s="120">
        <f>[3]PSA!$FS$9</f>
        <v>0</v>
      </c>
      <c r="F19" s="14">
        <f>[3]Compass!$FS$9</f>
        <v>0</v>
      </c>
      <c r="G19" s="114">
        <f>'[3]Atlantic Southeast'!$FS$9</f>
        <v>0</v>
      </c>
      <c r="H19" s="114">
        <f>'[3]Continental Express'!$FS$9</f>
        <v>0</v>
      </c>
      <c r="I19" s="120">
        <f>'[3]Go Jet_UA'!$FS$9</f>
        <v>0</v>
      </c>
      <c r="J19" s="14">
        <f>'[3]Go Jet'!$FS$9</f>
        <v>1</v>
      </c>
      <c r="K19" s="121">
        <f>'[3]Air Wisconsin'!$FS$9</f>
        <v>0</v>
      </c>
      <c r="L19" s="120">
        <f>[3]MESA!$FS$9</f>
        <v>0</v>
      </c>
      <c r="M19" s="115">
        <f t="shared" si="5"/>
        <v>1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1</v>
      </c>
      <c r="K20" s="116">
        <f t="shared" si="9"/>
        <v>0</v>
      </c>
      <c r="L20" s="116">
        <f t="shared" si="9"/>
        <v>0</v>
      </c>
      <c r="M20" s="117">
        <f t="shared" si="5"/>
        <v>1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120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56</v>
      </c>
      <c r="H21" s="122">
        <f t="shared" si="11"/>
        <v>0</v>
      </c>
      <c r="I21" s="122">
        <f t="shared" si="11"/>
        <v>6</v>
      </c>
      <c r="J21" s="122">
        <f t="shared" ref="J21" si="12">SUM(J20,J17)</f>
        <v>590</v>
      </c>
      <c r="K21" s="122">
        <f t="shared" si="11"/>
        <v>0</v>
      </c>
      <c r="L21" s="122">
        <f t="shared" si="11"/>
        <v>0</v>
      </c>
      <c r="M21" s="123">
        <f t="shared" si="5"/>
        <v>772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America'!$FS$47</f>
        <v>0</v>
      </c>
      <c r="C25" s="130">
        <f>'[3]Shuttle America_Delta'!$FS$47</f>
        <v>0</v>
      </c>
      <c r="D25" s="130">
        <f>[3]Horizon_AS!$FS$47</f>
        <v>2487</v>
      </c>
      <c r="E25" s="130">
        <f>[3]PSA!$FS$47</f>
        <v>0</v>
      </c>
      <c r="F25" s="130">
        <f>[3]Compass!$FS$47</f>
        <v>0</v>
      </c>
      <c r="G25" s="131">
        <f>'[3]Atlantic Southeast'!$FS$47</f>
        <v>0</v>
      </c>
      <c r="H25" s="131">
        <f>'[3]Continental Express'!$FS$47</f>
        <v>0</v>
      </c>
      <c r="I25" s="130">
        <f>'[3]Go Jet_UA'!$FS$47</f>
        <v>0</v>
      </c>
      <c r="J25" s="130">
        <f>'[3]Go Jet'!$FS$47</f>
        <v>69</v>
      </c>
      <c r="K25" s="132">
        <f>'[3]Air Wisconsin'!$FS$47</f>
        <v>0</v>
      </c>
      <c r="L25" s="130">
        <f>[3]MESA!$FS$47</f>
        <v>0</v>
      </c>
      <c r="M25" s="110">
        <f>SUM(B25:L25)</f>
        <v>2556</v>
      </c>
    </row>
    <row r="26" spans="1:13" x14ac:dyDescent="0.2">
      <c r="A26" s="75" t="s">
        <v>38</v>
      </c>
      <c r="B26" s="130">
        <f>'[3]Shuttle America'!$FS$48</f>
        <v>0</v>
      </c>
      <c r="C26" s="130">
        <f>'[3]Shuttle America_Delta'!$FS$48</f>
        <v>0</v>
      </c>
      <c r="D26" s="130">
        <f>[3]Horizon_AS!$FS$48</f>
        <v>131</v>
      </c>
      <c r="E26" s="130">
        <f>[3]PSA!$FS$48</f>
        <v>0</v>
      </c>
      <c r="F26" s="130">
        <f>[3]Compass!$FS$48</f>
        <v>0</v>
      </c>
      <c r="G26" s="131">
        <f>'[3]Atlantic Southeast'!$FS$48</f>
        <v>0</v>
      </c>
      <c r="H26" s="131">
        <f>'[3]Continental Express'!$FS$48</f>
        <v>0</v>
      </c>
      <c r="I26" s="130">
        <f>'[3]Go Jet_UA'!$FS$48</f>
        <v>0</v>
      </c>
      <c r="J26" s="130">
        <f>'[3]Go Jet'!$FS$48</f>
        <v>0</v>
      </c>
      <c r="K26" s="132">
        <f>'[3]Air Wisconsin'!$FS$48</f>
        <v>0</v>
      </c>
      <c r="L26" s="130">
        <f>[3]MESA!$FS$48</f>
        <v>0</v>
      </c>
      <c r="M26" s="110">
        <f>SUM(B26:L26)</f>
        <v>131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2618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69</v>
      </c>
      <c r="K27" s="133">
        <f t="shared" si="14"/>
        <v>0</v>
      </c>
      <c r="L27" s="133">
        <f t="shared" si="14"/>
        <v>0</v>
      </c>
      <c r="M27" s="134">
        <f>SUM(B27:L27)</f>
        <v>2687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America'!$FS$52</f>
        <v>0</v>
      </c>
      <c r="C30" s="130">
        <f>'[3]Shuttle America_Delta'!$FS$52</f>
        <v>0</v>
      </c>
      <c r="D30" s="130">
        <f>[3]Horizon_AS!$FS$52</f>
        <v>48</v>
      </c>
      <c r="E30" s="130">
        <f>[3]PSA!$FS$52</f>
        <v>0</v>
      </c>
      <c r="F30" s="130">
        <f>[3]Compass!$FS$52</f>
        <v>0</v>
      </c>
      <c r="G30" s="131">
        <f>'[3]Atlantic Southeast'!$FS$52</f>
        <v>0</v>
      </c>
      <c r="H30" s="131">
        <f>'[3]Continental Express'!$FS$52</f>
        <v>0</v>
      </c>
      <c r="I30" s="130">
        <f>'[3]Go Jet_UA'!$FS$52</f>
        <v>0</v>
      </c>
      <c r="J30" s="130">
        <f>'[3]Go Jet'!$FS$52</f>
        <v>0</v>
      </c>
      <c r="K30" s="132">
        <f>'[3]Air Wisconsin'!BH$52</f>
        <v>0</v>
      </c>
      <c r="L30" s="130">
        <f>[3]MESA!$FS$52</f>
        <v>0</v>
      </c>
      <c r="M30" s="110">
        <f>SUM(B30:L30)</f>
        <v>48</v>
      </c>
    </row>
    <row r="31" spans="1:13" x14ac:dyDescent="0.2">
      <c r="A31" s="75" t="s">
        <v>60</v>
      </c>
      <c r="B31" s="130">
        <f>'[3]Shuttle America'!$FS$53</f>
        <v>0</v>
      </c>
      <c r="C31" s="130">
        <f>'[3]Shuttle America_Delta'!$FS$53</f>
        <v>0</v>
      </c>
      <c r="D31" s="130">
        <f>[3]Horizon_AS!$FS$53</f>
        <v>96</v>
      </c>
      <c r="E31" s="130">
        <f>[3]PSA!$FS$53</f>
        <v>0</v>
      </c>
      <c r="F31" s="130">
        <f>[3]Compass!$FS$53</f>
        <v>0</v>
      </c>
      <c r="G31" s="131">
        <f>'[3]Atlantic Southeast'!$FS$53</f>
        <v>0</v>
      </c>
      <c r="H31" s="131">
        <f>'[3]Continental Express'!$FS$53</f>
        <v>0</v>
      </c>
      <c r="I31" s="130">
        <f>'[3]Go Jet_UA'!$FS$53</f>
        <v>0</v>
      </c>
      <c r="J31" s="130">
        <f>'[3]Go Jet'!$FS$53</f>
        <v>0</v>
      </c>
      <c r="K31" s="132">
        <f>'[3]Air Wisconsin'!$FS$53</f>
        <v>0</v>
      </c>
      <c r="L31" s="130">
        <f>[3]MESA!$FS$53</f>
        <v>0</v>
      </c>
      <c r="M31" s="110">
        <f>SUM(B31:L31)</f>
        <v>96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144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144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America'!$FS$57</f>
        <v>0</v>
      </c>
      <c r="C35" s="130">
        <f>'[3]Shuttle America_Delta'!$FS$57</f>
        <v>0</v>
      </c>
      <c r="D35" s="130">
        <f>[3]Horizon_AS!$FS$57</f>
        <v>0</v>
      </c>
      <c r="E35" s="130">
        <f>[3]PSA!$FS$57</f>
        <v>0</v>
      </c>
      <c r="F35" s="130">
        <f>[3]Compass!$FS$57</f>
        <v>0</v>
      </c>
      <c r="G35" s="131">
        <f>'[3]Atlantic Southeast'!$FS$57</f>
        <v>0</v>
      </c>
      <c r="H35" s="131">
        <f>'[3]Continental Express'!$FS$57</f>
        <v>0</v>
      </c>
      <c r="I35" s="130">
        <f>'[3]Go Jet_UA'!$AJ$57</f>
        <v>0</v>
      </c>
      <c r="J35" s="130">
        <f>'[3]Go Jet'!$FS$57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2535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69</v>
      </c>
      <c r="K40" s="130">
        <f t="shared" si="20"/>
        <v>0</v>
      </c>
      <c r="L40" s="130">
        <f t="shared" si="20"/>
        <v>0</v>
      </c>
      <c r="M40" s="110">
        <f>SUM(B40:L40)</f>
        <v>2604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227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227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2762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69</v>
      </c>
      <c r="K42" s="136">
        <f t="shared" si="26"/>
        <v>0</v>
      </c>
      <c r="L42" s="136">
        <f t="shared" si="26"/>
        <v>0</v>
      </c>
      <c r="M42" s="137">
        <f>SUM(B42:L42)</f>
        <v>2831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America_Delta'!$FS$70+'[3]Shuttle America_Delta'!$FS$73</f>
        <v>0</v>
      </c>
      <c r="D46" s="5"/>
      <c r="F46" s="322">
        <f>[3]Compass!$FS$70+[3]Compass!$FS$73</f>
        <v>0</v>
      </c>
      <c r="G46" s="322">
        <f>'[3]Atlantic Southeast'!$FS$70+'[3]Atlantic Southeast'!$FS$73</f>
        <v>430</v>
      </c>
      <c r="J46" s="322">
        <f>'[3]Go Jet'!$FS$70+'[3]Go Jet'!$FS$73</f>
        <v>8391</v>
      </c>
      <c r="M46" s="388">
        <f>SUM(B46:L46)</f>
        <v>8821</v>
      </c>
    </row>
    <row r="47" spans="1:13" x14ac:dyDescent="0.2">
      <c r="A47" s="389" t="s">
        <v>125</v>
      </c>
      <c r="C47" s="322">
        <f>'[3]Shuttle America_Delta'!$FS$71+'[3]Shuttle America_Delta'!$FS$74</f>
        <v>0</v>
      </c>
      <c r="D47" s="5"/>
      <c r="F47" s="322">
        <f>[3]Compass!$FS$71+[3]Compass!$FS$74</f>
        <v>0</v>
      </c>
      <c r="G47" s="322">
        <f>'[3]Atlantic Southeast'!$FS$71+'[3]Atlantic Southeast'!$FS$74</f>
        <v>816</v>
      </c>
      <c r="J47" s="322">
        <f>'[3]Go Jet'!$FS$71+'[3]Go Jet'!$FS$74</f>
        <v>10051</v>
      </c>
      <c r="M47" s="388">
        <f>SUM(B47:L47)</f>
        <v>10867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June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G36" sqref="G3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43252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Misc'!$FS$22</f>
        <v>140</v>
      </c>
      <c r="C5" s="184">
        <f>[3]Ryan!$FS$22</f>
        <v>0</v>
      </c>
      <c r="D5" s="184">
        <f>'[3]Charter Misc'!$FS$32</f>
        <v>0</v>
      </c>
      <c r="E5" s="184">
        <f>[3]Omni!$FS$32</f>
        <v>0</v>
      </c>
      <c r="F5" s="184">
        <f>[3]Xtra!$FS$32+[3]Xtra!$FS$22</f>
        <v>0</v>
      </c>
      <c r="G5" s="339">
        <f>SUM(B5:F5)</f>
        <v>140</v>
      </c>
    </row>
    <row r="6" spans="1:17" x14ac:dyDescent="0.2">
      <c r="A6" s="62" t="s">
        <v>31</v>
      </c>
      <c r="B6" s="418">
        <f>'[3]Charter Misc'!$FS$23</f>
        <v>0</v>
      </c>
      <c r="C6" s="187">
        <f>[3]Ryan!$FS$23</f>
        <v>0</v>
      </c>
      <c r="D6" s="187">
        <f>'[3]Charter Misc'!$FS$33</f>
        <v>0</v>
      </c>
      <c r="E6" s="187">
        <f>[3]Omni!$FS$33</f>
        <v>0</v>
      </c>
      <c r="F6" s="187">
        <f>[3]Xtra!$FS$33+[3]Xtra!$FS$23</f>
        <v>0</v>
      </c>
      <c r="G6" s="338">
        <f>SUM(B6:F6)</f>
        <v>0</v>
      </c>
    </row>
    <row r="7" spans="1:17" ht="15.75" thickBot="1" x14ac:dyDescent="0.3">
      <c r="A7" s="183" t="s">
        <v>7</v>
      </c>
      <c r="B7" s="419">
        <f>SUM(B5:B6)</f>
        <v>140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140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Misc'!$FS$4</f>
        <v>1</v>
      </c>
      <c r="C10" s="184">
        <f>[3]Ryan!$FS$4</f>
        <v>0</v>
      </c>
      <c r="D10" s="184">
        <f>'[3]Charter Misc'!$FS$15</f>
        <v>0</v>
      </c>
      <c r="E10" s="184">
        <f>[3]Omni!$FS$15</f>
        <v>0</v>
      </c>
      <c r="F10" s="184">
        <f>[3]Xtra!$FS$15+[3]Xtra!$FS$4</f>
        <v>0</v>
      </c>
      <c r="G10" s="338">
        <f>SUM(B10:F10)</f>
        <v>1</v>
      </c>
    </row>
    <row r="11" spans="1:17" x14ac:dyDescent="0.2">
      <c r="A11" s="182" t="s">
        <v>81</v>
      </c>
      <c r="B11" s="417">
        <f>'[3]Charter Misc'!$FS$5</f>
        <v>0</v>
      </c>
      <c r="C11" s="184">
        <f>[3]Ryan!$FS$5</f>
        <v>0</v>
      </c>
      <c r="D11" s="184">
        <f>'[3]Charter Misc'!$FS$16</f>
        <v>0</v>
      </c>
      <c r="E11" s="184">
        <f>[3]Omni!$FS$16</f>
        <v>0</v>
      </c>
      <c r="F11" s="184">
        <f>[3]Xtra!$FS$16+[3]Xtra!$FS$5</f>
        <v>0</v>
      </c>
      <c r="G11" s="338">
        <f>SUM(B11:F11)</f>
        <v>0</v>
      </c>
    </row>
    <row r="12" spans="1:17" ht="15.75" thickBot="1" x14ac:dyDescent="0.3">
      <c r="A12" s="277" t="s">
        <v>28</v>
      </c>
      <c r="B12" s="421">
        <f>SUM(B10:B11)</f>
        <v>1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1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499" t="s">
        <v>226</v>
      </c>
      <c r="J20" s="499" t="s">
        <v>190</v>
      </c>
      <c r="K20" s="243" t="s">
        <v>99</v>
      </c>
      <c r="L20" s="242" t="s">
        <v>103</v>
      </c>
      <c r="M20" s="236" t="s">
        <v>104</v>
      </c>
      <c r="N20" s="499" t="s">
        <v>226</v>
      </c>
      <c r="O20" s="499" t="s">
        <v>190</v>
      </c>
      <c r="P20" s="243" t="s">
        <v>99</v>
      </c>
    </row>
    <row r="21" spans="1:16" ht="14.1" customHeight="1" x14ac:dyDescent="0.2">
      <c r="A21" s="246" t="s">
        <v>105</v>
      </c>
      <c r="B21" s="509">
        <f>+[4]Charter!$B$21</f>
        <v>137179</v>
      </c>
      <c r="C21" s="510">
        <f>+[4]Charter!$C$21</f>
        <v>131658</v>
      </c>
      <c r="D21" s="507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09">
        <f>+[4]Charter!$G$21</f>
        <v>1202691</v>
      </c>
      <c r="H21" s="510">
        <f>+[4]Charter!$H$21</f>
        <v>1213282</v>
      </c>
      <c r="I21" s="507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09">
        <f>+[4]Charter!$L$21</f>
        <v>1339870</v>
      </c>
      <c r="M21" s="510">
        <f>+[4]Charter!$M$21</f>
        <v>1344940</v>
      </c>
      <c r="N21" s="507">
        <f t="shared" ref="N21:N32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6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5">
        <f t="shared" ref="G22:G23" si="6">L22-B22</f>
        <v>1192631</v>
      </c>
      <c r="H22" s="506">
        <f t="shared" ref="H22:H23" si="7">M22-C22</f>
        <v>1233627</v>
      </c>
      <c r="I22" s="506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6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5">
        <f t="shared" si="6"/>
        <v>1511202</v>
      </c>
      <c r="H23" s="506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5">
        <f t="shared" ref="G24:H26" si="11">L24-B24</f>
        <v>1413434</v>
      </c>
      <c r="H24" s="506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+[2]Charter!$B25</f>
        <v>128052</v>
      </c>
      <c r="C25" s="333">
        <f>+[2]Charter!$C25</f>
        <v>118282</v>
      </c>
      <c r="D25" s="332">
        <f t="shared" ref="D25" si="13">SUM(B25:C25)</f>
        <v>246334</v>
      </c>
      <c r="E25" s="336">
        <f>[12]Charter!D25</f>
        <v>225442</v>
      </c>
      <c r="F25" s="238">
        <f t="shared" si="1"/>
        <v>9.2671285740900097E-2</v>
      </c>
      <c r="G25" s="505">
        <f t="shared" si="11"/>
        <v>1504357</v>
      </c>
      <c r="H25" s="506">
        <f t="shared" si="11"/>
        <v>1476799</v>
      </c>
      <c r="I25" s="332">
        <f t="shared" si="2"/>
        <v>2981156</v>
      </c>
      <c r="J25" s="336">
        <f>[12]Charter!I25</f>
        <v>2980236</v>
      </c>
      <c r="K25" s="244">
        <f t="shared" si="3"/>
        <v>3.0870038480174052E-4</v>
      </c>
      <c r="L25" s="331">
        <f>+[2]Charter!$L25</f>
        <v>1632409</v>
      </c>
      <c r="M25" s="333">
        <f>+[2]Charter!$M25</f>
        <v>1595081</v>
      </c>
      <c r="N25" s="332">
        <f t="shared" ref="N25" si="14">SUM(L25:M25)</f>
        <v>3227490</v>
      </c>
      <c r="O25" s="336">
        <f>[12]Charter!N25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505">
        <f>'Intl Detail'!$P$4+'Intl Detail'!$P$9</f>
        <v>128004</v>
      </c>
      <c r="C26" s="506">
        <f>'Intl Detail'!$P$5+'Intl Detail'!$P$10</f>
        <v>132185</v>
      </c>
      <c r="D26" s="332">
        <f t="shared" ref="D26" si="15">SUM(B26:C26)</f>
        <v>260189</v>
      </c>
      <c r="E26" s="336">
        <f>[1]Charter!D26</f>
        <v>248451</v>
      </c>
      <c r="F26" s="249">
        <f t="shared" si="1"/>
        <v>4.7244728336774656E-2</v>
      </c>
      <c r="G26" s="505">
        <f t="shared" si="11"/>
        <v>1634622</v>
      </c>
      <c r="H26" s="506">
        <f t="shared" si="11"/>
        <v>1620854</v>
      </c>
      <c r="I26" s="332">
        <f t="shared" si="2"/>
        <v>3255476</v>
      </c>
      <c r="J26" s="336">
        <f>[1]Charter!I26</f>
        <v>3247151</v>
      </c>
      <c r="K26" s="250">
        <f t="shared" si="3"/>
        <v>2.5637859157150375E-3</v>
      </c>
      <c r="L26" s="505">
        <f>'Monthly Summary'!$B$11</f>
        <v>1762626</v>
      </c>
      <c r="M26" s="506">
        <f>'Monthly Summary'!$C$11</f>
        <v>1753039</v>
      </c>
      <c r="N26" s="332">
        <f t="shared" ref="N26" si="16">SUM(L26:M26)</f>
        <v>3515665</v>
      </c>
      <c r="O26" s="336">
        <f>[1]Charter!N26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331"/>
      <c r="C27" s="333"/>
      <c r="D27" s="332">
        <f t="shared" si="0"/>
        <v>0</v>
      </c>
      <c r="E27" s="336"/>
      <c r="F27" s="238" t="e">
        <f t="shared" si="1"/>
        <v>#DIV/0!</v>
      </c>
      <c r="G27" s="331"/>
      <c r="H27" s="333"/>
      <c r="I27" s="332">
        <f t="shared" ref="I27:I32" si="17">SUM(G27:H27)</f>
        <v>0</v>
      </c>
      <c r="J27" s="336"/>
      <c r="K27" s="244" t="e">
        <f t="shared" si="3"/>
        <v>#DIV/0!</v>
      </c>
      <c r="L27" s="331"/>
      <c r="M27" s="333"/>
      <c r="N27" s="332">
        <f t="shared" si="4"/>
        <v>0</v>
      </c>
      <c r="O27" s="336"/>
      <c r="P27" s="238" t="e">
        <f t="shared" si="9"/>
        <v>#DIV/0!</v>
      </c>
    </row>
    <row r="28" spans="1:16" ht="14.1" customHeight="1" x14ac:dyDescent="0.2">
      <c r="A28" s="248" t="s">
        <v>111</v>
      </c>
      <c r="B28" s="331"/>
      <c r="C28" s="333"/>
      <c r="D28" s="332">
        <f t="shared" si="0"/>
        <v>0</v>
      </c>
      <c r="E28" s="336"/>
      <c r="F28" s="249" t="e">
        <f t="shared" si="1"/>
        <v>#DIV/0!</v>
      </c>
      <c r="G28" s="331"/>
      <c r="H28" s="333"/>
      <c r="I28" s="332">
        <f t="shared" si="17"/>
        <v>0</v>
      </c>
      <c r="J28" s="336"/>
      <c r="K28" s="250" t="e">
        <f t="shared" si="3"/>
        <v>#DIV/0!</v>
      </c>
      <c r="L28" s="331"/>
      <c r="M28" s="333"/>
      <c r="N28" s="332">
        <f t="shared" si="4"/>
        <v>0</v>
      </c>
      <c r="O28" s="336"/>
      <c r="P28" s="249" t="e">
        <f t="shared" si="9"/>
        <v>#DIV/0!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6"/>
      <c r="F29" s="238" t="e">
        <f t="shared" si="1"/>
        <v>#DIV/0!</v>
      </c>
      <c r="G29" s="331"/>
      <c r="H29" s="333"/>
      <c r="I29" s="332">
        <f t="shared" si="17"/>
        <v>0</v>
      </c>
      <c r="J29" s="336"/>
      <c r="K29" s="244" t="e">
        <f t="shared" si="3"/>
        <v>#DIV/0!</v>
      </c>
      <c r="L29" s="331"/>
      <c r="M29" s="333"/>
      <c r="N29" s="332">
        <f t="shared" si="4"/>
        <v>0</v>
      </c>
      <c r="O29" s="336"/>
      <c r="P29" s="238" t="e">
        <f t="shared" si="9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3"/>
        <v>#DIV/0!</v>
      </c>
      <c r="L30" s="331"/>
      <c r="M30" s="333"/>
      <c r="N30" s="332">
        <f>SUM(L30:M30)</f>
        <v>0</v>
      </c>
      <c r="O30" s="336"/>
      <c r="P30" s="249" t="e">
        <f t="shared" si="9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si="17"/>
        <v>0</v>
      </c>
      <c r="J31" s="336"/>
      <c r="K31" s="244" t="e">
        <f t="shared" si="3"/>
        <v>#DIV/0!</v>
      </c>
      <c r="L31" s="331"/>
      <c r="M31" s="333"/>
      <c r="N31" s="332">
        <f>SUM(L31:M31)</f>
        <v>0</v>
      </c>
      <c r="O31" s="336"/>
      <c r="P31" s="238" t="e">
        <f t="shared" si="9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17"/>
        <v>0</v>
      </c>
      <c r="J32" s="336"/>
      <c r="K32" s="252" t="e">
        <f t="shared" si="3"/>
        <v>#DIV/0!</v>
      </c>
      <c r="L32" s="331"/>
      <c r="M32" s="333"/>
      <c r="N32" s="161">
        <f t="shared" si="4"/>
        <v>0</v>
      </c>
      <c r="O32" s="336"/>
      <c r="P32" s="252" t="e">
        <f t="shared" si="9"/>
        <v>#DIV/0!</v>
      </c>
    </row>
    <row r="33" spans="1:16" ht="13.5" thickBot="1" x14ac:dyDescent="0.25">
      <c r="A33" s="245" t="s">
        <v>77</v>
      </c>
      <c r="B33" s="255">
        <f>SUM(B21:B32)</f>
        <v>848882</v>
      </c>
      <c r="C33" s="256">
        <f>SUM(C21:C32)</f>
        <v>821839</v>
      </c>
      <c r="D33" s="256">
        <f>SUM(D21:D32)</f>
        <v>1670721</v>
      </c>
      <c r="E33" s="257">
        <f>SUM(E21:E32)</f>
        <v>1602945</v>
      </c>
      <c r="F33" s="240">
        <f>(D33-E33)/E33</f>
        <v>4.2282174372795071E-2</v>
      </c>
      <c r="G33" s="258">
        <f>SUM(G21:G32)</f>
        <v>8458937</v>
      </c>
      <c r="H33" s="256">
        <f>SUM(H21:H32)</f>
        <v>8413809</v>
      </c>
      <c r="I33" s="256">
        <f>SUM(I21:I32)</f>
        <v>16872746</v>
      </c>
      <c r="J33" s="259">
        <f>SUM(J21:J32)</f>
        <v>16927928</v>
      </c>
      <c r="K33" s="241">
        <f>(I33-J33)/J33</f>
        <v>-3.2598201032045977E-3</v>
      </c>
      <c r="L33" s="258">
        <f>SUM(L21:L32)</f>
        <v>9307819</v>
      </c>
      <c r="M33" s="256">
        <f>SUM(M21:M32)</f>
        <v>9235648</v>
      </c>
      <c r="N33" s="256">
        <f>SUM(N21:N32)</f>
        <v>18543467</v>
      </c>
      <c r="O33" s="257">
        <f>SUM(O21:O32)</f>
        <v>18530873</v>
      </c>
      <c r="P33" s="239">
        <f>(N33-O33)/O33</f>
        <v>6.7962259522257799E-4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June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zoomScaleNormal="100" workbookViewId="0">
      <selection activeCell="C5" sqref="C5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7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43252</v>
      </c>
      <c r="B2" s="514" t="s">
        <v>186</v>
      </c>
      <c r="C2" s="514" t="s">
        <v>231</v>
      </c>
      <c r="D2" s="23" t="s">
        <v>82</v>
      </c>
      <c r="E2" s="23" t="s">
        <v>83</v>
      </c>
      <c r="F2" s="199"/>
      <c r="G2" s="515" t="s">
        <v>84</v>
      </c>
      <c r="H2" s="515" t="s">
        <v>187</v>
      </c>
      <c r="I2" s="515" t="s">
        <v>167</v>
      </c>
      <c r="J2" s="516" t="s">
        <v>85</v>
      </c>
      <c r="K2" s="23" t="s">
        <v>86</v>
      </c>
      <c r="L2" s="515" t="s">
        <v>87</v>
      </c>
      <c r="M2" s="515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[3]DHL!$FS$4</f>
        <v>20</v>
      </c>
      <c r="C4" s="161">
        <f>+'[3]Atlas Air'!$FS$4</f>
        <v>27</v>
      </c>
      <c r="D4" s="161">
        <f>[3]FedEx!$FS$4+[3]FedEx!$FS$15</f>
        <v>107</v>
      </c>
      <c r="E4" s="161">
        <f>[3]UPS!$FS$4+[3]UPS!$FS$15</f>
        <v>125</v>
      </c>
      <c r="F4" s="192"/>
      <c r="G4" s="118">
        <f>[3]ATI_BAX!$FS$4</f>
        <v>0</v>
      </c>
      <c r="H4" s="161">
        <f>[3]IFL!$FS$4+[3]IFL!$FS$15</f>
        <v>20</v>
      </c>
      <c r="I4" s="118">
        <f>'[3]Suburban Air Freight'!$FS$15</f>
        <v>0</v>
      </c>
      <c r="J4" s="118">
        <f>[3]Bemidji!$FS$4</f>
        <v>270</v>
      </c>
      <c r="K4" s="118">
        <f>'[3]CSA Air'!$FS$4</f>
        <v>0</v>
      </c>
      <c r="L4" s="118">
        <f>'[3]Mountain Cargo'!$FS$4</f>
        <v>22</v>
      </c>
      <c r="M4" s="118">
        <f>'[3]Misc Cargo'!$FS$4</f>
        <v>41</v>
      </c>
      <c r="N4" s="204">
        <f>SUM(B4:M4)</f>
        <v>632</v>
      </c>
    </row>
    <row r="5" spans="1:21" x14ac:dyDescent="0.2">
      <c r="A5" s="53" t="s">
        <v>54</v>
      </c>
      <c r="B5" s="198">
        <f>[3]DHL!$FS$5</f>
        <v>20</v>
      </c>
      <c r="C5" s="198">
        <f>+'[3]Atlas Air'!$FS$5</f>
        <v>27</v>
      </c>
      <c r="D5" s="198">
        <f>[3]FedEx!$FS$5</f>
        <v>107</v>
      </c>
      <c r="E5" s="198">
        <f>[3]UPS!$FS$5+[3]UPS!$FS$16</f>
        <v>125</v>
      </c>
      <c r="F5" s="192"/>
      <c r="G5" s="120">
        <f>[3]ATI_BAX!$FS$5</f>
        <v>0</v>
      </c>
      <c r="H5" s="198">
        <f>[3]IFL!$FS$5</f>
        <v>20</v>
      </c>
      <c r="I5" s="120">
        <f>'[3]Suburban Air Freight'!$FS$16</f>
        <v>0</v>
      </c>
      <c r="J5" s="120">
        <f>[3]Bemidji!$FS$5</f>
        <v>270</v>
      </c>
      <c r="K5" s="120">
        <f>'[3]CSA Air'!$FS$5</f>
        <v>0</v>
      </c>
      <c r="L5" s="120">
        <f>'[3]Mountain Cargo'!$FS$5</f>
        <v>22</v>
      </c>
      <c r="M5" s="120">
        <f>'[3]Misc Cargo'!$FS$5</f>
        <v>41</v>
      </c>
      <c r="N5" s="208">
        <f>SUM(B5:M5)</f>
        <v>632</v>
      </c>
    </row>
    <row r="6" spans="1:21" s="189" customFormat="1" x14ac:dyDescent="0.2">
      <c r="A6" s="205" t="s">
        <v>55</v>
      </c>
      <c r="B6" s="206">
        <f>SUM(B4:B5)</f>
        <v>40</v>
      </c>
      <c r="C6" s="206">
        <f>SUM(C4:C5)</f>
        <v>54</v>
      </c>
      <c r="D6" s="206">
        <f>SUM(D4:D5)</f>
        <v>214</v>
      </c>
      <c r="E6" s="206">
        <f>SUM(E4:E5)</f>
        <v>250</v>
      </c>
      <c r="F6" s="193"/>
      <c r="G6" s="188">
        <f t="shared" ref="G6:M6" si="0">SUM(G4:G5)</f>
        <v>0</v>
      </c>
      <c r="H6" s="206">
        <f>SUM(H4:H5)</f>
        <v>40</v>
      </c>
      <c r="I6" s="188">
        <f t="shared" si="0"/>
        <v>0</v>
      </c>
      <c r="J6" s="188">
        <f t="shared" si="0"/>
        <v>540</v>
      </c>
      <c r="K6" s="188">
        <f t="shared" si="0"/>
        <v>0</v>
      </c>
      <c r="L6" s="188">
        <f t="shared" si="0"/>
        <v>44</v>
      </c>
      <c r="M6" s="188">
        <f t="shared" si="0"/>
        <v>82</v>
      </c>
      <c r="N6" s="207">
        <f>SUM(B6:M6)</f>
        <v>1264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>
        <f>+'[3]Atlas Air'!$FS$8</f>
        <v>0</v>
      </c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Cargo'!$FS$8</f>
        <v>0</v>
      </c>
      <c r="N8" s="204">
        <f>SUM(B8:M8)</f>
        <v>0</v>
      </c>
    </row>
    <row r="9" spans="1:21" ht="15" x14ac:dyDescent="0.25">
      <c r="A9" s="53" t="s">
        <v>57</v>
      </c>
      <c r="B9" s="198"/>
      <c r="C9" s="198">
        <f>+'[3]Atlas Air'!$FS$9</f>
        <v>0</v>
      </c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Cargo'!$FS$9</f>
        <v>1</v>
      </c>
      <c r="N9" s="208">
        <f>SUM(B9:M9)</f>
        <v>1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1</v>
      </c>
      <c r="N10" s="207">
        <f>SUM(B10:M10)</f>
        <v>1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40</v>
      </c>
      <c r="C12" s="210">
        <f>C6+C10</f>
        <v>54</v>
      </c>
      <c r="D12" s="210">
        <f>D6+D10</f>
        <v>214</v>
      </c>
      <c r="E12" s="210">
        <f>E6+E10</f>
        <v>250</v>
      </c>
      <c r="F12" s="211"/>
      <c r="G12" s="212">
        <f t="shared" ref="G12:M12" si="2">G6+G10</f>
        <v>0</v>
      </c>
      <c r="H12" s="210">
        <f>H6+H10</f>
        <v>40</v>
      </c>
      <c r="I12" s="212">
        <f t="shared" si="2"/>
        <v>0</v>
      </c>
      <c r="J12" s="212">
        <f t="shared" si="2"/>
        <v>540</v>
      </c>
      <c r="K12" s="212">
        <f t="shared" si="2"/>
        <v>0</v>
      </c>
      <c r="L12" s="212">
        <f t="shared" si="2"/>
        <v>44</v>
      </c>
      <c r="M12" s="212">
        <f t="shared" si="2"/>
        <v>83</v>
      </c>
      <c r="N12" s="213">
        <f>SUM(B12:M12)</f>
        <v>1265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[3]DHL!$FS$47</f>
        <v>762635</v>
      </c>
      <c r="C16" s="161">
        <f>+'[3]Atlas Air'!$FS$47</f>
        <v>939406</v>
      </c>
      <c r="D16" s="161">
        <f>[3]FedEx!$FS$47</f>
        <v>8712522</v>
      </c>
      <c r="E16" s="161">
        <f>[3]UPS!$FS$47</f>
        <v>6017314</v>
      </c>
      <c r="F16" s="192"/>
      <c r="G16" s="118">
        <f>[3]ATI_BAX!$FS$47</f>
        <v>0</v>
      </c>
      <c r="H16" s="161">
        <f>[3]IFL!$FS$47</f>
        <v>22207</v>
      </c>
      <c r="I16" s="118">
        <f>'[3]Suburban Air Freight'!$FS$47</f>
        <v>0</v>
      </c>
      <c r="J16" s="534" t="s">
        <v>88</v>
      </c>
      <c r="K16" s="118">
        <f>'[3]CSA Air'!$FS$47</f>
        <v>0</v>
      </c>
      <c r="L16" s="118">
        <f>'[3]Mountain Cargo'!$FS$47</f>
        <v>59971</v>
      </c>
      <c r="M16" s="118">
        <f>'[3]Misc Cargo'!$FS$47</f>
        <v>73950</v>
      </c>
      <c r="N16" s="204">
        <f>SUM(B16:I16)+SUM(K16:M16)</f>
        <v>16588005</v>
      </c>
    </row>
    <row r="17" spans="1:15" x14ac:dyDescent="0.2">
      <c r="A17" s="53" t="s">
        <v>38</v>
      </c>
      <c r="B17" s="161">
        <f>[3]DHL!$FS$48</f>
        <v>0</v>
      </c>
      <c r="C17" s="161">
        <f>+'[3]Atlas Air'!$FS$48</f>
        <v>0</v>
      </c>
      <c r="D17" s="161">
        <f>[3]FedEx!$FS$48</f>
        <v>0</v>
      </c>
      <c r="E17" s="161">
        <f>[3]UPS!$FS$48</f>
        <v>108</v>
      </c>
      <c r="F17" s="192"/>
      <c r="G17" s="118">
        <f>[3]ATI_BAX!$FS$48</f>
        <v>0</v>
      </c>
      <c r="H17" s="161">
        <f>[3]IFL!$FS$48</f>
        <v>0</v>
      </c>
      <c r="I17" s="118">
        <f>'[3]Suburban Air Freight'!$FS$48</f>
        <v>0</v>
      </c>
      <c r="J17" s="535"/>
      <c r="K17" s="118">
        <f>'[3]CSA Air'!$FS$48</f>
        <v>0</v>
      </c>
      <c r="L17" s="118">
        <f>'[3]Mountain Cargo'!$FS$48</f>
        <v>0</v>
      </c>
      <c r="M17" s="118">
        <f>'[3]Misc Cargo'!$FS$48</f>
        <v>0</v>
      </c>
      <c r="N17" s="204">
        <f>SUM(B17:I17)+SUM(K17:M17)</f>
        <v>108</v>
      </c>
    </row>
    <row r="18" spans="1:15" ht="18" customHeight="1" x14ac:dyDescent="0.2">
      <c r="A18" s="219" t="s">
        <v>39</v>
      </c>
      <c r="B18" s="302">
        <f>SUM(B16:B17)</f>
        <v>762635</v>
      </c>
      <c r="C18" s="302">
        <f>SUM(C16:C17)</f>
        <v>939406</v>
      </c>
      <c r="D18" s="302">
        <f>SUM(D16:D17)</f>
        <v>8712522</v>
      </c>
      <c r="E18" s="302">
        <f>SUM(E16:E17)</f>
        <v>6017422</v>
      </c>
      <c r="F18" s="197"/>
      <c r="G18" s="303">
        <f>SUM(G16:G17)</f>
        <v>0</v>
      </c>
      <c r="H18" s="302">
        <f>SUM(H16:H17)</f>
        <v>22207</v>
      </c>
      <c r="I18" s="303">
        <f>SUM(I16:I17)</f>
        <v>0</v>
      </c>
      <c r="J18" s="535"/>
      <c r="K18" s="303">
        <f>SUM(K16:K17)</f>
        <v>0</v>
      </c>
      <c r="L18" s="303">
        <f>SUM(L16:L17)</f>
        <v>59971</v>
      </c>
      <c r="M18" s="303">
        <f>SUM(M16:M17)</f>
        <v>73950</v>
      </c>
      <c r="N18" s="220">
        <f>SUM(B18:I18)+SUM(K18:M18)</f>
        <v>16588113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[3]DHL!$FS$52</f>
        <v>532933</v>
      </c>
      <c r="C21" s="161">
        <f>+'[3]Atlas Air'!$FS$52</f>
        <v>889203</v>
      </c>
      <c r="D21" s="161">
        <f>[3]FedEx!$FS$52</f>
        <v>8102358</v>
      </c>
      <c r="E21" s="161">
        <f>[3]UPS!$FS$52</f>
        <v>5184675</v>
      </c>
      <c r="F21" s="192"/>
      <c r="G21" s="118">
        <f>[3]ATI_BAX!$FS$52</f>
        <v>0</v>
      </c>
      <c r="H21" s="161">
        <f>[3]IFL!$FS$52</f>
        <v>0</v>
      </c>
      <c r="I21" s="118">
        <f>'[3]Suburban Air Freight'!$FS$52</f>
        <v>0</v>
      </c>
      <c r="J21" s="535"/>
      <c r="K21" s="118">
        <f>'[3]CSA Air'!$FS$52</f>
        <v>0</v>
      </c>
      <c r="L21" s="118">
        <f>'[3]Mountain Cargo'!$FS$52</f>
        <v>80459</v>
      </c>
      <c r="M21" s="118">
        <f>'[3]Misc Cargo'!$FS$52</f>
        <v>46083</v>
      </c>
      <c r="N21" s="204">
        <f>SUM(B21:I21)+SUM(K21:M21)</f>
        <v>14835711</v>
      </c>
    </row>
    <row r="22" spans="1:15" x14ac:dyDescent="0.2">
      <c r="A22" s="53" t="s">
        <v>60</v>
      </c>
      <c r="B22" s="161">
        <f>[3]DHL!$FS$53</f>
        <v>0</v>
      </c>
      <c r="C22" s="161">
        <f>+'[3]Atlas Air'!$FS$53</f>
        <v>0</v>
      </c>
      <c r="D22" s="161">
        <f>[3]FedEx!$FS$53</f>
        <v>0</v>
      </c>
      <c r="E22" s="161">
        <f>[3]UPS!$FS$53</f>
        <v>528743</v>
      </c>
      <c r="F22" s="192"/>
      <c r="G22" s="118">
        <f>[3]ATI_BAX!$FS$53</f>
        <v>0</v>
      </c>
      <c r="H22" s="161">
        <f>[3]IFL!$FS$53</f>
        <v>0</v>
      </c>
      <c r="I22" s="118">
        <f>'[3]Suburban Air Freight'!$FS$53</f>
        <v>0</v>
      </c>
      <c r="J22" s="535"/>
      <c r="K22" s="118">
        <f>'[3]CSA Air'!$FS$53</f>
        <v>0</v>
      </c>
      <c r="L22" s="118">
        <f>'[3]Mountain Cargo'!$FS$53</f>
        <v>0</v>
      </c>
      <c r="M22" s="118">
        <f>'[3]Misc Cargo'!$FS$53</f>
        <v>0</v>
      </c>
      <c r="N22" s="204">
        <f>SUM(B22:I22)+SUM(K22:M22)</f>
        <v>528743</v>
      </c>
    </row>
    <row r="23" spans="1:15" ht="18" customHeight="1" x14ac:dyDescent="0.2">
      <c r="A23" s="219" t="s">
        <v>41</v>
      </c>
      <c r="B23" s="302">
        <f>SUM(B21:B22)</f>
        <v>532933</v>
      </c>
      <c r="C23" s="302">
        <f>SUM(C21:C22)</f>
        <v>889203</v>
      </c>
      <c r="D23" s="302">
        <f>SUM(D21:D22)</f>
        <v>8102358</v>
      </c>
      <c r="E23" s="302">
        <f>SUM(E21:E22)</f>
        <v>5713418</v>
      </c>
      <c r="F23" s="197"/>
      <c r="G23" s="303">
        <f>SUM(G21:G22)</f>
        <v>0</v>
      </c>
      <c r="H23" s="302">
        <f>SUM(H21:H22)</f>
        <v>0</v>
      </c>
      <c r="I23" s="303">
        <f>SUM(I21:I22)</f>
        <v>0</v>
      </c>
      <c r="J23" s="535"/>
      <c r="K23" s="303">
        <f>SUM(K21:K22)</f>
        <v>0</v>
      </c>
      <c r="L23" s="303">
        <f>SUM(L21:L22)</f>
        <v>80459</v>
      </c>
      <c r="M23" s="303">
        <f>SUM(M21:M22)</f>
        <v>46083</v>
      </c>
      <c r="N23" s="220">
        <f>SUM(B23:I23)+SUM(K23:M23)</f>
        <v>15364454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[3]DHL!$FS$57</f>
        <v>0</v>
      </c>
      <c r="C26" s="161">
        <f>+'[3]Atlas Air'!$FS$57</f>
        <v>0</v>
      </c>
      <c r="D26" s="161">
        <f>[3]FedEx!$FS$57</f>
        <v>0</v>
      </c>
      <c r="E26" s="161">
        <f>[3]UPS!$FS$57</f>
        <v>0</v>
      </c>
      <c r="F26" s="192"/>
      <c r="G26" s="118">
        <f>[3]ATI_BAX!$FS$57</f>
        <v>0</v>
      </c>
      <c r="H26" s="161">
        <f>[3]IFL!$FS$57</f>
        <v>0</v>
      </c>
      <c r="I26" s="118">
        <f>'[3]Suburban Air Freight'!$FS$57</f>
        <v>0</v>
      </c>
      <c r="J26" s="535"/>
      <c r="K26" s="118">
        <f>'[3]CSA Air'!$FS$57</f>
        <v>0</v>
      </c>
      <c r="L26" s="118">
        <f>'[3]Mountain Cargo'!$FS$57</f>
        <v>0</v>
      </c>
      <c r="M26" s="118">
        <f>'[3]Misc Cargo'!$FS$57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[3]DHL!$FS$58</f>
        <v>0</v>
      </c>
      <c r="C27" s="161">
        <f>+'[3]Atlas Air'!$FS$58</f>
        <v>0</v>
      </c>
      <c r="D27" s="161">
        <f>[3]FedEx!$FS$58</f>
        <v>0</v>
      </c>
      <c r="E27" s="161">
        <f>[3]UPS!$FS$58</f>
        <v>0</v>
      </c>
      <c r="F27" s="192"/>
      <c r="G27" s="118">
        <f>[3]ATI_BAX!$FS$58</f>
        <v>0</v>
      </c>
      <c r="H27" s="161">
        <f>[3]IFL!$FS$58</f>
        <v>0</v>
      </c>
      <c r="I27" s="118">
        <f>'[3]Suburban Air Freight'!$FS$58</f>
        <v>0</v>
      </c>
      <c r="J27" s="535"/>
      <c r="K27" s="118">
        <f>'[3]CSA Air'!$FS$58</f>
        <v>0</v>
      </c>
      <c r="L27" s="118">
        <f>'[3]Mountain Cargo'!$FS$58</f>
        <v>0</v>
      </c>
      <c r="M27" s="118">
        <f>'[3]Misc Cargo'!$FS$58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1295568</v>
      </c>
      <c r="C31" s="161">
        <f t="shared" ref="C31" si="4">C26+C21+C16</f>
        <v>1828609</v>
      </c>
      <c r="D31" s="161">
        <f t="shared" si="3"/>
        <v>16814880</v>
      </c>
      <c r="E31" s="161">
        <f t="shared" si="3"/>
        <v>11201989</v>
      </c>
      <c r="F31" s="192"/>
      <c r="G31" s="118">
        <f t="shared" ref="G31:I33" si="5">G26+G21+G16</f>
        <v>0</v>
      </c>
      <c r="H31" s="161">
        <f t="shared" si="5"/>
        <v>22207</v>
      </c>
      <c r="I31" s="118">
        <f t="shared" si="5"/>
        <v>0</v>
      </c>
      <c r="J31" s="535"/>
      <c r="K31" s="118">
        <f t="shared" ref="K31:M33" si="6">K26+K21+K16</f>
        <v>0</v>
      </c>
      <c r="L31" s="118">
        <f t="shared" si="6"/>
        <v>140430</v>
      </c>
      <c r="M31" s="118">
        <f>M26+M21+M16</f>
        <v>120033</v>
      </c>
      <c r="N31" s="204">
        <f>SUM(B31:I31)+SUM(K31:M31)</f>
        <v>31423716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0</v>
      </c>
      <c r="E32" s="161">
        <f t="shared" si="3"/>
        <v>528851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528851</v>
      </c>
    </row>
    <row r="33" spans="1:14" ht="18" customHeight="1" thickBot="1" x14ac:dyDescent="0.25">
      <c r="A33" s="209" t="s">
        <v>46</v>
      </c>
      <c r="B33" s="210">
        <f t="shared" si="3"/>
        <v>1295568</v>
      </c>
      <c r="C33" s="210">
        <f t="shared" si="3"/>
        <v>1828609</v>
      </c>
      <c r="D33" s="210">
        <f t="shared" si="3"/>
        <v>16814880</v>
      </c>
      <c r="E33" s="210">
        <f t="shared" si="3"/>
        <v>11730840</v>
      </c>
      <c r="F33" s="223"/>
      <c r="G33" s="212">
        <f t="shared" si="5"/>
        <v>0</v>
      </c>
      <c r="H33" s="210">
        <f t="shared" si="5"/>
        <v>22207</v>
      </c>
      <c r="I33" s="212">
        <f t="shared" si="5"/>
        <v>0</v>
      </c>
      <c r="J33" s="304">
        <f>J28+J23+J18</f>
        <v>0</v>
      </c>
      <c r="K33" s="212">
        <f t="shared" si="6"/>
        <v>0</v>
      </c>
      <c r="L33" s="212">
        <f t="shared" si="6"/>
        <v>140430</v>
      </c>
      <c r="M33" s="212">
        <f t="shared" si="6"/>
        <v>120033</v>
      </c>
      <c r="N33" s="213">
        <f>SUM(B33:I33)+SUM(K33:M33)</f>
        <v>31952567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84" orientation="landscape" r:id="rId1"/>
  <headerFooter alignWithMargins="0">
    <oddHeader>&amp;L
Schedule 7
&amp;CMinneapolis-St. Paul International Airport
&amp;"Arial,Bold"Cargo
June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F14" sqref="F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43252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6518479</v>
      </c>
      <c r="C5" s="118">
        <f>'Regional Major'!M25</f>
        <v>5216</v>
      </c>
      <c r="D5" s="118">
        <f>Cargo!N16</f>
        <v>16588005</v>
      </c>
      <c r="E5" s="118">
        <f>SUM(B5:D5)</f>
        <v>23111700</v>
      </c>
      <c r="F5" s="118">
        <f>E5*0.00045359237</f>
        <v>10483.290777729</v>
      </c>
      <c r="G5" s="146">
        <f>'[1]Cargo Summary'!F5</f>
        <v>10335.441891135129</v>
      </c>
      <c r="H5" s="98">
        <f>(F5-G5)/G5</f>
        <v>1.4305037767246604E-2</v>
      </c>
      <c r="I5" s="146">
        <f>+F5+'[2]Cargo Summary'!I5</f>
        <v>56659.152801058503</v>
      </c>
      <c r="J5" s="146">
        <f>'[1]Cargo Summary'!I5</f>
        <v>54581.60630643028</v>
      </c>
      <c r="K5" s="85">
        <f>(I5-J5)/J5</f>
        <v>3.8063124836680853E-2</v>
      </c>
      <c r="M5" s="35"/>
    </row>
    <row r="6" spans="1:18" x14ac:dyDescent="0.2">
      <c r="A6" s="62" t="s">
        <v>16</v>
      </c>
      <c r="B6" s="169">
        <f>'Major Airline Stats'!K29</f>
        <v>1978858</v>
      </c>
      <c r="C6" s="118">
        <f>'Regional Major'!M26</f>
        <v>131</v>
      </c>
      <c r="D6" s="118">
        <f>Cargo!N17</f>
        <v>108</v>
      </c>
      <c r="E6" s="118">
        <f>SUM(B6:D6)</f>
        <v>1979097</v>
      </c>
      <c r="F6" s="118">
        <f>E6*0.00045359237</f>
        <v>897.70329868988995</v>
      </c>
      <c r="G6" s="146">
        <f>'[1]Cargo Summary'!F6</f>
        <v>913.79584879275001</v>
      </c>
      <c r="H6" s="37">
        <f>(F6-G6)/G6</f>
        <v>-1.7610662298499748E-2</v>
      </c>
      <c r="I6" s="146">
        <f>+F6+'[2]Cargo Summary'!I6</f>
        <v>5085.4916795683002</v>
      </c>
      <c r="J6" s="146">
        <f>'[1]Cargo Summary'!I6</f>
        <v>5136.3557135706196</v>
      </c>
      <c r="K6" s="85">
        <f>(I6-J6)/J6</f>
        <v>-9.9027475585331762E-3</v>
      </c>
      <c r="M6" s="35"/>
    </row>
    <row r="7" spans="1:18" ht="18" customHeight="1" thickBot="1" x14ac:dyDescent="0.25">
      <c r="A7" s="73" t="s">
        <v>72</v>
      </c>
      <c r="B7" s="171">
        <f>SUM(B5:B6)</f>
        <v>8497337</v>
      </c>
      <c r="C7" s="133">
        <f t="shared" ref="C7:J7" si="0">SUM(C5:C6)</f>
        <v>5347</v>
      </c>
      <c r="D7" s="133">
        <f t="shared" si="0"/>
        <v>16588113</v>
      </c>
      <c r="E7" s="133">
        <f t="shared" si="0"/>
        <v>25090797</v>
      </c>
      <c r="F7" s="133">
        <f t="shared" si="0"/>
        <v>11380.99407641889</v>
      </c>
      <c r="G7" s="133">
        <f t="shared" si="0"/>
        <v>11249.237739927879</v>
      </c>
      <c r="H7" s="44">
        <f>(F7-G7)/G7</f>
        <v>1.1712467950015589E-2</v>
      </c>
      <c r="I7" s="133">
        <f t="shared" si="0"/>
        <v>61744.644480626805</v>
      </c>
      <c r="J7" s="133">
        <f t="shared" si="0"/>
        <v>59717.962020000901</v>
      </c>
      <c r="K7" s="318">
        <f>(I7-J7)/J7</f>
        <v>3.3937569067529823E-2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3350679</v>
      </c>
      <c r="C10" s="118">
        <f>'Regional Major'!M30</f>
        <v>1717</v>
      </c>
      <c r="D10" s="118">
        <f>Cargo!N21</f>
        <v>14835711</v>
      </c>
      <c r="E10" s="118">
        <f>SUM(B10:D10)</f>
        <v>18188107</v>
      </c>
      <c r="F10" s="118">
        <f>E10*0.00045359237</f>
        <v>8249.9865599435907</v>
      </c>
      <c r="G10" s="146">
        <f>'[1]Cargo Summary'!F10</f>
        <v>8211.2688224251306</v>
      </c>
      <c r="H10" s="37">
        <f>(F10-G10)/G10</f>
        <v>4.7151954656168673E-3</v>
      </c>
      <c r="I10" s="146">
        <f>+F10+'[2]Cargo Summary'!I10</f>
        <v>44863.136674637819</v>
      </c>
      <c r="J10" s="146">
        <f>'[1]Cargo Summary'!I10</f>
        <v>45389.846773904712</v>
      </c>
      <c r="K10" s="85">
        <f>(I10-J10)/J10</f>
        <v>-1.1604139178758063E-2</v>
      </c>
      <c r="M10" s="35"/>
    </row>
    <row r="11" spans="1:18" x14ac:dyDescent="0.2">
      <c r="A11" s="62" t="s">
        <v>16</v>
      </c>
      <c r="B11" s="169">
        <f>'Major Airline Stats'!K34</f>
        <v>2499010</v>
      </c>
      <c r="C11" s="118">
        <f>'Regional Major'!M31</f>
        <v>3112</v>
      </c>
      <c r="D11" s="118">
        <f>Cargo!N22</f>
        <v>528743</v>
      </c>
      <c r="E11" s="118">
        <f>SUM(B11:D11)</f>
        <v>3030865</v>
      </c>
      <c r="F11" s="118">
        <f>E11*0.00045359237</f>
        <v>1374.7772385000499</v>
      </c>
      <c r="G11" s="146">
        <f>'[1]Cargo Summary'!F11</f>
        <v>1399.3583162150899</v>
      </c>
      <c r="H11" s="35">
        <f>(F11-G11)/G11</f>
        <v>-1.756596393518824E-2</v>
      </c>
      <c r="I11" s="146">
        <f>+F11+'[2]Cargo Summary'!I11</f>
        <v>7641.1943854015008</v>
      </c>
      <c r="J11" s="146">
        <f>'[1]Cargo Summary'!I11</f>
        <v>7053.2075856865695</v>
      </c>
      <c r="K11" s="85">
        <f>(I11-J11)/J11</f>
        <v>8.3364454054657713E-2</v>
      </c>
      <c r="M11" s="35"/>
    </row>
    <row r="12" spans="1:18" ht="18" customHeight="1" thickBot="1" x14ac:dyDescent="0.25">
      <c r="A12" s="73" t="s">
        <v>73</v>
      </c>
      <c r="B12" s="171">
        <f>SUM(B10:B11)</f>
        <v>5849689</v>
      </c>
      <c r="C12" s="133">
        <f t="shared" ref="C12:J12" si="1">SUM(C10:C11)</f>
        <v>4829</v>
      </c>
      <c r="D12" s="133">
        <f t="shared" si="1"/>
        <v>15364454</v>
      </c>
      <c r="E12" s="133">
        <f t="shared" si="1"/>
        <v>21218972</v>
      </c>
      <c r="F12" s="133">
        <f t="shared" si="1"/>
        <v>9624.7637984436406</v>
      </c>
      <c r="G12" s="133">
        <f t="shared" si="1"/>
        <v>9610.6271386402204</v>
      </c>
      <c r="H12" s="44">
        <f>(F12-G12)/G12</f>
        <v>1.4709404078931182E-3</v>
      </c>
      <c r="I12" s="133">
        <f t="shared" si="1"/>
        <v>52504.331060039316</v>
      </c>
      <c r="J12" s="133">
        <f t="shared" si="1"/>
        <v>52443.054359591282</v>
      </c>
      <c r="K12" s="318">
        <f>(I12-J12)/J12</f>
        <v>1.1684426316566541E-3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9869158</v>
      </c>
      <c r="C20" s="118">
        <f t="shared" si="3"/>
        <v>6933</v>
      </c>
      <c r="D20" s="118">
        <f t="shared" si="3"/>
        <v>31423716</v>
      </c>
      <c r="E20" s="118">
        <f>SUM(B20:D20)</f>
        <v>41299807</v>
      </c>
      <c r="F20" s="118">
        <f>E20*0.00045359237</f>
        <v>18733.277337672589</v>
      </c>
      <c r="G20" s="146">
        <f>'[1]Cargo Summary'!F20</f>
        <v>18546.71071356026</v>
      </c>
      <c r="H20" s="37">
        <f>(F20-G20)/G20</f>
        <v>1.0059283664564978E-2</v>
      </c>
      <c r="I20" s="146">
        <f>+F20+'[2]Cargo Summary'!I20</f>
        <v>101522.28947569634</v>
      </c>
      <c r="J20" s="146">
        <f>+J5+J10+J15</f>
        <v>99971.453080334992</v>
      </c>
      <c r="K20" s="85">
        <f>(I20-J20)/J20</f>
        <v>1.5512792377991387E-2</v>
      </c>
      <c r="M20" s="35"/>
    </row>
    <row r="21" spans="1:13" x14ac:dyDescent="0.2">
      <c r="A21" s="62" t="s">
        <v>16</v>
      </c>
      <c r="B21" s="169">
        <f t="shared" si="3"/>
        <v>4477868</v>
      </c>
      <c r="C21" s="120">
        <f t="shared" si="3"/>
        <v>3243</v>
      </c>
      <c r="D21" s="120">
        <f t="shared" si="3"/>
        <v>528851</v>
      </c>
      <c r="E21" s="118">
        <f>SUM(B21:D21)</f>
        <v>5009962</v>
      </c>
      <c r="F21" s="118">
        <f>E21*0.00045359237</f>
        <v>2272.4805371899402</v>
      </c>
      <c r="G21" s="146">
        <f>'[1]Cargo Summary'!F21</f>
        <v>2313.1541650078398</v>
      </c>
      <c r="H21" s="37">
        <f>(F21-G21)/G21</f>
        <v>-1.7583621720155328E-2</v>
      </c>
      <c r="I21" s="146">
        <f>+F21+'[2]Cargo Summary'!I21</f>
        <v>12726.686064969799</v>
      </c>
      <c r="J21" s="146">
        <f>+J6+J11+J16</f>
        <v>12189.563299257188</v>
      </c>
      <c r="K21" s="85">
        <f>(I21-J21)/J21</f>
        <v>4.4064151645641182E-2</v>
      </c>
      <c r="M21" s="35"/>
    </row>
    <row r="22" spans="1:13" ht="18" customHeight="1" thickBot="1" x14ac:dyDescent="0.25">
      <c r="A22" s="88" t="s">
        <v>62</v>
      </c>
      <c r="B22" s="172">
        <f>SUM(B20:B21)</f>
        <v>14347026</v>
      </c>
      <c r="C22" s="173">
        <f t="shared" ref="C22:J22" si="4">SUM(C20:C21)</f>
        <v>10176</v>
      </c>
      <c r="D22" s="173">
        <f t="shared" si="4"/>
        <v>31952567</v>
      </c>
      <c r="E22" s="173">
        <f t="shared" si="4"/>
        <v>46309769</v>
      </c>
      <c r="F22" s="173">
        <f t="shared" si="4"/>
        <v>21005.757874862531</v>
      </c>
      <c r="G22" s="173">
        <f t="shared" si="4"/>
        <v>20859.8648785681</v>
      </c>
      <c r="H22" s="324">
        <f>(F22-G22)/G22</f>
        <v>6.9939569188832568E-3</v>
      </c>
      <c r="I22" s="173">
        <f t="shared" si="4"/>
        <v>114248.97554066614</v>
      </c>
      <c r="J22" s="173">
        <f t="shared" si="4"/>
        <v>112161.01637959218</v>
      </c>
      <c r="K22" s="325">
        <f>(I22-J22)/J22</f>
        <v>1.8615729675697423E-2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June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3"/>
  <sheetViews>
    <sheetView zoomScaleNormal="100" workbookViewId="0">
      <selection activeCell="B12" sqref="B12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8" t="s">
        <v>217</v>
      </c>
      <c r="D2" s="460" t="s">
        <v>192</v>
      </c>
      <c r="E2" s="461" t="s">
        <v>98</v>
      </c>
      <c r="F2" s="462" t="s">
        <v>218</v>
      </c>
      <c r="G2" s="460" t="s">
        <v>193</v>
      </c>
      <c r="H2" s="459" t="s">
        <v>99</v>
      </c>
      <c r="I2" s="461" t="s">
        <v>140</v>
      </c>
      <c r="J2" s="547" t="s">
        <v>201</v>
      </c>
      <c r="K2" s="548"/>
      <c r="L2" s="458" t="s">
        <v>219</v>
      </c>
      <c r="M2" s="460" t="s">
        <v>194</v>
      </c>
      <c r="N2" s="463" t="s">
        <v>99</v>
      </c>
      <c r="O2" s="464" t="s">
        <v>220</v>
      </c>
      <c r="P2" s="464" t="s">
        <v>195</v>
      </c>
      <c r="Q2" s="497" t="s">
        <v>99</v>
      </c>
      <c r="R2" s="461" t="s">
        <v>224</v>
      </c>
    </row>
    <row r="3" spans="1:19" s="224" customFormat="1" ht="13.5" customHeight="1" thickBot="1" x14ac:dyDescent="0.25">
      <c r="A3" s="549">
        <v>43252</v>
      </c>
      <c r="B3" s="550"/>
      <c r="C3" s="551" t="s">
        <v>9</v>
      </c>
      <c r="D3" s="552"/>
      <c r="E3" s="552"/>
      <c r="F3" s="552"/>
      <c r="G3" s="552"/>
      <c r="H3" s="553"/>
      <c r="I3" s="465"/>
      <c r="J3" s="549">
        <f>+A3</f>
        <v>43252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6"/>
      <c r="G4" s="412"/>
      <c r="H4" s="483"/>
      <c r="I4" s="346"/>
      <c r="J4" s="347"/>
      <c r="K4" s="343"/>
      <c r="L4" s="492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+[3]DHL!$FS$19</f>
        <v>40</v>
      </c>
      <c r="D5" s="352">
        <f>+[3]DHL!$FE$19</f>
        <v>46</v>
      </c>
      <c r="E5" s="353">
        <f>(C5-D5)/D5</f>
        <v>-0.13043478260869565</v>
      </c>
      <c r="F5" s="350">
        <f>+SUM([3]DHL!$FN$19:$FS$19)</f>
        <v>236</v>
      </c>
      <c r="G5" s="352">
        <f>+SUM([3]DHL!$EZ$19:$FE$19)</f>
        <v>258</v>
      </c>
      <c r="H5" s="351">
        <f>(F5-G5)/G5</f>
        <v>-8.5271317829457363E-2</v>
      </c>
      <c r="I5" s="353">
        <f>+F5/$F$26</f>
        <v>3.2030401737242128E-2</v>
      </c>
      <c r="J5" s="349" t="s">
        <v>203</v>
      </c>
      <c r="K5" s="55"/>
      <c r="L5" s="350">
        <f>+[3]DHL!$FS$64</f>
        <v>1295568</v>
      </c>
      <c r="M5" s="352">
        <f>+[3]DHL!$FE$64</f>
        <v>1385778</v>
      </c>
      <c r="N5" s="353">
        <f>(L5-M5)/M5</f>
        <v>-6.5097006879889854E-2</v>
      </c>
      <c r="O5" s="350">
        <f>+SUM([3]DHL!$FN$64:$FS$64)</f>
        <v>7215104</v>
      </c>
      <c r="P5" s="352">
        <f>+SUM([3]DHL!$EZ$64:$FE$64)</f>
        <v>7481186</v>
      </c>
      <c r="Q5" s="351">
        <f>(O5-P5)/P5</f>
        <v>-3.5566820554922711E-2</v>
      </c>
      <c r="R5" s="353">
        <f>O5/$O$26</f>
        <v>4.0669624881244572E-2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+[3]FedEx!$FS$19</f>
        <v>214</v>
      </c>
      <c r="D7" s="352">
        <f>+[3]FedEx!$FE$19</f>
        <v>176</v>
      </c>
      <c r="E7" s="353">
        <f>(C7-D7)/D7</f>
        <v>0.21590909090909091</v>
      </c>
      <c r="F7" s="350">
        <f>+SUM([3]FedEx!$FN$19:$FS$19)</f>
        <v>1418</v>
      </c>
      <c r="G7" s="352">
        <f>+SUM([3]FedEx!$EZ$19:$FE$19)</f>
        <v>1067</v>
      </c>
      <c r="H7" s="351">
        <f t="shared" ref="H7" si="0">(F7-G7)/G7</f>
        <v>0.32895970009372072</v>
      </c>
      <c r="I7" s="353">
        <f>+F7/$F$26</f>
        <v>0.19245385450597177</v>
      </c>
      <c r="J7" s="349" t="s">
        <v>204</v>
      </c>
      <c r="K7" s="55"/>
      <c r="L7" s="350">
        <f>+[3]FedEx!$FS$64</f>
        <v>16814880</v>
      </c>
      <c r="M7" s="352">
        <f>+[3]FedEx!$FE$64</f>
        <v>17238355</v>
      </c>
      <c r="N7" s="353">
        <f>(L7-M7)/M7</f>
        <v>-2.4565859097344264E-2</v>
      </c>
      <c r="O7" s="350">
        <f>+SUM([3]FedEx!$FN$64:$FS$64)</f>
        <v>101259026</v>
      </c>
      <c r="P7" s="352">
        <f>+SUM([3]FedEx!$EZ$64:$FE$64)</f>
        <v>100262051</v>
      </c>
      <c r="Q7" s="351">
        <f t="shared" ref="Q7" si="1">(O7-P7)/P7</f>
        <v>9.9436924544860951E-3</v>
      </c>
      <c r="R7" s="353">
        <f>O7/$O$26</f>
        <v>0.57077023467162658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+[3]UPS!$FS$19</f>
        <v>250</v>
      </c>
      <c r="D9" s="352">
        <f>+[3]UPS!$FE$19</f>
        <v>232</v>
      </c>
      <c r="E9" s="353">
        <f>(C9-D9)/D9</f>
        <v>7.7586206896551727E-2</v>
      </c>
      <c r="F9" s="350">
        <f>+SUM([3]UPS!$FN$19:$FS$19)</f>
        <v>1414</v>
      </c>
      <c r="G9" s="352">
        <f>+SUM([3]UPS!$EZ$19:$FE$19)</f>
        <v>1320</v>
      </c>
      <c r="H9" s="351">
        <f>(F9-G9)/G9</f>
        <v>7.1212121212121213E-2</v>
      </c>
      <c r="I9" s="353">
        <f>+F9/$F$26</f>
        <v>0.19191096634093377</v>
      </c>
      <c r="J9" s="349" t="s">
        <v>83</v>
      </c>
      <c r="K9" s="55"/>
      <c r="L9" s="350">
        <f>+[3]UPS!$FS$64</f>
        <v>11730840</v>
      </c>
      <c r="M9" s="352">
        <f>+[3]UPS!$FE$64</f>
        <v>12268191</v>
      </c>
      <c r="N9" s="353">
        <f>(L9-M9)/M9</f>
        <v>-4.3800345136458994E-2</v>
      </c>
      <c r="O9" s="350">
        <f>+SUM([3]UPS!$FN$64:$FS$64)</f>
        <v>65739340</v>
      </c>
      <c r="P9" s="352">
        <f>+SUM([3]UPS!$EZ$64:$FE$64)</f>
        <v>62914716</v>
      </c>
      <c r="Q9" s="351">
        <f>(O9-P9)/P9</f>
        <v>4.4896078049529782E-2</v>
      </c>
      <c r="R9" s="353">
        <f>O9/$O$26</f>
        <v>0.37055519889118671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231</v>
      </c>
      <c r="B11" s="362"/>
      <c r="C11" s="350">
        <f>+'[3]Atlas Air'!$FS$19</f>
        <v>56</v>
      </c>
      <c r="D11" s="352">
        <f>+'[3]Atlas Air'!$FE$19</f>
        <v>0</v>
      </c>
      <c r="E11" s="353" t="e">
        <f>(C11-D11)/D11</f>
        <v>#DIV/0!</v>
      </c>
      <c r="F11" s="350">
        <f>+SUM('[3]Atlas Air'!$FN$19:$FS$19)</f>
        <v>56</v>
      </c>
      <c r="G11" s="352">
        <f>+SUM('[3]Atlas Air'!$EZ$19:$FE$19)</f>
        <v>0</v>
      </c>
      <c r="H11" s="351" t="e">
        <f>(F11-G11)/G11</f>
        <v>#DIV/0!</v>
      </c>
      <c r="I11" s="353">
        <f>+F11/$F$26</f>
        <v>7.6004343105320303E-3</v>
      </c>
      <c r="J11" s="349" t="s">
        <v>231</v>
      </c>
      <c r="K11" s="55"/>
      <c r="L11" s="350">
        <f>+'[3]Atlas Air'!$FS$64</f>
        <v>1828609</v>
      </c>
      <c r="M11" s="352">
        <f>+'[3]Atlas Air'!$FE$64</f>
        <v>0</v>
      </c>
      <c r="N11" s="353" t="e">
        <f>(L11-M11)/M11</f>
        <v>#DIV/0!</v>
      </c>
      <c r="O11" s="350">
        <f>+SUM('[3]Atlas Air'!$FN$64:$FS$64)</f>
        <v>1828609</v>
      </c>
      <c r="P11" s="352">
        <f>+SUM('[3]Atlas Air'!$EZ$64:$FE$64)</f>
        <v>0</v>
      </c>
      <c r="Q11" s="351" t="e">
        <f>(O11-P11)/P11</f>
        <v>#DIV/0!</v>
      </c>
      <c r="R11" s="353">
        <f>O11/$O$26</f>
        <v>1.0307383245545422E-2</v>
      </c>
      <c r="S11" s="20"/>
    </row>
    <row r="12" spans="1:19" ht="14.1" customHeight="1" x14ac:dyDescent="0.2">
      <c r="A12" s="349"/>
      <c r="B12" s="362"/>
      <c r="C12" s="350"/>
      <c r="D12" s="352"/>
      <c r="E12" s="353"/>
      <c r="F12" s="350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187</v>
      </c>
      <c r="B13" s="362"/>
      <c r="C13" s="350">
        <f>+[3]IFL!$FS$19</f>
        <v>40</v>
      </c>
      <c r="D13" s="352">
        <f>+[3]IFL!$FE$19</f>
        <v>46</v>
      </c>
      <c r="E13" s="353">
        <f>(C13-D13)/D13</f>
        <v>-0.13043478260869565</v>
      </c>
      <c r="F13" s="350">
        <f>+SUM([3]IFL!$FN$19:$FS$19)</f>
        <v>262</v>
      </c>
      <c r="G13" s="352">
        <f>+SUM([3]IFL!$EZ$19:$FE$19)</f>
        <v>370</v>
      </c>
      <c r="H13" s="351">
        <f>(F13-G13)/G13</f>
        <v>-0.29189189189189191</v>
      </c>
      <c r="I13" s="353">
        <f>+F13/$F$26</f>
        <v>3.5559174809989144E-2</v>
      </c>
      <c r="J13" s="349" t="s">
        <v>187</v>
      </c>
      <c r="K13" s="55"/>
      <c r="L13" s="350">
        <f>+[3]IFL!$FS$64</f>
        <v>22207</v>
      </c>
      <c r="M13" s="352">
        <f>+[3]IFL!$FE$64</f>
        <v>47505</v>
      </c>
      <c r="N13" s="353">
        <f>(L13-M13)/M13</f>
        <v>-0.53253341753499628</v>
      </c>
      <c r="O13" s="350">
        <f>+SUM([3]IFL!$FN$64:$FS$64)</f>
        <v>124205</v>
      </c>
      <c r="P13" s="352">
        <f>+SUM([3]IFL!$EZ$64:$FE$64)</f>
        <v>465906</v>
      </c>
      <c r="Q13" s="351">
        <f>(O13-P13)/P13</f>
        <v>-0.73341188995205042</v>
      </c>
      <c r="R13" s="353">
        <f>O13/$O$26</f>
        <v>7.0011059554719965E-4</v>
      </c>
      <c r="S13" s="20"/>
    </row>
    <row r="14" spans="1:19" ht="14.1" customHeight="1" x14ac:dyDescent="0.2">
      <c r="A14" s="349"/>
      <c r="B14" s="362"/>
      <c r="C14" s="350"/>
      <c r="D14" s="355"/>
      <c r="E14" s="353"/>
      <c r="F14" s="467"/>
      <c r="G14" s="355"/>
      <c r="H14" s="351"/>
      <c r="I14" s="353"/>
      <c r="J14" s="349"/>
      <c r="K14" s="55"/>
      <c r="L14" s="356"/>
      <c r="M14" s="146"/>
      <c r="N14" s="86"/>
      <c r="O14" s="356"/>
      <c r="P14" s="146"/>
      <c r="Q14" s="39"/>
      <c r="R14" s="86"/>
      <c r="S14" s="20"/>
    </row>
    <row r="15" spans="1:19" ht="14.1" customHeight="1" x14ac:dyDescent="0.2">
      <c r="A15" s="349" t="s">
        <v>167</v>
      </c>
      <c r="B15" s="361"/>
      <c r="C15" s="350">
        <f>+'[3]Suburban Air Freight'!$FS$19</f>
        <v>0</v>
      </c>
      <c r="D15" s="352">
        <f>+'[3]Suburban Air Freight'!$FE$19</f>
        <v>46</v>
      </c>
      <c r="E15" s="353">
        <f>(C15-D15)/D15</f>
        <v>-1</v>
      </c>
      <c r="F15" s="350">
        <f>+SUM('[3]Suburban Air Freight'!$FN$19:$FS$19)</f>
        <v>0</v>
      </c>
      <c r="G15" s="352">
        <f>+SUM('[3]Suburban Air Freight'!$EZ$19:$FE$19)</f>
        <v>266</v>
      </c>
      <c r="H15" s="351">
        <f t="shared" ref="H15" si="2">(F15-G15)/G15</f>
        <v>-1</v>
      </c>
      <c r="I15" s="353">
        <f>+F15/$F$26</f>
        <v>0</v>
      </c>
      <c r="J15" s="349" t="s">
        <v>167</v>
      </c>
      <c r="K15" s="357"/>
      <c r="L15" s="350">
        <f>+'[3]Suburban Air Freight'!$FS$64</f>
        <v>0</v>
      </c>
      <c r="M15" s="352">
        <f>+'[3]Suburban Air Freight'!$FE$64</f>
        <v>99317</v>
      </c>
      <c r="N15" s="353">
        <f>(L15-M15)/M15</f>
        <v>-1</v>
      </c>
      <c r="O15" s="350">
        <f>+SUM('[3]Suburban Air Freight'!$FN$64:$FS$64)</f>
        <v>0</v>
      </c>
      <c r="P15" s="352">
        <f>+SUM('[3]Suburban Air Freight'!$EZ$64:$FE$64)</f>
        <v>594219</v>
      </c>
      <c r="Q15" s="351">
        <f t="shared" ref="Q15" si="3">(O15-P15)/P15</f>
        <v>-1</v>
      </c>
      <c r="R15" s="353">
        <f>O15/$O$26</f>
        <v>0</v>
      </c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85</v>
      </c>
      <c r="B17" s="359"/>
      <c r="C17" s="350">
        <f>+[3]Bemidji!$FS$19</f>
        <v>540</v>
      </c>
      <c r="D17" s="352">
        <f>+[3]Bemidji!$FE$19</f>
        <v>546</v>
      </c>
      <c r="E17" s="353">
        <f>(C17-D17)/D17</f>
        <v>-1.098901098901099E-2</v>
      </c>
      <c r="F17" s="350">
        <f>+SUM([3]Bemidji!$FN$19:$FS$19)</f>
        <v>3338</v>
      </c>
      <c r="G17" s="352">
        <f>+SUM([3]Bemidji!$EZ$19:$FE$19)</f>
        <v>3214</v>
      </c>
      <c r="H17" s="351">
        <f t="shared" ref="H17" si="4">(F17-G17)/G17</f>
        <v>3.8581207218419414E-2</v>
      </c>
      <c r="I17" s="353">
        <f>+F17/$F$26</f>
        <v>0.45304017372421279</v>
      </c>
      <c r="J17" s="349" t="s">
        <v>85</v>
      </c>
      <c r="K17" s="359"/>
      <c r="L17" s="544" t="s">
        <v>207</v>
      </c>
      <c r="M17" s="545"/>
      <c r="N17" s="545"/>
      <c r="O17" s="545"/>
      <c r="P17" s="545"/>
      <c r="Q17" s="545"/>
      <c r="R17" s="546"/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86</v>
      </c>
      <c r="B19" s="359"/>
      <c r="C19" s="350">
        <f>+'[3]CSA Air'!$FS$19</f>
        <v>0</v>
      </c>
      <c r="D19" s="352">
        <f>+'[3]CSA Air'!$FE$19</f>
        <v>4</v>
      </c>
      <c r="E19" s="353">
        <f>(C19-D19)/D19</f>
        <v>-1</v>
      </c>
      <c r="F19" s="350">
        <f>+SUM('[3]CSA Air'!$FN$19:$FS$19)</f>
        <v>6</v>
      </c>
      <c r="G19" s="352">
        <f>+SUM('[3]CSA Air'!$EZ$19:$FE$19)</f>
        <v>222</v>
      </c>
      <c r="H19" s="351">
        <f t="shared" ref="H19" si="5">(F19-G19)/G19</f>
        <v>-0.97297297297297303</v>
      </c>
      <c r="I19" s="353">
        <f>+F19/$F$26</f>
        <v>8.1433224755700329E-4</v>
      </c>
      <c r="J19" s="349" t="s">
        <v>86</v>
      </c>
      <c r="K19" s="359"/>
      <c r="L19" s="350">
        <f>+'[3]CSA Air'!$FS$64</f>
        <v>0</v>
      </c>
      <c r="M19" s="352">
        <f>+'[3]CSA Air'!$FE$64</f>
        <v>5839</v>
      </c>
      <c r="N19" s="353">
        <f>(L19-M19)/M19</f>
        <v>-1</v>
      </c>
      <c r="O19" s="350">
        <f>+SUM('[3]CSA Air'!$FN$64:$FS$64)</f>
        <v>3414</v>
      </c>
      <c r="P19" s="352">
        <f>+SUM('[3]CSA Air'!$EZ$64:$FE$64)</f>
        <v>316444</v>
      </c>
      <c r="Q19" s="351">
        <f t="shared" ref="Q19" si="6">(O19-P19)/P19</f>
        <v>-0.98921136125191189</v>
      </c>
      <c r="R19" s="353">
        <f>O19/$O$26</f>
        <v>1.9243811224975963E-5</v>
      </c>
      <c r="S19" s="20"/>
    </row>
    <row r="20" spans="1:19" ht="14.1" customHeight="1" x14ac:dyDescent="0.2">
      <c r="A20" s="53"/>
      <c r="B20" s="359"/>
      <c r="C20" s="350"/>
      <c r="D20" s="9"/>
      <c r="E20" s="86"/>
      <c r="F20" s="354"/>
      <c r="G20" s="9"/>
      <c r="H20" s="39"/>
      <c r="I20" s="86"/>
      <c r="J20" s="53"/>
      <c r="K20" s="359"/>
      <c r="L20" s="354"/>
      <c r="M20" s="9"/>
      <c r="N20" s="86"/>
      <c r="O20" s="354"/>
      <c r="P20" s="9"/>
      <c r="Q20" s="39"/>
      <c r="R20" s="86"/>
      <c r="S20" s="20"/>
    </row>
    <row r="21" spans="1:19" ht="14.1" customHeight="1" x14ac:dyDescent="0.2">
      <c r="A21" s="349" t="s">
        <v>87</v>
      </c>
      <c r="B21" s="361"/>
      <c r="C21" s="350">
        <f>+'[3]Mountain Cargo'!$FS$19</f>
        <v>44</v>
      </c>
      <c r="D21" s="352">
        <f>+'[3]Mountain Cargo'!$FE$19</f>
        <v>44</v>
      </c>
      <c r="E21" s="353">
        <f>(C21-D21)/D21</f>
        <v>0</v>
      </c>
      <c r="F21" s="350">
        <f>+SUM('[3]Mountain Cargo'!$FN$19:$FS$19)</f>
        <v>240</v>
      </c>
      <c r="G21" s="352">
        <f>+SUM('[3]Mountain Cargo'!$EZ$19:$FE$19)</f>
        <v>248</v>
      </c>
      <c r="H21" s="351">
        <f>(F21-G21)/G21</f>
        <v>-3.2258064516129031E-2</v>
      </c>
      <c r="I21" s="353">
        <f>+F21/$F$26</f>
        <v>3.2573289902280131E-2</v>
      </c>
      <c r="J21" s="349" t="s">
        <v>87</v>
      </c>
      <c r="K21" s="361"/>
      <c r="L21" s="350">
        <f>+'[3]Mountain Cargo'!$FS$64</f>
        <v>140430</v>
      </c>
      <c r="M21" s="352">
        <f>+'[3]Mountain Cargo'!$FE$64</f>
        <v>212710</v>
      </c>
      <c r="N21" s="353">
        <f>(L21-M21)/M21</f>
        <v>-0.33980536881199758</v>
      </c>
      <c r="O21" s="350">
        <f>+SUM('[3]Mountain Cargo'!$FN$64:$FS$64)</f>
        <v>648207</v>
      </c>
      <c r="P21" s="352">
        <f>+SUM('[3]Mountain Cargo'!$EZ$64:$FE$64)</f>
        <v>1072969</v>
      </c>
      <c r="Q21" s="351">
        <f t="shared" ref="Q21" si="7">(O21-P21)/P21</f>
        <v>-0.39587537011786922</v>
      </c>
      <c r="R21" s="353">
        <f>O21/$O$26</f>
        <v>3.6537706920644389E-3</v>
      </c>
      <c r="S21" s="414"/>
    </row>
    <row r="22" spans="1:19" ht="14.1" customHeight="1" x14ac:dyDescent="0.2">
      <c r="A22" s="53"/>
      <c r="B22" s="426"/>
      <c r="C22" s="350"/>
      <c r="D22" s="9"/>
      <c r="E22" s="86"/>
      <c r="F22" s="354"/>
      <c r="G22" s="9"/>
      <c r="H22" s="39"/>
      <c r="I22" s="86"/>
      <c r="J22" s="53"/>
      <c r="K22" s="426"/>
      <c r="L22" s="354"/>
      <c r="M22" s="9"/>
      <c r="N22" s="86"/>
      <c r="O22" s="354"/>
      <c r="P22" s="9"/>
      <c r="Q22" s="39"/>
      <c r="R22" s="86"/>
      <c r="S22" s="328"/>
    </row>
    <row r="23" spans="1:19" s="7" customFormat="1" ht="14.1" customHeight="1" x14ac:dyDescent="0.2">
      <c r="A23" s="349" t="s">
        <v>130</v>
      </c>
      <c r="B23" s="362"/>
      <c r="C23" s="350">
        <f>+'[3]Misc Cargo'!$FS$19</f>
        <v>83</v>
      </c>
      <c r="D23" s="352">
        <f>+'[3]Misc Cargo'!$FE$19</f>
        <v>44</v>
      </c>
      <c r="E23" s="353">
        <f>(C23-D23)/D23</f>
        <v>0.88636363636363635</v>
      </c>
      <c r="F23" s="350">
        <f>+SUM('[3]Misc Cargo'!$FN$19:$FS$19)</f>
        <v>398</v>
      </c>
      <c r="G23" s="352">
        <f>+SUM('[3]Misc Cargo'!$EZ$19:$FE$19)</f>
        <v>259</v>
      </c>
      <c r="H23" s="351">
        <f>(F23-G23)/G23</f>
        <v>0.53667953667953672</v>
      </c>
      <c r="I23" s="353">
        <f>+F23/$F$26</f>
        <v>5.4017372421281219E-2</v>
      </c>
      <c r="J23" s="349" t="s">
        <v>130</v>
      </c>
      <c r="K23" s="362"/>
      <c r="L23" s="350">
        <f>+'[3]Misc Cargo'!$FS$64</f>
        <v>120033</v>
      </c>
      <c r="M23" s="352">
        <f>+'[3]Misc Cargo'!$FE$64</f>
        <v>92834</v>
      </c>
      <c r="N23" s="353">
        <f>(L23-M23)/M23</f>
        <v>0.29298532865114074</v>
      </c>
      <c r="O23" s="350">
        <f>+SUM('[3]Misc Cargo'!$FN$64:$FS$64)</f>
        <v>589780</v>
      </c>
      <c r="P23" s="352">
        <f>+SUM('[3]Misc Cargo'!$EZ$64:$FE$64)</f>
        <v>526165</v>
      </c>
      <c r="Q23" s="351">
        <f>(O23-P23)/P23</f>
        <v>0.12090313874925165</v>
      </c>
      <c r="R23" s="353">
        <f>O23/$O$26</f>
        <v>3.3244332115601417E-3</v>
      </c>
      <c r="S23" s="468"/>
    </row>
    <row r="24" spans="1:19" s="7" customFormat="1" ht="14.1" customHeight="1" thickBot="1" x14ac:dyDescent="0.25">
      <c r="A24" s="469"/>
      <c r="B24" s="470"/>
      <c r="C24" s="471"/>
      <c r="D24" s="473"/>
      <c r="E24" s="474"/>
      <c r="F24" s="471"/>
      <c r="G24" s="473"/>
      <c r="H24" s="472"/>
      <c r="I24" s="474"/>
      <c r="J24" s="349"/>
      <c r="K24" s="362"/>
      <c r="L24" s="364"/>
      <c r="M24" s="368"/>
      <c r="N24" s="367"/>
      <c r="O24" s="364"/>
      <c r="P24" s="368"/>
      <c r="Q24" s="365"/>
      <c r="R24" s="470"/>
      <c r="S24" s="468"/>
    </row>
    <row r="25" spans="1:19" ht="13.5" thickBot="1" x14ac:dyDescent="0.25">
      <c r="B25" s="7"/>
      <c r="D25" s="227"/>
      <c r="E25" s="227"/>
      <c r="F25" s="4"/>
      <c r="G25" s="7"/>
      <c r="H25"/>
      <c r="I25"/>
      <c r="J25"/>
      <c r="K25"/>
      <c r="M25"/>
      <c r="N25"/>
    </row>
    <row r="26" spans="1:19" s="475" customFormat="1" ht="15.75" thickBot="1" x14ac:dyDescent="0.3">
      <c r="B26" s="476" t="s">
        <v>205</v>
      </c>
      <c r="C26" s="477">
        <f>+SUM(C5:C23)</f>
        <v>1267</v>
      </c>
      <c r="D26" s="478">
        <f>SUM(D5:D24)</f>
        <v>1184</v>
      </c>
      <c r="E26" s="479">
        <f>(C26-D26)/D26</f>
        <v>7.0101351351351357E-2</v>
      </c>
      <c r="F26" s="477">
        <f>+SUM(F5:F23)</f>
        <v>7368</v>
      </c>
      <c r="G26" s="477">
        <f>+SUM(G5:G23)</f>
        <v>7224</v>
      </c>
      <c r="H26" s="480">
        <f>(F26-G26)/G26</f>
        <v>1.9933554817275746E-2</v>
      </c>
      <c r="I26" s="496"/>
      <c r="K26" s="476" t="s">
        <v>205</v>
      </c>
      <c r="L26" s="477">
        <f>+SUM(L5:L23)</f>
        <v>31952567</v>
      </c>
      <c r="M26" s="481">
        <f>SUM(M5:M24)</f>
        <v>31350529</v>
      </c>
      <c r="N26" s="482">
        <f>(L26-M26)/M26</f>
        <v>1.9203439916436499E-2</v>
      </c>
      <c r="O26" s="477">
        <f>+SUM(O5:O23)</f>
        <v>177407685</v>
      </c>
      <c r="P26" s="477">
        <f>+SUM(P5:P23)</f>
        <v>173633656</v>
      </c>
      <c r="Q26" s="480">
        <f t="shared" ref="Q26" si="8">(O26-P26)/P26</f>
        <v>2.1735584488297592E-2</v>
      </c>
      <c r="R26" s="49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</sheetData>
  <mergeCells count="7">
    <mergeCell ref="L3:R3"/>
    <mergeCell ref="L17:R1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June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2018-05-22T18:32:18Z</cp:lastPrinted>
  <dcterms:created xsi:type="dcterms:W3CDTF">2007-09-24T12:26:24Z</dcterms:created>
  <dcterms:modified xsi:type="dcterms:W3CDTF">2019-05-19T07:38:06Z</dcterms:modified>
</cp:coreProperties>
</file>