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E10" i="7" l="1"/>
  <c r="G39" i="2" l="1"/>
  <c r="G38" i="2"/>
  <c r="G40" i="2" s="1"/>
  <c r="G34" i="2"/>
  <c r="G33" i="2"/>
  <c r="G29" i="2"/>
  <c r="G28" i="2"/>
  <c r="G30" i="2" s="1"/>
  <c r="G20" i="2"/>
  <c r="G19" i="2"/>
  <c r="G16" i="2"/>
  <c r="G15" i="2"/>
  <c r="G17" i="2" s="1"/>
  <c r="G10" i="2"/>
  <c r="G9" i="2"/>
  <c r="G11" i="2" s="1"/>
  <c r="G5" i="2"/>
  <c r="G4" i="2"/>
  <c r="G6" i="2" s="1"/>
  <c r="F10" i="2"/>
  <c r="F9" i="2"/>
  <c r="F5" i="2"/>
  <c r="F4" i="2"/>
  <c r="F16" i="2"/>
  <c r="F15" i="2"/>
  <c r="C48" i="9"/>
  <c r="D48" i="9"/>
  <c r="F48" i="9"/>
  <c r="G48" i="9"/>
  <c r="L48" i="9"/>
  <c r="M48" i="9"/>
  <c r="O48" i="9"/>
  <c r="P48" i="9"/>
  <c r="G44" i="2" l="1"/>
  <c r="G35" i="2"/>
  <c r="N48" i="9"/>
  <c r="E48" i="9"/>
  <c r="G21" i="2"/>
  <c r="G23" i="2" s="1"/>
  <c r="Q48" i="9"/>
  <c r="G43" i="2"/>
  <c r="H48" i="9"/>
  <c r="P44" i="9" l="1"/>
  <c r="O44" i="9"/>
  <c r="M44" i="9"/>
  <c r="L44" i="9"/>
  <c r="G44" i="9"/>
  <c r="F44" i="9"/>
  <c r="D44" i="9"/>
  <c r="C44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6" i="9"/>
  <c r="M46" i="9"/>
  <c r="G46" i="9"/>
  <c r="D46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O50" i="9"/>
  <c r="L50" i="9"/>
  <c r="F50" i="9"/>
  <c r="C50" i="9"/>
  <c r="O46" i="9"/>
  <c r="L46" i="9"/>
  <c r="F46" i="9"/>
  <c r="C46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5" i="7"/>
  <c r="J25" i="7"/>
  <c r="E25" i="7"/>
  <c r="F11" i="7"/>
  <c r="E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E51" i="2"/>
  <c r="C51" i="2"/>
  <c r="E50" i="2"/>
  <c r="C50" i="2"/>
  <c r="C48" i="2"/>
  <c r="C47" i="2"/>
  <c r="I39" i="2"/>
  <c r="F39" i="2"/>
  <c r="E39" i="2"/>
  <c r="D39" i="2"/>
  <c r="C39" i="2"/>
  <c r="B39" i="2"/>
  <c r="I38" i="2"/>
  <c r="F38" i="2"/>
  <c r="E38" i="2"/>
  <c r="D38" i="2"/>
  <c r="C38" i="2"/>
  <c r="B38" i="2"/>
  <c r="I34" i="2"/>
  <c r="F34" i="2"/>
  <c r="E34" i="2"/>
  <c r="D34" i="2"/>
  <c r="C34" i="2"/>
  <c r="B34" i="2"/>
  <c r="I33" i="2"/>
  <c r="F33" i="2"/>
  <c r="E33" i="2"/>
  <c r="D33" i="2"/>
  <c r="C33" i="2"/>
  <c r="B33" i="2"/>
  <c r="I29" i="2"/>
  <c r="F29" i="2"/>
  <c r="E29" i="2"/>
  <c r="D29" i="2"/>
  <c r="C29" i="2"/>
  <c r="B29" i="2"/>
  <c r="I28" i="2"/>
  <c r="F28" i="2"/>
  <c r="E28" i="2"/>
  <c r="D28" i="2"/>
  <c r="C28" i="2"/>
  <c r="B28" i="2"/>
  <c r="I20" i="2"/>
  <c r="F20" i="2"/>
  <c r="E20" i="2"/>
  <c r="D20" i="2"/>
  <c r="C20" i="2"/>
  <c r="B20" i="2"/>
  <c r="I19" i="2"/>
  <c r="F19" i="2"/>
  <c r="E19" i="2"/>
  <c r="D19" i="2"/>
  <c r="C19" i="2"/>
  <c r="B19" i="2"/>
  <c r="I16" i="2"/>
  <c r="E16" i="2"/>
  <c r="D16" i="2"/>
  <c r="C16" i="2"/>
  <c r="B16" i="2"/>
  <c r="I15" i="2"/>
  <c r="E15" i="2"/>
  <c r="D15" i="2"/>
  <c r="C15" i="2"/>
  <c r="B15" i="2"/>
  <c r="I10" i="2"/>
  <c r="E10" i="2"/>
  <c r="D10" i="2"/>
  <c r="C10" i="2"/>
  <c r="B10" i="2"/>
  <c r="I9" i="2"/>
  <c r="E9" i="2"/>
  <c r="D9" i="2"/>
  <c r="C9" i="2"/>
  <c r="B9" i="2"/>
  <c r="I5" i="2"/>
  <c r="E5" i="2"/>
  <c r="D5" i="2"/>
  <c r="C5" i="2"/>
  <c r="B5" i="2"/>
  <c r="I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H6" i="2" l="1"/>
  <c r="H17" i="2"/>
  <c r="H30" i="2"/>
  <c r="H40" i="2"/>
  <c r="H11" i="2"/>
  <c r="H44" i="2"/>
  <c r="H21" i="2"/>
  <c r="J16" i="3"/>
  <c r="J17" i="3"/>
  <c r="J20" i="3"/>
  <c r="J21" i="3"/>
  <c r="H35" i="2"/>
  <c r="E44" i="9"/>
  <c r="N44" i="9"/>
  <c r="Q44" i="9"/>
  <c r="H44" i="9"/>
  <c r="H43" i="2"/>
  <c r="H23" i="2" l="1"/>
  <c r="H45" i="2"/>
  <c r="O24" i="7"/>
  <c r="J24" i="7"/>
  <c r="E24" i="7"/>
  <c r="O23" i="7" l="1"/>
  <c r="J23" i="7"/>
  <c r="E23" i="7"/>
  <c r="F65" i="9" l="1"/>
  <c r="C65" i="9"/>
  <c r="L65" i="9"/>
  <c r="O65" i="9"/>
  <c r="D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21" i="4" s="1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D21" i="15" l="1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G32" i="8" l="1"/>
  <c r="G18" i="8"/>
  <c r="G6" i="8"/>
  <c r="G31" i="8"/>
  <c r="G10" i="8"/>
  <c r="G12" i="8" l="1"/>
  <c r="G23" i="8"/>
  <c r="G28" i="8"/>
  <c r="G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K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J6" i="8"/>
  <c r="J12" i="8" s="1"/>
  <c r="D20" i="1"/>
  <c r="L32" i="8"/>
  <c r="L41" i="15"/>
  <c r="G41" i="15"/>
  <c r="B41" i="15"/>
  <c r="D41" i="4"/>
  <c r="C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J28" i="2" s="1"/>
  <c r="K28" i="2" s="1"/>
  <c r="B5" i="5" s="1"/>
  <c r="J23" i="8"/>
  <c r="H33" i="8"/>
  <c r="C30" i="16"/>
  <c r="H30" i="16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M8" i="8"/>
  <c r="G43" i="3"/>
  <c r="B27" i="4"/>
  <c r="L19" i="4"/>
  <c r="M19" i="4" s="1"/>
  <c r="D31" i="8"/>
  <c r="D7" i="4"/>
  <c r="J39" i="3"/>
  <c r="J39" i="2" s="1"/>
  <c r="K39" i="2" s="1"/>
  <c r="B16" i="5" s="1"/>
  <c r="B32" i="4"/>
  <c r="E35" i="2"/>
  <c r="B35" i="2"/>
  <c r="F23" i="8"/>
  <c r="D43" i="2"/>
  <c r="F23" i="16"/>
  <c r="N11" i="16"/>
  <c r="L20" i="15"/>
  <c r="L21" i="15" s="1"/>
  <c r="C40" i="4"/>
  <c r="C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D6" i="8"/>
  <c r="D12" i="8" s="1"/>
  <c r="M5" i="8"/>
  <c r="C19" i="1" s="1"/>
  <c r="M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J38" i="2" s="1"/>
  <c r="F40" i="3"/>
  <c r="F28" i="8"/>
  <c r="F32" i="8"/>
  <c r="M16" i="8"/>
  <c r="D5" i="5" s="1"/>
  <c r="H37" i="15"/>
  <c r="L18" i="4"/>
  <c r="M18" i="4" s="1"/>
  <c r="J32" i="8"/>
  <c r="P10" i="16"/>
  <c r="B11" i="16"/>
  <c r="K51" i="2"/>
  <c r="J20" i="2"/>
  <c r="K20" i="2" s="1"/>
  <c r="G22" i="3"/>
  <c r="H41" i="4"/>
  <c r="M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M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B43" i="3"/>
  <c r="C11" i="16"/>
  <c r="P9" i="16"/>
  <c r="B25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C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J22" i="3" l="1"/>
  <c r="J18" i="3"/>
  <c r="C25" i="7"/>
  <c r="D25" i="7" s="1"/>
  <c r="F25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M10" i="8"/>
  <c r="H45" i="3"/>
  <c r="J33" i="8"/>
  <c r="F21" i="15"/>
  <c r="G45" i="3"/>
  <c r="D45" i="2"/>
  <c r="C45" i="3"/>
  <c r="L12" i="8"/>
  <c r="G23" i="3"/>
  <c r="B33" i="8"/>
  <c r="H42" i="15"/>
  <c r="I21" i="15"/>
  <c r="F42" i="15"/>
  <c r="B42" i="4"/>
  <c r="D7" i="1"/>
  <c r="J17" i="2"/>
  <c r="K17" i="2" s="1"/>
  <c r="J12" i="3"/>
  <c r="J44" i="3"/>
  <c r="E45" i="2"/>
  <c r="L33" i="8"/>
  <c r="E21" i="4"/>
  <c r="D17" i="5"/>
  <c r="F45" i="3"/>
  <c r="G42" i="15"/>
  <c r="D18" i="1"/>
  <c r="C10" i="1"/>
  <c r="L27" i="4"/>
  <c r="M27" i="4" s="1"/>
  <c r="C21" i="15"/>
  <c r="D42" i="4"/>
  <c r="D33" i="8"/>
  <c r="J11" i="2"/>
  <c r="K11" i="2" s="1"/>
  <c r="K9" i="2"/>
  <c r="F33" i="8"/>
  <c r="J35" i="3"/>
  <c r="J40" i="3"/>
  <c r="J44" i="2"/>
  <c r="K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M32" i="8"/>
  <c r="G7" i="7"/>
  <c r="P30" i="16"/>
  <c r="M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K33" i="8"/>
  <c r="M37" i="15"/>
  <c r="C23" i="3"/>
  <c r="L17" i="4"/>
  <c r="M17" i="4" s="1"/>
  <c r="D10" i="5"/>
  <c r="C12" i="8"/>
  <c r="M6" i="8"/>
  <c r="E42" i="4"/>
  <c r="C42" i="15"/>
  <c r="M40" i="15"/>
  <c r="M41" i="15"/>
  <c r="C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B8" i="1" l="1"/>
  <c r="F18" i="1"/>
  <c r="M21" i="15"/>
  <c r="D6" i="1"/>
  <c r="C8" i="1"/>
  <c r="C33" i="1" s="1"/>
  <c r="M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M42" i="15"/>
  <c r="J23" i="3"/>
  <c r="B17" i="1"/>
  <c r="D17" i="1" s="1"/>
  <c r="K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B32" i="1"/>
  <c r="B11" i="1"/>
  <c r="L25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G25" i="7" l="1"/>
  <c r="M25" i="7"/>
  <c r="H25" i="7" s="1"/>
  <c r="F10" i="1"/>
  <c r="C32" i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5" i="7" l="1"/>
  <c r="K25" i="7" s="1"/>
  <c r="N25" i="7"/>
  <c r="P25" i="7" s="1"/>
  <c r="P21" i="7"/>
  <c r="I21" i="7"/>
  <c r="F22" i="5"/>
  <c r="H22" i="5" s="1"/>
  <c r="H20" i="5"/>
  <c r="K21" i="7" l="1"/>
  <c r="C52" i="9" l="1"/>
  <c r="F52" i="9"/>
  <c r="H52" i="9" l="1"/>
  <c r="F66" i="9"/>
  <c r="I52" i="9" s="1"/>
  <c r="C66" i="9"/>
  <c r="E52" i="9"/>
  <c r="C64" i="9" l="1"/>
  <c r="E64" i="9" s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H64" i="9" l="1"/>
  <c r="I64" i="9"/>
  <c r="B24" i="7" l="1"/>
  <c r="C24" i="7" l="1"/>
  <c r="D24" i="7" s="1"/>
  <c r="F24" i="7" s="1"/>
  <c r="L24" i="7" l="1"/>
  <c r="M24" i="7" l="1"/>
  <c r="H24" i="7" s="1"/>
  <c r="G24" i="7"/>
  <c r="I24" i="7" l="1"/>
  <c r="K24" i="7" s="1"/>
  <c r="N24" i="7"/>
  <c r="P24" i="7" s="1"/>
  <c r="B23" i="7"/>
  <c r="C23" i="7" l="1"/>
  <c r="D23" i="7"/>
  <c r="F23" i="7" s="1"/>
  <c r="L23" i="7" l="1"/>
  <c r="M23" i="7"/>
  <c r="G23" i="7" l="1"/>
  <c r="N23" i="7"/>
  <c r="P23" i="7" s="1"/>
  <c r="H23" i="7"/>
  <c r="I23" i="7" l="1"/>
  <c r="K23" i="7" s="1"/>
  <c r="B22" i="7"/>
  <c r="B33" i="7" l="1"/>
  <c r="C22" i="7"/>
  <c r="C33" i="7" s="1"/>
  <c r="D33" i="1"/>
  <c r="I16" i="5"/>
  <c r="D22" i="7" l="1"/>
  <c r="G5" i="1"/>
  <c r="G21" i="1" l="1"/>
  <c r="I21" i="1" s="1"/>
  <c r="G20" i="1"/>
  <c r="I20" i="1" s="1"/>
  <c r="I5" i="1"/>
  <c r="F22" i="7"/>
  <c r="D33" i="7"/>
  <c r="F33" i="7" s="1"/>
  <c r="G16" i="1"/>
  <c r="M22" i="7"/>
  <c r="M33" i="7" s="1"/>
  <c r="D32" i="1"/>
  <c r="L22" i="7"/>
  <c r="I5" i="5"/>
  <c r="I15" i="5"/>
  <c r="G27" i="1"/>
  <c r="I10" i="5"/>
  <c r="G7" i="1" l="1"/>
  <c r="I7" i="1" s="1"/>
  <c r="I27" i="1"/>
  <c r="G18" i="1"/>
  <c r="I18" i="1" s="1"/>
  <c r="K15" i="5"/>
  <c r="I17" i="5"/>
  <c r="K17" i="5" s="1"/>
  <c r="L33" i="7"/>
  <c r="N22" i="7"/>
  <c r="G17" i="1"/>
  <c r="I17" i="1" s="1"/>
  <c r="I6" i="5"/>
  <c r="K6" i="5" s="1"/>
  <c r="K5" i="5"/>
  <c r="I16" i="1"/>
  <c r="G19" i="1"/>
  <c r="I19" i="1" s="1"/>
  <c r="K10" i="5"/>
  <c r="D34" i="1"/>
  <c r="E33" i="1" s="1"/>
  <c r="E32" i="1"/>
  <c r="G6" i="1"/>
  <c r="H22" i="7"/>
  <c r="H33" i="7" s="1"/>
  <c r="G22" i="7"/>
  <c r="I20" i="5"/>
  <c r="I7" i="5" l="1"/>
  <c r="K7" i="5" s="1"/>
  <c r="I11" i="5"/>
  <c r="I6" i="1"/>
  <c r="G8" i="1"/>
  <c r="G10" i="1"/>
  <c r="I10" i="1" s="1"/>
  <c r="P22" i="7"/>
  <c r="N33" i="7"/>
  <c r="P33" i="7" s="1"/>
  <c r="K20" i="5"/>
  <c r="G33" i="7"/>
  <c r="I22" i="7"/>
  <c r="G22" i="1"/>
  <c r="I22" i="1" s="1"/>
  <c r="G28" i="1"/>
  <c r="I21" i="5" l="1"/>
  <c r="K11" i="5"/>
  <c r="I12" i="5"/>
  <c r="K12" i="5" s="1"/>
  <c r="K22" i="7"/>
  <c r="I33" i="7"/>
  <c r="K33" i="7" s="1"/>
  <c r="I8" i="1"/>
  <c r="G11" i="1"/>
  <c r="I11" i="1" s="1"/>
  <c r="I28" i="1"/>
  <c r="G29" i="1"/>
  <c r="I29" i="1" s="1"/>
  <c r="K21" i="5" l="1"/>
  <c r="I22" i="5"/>
  <c r="K22" i="5" s="1"/>
</calcChain>
</file>

<file path=xl/sharedStrings.xml><?xml version="1.0" encoding="utf-8"?>
<sst xmlns="http://schemas.openxmlformats.org/spreadsheetml/2006/main" count="597" uniqueCount="231">
  <si>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</si>
  <si>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</si>
  <si>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</si>
  <si>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</si>
  <si>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</si>
  <si>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</si>
  <si>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</si>
  <si>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</si>
  <si>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</si>
  <si>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</si>
  <si>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</si>
  <si>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</si>
  <si>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</si>
  <si>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</si>
  <si>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</si>
  <si>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</si>
  <si>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</si>
  <si>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</si>
  <si>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</si>
  <si>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</si>
  <si>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</si>
  <si>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</si>
  <si>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</si>
  <si>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</si>
  <si>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</si>
  <si>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</si>
  <si>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</si>
  <si>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</si>
  <si>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</si>
  <si>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</si>
  <si>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</si>
  <si>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</si>
  <si>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</si>
  <si>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</si>
  <si>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</si>
  <si>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</si>
  <si>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</si>
  <si>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</si>
  <si>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</si>
  <si>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</si>
  <si>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</si>
  <si>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</si>
  <si>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</si>
  <si>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</si>
  <si>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</si>
  <si>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</si>
  <si>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</si>
  <si>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</si>
  <si>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</si>
  <si>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</si>
  <si>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</si>
  <si>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</si>
  <si>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</si>
  <si>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</si>
  <si>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</si>
  <si>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</si>
  <si>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</si>
  <si>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</si>
  <si>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</si>
  <si>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</si>
  <si>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</si>
  <si>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</si>
  <si>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</si>
  <si>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</si>
  <si>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</si>
  <si>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</si>
  <si>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</si>
  <si>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</si>
  <si>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</si>
  <si>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</si>
  <si>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</si>
  <si>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</si>
  <si>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</si>
  <si>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</si>
  <si>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</si>
  <si>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</si>
  <si>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</si>
  <si>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</si>
  <si>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</si>
  <si>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</si>
  <si>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</si>
  <si>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</si>
  <si>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</si>
  <si>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</si>
  <si>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</si>
  <si>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</si>
  <si>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</si>
  <si>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</si>
  <si>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</si>
  <si>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</si>
  <si>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</si>
  <si>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</si>
  <si>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</si>
  <si>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</si>
  <si>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</si>
  <si>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</si>
  <si>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</si>
  <si>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</si>
  <si>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</si>
  <si>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</si>
  <si>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</si>
  <si>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</si>
  <si>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</si>
  <si>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</si>
  <si>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</si>
  <si>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</si>
  <si>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</si>
  <si>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</si>
  <si>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</si>
  <si>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</si>
  <si>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</si>
  <si>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</si>
  <si>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</si>
  <si>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</si>
  <si>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</si>
  <si>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</si>
  <si>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</si>
  <si>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</si>
  <si>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</si>
  <si>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</si>
  <si>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</si>
  <si>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</si>
  <si>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</si>
  <si>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</si>
  <si>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</si>
  <si>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</si>
  <si>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</si>
  <si>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</si>
  <si>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</si>
  <si>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</si>
  <si>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</si>
  <si>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</si>
  <si>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</si>
  <si>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</si>
  <si>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</si>
  <si>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</si>
  <si>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</si>
  <si>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</si>
  <si>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</si>
  <si>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</si>
  <si>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</si>
  <si>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</si>
  <si>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</si>
  <si>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</si>
  <si>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</si>
  <si>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</si>
  <si>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</si>
  <si>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</si>
  <si>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</si>
  <si>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</si>
  <si>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</si>
  <si>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</si>
  <si>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</si>
  <si>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</si>
  <si>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</si>
  <si>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</si>
  <si>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</si>
  <si>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</si>
  <si>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</si>
  <si>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</si>
  <si>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</si>
  <si>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</si>
  <si>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</si>
  <si>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</si>
  <si>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</si>
  <si>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</si>
  <si>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</si>
  <si>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</si>
  <si>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</si>
  <si>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</si>
  <si>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</si>
  <si>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</si>
  <si>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</si>
  <si>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</si>
  <si>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</si>
  <si>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</si>
  <si>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</si>
  <si>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</si>
  <si>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</si>
  <si>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</si>
  <si>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</si>
  <si>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</si>
  <si>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</si>
  <si>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</si>
  <si>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</si>
  <si>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</si>
  <si>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</si>
  <si>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</si>
  <si>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</si>
  <si>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</si>
  <si>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</si>
  <si>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</si>
  <si>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</si>
  <si>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</si>
  <si>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</si>
  <si>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</si>
  <si>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</si>
  <si>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</si>
  <si>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</si>
  <si>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</si>
  <si>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</si>
  <si>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</si>
  <si>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</si>
  <si>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</si>
  <si>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</si>
  <si>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</si>
  <si>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</si>
  <si>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</si>
  <si>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</si>
  <si>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</si>
  <si>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</si>
  <si>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</si>
  <si>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</si>
  <si>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</si>
  <si>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</si>
  <si>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</si>
  <si>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</si>
  <si>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</si>
  <si>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</si>
  <si>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</si>
  <si>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</si>
  <si>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</si>
  <si>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</si>
  <si>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</si>
  <si>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</si>
  <si>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</si>
  <si>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</si>
  <si>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</si>
  <si>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</si>
  <si>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May 2017</t>
  </si>
  <si>
    <t>Jet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</si>
</sst>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2438735</v>
          </cell>
          <cell r="G5">
            <v>11407962</v>
          </cell>
        </row>
        <row r="6">
          <cell r="D6">
            <v>661842</v>
          </cell>
          <cell r="G6">
            <v>3137044</v>
          </cell>
        </row>
        <row r="7">
          <cell r="D7">
            <v>240</v>
          </cell>
          <cell r="G7">
            <v>1275</v>
          </cell>
        </row>
        <row r="10">
          <cell r="D10">
            <v>104861</v>
          </cell>
          <cell r="G10">
            <v>488990</v>
          </cell>
        </row>
        <row r="16">
          <cell r="D16">
            <v>19076</v>
          </cell>
          <cell r="G16">
            <v>89969</v>
          </cell>
        </row>
        <row r="17">
          <cell r="D17">
            <v>13178</v>
          </cell>
          <cell r="G17">
            <v>62994</v>
          </cell>
        </row>
        <row r="18">
          <cell r="D18">
            <v>1</v>
          </cell>
          <cell r="G18">
            <v>13</v>
          </cell>
        </row>
        <row r="19">
          <cell r="D19">
            <v>1272</v>
          </cell>
          <cell r="G19">
            <v>6038</v>
          </cell>
        </row>
        <row r="20">
          <cell r="D20">
            <v>2045</v>
          </cell>
          <cell r="G20">
            <v>8988</v>
          </cell>
        </row>
        <row r="21">
          <cell r="D21">
            <v>40</v>
          </cell>
          <cell r="G21">
            <v>207</v>
          </cell>
        </row>
        <row r="27">
          <cell r="D27">
            <v>17381.64827859075</v>
          </cell>
          <cell r="G27">
            <v>81424.742366774735</v>
          </cell>
        </row>
        <row r="28">
          <cell r="D28">
            <v>2299.6579776308599</v>
          </cell>
          <cell r="G28">
            <v>9876.4091342493502</v>
          </cell>
        </row>
        <row r="32">
          <cell r="B32">
            <v>893040</v>
          </cell>
          <cell r="D32">
            <v>4490287</v>
          </cell>
        </row>
        <row r="33">
          <cell r="B33">
            <v>648206</v>
          </cell>
          <cell r="D33">
            <v>2760715</v>
          </cell>
        </row>
      </sheetData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>
        <row r="5">
          <cell r="F5">
            <v>9878.6961469788894</v>
          </cell>
          <cell r="I5">
            <v>44246.164415295149</v>
          </cell>
        </row>
        <row r="6">
          <cell r="F6">
            <v>924.87030650629993</v>
          </cell>
          <cell r="I6">
            <v>4222.5598647778697</v>
          </cell>
        </row>
        <row r="10">
          <cell r="F10">
            <v>7502.9521316118598</v>
          </cell>
          <cell r="I10">
            <v>37178.577951479579</v>
          </cell>
        </row>
        <row r="11">
          <cell r="F11">
            <v>1374.7876711245599</v>
          </cell>
          <cell r="I11">
            <v>5653.8492694714796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17381.64827859075</v>
          </cell>
        </row>
        <row r="21">
          <cell r="F21">
            <v>2299.6579776308599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8932516</v>
          </cell>
        </row>
        <row r="6">
          <cell r="G6">
            <v>2485038</v>
          </cell>
        </row>
        <row r="7">
          <cell r="G7">
            <v>2332</v>
          </cell>
        </row>
        <row r="10">
          <cell r="G10">
            <v>380426</v>
          </cell>
        </row>
        <row r="16">
          <cell r="G16">
            <v>68899</v>
          </cell>
        </row>
        <row r="17">
          <cell r="G17">
            <v>48718</v>
          </cell>
        </row>
        <row r="18">
          <cell r="G18">
            <v>16</v>
          </cell>
        </row>
        <row r="19">
          <cell r="G19">
            <v>4798</v>
          </cell>
        </row>
        <row r="20">
          <cell r="G20">
            <v>6607</v>
          </cell>
        </row>
        <row r="21">
          <cell r="G21">
            <v>408</v>
          </cell>
        </row>
        <row r="27">
          <cell r="G27">
            <v>65067.906669534234</v>
          </cell>
        </row>
        <row r="28">
          <cell r="G28">
            <v>8212.4626775429697</v>
          </cell>
        </row>
        <row r="32">
          <cell r="D32">
            <v>3741009</v>
          </cell>
        </row>
        <row r="33">
          <cell r="D33">
            <v>1956513</v>
          </cell>
        </row>
      </sheetData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>
        <row r="5">
          <cell r="I5">
            <v>36090.79540936408</v>
          </cell>
        </row>
        <row r="6">
          <cell r="I6">
            <v>3273.8410322340796</v>
          </cell>
        </row>
        <row r="10">
          <cell r="I10">
            <v>28977.111260170146</v>
          </cell>
        </row>
        <row r="11">
          <cell r="I11">
            <v>4938.6216453088909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65067.906669534234</v>
          </cell>
        </row>
        <row r="21">
          <cell r="I21">
            <v>8212.4626775429697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R4">
            <v>100</v>
          </cell>
        </row>
        <row r="5">
          <cell r="FR5">
            <v>100</v>
          </cell>
        </row>
        <row r="8">
          <cell r="FR8"/>
        </row>
        <row r="9">
          <cell r="FR9"/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</row>
        <row r="22">
          <cell r="FR22">
            <v>420</v>
          </cell>
        </row>
        <row r="23">
          <cell r="FR23">
            <v>426</v>
          </cell>
        </row>
        <row r="27">
          <cell r="FR27"/>
        </row>
        <row r="28">
          <cell r="FR28"/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3"/>
      <sheetData sheetId="4">
        <row r="4">
          <cell r="FR4"/>
        </row>
        <row r="5">
          <cell r="FR5"/>
        </row>
        <row r="8">
          <cell r="FR8"/>
        </row>
        <row r="9">
          <cell r="FR9"/>
        </row>
        <row r="15">
          <cell r="FN15"/>
          <cell r="FO15"/>
          <cell r="FP15"/>
          <cell r="FQ15"/>
          <cell r="FR15">
            <v>20</v>
          </cell>
        </row>
        <row r="16">
          <cell r="FN16"/>
          <cell r="FO16"/>
          <cell r="FP16"/>
          <cell r="FQ16"/>
          <cell r="FR16">
            <v>20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32">
          <cell r="FN32"/>
          <cell r="FO32"/>
          <cell r="FP32"/>
          <cell r="FQ32"/>
          <cell r="FR32">
            <v>3781</v>
          </cell>
        </row>
        <row r="33">
          <cell r="FN33"/>
          <cell r="FO33"/>
          <cell r="FP33"/>
          <cell r="FQ33"/>
          <cell r="FR33">
            <v>3802</v>
          </cell>
        </row>
        <row r="37">
          <cell r="FN37"/>
          <cell r="FO37"/>
          <cell r="FP37"/>
          <cell r="FQ37"/>
          <cell r="FR37">
            <v>16</v>
          </cell>
        </row>
        <row r="38">
          <cell r="FN38"/>
          <cell r="FO38"/>
          <cell r="FP38"/>
          <cell r="FQ38"/>
          <cell r="FR38">
            <v>13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</row>
        <row r="47">
          <cell r="FR47">
            <v>144058</v>
          </cell>
        </row>
        <row r="48">
          <cell r="FR48"/>
        </row>
        <row r="52">
          <cell r="FR52">
            <v>94173</v>
          </cell>
        </row>
        <row r="53">
          <cell r="FR53"/>
        </row>
        <row r="57">
          <cell r="FR57"/>
        </row>
        <row r="58">
          <cell r="FR58"/>
        </row>
      </sheetData>
      <sheetData sheetId="5">
        <row r="4">
          <cell r="FR4">
            <v>59</v>
          </cell>
        </row>
        <row r="5">
          <cell r="FR5">
            <v>59</v>
          </cell>
        </row>
        <row r="8">
          <cell r="FR8"/>
        </row>
        <row r="9">
          <cell r="FR9"/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</row>
        <row r="22">
          <cell r="FR22">
            <v>9320</v>
          </cell>
        </row>
        <row r="23">
          <cell r="FR23">
            <v>9664</v>
          </cell>
        </row>
        <row r="27">
          <cell r="FR27">
            <v>363</v>
          </cell>
        </row>
        <row r="28">
          <cell r="FR28">
            <v>384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</row>
        <row r="47">
          <cell r="FR47">
            <v>22211</v>
          </cell>
        </row>
        <row r="48">
          <cell r="FR48">
            <v>552</v>
          </cell>
        </row>
        <row r="52">
          <cell r="FR52">
            <v>6364</v>
          </cell>
        </row>
        <row r="53">
          <cell r="FR53">
            <v>5881</v>
          </cell>
        </row>
        <row r="57">
          <cell r="FR57"/>
        </row>
        <row r="58">
          <cell r="FR58"/>
        </row>
      </sheetData>
      <sheetData sheetId="6"/>
      <sheetData sheetId="7">
        <row r="4">
          <cell r="FR4">
            <v>601</v>
          </cell>
        </row>
        <row r="5">
          <cell r="FR5">
            <v>599</v>
          </cell>
        </row>
        <row r="8">
          <cell r="FR8"/>
        </row>
        <row r="9">
          <cell r="FR9"/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</row>
        <row r="22">
          <cell r="FR22">
            <v>77481</v>
          </cell>
        </row>
        <row r="23">
          <cell r="FR23">
            <v>72932</v>
          </cell>
        </row>
        <row r="27">
          <cell r="FR27">
            <v>3009</v>
          </cell>
        </row>
        <row r="28">
          <cell r="FR28">
            <v>3220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</row>
        <row r="47">
          <cell r="FR47">
            <v>52431</v>
          </cell>
        </row>
        <row r="48">
          <cell r="FR48">
            <v>14395</v>
          </cell>
        </row>
        <row r="52">
          <cell r="FR52">
            <v>11107</v>
          </cell>
        </row>
        <row r="53">
          <cell r="FR53">
            <v>51684</v>
          </cell>
        </row>
        <row r="57">
          <cell r="FR57"/>
        </row>
        <row r="58">
          <cell r="FR58"/>
        </row>
      </sheetData>
      <sheetData sheetId="8"/>
      <sheetData sheetId="9">
        <row r="4">
          <cell r="FR4">
            <v>79</v>
          </cell>
        </row>
        <row r="5">
          <cell r="FR5">
            <v>79</v>
          </cell>
        </row>
        <row r="8">
          <cell r="FR8"/>
        </row>
        <row r="9">
          <cell r="FR9"/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</row>
        <row r="22">
          <cell r="FR22">
            <v>465</v>
          </cell>
        </row>
        <row r="23">
          <cell r="FR23">
            <v>429</v>
          </cell>
        </row>
        <row r="27">
          <cell r="FR27"/>
        </row>
        <row r="28">
          <cell r="FR28"/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10">
        <row r="4">
          <cell r="FR4">
            <v>1</v>
          </cell>
        </row>
        <row r="5">
          <cell r="FR5">
            <v>1</v>
          </cell>
        </row>
        <row r="8">
          <cell r="FR8"/>
        </row>
        <row r="9">
          <cell r="FR9"/>
        </row>
        <row r="15">
          <cell r="FN15"/>
          <cell r="FO15"/>
          <cell r="FP15"/>
          <cell r="FQ15"/>
          <cell r="FR15">
            <v>4</v>
          </cell>
        </row>
        <row r="16">
          <cell r="FN16"/>
          <cell r="FO16"/>
          <cell r="FP16"/>
          <cell r="FQ16"/>
          <cell r="FR16">
            <v>4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32">
          <cell r="FN32"/>
          <cell r="FO32"/>
          <cell r="FP32"/>
          <cell r="FQ32"/>
          <cell r="FR32">
            <v>730</v>
          </cell>
        </row>
        <row r="33">
          <cell r="FN33"/>
          <cell r="FO33"/>
          <cell r="FP33"/>
          <cell r="FQ33"/>
          <cell r="FR33">
            <v>972</v>
          </cell>
        </row>
        <row r="37">
          <cell r="FN37"/>
          <cell r="FO37"/>
          <cell r="FP37"/>
          <cell r="FQ37"/>
          <cell r="FR37">
            <v>5</v>
          </cell>
        </row>
        <row r="38">
          <cell r="FN38"/>
          <cell r="FO38"/>
          <cell r="FP38"/>
          <cell r="FQ38"/>
          <cell r="FR38">
            <v>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</row>
        <row r="47">
          <cell r="FR47">
            <v>51140</v>
          </cell>
        </row>
        <row r="48">
          <cell r="FR48"/>
        </row>
        <row r="52">
          <cell r="FR52">
            <v>32202</v>
          </cell>
        </row>
        <row r="53">
          <cell r="FR53"/>
        </row>
        <row r="57">
          <cell r="FR57"/>
        </row>
        <row r="58">
          <cell r="FR58"/>
        </row>
      </sheetData>
      <sheetData sheetId="11">
        <row r="4">
          <cell r="FR4">
            <v>5427</v>
          </cell>
        </row>
        <row r="5">
          <cell r="FR5">
            <v>5418</v>
          </cell>
        </row>
        <row r="8">
          <cell r="FR8">
            <v>3</v>
          </cell>
        </row>
        <row r="9">
          <cell r="FR9">
            <v>8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</row>
        <row r="22">
          <cell r="FR22">
            <v>751264</v>
          </cell>
        </row>
        <row r="23">
          <cell r="FR23">
            <v>740612</v>
          </cell>
        </row>
        <row r="27">
          <cell r="FR27">
            <v>29146</v>
          </cell>
        </row>
        <row r="28">
          <cell r="FR28">
            <v>28279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</row>
        <row r="47">
          <cell r="FR47">
            <v>4712636</v>
          </cell>
        </row>
        <row r="48">
          <cell r="FR48">
            <v>1479586</v>
          </cell>
        </row>
        <row r="52">
          <cell r="FR52">
            <v>2141586</v>
          </cell>
        </row>
        <row r="53">
          <cell r="FR53">
            <v>1837301</v>
          </cell>
        </row>
        <row r="57">
          <cell r="FR57"/>
        </row>
        <row r="58">
          <cell r="FR58"/>
        </row>
        <row r="70">
          <cell r="FR70">
            <v>383637</v>
          </cell>
        </row>
        <row r="71">
          <cell r="FR71">
            <v>356975</v>
          </cell>
        </row>
        <row r="73">
          <cell r="FR73">
            <v>37694</v>
          </cell>
        </row>
        <row r="74">
          <cell r="FR74">
            <v>35074</v>
          </cell>
        </row>
      </sheetData>
      <sheetData sheetId="12">
        <row r="4">
          <cell r="FR4">
            <v>163</v>
          </cell>
        </row>
        <row r="5">
          <cell r="FR5">
            <v>163</v>
          </cell>
        </row>
        <row r="8">
          <cell r="FR8"/>
        </row>
        <row r="9">
          <cell r="FR9"/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</row>
        <row r="22">
          <cell r="FR22">
            <v>22822</v>
          </cell>
        </row>
        <row r="23">
          <cell r="FR23">
            <v>22697</v>
          </cell>
        </row>
        <row r="27">
          <cell r="FR27">
            <v>167</v>
          </cell>
        </row>
        <row r="28">
          <cell r="FR28">
            <v>147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13"/>
      <sheetData sheetId="14">
        <row r="8">
          <cell r="FR8"/>
        </row>
        <row r="9">
          <cell r="FR9"/>
        </row>
        <row r="15">
          <cell r="FN15">
            <v>5</v>
          </cell>
          <cell r="FO15"/>
          <cell r="FP15">
            <v>17</v>
          </cell>
          <cell r="FQ15">
            <v>20</v>
          </cell>
          <cell r="FR15">
            <v>37</v>
          </cell>
        </row>
        <row r="16">
          <cell r="FN16">
            <v>5</v>
          </cell>
          <cell r="FO16"/>
          <cell r="FP16">
            <v>17</v>
          </cell>
          <cell r="FQ16">
            <v>20</v>
          </cell>
          <cell r="FR16">
            <v>37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</row>
        <row r="32">
          <cell r="FN32">
            <v>852</v>
          </cell>
          <cell r="FO32"/>
          <cell r="FP32">
            <v>2019</v>
          </cell>
          <cell r="FQ32">
            <v>2672</v>
          </cell>
          <cell r="FR32">
            <v>4435</v>
          </cell>
        </row>
        <row r="33">
          <cell r="FN33">
            <v>671</v>
          </cell>
          <cell r="FO33"/>
          <cell r="FP33">
            <v>2431</v>
          </cell>
          <cell r="FQ33">
            <v>2690</v>
          </cell>
          <cell r="FR33">
            <v>5599</v>
          </cell>
        </row>
        <row r="37">
          <cell r="FN37">
            <v>20</v>
          </cell>
          <cell r="FO37"/>
          <cell r="FP37">
            <v>75</v>
          </cell>
          <cell r="FQ37">
            <v>52</v>
          </cell>
          <cell r="FR37">
            <v>75</v>
          </cell>
        </row>
        <row r="38">
          <cell r="FN38">
            <v>13</v>
          </cell>
          <cell r="FO38"/>
          <cell r="FP38">
            <v>54</v>
          </cell>
          <cell r="FQ38">
            <v>60</v>
          </cell>
          <cell r="FR38">
            <v>82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</row>
        <row r="47">
          <cell r="FR47">
            <v>38104</v>
          </cell>
        </row>
        <row r="48">
          <cell r="FR48"/>
        </row>
        <row r="52">
          <cell r="FR52">
            <v>165</v>
          </cell>
        </row>
        <row r="53">
          <cell r="FR53"/>
        </row>
        <row r="57">
          <cell r="FR57"/>
        </row>
        <row r="58">
          <cell r="FR58"/>
        </row>
      </sheetData>
      <sheetData sheetId="15">
        <row r="4">
          <cell r="FR4">
            <v>87</v>
          </cell>
        </row>
        <row r="5">
          <cell r="FR5">
            <v>86</v>
          </cell>
        </row>
        <row r="8">
          <cell r="FR8"/>
        </row>
        <row r="9">
          <cell r="FR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</row>
        <row r="22">
          <cell r="FR22">
            <v>9628</v>
          </cell>
        </row>
        <row r="23">
          <cell r="FR23">
            <v>9944</v>
          </cell>
        </row>
        <row r="27">
          <cell r="FR27">
            <v>299</v>
          </cell>
        </row>
        <row r="28">
          <cell r="FR28">
            <v>336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16">
        <row r="4">
          <cell r="FR4"/>
        </row>
        <row r="5">
          <cell r="FR5"/>
        </row>
        <row r="8">
          <cell r="FR8"/>
        </row>
        <row r="9">
          <cell r="FR9"/>
        </row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</row>
        <row r="47">
          <cell r="FR47">
            <v>350944</v>
          </cell>
        </row>
        <row r="48">
          <cell r="FR48"/>
        </row>
        <row r="52">
          <cell r="FR52">
            <v>125624</v>
          </cell>
        </row>
        <row r="53">
          <cell r="FR53"/>
        </row>
        <row r="57">
          <cell r="FR57"/>
        </row>
        <row r="58">
          <cell r="FR58"/>
        </row>
      </sheetData>
      <sheetData sheetId="17"/>
      <sheetData sheetId="18">
        <row r="4">
          <cell r="FR4">
            <v>686</v>
          </cell>
        </row>
        <row r="5">
          <cell r="FR5">
            <v>686</v>
          </cell>
        </row>
        <row r="8">
          <cell r="FR8"/>
        </row>
        <row r="9">
          <cell r="FR9"/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</row>
        <row r="22">
          <cell r="FR22">
            <v>82734</v>
          </cell>
        </row>
        <row r="23">
          <cell r="FR23">
            <v>78654</v>
          </cell>
        </row>
        <row r="27">
          <cell r="FR27">
            <v>1625</v>
          </cell>
        </row>
        <row r="28">
          <cell r="FR28">
            <v>1698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</row>
        <row r="47">
          <cell r="FR47">
            <v>239815</v>
          </cell>
        </row>
        <row r="48">
          <cell r="FR48"/>
        </row>
        <row r="52">
          <cell r="FR52">
            <v>85216</v>
          </cell>
        </row>
        <row r="53">
          <cell r="FR53"/>
        </row>
        <row r="57">
          <cell r="FR57"/>
        </row>
        <row r="58">
          <cell r="FR58"/>
        </row>
        <row r="70">
          <cell r="FR70">
            <v>78009</v>
          </cell>
        </row>
        <row r="71">
          <cell r="FR71">
            <v>645</v>
          </cell>
        </row>
        <row r="73">
          <cell r="FR73"/>
        </row>
        <row r="74">
          <cell r="FR74"/>
        </row>
      </sheetData>
      <sheetData sheetId="19">
        <row r="4">
          <cell r="FR4">
            <v>344</v>
          </cell>
        </row>
        <row r="5">
          <cell r="FR5">
            <v>345</v>
          </cell>
        </row>
        <row r="8">
          <cell r="FR8"/>
        </row>
        <row r="9">
          <cell r="FR9"/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</row>
        <row r="22">
          <cell r="FR22">
            <v>44032</v>
          </cell>
        </row>
        <row r="23">
          <cell r="FR23">
            <v>43978</v>
          </cell>
        </row>
        <row r="27">
          <cell r="FR27">
            <v>285</v>
          </cell>
        </row>
        <row r="28">
          <cell r="FR28">
            <v>285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70">
          <cell r="FR70"/>
        </row>
        <row r="71">
          <cell r="FR71"/>
        </row>
        <row r="73">
          <cell r="FR73"/>
        </row>
        <row r="74">
          <cell r="FR74"/>
        </row>
      </sheetData>
      <sheetData sheetId="20">
        <row r="4">
          <cell r="FR4">
            <v>629</v>
          </cell>
        </row>
        <row r="5">
          <cell r="FR5">
            <v>629</v>
          </cell>
        </row>
        <row r="8">
          <cell r="FR8">
            <v>68</v>
          </cell>
        </row>
        <row r="9">
          <cell r="FR9">
            <v>71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</row>
        <row r="22">
          <cell r="FR22">
            <v>85920</v>
          </cell>
        </row>
        <row r="23">
          <cell r="FR23">
            <v>83908</v>
          </cell>
        </row>
        <row r="27">
          <cell r="FR27">
            <v>1848</v>
          </cell>
        </row>
        <row r="28">
          <cell r="FR28">
            <v>1519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</row>
        <row r="47">
          <cell r="FR47">
            <v>103119</v>
          </cell>
        </row>
        <row r="48">
          <cell r="FR48">
            <v>509312</v>
          </cell>
        </row>
        <row r="52">
          <cell r="FR52">
            <v>64776</v>
          </cell>
        </row>
        <row r="53">
          <cell r="FR53">
            <v>374670</v>
          </cell>
        </row>
        <row r="57">
          <cell r="FR57"/>
        </row>
        <row r="58">
          <cell r="FR58"/>
        </row>
        <row r="70">
          <cell r="FR70">
            <v>79335</v>
          </cell>
        </row>
        <row r="71">
          <cell r="FR71">
            <v>4573</v>
          </cell>
        </row>
        <row r="73">
          <cell r="FR73">
            <v>2304</v>
          </cell>
        </row>
        <row r="74">
          <cell r="FR74">
            <v>71</v>
          </cell>
        </row>
      </sheetData>
      <sheetData sheetId="21">
        <row r="4">
          <cell r="FR4">
            <v>294</v>
          </cell>
        </row>
        <row r="5">
          <cell r="FR5">
            <v>294</v>
          </cell>
        </row>
        <row r="8">
          <cell r="FR8"/>
        </row>
        <row r="9">
          <cell r="FR9"/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</row>
        <row r="22">
          <cell r="FR22">
            <v>35475</v>
          </cell>
        </row>
        <row r="23">
          <cell r="FR23">
            <v>33082</v>
          </cell>
        </row>
        <row r="27">
          <cell r="FR27">
            <v>1324</v>
          </cell>
        </row>
        <row r="28">
          <cell r="FR28">
            <v>1603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</row>
        <row r="47">
          <cell r="FR47">
            <v>47983</v>
          </cell>
        </row>
        <row r="48">
          <cell r="FR48">
            <v>9310</v>
          </cell>
        </row>
        <row r="52">
          <cell r="FR52">
            <v>15151</v>
          </cell>
        </row>
        <row r="53">
          <cell r="FR53">
            <v>39017</v>
          </cell>
        </row>
        <row r="57">
          <cell r="FR57"/>
        </row>
        <row r="58">
          <cell r="FR58"/>
        </row>
      </sheetData>
      <sheetData sheetId="22"/>
      <sheetData sheetId="23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</row>
      </sheetData>
      <sheetData sheetId="24"/>
      <sheetData sheetId="25"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</row>
        <row r="32">
          <cell r="FN32"/>
          <cell r="FO32"/>
          <cell r="FP32"/>
          <cell r="FQ32"/>
          <cell r="FR32"/>
        </row>
        <row r="33">
          <cell r="FN33"/>
          <cell r="FO33"/>
          <cell r="FP33"/>
          <cell r="FQ33"/>
          <cell r="FR33"/>
        </row>
        <row r="37">
          <cell r="FN37"/>
          <cell r="FO37"/>
          <cell r="FP37"/>
          <cell r="FQ37"/>
          <cell r="FR37"/>
        </row>
        <row r="38">
          <cell r="FN38"/>
          <cell r="FO38"/>
          <cell r="FP38"/>
          <cell r="FQ38"/>
          <cell r="FR38"/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</row>
      </sheetData>
      <sheetData sheetId="26">
        <row r="4">
          <cell r="FR4"/>
        </row>
        <row r="5">
          <cell r="FR5"/>
        </row>
        <row r="8">
          <cell r="FR8"/>
        </row>
        <row r="9">
          <cell r="FR9"/>
        </row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</row>
        <row r="47">
          <cell r="FR47"/>
        </row>
        <row r="48">
          <cell r="FR48"/>
        </row>
        <row r="52">
          <cell r="BH52"/>
        </row>
        <row r="53">
          <cell r="FR53"/>
        </row>
        <row r="57">
          <cell r="BG57"/>
        </row>
        <row r="58">
          <cell r="BG58"/>
        </row>
      </sheetData>
      <sheetData sheetId="27">
        <row r="4">
          <cell r="FR4">
            <v>36</v>
          </cell>
        </row>
        <row r="5">
          <cell r="FR5">
            <v>37</v>
          </cell>
        </row>
        <row r="8">
          <cell r="FR8"/>
        </row>
        <row r="9">
          <cell r="FR9"/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</row>
        <row r="22">
          <cell r="FR22">
            <v>2365</v>
          </cell>
        </row>
        <row r="23">
          <cell r="FR23">
            <v>2437</v>
          </cell>
        </row>
        <row r="27">
          <cell r="FR27">
            <v>161</v>
          </cell>
        </row>
        <row r="28">
          <cell r="FR28">
            <v>143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28">
        <row r="4">
          <cell r="FR4">
            <v>137</v>
          </cell>
        </row>
        <row r="5">
          <cell r="FR5">
            <v>138</v>
          </cell>
        </row>
        <row r="8">
          <cell r="FR8"/>
        </row>
        <row r="9">
          <cell r="FR9"/>
        </row>
        <row r="15">
          <cell r="FN15">
            <v>21</v>
          </cell>
          <cell r="FO15">
            <v>22</v>
          </cell>
          <cell r="FP15">
            <v>2</v>
          </cell>
          <cell r="FQ15"/>
          <cell r="FR15"/>
        </row>
        <row r="16">
          <cell r="FN16">
            <v>23</v>
          </cell>
          <cell r="FO16">
            <v>26</v>
          </cell>
          <cell r="FP16">
            <v>5</v>
          </cell>
          <cell r="FQ16"/>
          <cell r="FR16"/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</row>
        <row r="22">
          <cell r="FR22">
            <v>7283</v>
          </cell>
        </row>
        <row r="23">
          <cell r="FR23">
            <v>6940</v>
          </cell>
        </row>
        <row r="27">
          <cell r="FR27">
            <v>243</v>
          </cell>
        </row>
        <row r="28">
          <cell r="FR28">
            <v>243</v>
          </cell>
        </row>
        <row r="32">
          <cell r="FN32">
            <v>1136</v>
          </cell>
          <cell r="FO32">
            <v>1111</v>
          </cell>
          <cell r="FP32">
            <v>122</v>
          </cell>
          <cell r="FQ32"/>
          <cell r="FR32"/>
        </row>
        <row r="33">
          <cell r="FN33">
            <v>1362</v>
          </cell>
          <cell r="FO33">
            <v>1562</v>
          </cell>
          <cell r="FP33">
            <v>242</v>
          </cell>
          <cell r="FQ33"/>
          <cell r="FR33"/>
        </row>
        <row r="37">
          <cell r="FN37">
            <v>17</v>
          </cell>
          <cell r="FO37">
            <v>30</v>
          </cell>
          <cell r="FP37">
            <v>1</v>
          </cell>
          <cell r="FQ37"/>
          <cell r="FR37"/>
        </row>
        <row r="38">
          <cell r="FN38">
            <v>14</v>
          </cell>
          <cell r="FO38">
            <v>17</v>
          </cell>
          <cell r="FP38">
            <v>4</v>
          </cell>
          <cell r="FQ38"/>
          <cell r="FR38"/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G58"/>
        </row>
        <row r="70">
          <cell r="FR70">
            <v>2075</v>
          </cell>
        </row>
        <row r="71">
          <cell r="FR71">
            <v>4865</v>
          </cell>
        </row>
        <row r="73">
          <cell r="FR73"/>
        </row>
        <row r="74">
          <cell r="FR74"/>
        </row>
      </sheetData>
      <sheetData sheetId="29"/>
      <sheetData sheetId="30"/>
      <sheetData sheetId="31"/>
      <sheetData sheetId="32">
        <row r="4">
          <cell r="FR4"/>
        </row>
        <row r="5">
          <cell r="FR5"/>
        </row>
        <row r="8">
          <cell r="FR8"/>
        </row>
        <row r="9">
          <cell r="FR9"/>
        </row>
        <row r="15">
          <cell r="FN15"/>
          <cell r="FO15">
            <v>1</v>
          </cell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32">
          <cell r="FN32"/>
          <cell r="FO32"/>
          <cell r="FP32"/>
          <cell r="FQ32"/>
          <cell r="FR32"/>
        </row>
        <row r="33">
          <cell r="FN33"/>
          <cell r="FO33"/>
          <cell r="FP33"/>
          <cell r="FQ33"/>
          <cell r="FR33"/>
        </row>
        <row r="37">
          <cell r="FN37"/>
          <cell r="FO37"/>
          <cell r="FP37"/>
          <cell r="FQ37"/>
          <cell r="FR37"/>
        </row>
        <row r="38">
          <cell r="FN38"/>
          <cell r="FO38"/>
          <cell r="FP38"/>
          <cell r="FQ38"/>
          <cell r="FR38"/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G58"/>
        </row>
        <row r="70">
          <cell r="BG70">
            <v>26242</v>
          </cell>
          <cell r="FR70"/>
        </row>
        <row r="71">
          <cell r="BG71">
            <v>44562</v>
          </cell>
          <cell r="FR71"/>
        </row>
        <row r="73">
          <cell r="BG73">
            <v>1540</v>
          </cell>
          <cell r="FR73"/>
        </row>
        <row r="74">
          <cell r="BG74">
            <v>2614</v>
          </cell>
          <cell r="FR74"/>
        </row>
      </sheetData>
      <sheetData sheetId="33"/>
      <sheetData sheetId="34">
        <row r="4">
          <cell r="FR4"/>
        </row>
        <row r="5">
          <cell r="FR5"/>
        </row>
        <row r="8">
          <cell r="FR8"/>
        </row>
        <row r="9">
          <cell r="FR9"/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G58"/>
        </row>
      </sheetData>
      <sheetData sheetId="35"/>
      <sheetData sheetId="36">
        <row r="4">
          <cell r="FR4">
            <v>369</v>
          </cell>
        </row>
        <row r="5">
          <cell r="FR5">
            <v>372</v>
          </cell>
        </row>
        <row r="8">
          <cell r="FR8"/>
        </row>
        <row r="9">
          <cell r="FR9"/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</row>
        <row r="22">
          <cell r="FR22">
            <v>22325</v>
          </cell>
        </row>
        <row r="23">
          <cell r="FR23">
            <v>22013</v>
          </cell>
        </row>
        <row r="27">
          <cell r="FR27">
            <v>819</v>
          </cell>
        </row>
        <row r="28">
          <cell r="FR28">
            <v>767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</row>
        <row r="37">
          <cell r="FN37">
            <v>47</v>
          </cell>
          <cell r="FO37">
            <v>35</v>
          </cell>
          <cell r="FP37"/>
          <cell r="FQ37">
            <v>53</v>
          </cell>
          <cell r="FR37">
            <v>60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</row>
        <row r="47">
          <cell r="FR47">
            <v>288</v>
          </cell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K58"/>
        </row>
        <row r="70">
          <cell r="FR70">
            <v>10038</v>
          </cell>
        </row>
        <row r="71">
          <cell r="FR71">
            <v>11975</v>
          </cell>
        </row>
        <row r="73">
          <cell r="FR73">
            <v>1550</v>
          </cell>
        </row>
        <row r="74">
          <cell r="FR74">
            <v>1850</v>
          </cell>
        </row>
      </sheetData>
      <sheetData sheetId="37">
        <row r="4">
          <cell r="FR4"/>
        </row>
        <row r="5">
          <cell r="FR5"/>
        </row>
        <row r="8">
          <cell r="FR8"/>
        </row>
        <row r="9">
          <cell r="FR9"/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AJ57"/>
        </row>
        <row r="58">
          <cell r="AJ58"/>
        </row>
      </sheetData>
      <sheetData sheetId="38">
        <row r="4">
          <cell r="FR4">
            <v>62</v>
          </cell>
        </row>
        <row r="5">
          <cell r="FR5">
            <v>62</v>
          </cell>
        </row>
        <row r="8">
          <cell r="FR8"/>
        </row>
        <row r="9">
          <cell r="FR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</row>
        <row r="22">
          <cell r="FR22">
            <v>4150</v>
          </cell>
        </row>
        <row r="23">
          <cell r="FR23">
            <v>4116</v>
          </cell>
        </row>
        <row r="27">
          <cell r="FR27">
            <v>90</v>
          </cell>
        </row>
        <row r="28">
          <cell r="FR28">
            <v>97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</row>
        <row r="47">
          <cell r="FR47">
            <v>1140</v>
          </cell>
        </row>
        <row r="48">
          <cell r="FR48"/>
        </row>
        <row r="52">
          <cell r="FR52">
            <v>398</v>
          </cell>
        </row>
        <row r="53">
          <cell r="FR53"/>
        </row>
        <row r="57">
          <cell r="FR57"/>
        </row>
        <row r="58">
          <cell r="BF58"/>
        </row>
      </sheetData>
      <sheetData sheetId="39">
        <row r="4">
          <cell r="FR4">
            <v>164</v>
          </cell>
        </row>
        <row r="5">
          <cell r="FR5">
            <v>164</v>
          </cell>
        </row>
        <row r="8">
          <cell r="FR8"/>
        </row>
        <row r="9">
          <cell r="FR9"/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</row>
        <row r="22">
          <cell r="FR22">
            <v>10471</v>
          </cell>
        </row>
        <row r="23">
          <cell r="FR23">
            <v>10443</v>
          </cell>
        </row>
        <row r="27">
          <cell r="FR27">
            <v>328</v>
          </cell>
        </row>
        <row r="28">
          <cell r="FR28">
            <v>285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4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R4">
            <v>746</v>
          </cell>
        </row>
        <row r="5">
          <cell r="FR5">
            <v>744</v>
          </cell>
        </row>
        <row r="8">
          <cell r="FR8"/>
        </row>
        <row r="9">
          <cell r="FR9"/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</row>
        <row r="22">
          <cell r="FR22">
            <v>44372</v>
          </cell>
        </row>
        <row r="23">
          <cell r="FR23">
            <v>43862</v>
          </cell>
        </row>
        <row r="27">
          <cell r="FR27">
            <v>1761</v>
          </cell>
        </row>
        <row r="28">
          <cell r="FR28">
            <v>1693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70">
          <cell r="FR70">
            <v>19343</v>
          </cell>
        </row>
        <row r="71">
          <cell r="FR71">
            <v>24519</v>
          </cell>
        </row>
        <row r="73">
          <cell r="FR73">
            <v>1777</v>
          </cell>
        </row>
        <row r="74">
          <cell r="FR74">
            <v>2252</v>
          </cell>
        </row>
      </sheetData>
      <sheetData sheetId="43">
        <row r="4">
          <cell r="FR4"/>
        </row>
        <row r="5">
          <cell r="FR5"/>
        </row>
        <row r="8">
          <cell r="FR8"/>
        </row>
        <row r="9">
          <cell r="FR9"/>
        </row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G58"/>
        </row>
      </sheetData>
      <sheetData sheetId="44">
        <row r="4">
          <cell r="FR4">
            <v>222</v>
          </cell>
        </row>
        <row r="5">
          <cell r="FR5">
            <v>222</v>
          </cell>
        </row>
        <row r="8">
          <cell r="FR8"/>
        </row>
        <row r="9">
          <cell r="FR9"/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</row>
        <row r="22">
          <cell r="FR22">
            <v>12566</v>
          </cell>
        </row>
        <row r="23">
          <cell r="FR23">
            <v>12241</v>
          </cell>
        </row>
        <row r="27">
          <cell r="FR27">
            <v>545</v>
          </cell>
        </row>
        <row r="28">
          <cell r="FR28">
            <v>521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45">
        <row r="4">
          <cell r="FR4">
            <v>171</v>
          </cell>
        </row>
        <row r="5">
          <cell r="FR5">
            <v>171</v>
          </cell>
        </row>
        <row r="8">
          <cell r="FR8"/>
        </row>
        <row r="9">
          <cell r="FR9"/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</row>
        <row r="22">
          <cell r="FR22">
            <v>11426</v>
          </cell>
        </row>
        <row r="23">
          <cell r="FR23">
            <v>11569</v>
          </cell>
        </row>
        <row r="27">
          <cell r="FR27">
            <v>468</v>
          </cell>
        </row>
        <row r="28">
          <cell r="FR28">
            <v>365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</sheetData>
      <sheetData sheetId="46">
        <row r="8">
          <cell r="FR8"/>
        </row>
        <row r="9">
          <cell r="FR9"/>
        </row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</sheetData>
      <sheetData sheetId="47">
        <row r="4">
          <cell r="FR4">
            <v>4327</v>
          </cell>
        </row>
        <row r="5">
          <cell r="FR5">
            <v>4314</v>
          </cell>
        </row>
        <row r="8">
          <cell r="FR8">
            <v>1</v>
          </cell>
        </row>
        <row r="9">
          <cell r="FR9">
            <v>9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</row>
        <row r="22">
          <cell r="FR22">
            <v>207703</v>
          </cell>
        </row>
        <row r="23">
          <cell r="FR23">
            <v>205247</v>
          </cell>
        </row>
        <row r="27">
          <cell r="FR27">
            <v>8076</v>
          </cell>
        </row>
        <row r="28">
          <cell r="FR28">
            <v>8151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70">
          <cell r="FR70">
            <v>66500</v>
          </cell>
        </row>
        <row r="71">
          <cell r="FR71">
            <v>138747</v>
          </cell>
        </row>
        <row r="73">
          <cell r="FR73">
            <v>4282</v>
          </cell>
        </row>
        <row r="74">
          <cell r="FR74">
            <v>8933</v>
          </cell>
        </row>
      </sheetData>
      <sheetData sheetId="48">
        <row r="4">
          <cell r="FR4">
            <v>116</v>
          </cell>
        </row>
        <row r="5">
          <cell r="FR5">
            <v>116</v>
          </cell>
        </row>
        <row r="8">
          <cell r="FR8"/>
        </row>
        <row r="9">
          <cell r="FR9"/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</row>
        <row r="22">
          <cell r="FR22">
            <v>7205</v>
          </cell>
        </row>
        <row r="23">
          <cell r="FR23">
            <v>7512</v>
          </cell>
        </row>
        <row r="27">
          <cell r="FR27">
            <v>341</v>
          </cell>
        </row>
        <row r="28">
          <cell r="FR28">
            <v>304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49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</row>
      </sheetData>
      <sheetData sheetId="50">
        <row r="4">
          <cell r="FR4">
            <v>7</v>
          </cell>
        </row>
        <row r="5">
          <cell r="FR5">
            <v>7</v>
          </cell>
        </row>
        <row r="8">
          <cell r="FR8"/>
        </row>
        <row r="9">
          <cell r="FR9"/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</row>
        <row r="22">
          <cell r="FR22">
            <v>387</v>
          </cell>
        </row>
        <row r="23">
          <cell r="FR23">
            <v>338</v>
          </cell>
        </row>
        <row r="27">
          <cell r="FR27">
            <v>11</v>
          </cell>
        </row>
        <row r="28">
          <cell r="FR28">
            <v>20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</row>
        <row r="47">
          <cell r="FR47">
            <v>96</v>
          </cell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</sheetData>
      <sheetData sheetId="51">
        <row r="4">
          <cell r="FR4">
            <v>50</v>
          </cell>
        </row>
        <row r="5">
          <cell r="FR5">
            <v>50</v>
          </cell>
        </row>
        <row r="8">
          <cell r="FR8"/>
        </row>
        <row r="9">
          <cell r="FR9"/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</row>
        <row r="22">
          <cell r="FR22">
            <v>3425</v>
          </cell>
        </row>
        <row r="23">
          <cell r="FR23">
            <v>3357</v>
          </cell>
        </row>
        <row r="27">
          <cell r="FR27">
            <v>77</v>
          </cell>
        </row>
        <row r="28">
          <cell r="FR28">
            <v>99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</row>
        <row r="47">
          <cell r="FR47"/>
        </row>
        <row r="48">
          <cell r="FR48"/>
        </row>
        <row r="52">
          <cell r="FR52">
            <v>230</v>
          </cell>
        </row>
        <row r="53">
          <cell r="FR53">
            <v>1263</v>
          </cell>
        </row>
        <row r="57">
          <cell r="FR57"/>
        </row>
        <row r="58">
          <cell r="FR58"/>
        </row>
      </sheetData>
      <sheetData sheetId="52">
        <row r="4">
          <cell r="FR4"/>
        </row>
        <row r="5">
          <cell r="FR5"/>
        </row>
        <row r="8">
          <cell r="FR8"/>
        </row>
        <row r="9">
          <cell r="FR9"/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H58"/>
        </row>
        <row r="70">
          <cell r="FR70"/>
        </row>
        <row r="71">
          <cell r="FR71"/>
        </row>
        <row r="73">
          <cell r="FR73"/>
        </row>
        <row r="74">
          <cell r="FR74"/>
        </row>
      </sheetData>
      <sheetData sheetId="53">
        <row r="4">
          <cell r="FR4"/>
        </row>
        <row r="5">
          <cell r="FR5"/>
        </row>
        <row r="8">
          <cell r="FR8"/>
        </row>
        <row r="9">
          <cell r="FR9"/>
        </row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</row>
        <row r="22">
          <cell r="FR22"/>
        </row>
        <row r="23">
          <cell r="FR23"/>
        </row>
        <row r="27">
          <cell r="FR27"/>
        </row>
        <row r="28">
          <cell r="FR28"/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BG58"/>
        </row>
      </sheetData>
      <sheetData sheetId="54"/>
      <sheetData sheetId="55"/>
      <sheetData sheetId="56"/>
      <sheetData sheetId="57">
        <row r="4">
          <cell r="FR4"/>
        </row>
        <row r="5">
          <cell r="FR5"/>
        </row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22">
          <cell r="FR22"/>
        </row>
        <row r="23">
          <cell r="FR23"/>
        </row>
        <row r="32">
          <cell r="FN32"/>
          <cell r="FO32"/>
          <cell r="FP32"/>
          <cell r="FQ32"/>
          <cell r="FR32"/>
        </row>
        <row r="33">
          <cell r="FN33"/>
          <cell r="FO33"/>
          <cell r="FP33"/>
          <cell r="FQ33"/>
          <cell r="FR33"/>
        </row>
        <row r="37">
          <cell r="FN37"/>
          <cell r="FO37"/>
          <cell r="FP37"/>
          <cell r="FQ37"/>
          <cell r="FR37"/>
        </row>
        <row r="38">
          <cell r="FN38"/>
          <cell r="FO38"/>
          <cell r="FP38"/>
          <cell r="FQ38"/>
          <cell r="FR38"/>
        </row>
      </sheetData>
      <sheetData sheetId="58">
        <row r="4">
          <cell r="FR4"/>
        </row>
        <row r="5">
          <cell r="FR5"/>
        </row>
        <row r="15">
          <cell r="FR15"/>
        </row>
        <row r="16">
          <cell r="FR16"/>
        </row>
        <row r="22">
          <cell r="FR22"/>
        </row>
        <row r="23">
          <cell r="FR23"/>
        </row>
        <row r="32">
          <cell r="FR32"/>
        </row>
        <row r="33">
          <cell r="FR33"/>
        </row>
      </sheetData>
      <sheetData sheetId="59">
        <row r="8">
          <cell r="FR8">
            <v>1</v>
          </cell>
        </row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32">
          <cell r="FN32"/>
          <cell r="FO32"/>
          <cell r="FP32"/>
          <cell r="FQ32"/>
          <cell r="FR32"/>
        </row>
        <row r="33">
          <cell r="FN33"/>
          <cell r="FO33"/>
          <cell r="FP33"/>
          <cell r="FQ33"/>
          <cell r="FR33"/>
        </row>
        <row r="37">
          <cell r="FN37"/>
          <cell r="FO37"/>
          <cell r="FP37"/>
          <cell r="FQ37"/>
          <cell r="FR37"/>
        </row>
        <row r="38">
          <cell r="FN38"/>
          <cell r="FO38"/>
          <cell r="FP38"/>
          <cell r="FQ38"/>
          <cell r="FR38"/>
        </row>
      </sheetData>
      <sheetData sheetId="60"/>
      <sheetData sheetId="61">
        <row r="4">
          <cell r="FR4">
            <v>1</v>
          </cell>
        </row>
        <row r="5">
          <cell r="FR5">
            <v>3</v>
          </cell>
        </row>
        <row r="15">
          <cell r="FN15"/>
          <cell r="FO15"/>
          <cell r="FP15"/>
          <cell r="FQ15"/>
          <cell r="FR15"/>
        </row>
        <row r="16">
          <cell r="FN16"/>
          <cell r="FO16"/>
          <cell r="FP16"/>
          <cell r="FQ16"/>
          <cell r="FR16"/>
        </row>
        <row r="22">
          <cell r="FR22">
            <v>132</v>
          </cell>
        </row>
        <row r="23">
          <cell r="FR23">
            <v>239</v>
          </cell>
        </row>
        <row r="32">
          <cell r="FN32"/>
          <cell r="FO32"/>
          <cell r="FP32"/>
          <cell r="FQ32">
            <v>37</v>
          </cell>
          <cell r="FR32"/>
        </row>
        <row r="33">
          <cell r="FN33"/>
          <cell r="FO33"/>
          <cell r="FP33"/>
          <cell r="FQ33"/>
          <cell r="FR33"/>
        </row>
        <row r="37">
          <cell r="FN37"/>
          <cell r="FO37"/>
          <cell r="FP37"/>
          <cell r="FQ37"/>
          <cell r="FR37"/>
        </row>
        <row r="38">
          <cell r="FN38"/>
          <cell r="FO38"/>
          <cell r="FP38"/>
          <cell r="FQ38"/>
          <cell r="FR38"/>
        </row>
      </sheetData>
      <sheetData sheetId="62"/>
      <sheetData sheetId="63">
        <row r="4">
          <cell r="FR4">
            <v>21</v>
          </cell>
        </row>
        <row r="5">
          <cell r="FR5">
            <v>21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</row>
        <row r="47">
          <cell r="FR47">
            <v>572596</v>
          </cell>
        </row>
        <row r="48">
          <cell r="FR48"/>
        </row>
        <row r="52">
          <cell r="FR52">
            <v>814908</v>
          </cell>
        </row>
        <row r="53">
          <cell r="FR53"/>
        </row>
        <row r="57">
          <cell r="FR57"/>
        </row>
        <row r="58">
          <cell r="FR58"/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</row>
      </sheetData>
      <sheetData sheetId="64">
        <row r="4">
          <cell r="FR4">
            <v>22</v>
          </cell>
        </row>
        <row r="5">
          <cell r="FR5">
            <v>22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</row>
        <row r="15">
          <cell r="FR15"/>
        </row>
        <row r="47">
          <cell r="FR47">
            <v>24753</v>
          </cell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</row>
      </sheetData>
      <sheetData sheetId="65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</row>
        <row r="15">
          <cell r="FR15"/>
        </row>
        <row r="16">
          <cell r="FR16"/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</row>
      </sheetData>
      <sheetData sheetId="66">
        <row r="4">
          <cell r="FR4">
            <v>116</v>
          </cell>
        </row>
        <row r="5">
          <cell r="FR5">
            <v>116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</row>
        <row r="15">
          <cell r="FR15"/>
        </row>
        <row r="47">
          <cell r="FR47">
            <v>9379290</v>
          </cell>
        </row>
        <row r="48">
          <cell r="FR48"/>
        </row>
        <row r="52">
          <cell r="FR52">
            <v>8298026</v>
          </cell>
        </row>
        <row r="53">
          <cell r="FR53"/>
        </row>
        <row r="57">
          <cell r="FR57"/>
        </row>
        <row r="58">
          <cell r="FR58"/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</row>
      </sheetData>
      <sheetData sheetId="67">
        <row r="4">
          <cell r="FR4">
            <v>111</v>
          </cell>
        </row>
        <row r="5">
          <cell r="FR5">
            <v>111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</row>
        <row r="15">
          <cell r="FR15">
            <v>18</v>
          </cell>
        </row>
        <row r="16">
          <cell r="FR16">
            <v>18</v>
          </cell>
        </row>
        <row r="47">
          <cell r="FR47">
            <v>6413442</v>
          </cell>
        </row>
        <row r="48">
          <cell r="FR48">
            <v>1754</v>
          </cell>
        </row>
        <row r="52">
          <cell r="FR52">
            <v>5108064</v>
          </cell>
        </row>
        <row r="53">
          <cell r="FR53">
            <v>617472</v>
          </cell>
        </row>
        <row r="57">
          <cell r="FR57"/>
        </row>
        <row r="58">
          <cell r="FR58"/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</row>
      </sheetData>
      <sheetData sheetId="68"/>
      <sheetData sheetId="69"/>
      <sheetData sheetId="70"/>
      <sheetData sheetId="71">
        <row r="4">
          <cell r="FR4">
            <v>295</v>
          </cell>
        </row>
        <row r="5">
          <cell r="FR5">
            <v>295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</row>
      </sheetData>
      <sheetData sheetId="72">
        <row r="4">
          <cell r="FR4"/>
        </row>
        <row r="5">
          <cell r="FR5">
            <v>4</v>
          </cell>
        </row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</row>
      </sheetData>
      <sheetData sheetId="73">
        <row r="4">
          <cell r="FR4">
            <v>22</v>
          </cell>
        </row>
        <row r="5">
          <cell r="FR5">
            <v>22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</row>
        <row r="47">
          <cell r="FR47"/>
        </row>
        <row r="48">
          <cell r="FR48"/>
        </row>
        <row r="52">
          <cell r="FR52"/>
        </row>
        <row r="53">
          <cell r="FR53"/>
        </row>
        <row r="57">
          <cell r="FR57"/>
        </row>
        <row r="58">
          <cell r="FR58"/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</row>
      </sheetData>
      <sheetData sheetId="74">
        <row r="4">
          <cell r="FR4">
            <v>44</v>
          </cell>
        </row>
        <row r="5">
          <cell r="FR5">
            <v>44</v>
          </cell>
        </row>
        <row r="8">
          <cell r="FR8"/>
        </row>
        <row r="9">
          <cell r="FR9"/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</row>
        <row r="47">
          <cell r="FR47">
            <v>79720</v>
          </cell>
        </row>
        <row r="48">
          <cell r="FR48"/>
        </row>
        <row r="52">
          <cell r="FR52">
            <v>36594</v>
          </cell>
        </row>
        <row r="53">
          <cell r="FR53"/>
        </row>
        <row r="57">
          <cell r="FR57"/>
        </row>
        <row r="58">
          <cell r="FR58"/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</row>
      </sheetData>
      <sheetData sheetId="75">
        <row r="4">
          <cell r="FR4">
            <v>49</v>
          </cell>
        </row>
        <row r="5">
          <cell r="FR5">
            <v>49</v>
          </cell>
        </row>
      </sheetData>
      <sheetData sheetId="76">
        <row r="4">
          <cell r="FR4">
            <v>871</v>
          </cell>
        </row>
        <row r="5">
          <cell r="FR5">
            <v>872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G22">
            <v>1192631</v>
          </cell>
          <cell r="H22">
            <v>1233627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G23">
            <v>1511202</v>
          </cell>
          <cell r="H23">
            <v>1531837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43221</v>
      </c>
      <c r="B2" s="17"/>
      <c r="C2" s="17"/>
      <c r="D2" s="518" t="s">
        <v>211</v>
      </c>
      <c r="E2" s="518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19"/>
      <c r="E3" s="520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1202862</v>
      </c>
      <c r="C5" s="296">
        <f>'Major Airline Stats'!K5</f>
        <v>1186196</v>
      </c>
      <c r="D5" s="5">
        <f>'Major Airline Stats'!K6</f>
        <v>2389058</v>
      </c>
      <c r="E5" s="9">
        <f>'[1]Monthly Summary'!D5</f>
        <v>2438735</v>
      </c>
      <c r="F5" s="39">
        <f>(D5-E5)/E5</f>
        <v>-2.036998689894556E-2</v>
      </c>
      <c r="G5" s="9">
        <f>+D5+'[2]Monthly Summary'!G5</f>
        <v>11321574</v>
      </c>
      <c r="H5" s="9">
        <f>'[1]Monthly Summary'!G5</f>
        <v>11407962</v>
      </c>
      <c r="I5" s="85">
        <f>(G5-H5)/H5</f>
        <v>-7.5726058694795791E-3</v>
      </c>
      <c r="J5" s="9"/>
    </row>
    <row r="6" spans="1:14" x14ac:dyDescent="0.2">
      <c r="A6" s="67" t="s">
        <v>5</v>
      </c>
      <c r="B6" s="294">
        <f>'Regional Major'!M5</f>
        <v>357762</v>
      </c>
      <c r="C6" s="294">
        <f>'Regional Major'!M6</f>
        <v>355892</v>
      </c>
      <c r="D6" s="5">
        <f>B6+C6</f>
        <v>713654</v>
      </c>
      <c r="E6" s="9">
        <f>'[1]Monthly Summary'!D6</f>
        <v>661842</v>
      </c>
      <c r="F6" s="39">
        <f>(D6-E6)/E6</f>
        <v>7.8284545254003218E-2</v>
      </c>
      <c r="G6" s="9">
        <f>+D6+'[2]Monthly Summary'!G6</f>
        <v>3198692</v>
      </c>
      <c r="H6" s="9">
        <f>'[1]Monthly Summary'!G6</f>
        <v>3137044</v>
      </c>
      <c r="I6" s="85">
        <f>(G6-H6)/H6</f>
        <v>1.9651621080227118E-2</v>
      </c>
      <c r="J6" s="20"/>
      <c r="K6" s="2"/>
    </row>
    <row r="7" spans="1:14" x14ac:dyDescent="0.2">
      <c r="A7" s="67" t="s">
        <v>6</v>
      </c>
      <c r="B7" s="9">
        <f>Charter!G5</f>
        <v>132</v>
      </c>
      <c r="C7" s="295">
        <f>Charter!G6</f>
        <v>239</v>
      </c>
      <c r="D7" s="5">
        <f>B7+C7</f>
        <v>371</v>
      </c>
      <c r="E7" s="9">
        <f>'[1]Monthly Summary'!D7</f>
        <v>240</v>
      </c>
      <c r="F7" s="39">
        <f>(D7-E7)/E7</f>
        <v>0.54583333333333328</v>
      </c>
      <c r="G7" s="9">
        <f>+D7+'[2]Monthly Summary'!G7</f>
        <v>2703</v>
      </c>
      <c r="H7" s="9">
        <f>'[1]Monthly Summary'!G7</f>
        <v>1275</v>
      </c>
      <c r="I7" s="85">
        <f>(G7-H7)/H7</f>
        <v>1.1200000000000001</v>
      </c>
      <c r="J7" s="20"/>
      <c r="K7" s="2"/>
    </row>
    <row r="8" spans="1:14" x14ac:dyDescent="0.2">
      <c r="A8" s="70" t="s">
        <v>7</v>
      </c>
      <c r="B8" s="148">
        <f>SUM(B5:B7)</f>
        <v>1560756</v>
      </c>
      <c r="C8" s="148">
        <f>SUM(C5:C7)</f>
        <v>1542327</v>
      </c>
      <c r="D8" s="148">
        <f>SUM(D5:D7)</f>
        <v>3103083</v>
      </c>
      <c r="E8" s="148">
        <f>SUM(E5:E7)</f>
        <v>3100817</v>
      </c>
      <c r="F8" s="92">
        <f>(D8-E8)/E8</f>
        <v>7.3077514732407625E-4</v>
      </c>
      <c r="G8" s="148">
        <f>SUM(G5:G7)</f>
        <v>14522969</v>
      </c>
      <c r="H8" s="148">
        <f>SUM(H5:H7)</f>
        <v>14546281</v>
      </c>
      <c r="I8" s="91">
        <f>(G8-H8)/H8</f>
        <v>-1.6026089417631902E-3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71653</v>
      </c>
      <c r="C10" s="297">
        <f>'Major Airline Stats'!K10+'Regional Major'!M11</f>
        <v>52754</v>
      </c>
      <c r="D10" s="120">
        <f>SUM(B10:C10)</f>
        <v>124407</v>
      </c>
      <c r="E10" s="120">
        <f>'[1]Monthly Summary'!D10</f>
        <v>104861</v>
      </c>
      <c r="F10" s="93">
        <f>(D10-E10)/E10</f>
        <v>0.1863991379063713</v>
      </c>
      <c r="G10" s="509">
        <f>+D10+'[2]Monthly Summary'!G10</f>
        <v>504833</v>
      </c>
      <c r="H10" s="120">
        <f>'[1]Monthly Summary'!G10</f>
        <v>488990</v>
      </c>
      <c r="I10" s="96">
        <f>(G10-H10)/H10</f>
        <v>3.2399435571279576E-2</v>
      </c>
      <c r="J10" s="264"/>
    </row>
    <row r="11" spans="1:14" ht="15.75" thickBot="1" x14ac:dyDescent="0.3">
      <c r="A11" s="69" t="s">
        <v>13</v>
      </c>
      <c r="B11" s="273">
        <f>B10+B8</f>
        <v>1632409</v>
      </c>
      <c r="C11" s="273">
        <f>C10+C8</f>
        <v>1595081</v>
      </c>
      <c r="D11" s="273">
        <f>D10+D8</f>
        <v>3227490</v>
      </c>
      <c r="E11" s="273">
        <f>E10+E8</f>
        <v>3205678</v>
      </c>
      <c r="F11" s="94">
        <f>(D11-E11)/E11</f>
        <v>6.8041768387217929E-3</v>
      </c>
      <c r="G11" s="273">
        <f>G8+G10</f>
        <v>15027802</v>
      </c>
      <c r="H11" s="273">
        <f>H8+H10</f>
        <v>15035271</v>
      </c>
      <c r="I11" s="97">
        <f>(G11-H11)/H11</f>
        <v>-4.9676523954905771E-4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18" t="s">
        <v>211</v>
      </c>
      <c r="E13" s="518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19"/>
      <c r="E14" s="520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9055</v>
      </c>
      <c r="C16" s="305">
        <f>'Major Airline Stats'!K16+'Major Airline Stats'!K20</f>
        <v>9051</v>
      </c>
      <c r="D16" s="47">
        <f t="shared" ref="D16:D21" si="0">SUM(B16:C16)</f>
        <v>18106</v>
      </c>
      <c r="E16" s="9">
        <f>'[1]Monthly Summary'!D16</f>
        <v>19076</v>
      </c>
      <c r="F16" s="95">
        <f t="shared" ref="F16:F22" si="1">(D16-E16)/E16</f>
        <v>-5.0849234640385828E-2</v>
      </c>
      <c r="G16" s="9">
        <f>+D16+'[2]Monthly Summary'!G16</f>
        <v>87005</v>
      </c>
      <c r="H16" s="9">
        <f>'[1]Monthly Summary'!G16</f>
        <v>89969</v>
      </c>
      <c r="I16" s="262">
        <f t="shared" ref="I16:I22" si="2">(G16-H16)/H16</f>
        <v>-3.2944680945659062E-2</v>
      </c>
      <c r="N16" s="130"/>
    </row>
    <row r="17" spans="1:12" x14ac:dyDescent="0.2">
      <c r="A17" s="68" t="s">
        <v>5</v>
      </c>
      <c r="B17" s="47">
        <f>'Regional Major'!M15+'Regional Major'!M18</f>
        <v>6814</v>
      </c>
      <c r="C17" s="47">
        <f>'Regional Major'!M16+'Regional Major'!M19</f>
        <v>6814</v>
      </c>
      <c r="D17" s="47">
        <f>SUM(B17:C17)</f>
        <v>13628</v>
      </c>
      <c r="E17" s="9">
        <f>'[1]Monthly Summary'!D17</f>
        <v>13178</v>
      </c>
      <c r="F17" s="95">
        <f t="shared" si="1"/>
        <v>3.4147822127788739E-2</v>
      </c>
      <c r="G17" s="9">
        <f>+D17+'[2]Monthly Summary'!G17</f>
        <v>62346</v>
      </c>
      <c r="H17" s="9">
        <f>'[1]Monthly Summary'!G17</f>
        <v>62994</v>
      </c>
      <c r="I17" s="262">
        <f t="shared" si="2"/>
        <v>-1.0286693970854367E-2</v>
      </c>
    </row>
    <row r="18" spans="1:12" x14ac:dyDescent="0.2">
      <c r="A18" s="68" t="s">
        <v>10</v>
      </c>
      <c r="B18" s="47">
        <f>Charter!G10</f>
        <v>2</v>
      </c>
      <c r="C18" s="47">
        <f>Charter!G11</f>
        <v>3</v>
      </c>
      <c r="D18" s="47">
        <f t="shared" si="0"/>
        <v>5</v>
      </c>
      <c r="E18" s="9">
        <f>'[1]Monthly Summary'!D18</f>
        <v>1</v>
      </c>
      <c r="F18" s="95">
        <f t="shared" si="1"/>
        <v>4</v>
      </c>
      <c r="G18" s="9">
        <f>+D18+'[2]Monthly Summary'!G18</f>
        <v>21</v>
      </c>
      <c r="H18" s="9">
        <f>'[1]Monthly Summary'!G18</f>
        <v>13</v>
      </c>
      <c r="I18" s="262">
        <f t="shared" si="2"/>
        <v>0.61538461538461542</v>
      </c>
    </row>
    <row r="19" spans="1:12" x14ac:dyDescent="0.2">
      <c r="A19" s="68" t="s">
        <v>11</v>
      </c>
      <c r="B19" s="47">
        <f>Cargo!M4</f>
        <v>649</v>
      </c>
      <c r="C19" s="47">
        <f>Cargo!M5</f>
        <v>653</v>
      </c>
      <c r="D19" s="47">
        <f t="shared" si="0"/>
        <v>1302</v>
      </c>
      <c r="E19" s="9">
        <f>'[1]Monthly Summary'!D19</f>
        <v>1272</v>
      </c>
      <c r="F19" s="95">
        <f t="shared" si="1"/>
        <v>2.358490566037736E-2</v>
      </c>
      <c r="G19" s="9">
        <f>+D19+'[2]Monthly Summary'!G19</f>
        <v>6100</v>
      </c>
      <c r="H19" s="9">
        <f>'[1]Monthly Summary'!G19</f>
        <v>6038</v>
      </c>
      <c r="I19" s="262">
        <f t="shared" si="2"/>
        <v>1.0268300761841669E-2</v>
      </c>
    </row>
    <row r="20" spans="1:12" x14ac:dyDescent="0.2">
      <c r="A20" s="68" t="s">
        <v>153</v>
      </c>
      <c r="B20" s="47">
        <f>'[3]General Avation'!$FR$4</f>
        <v>871</v>
      </c>
      <c r="C20" s="47">
        <f>'[3]General Avation'!$FR$5</f>
        <v>872</v>
      </c>
      <c r="D20" s="47">
        <f t="shared" si="0"/>
        <v>1743</v>
      </c>
      <c r="E20" s="9">
        <f>'[1]Monthly Summary'!D20</f>
        <v>2045</v>
      </c>
      <c r="F20" s="95">
        <f t="shared" si="1"/>
        <v>-0.14767726161369193</v>
      </c>
      <c r="G20" s="9">
        <f>+D20+'[2]Monthly Summary'!G20</f>
        <v>8350</v>
      </c>
      <c r="H20" s="9">
        <f>'[1]Monthly Summary'!G20</f>
        <v>8988</v>
      </c>
      <c r="I20" s="262">
        <f t="shared" si="2"/>
        <v>-7.098353360035603E-2</v>
      </c>
    </row>
    <row r="21" spans="1:12" ht="12.75" customHeight="1" x14ac:dyDescent="0.2">
      <c r="A21" s="68" t="s">
        <v>12</v>
      </c>
      <c r="B21" s="18">
        <f>'[3]Military '!$FR$4</f>
        <v>49</v>
      </c>
      <c r="C21" s="18">
        <f>'[3]Military '!$FR$5</f>
        <v>49</v>
      </c>
      <c r="D21" s="18">
        <f t="shared" si="0"/>
        <v>98</v>
      </c>
      <c r="E21" s="120">
        <f>'[1]Monthly Summary'!D21</f>
        <v>40</v>
      </c>
      <c r="F21" s="260">
        <f t="shared" si="1"/>
        <v>1.45</v>
      </c>
      <c r="G21" s="120">
        <f>+D21+'[2]Monthly Summary'!G21</f>
        <v>506</v>
      </c>
      <c r="H21" s="120">
        <f>'[1]Monthly Summary'!G21</f>
        <v>207</v>
      </c>
      <c r="I21" s="263">
        <f t="shared" si="2"/>
        <v>1.4444444444444444</v>
      </c>
    </row>
    <row r="22" spans="1:12" ht="15.75" thickBot="1" x14ac:dyDescent="0.3">
      <c r="A22" s="69" t="s">
        <v>28</v>
      </c>
      <c r="B22" s="274">
        <f>SUM(B16:B21)</f>
        <v>17440</v>
      </c>
      <c r="C22" s="274">
        <f>SUM(C16:C21)</f>
        <v>17442</v>
      </c>
      <c r="D22" s="274">
        <f>SUM(D16:D21)</f>
        <v>34882</v>
      </c>
      <c r="E22" s="274">
        <f>SUM(E16:E21)</f>
        <v>35612</v>
      </c>
      <c r="F22" s="270">
        <f t="shared" si="1"/>
        <v>-2.0498708300572842E-2</v>
      </c>
      <c r="G22" s="274">
        <f>SUM(G16:G21)</f>
        <v>164328</v>
      </c>
      <c r="H22" s="274">
        <f>SUM(H16:H21)</f>
        <v>168209</v>
      </c>
      <c r="I22" s="271">
        <f t="shared" si="2"/>
        <v>-2.3072487203419555E-2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18" t="s">
        <v>211</v>
      </c>
      <c r="E24" s="518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19"/>
      <c r="E25" s="520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Stats'!K28+'Regional Major'!M25)*0.00045359237</f>
        <v>10085.06661396542</v>
      </c>
      <c r="C27" s="22">
        <f>(Cargo!M21+'Major Airline Stats'!K33+'Regional Major'!M30)*0.00045359237</f>
        <v>7636.0388545240794</v>
      </c>
      <c r="D27" s="22">
        <f>(SUM(B27:C27)+('Cargo Summary'!E17*0.00045359237))</f>
        <v>17721.105468489499</v>
      </c>
      <c r="E27" s="9">
        <f>'[1]Monthly Summary'!D27</f>
        <v>17381.64827859075</v>
      </c>
      <c r="F27" s="98">
        <f>(D27-E27)/E27</f>
        <v>1.9529631739060301E-2</v>
      </c>
      <c r="G27" s="9">
        <f>+D27+'[2]Monthly Summary'!G27</f>
        <v>82789.01213802374</v>
      </c>
      <c r="H27" s="9">
        <f>'[1]Monthly Summary'!G27</f>
        <v>81424.742366774735</v>
      </c>
      <c r="I27" s="100">
        <f>(G27-H27)/H27</f>
        <v>1.675497805204838E-2</v>
      </c>
    </row>
    <row r="28" spans="1:12" x14ac:dyDescent="0.2">
      <c r="A28" s="62" t="s">
        <v>16</v>
      </c>
      <c r="B28" s="22">
        <f>(Cargo!M17+'Major Airline Stats'!K29+'Regional Major'!M26)*0.00045359237</f>
        <v>913.94734864432996</v>
      </c>
      <c r="C28" s="22">
        <f>(Cargo!M22+'Major Airline Stats'!K34+'Regional Major'!M31)*0.00045359237</f>
        <v>1327.79550159256</v>
      </c>
      <c r="D28" s="22">
        <f>SUM(B28:C28)</f>
        <v>2241.7428502368898</v>
      </c>
      <c r="E28" s="9">
        <f>'[1]Monthly Summary'!D28</f>
        <v>2299.6579776308599</v>
      </c>
      <c r="F28" s="98">
        <f>(D28-E28)/E28</f>
        <v>-2.518423520250394E-2</v>
      </c>
      <c r="G28" s="120">
        <f>+D28+'[2]Monthly Summary'!G28</f>
        <v>10454.205527779859</v>
      </c>
      <c r="H28" s="9">
        <f>'[1]Monthly Summary'!G28</f>
        <v>9876.4091342493502</v>
      </c>
      <c r="I28" s="100">
        <f>(G28-H28)/H28</f>
        <v>5.8502679028031558E-2</v>
      </c>
    </row>
    <row r="29" spans="1:12" ht="15.75" thickBot="1" x14ac:dyDescent="0.3">
      <c r="A29" s="63" t="s">
        <v>62</v>
      </c>
      <c r="B29" s="54">
        <f>SUM(B27:B28)</f>
        <v>10999.01396260975</v>
      </c>
      <c r="C29" s="54">
        <f>SUM(C27:C28)</f>
        <v>8963.8343561166403</v>
      </c>
      <c r="D29" s="54">
        <f>SUM(D27:D28)</f>
        <v>19962.848318726388</v>
      </c>
      <c r="E29" s="54">
        <f>SUM(E27:E28)</f>
        <v>19681.306256221611</v>
      </c>
      <c r="F29" s="99">
        <f>(D29-E29)/E29</f>
        <v>1.4305049616093283E-2</v>
      </c>
      <c r="G29" s="54">
        <f>SUM(G27:G28)</f>
        <v>93243.217665803604</v>
      </c>
      <c r="H29" s="54">
        <f>SUM(H27:H28)</f>
        <v>91301.151501024084</v>
      </c>
      <c r="I29" s="101">
        <f>(G29-H29)/H29</f>
        <v>2.1270993112915308E-2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7" t="s">
        <v>149</v>
      </c>
      <c r="C31" s="516"/>
      <c r="D31" s="517" t="s">
        <v>156</v>
      </c>
      <c r="E31" s="516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951848</v>
      </c>
      <c r="C32" s="392">
        <f>B32/C8</f>
        <v>0.61715057831445597</v>
      </c>
      <c r="D32" s="393">
        <f>+B32+'[2]Monthly Summary'!$D$32</f>
        <v>4692857</v>
      </c>
      <c r="E32" s="394">
        <f>+D32/D34</f>
        <v>0.64819818755888414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590479</v>
      </c>
      <c r="C33" s="397">
        <f>+B33/C8</f>
        <v>0.38284942168554398</v>
      </c>
      <c r="D33" s="398">
        <f>+B33+'[2]Monthly Summary'!$D$33</f>
        <v>2546992</v>
      </c>
      <c r="E33" s="399">
        <f>+D33/D34</f>
        <v>0.35180181244111586</v>
      </c>
      <c r="G33" s="408"/>
      <c r="H33" s="408"/>
      <c r="I33" s="407"/>
    </row>
    <row r="34" spans="1:14" ht="13.5" thickBot="1" x14ac:dyDescent="0.25">
      <c r="B34" s="309"/>
      <c r="D34" s="400">
        <f>SUM(D32:D33)</f>
        <v>7239849</v>
      </c>
    </row>
    <row r="35" spans="1:14" ht="13.5" thickBot="1" x14ac:dyDescent="0.25">
      <c r="B35" s="515" t="s">
        <v>229</v>
      </c>
      <c r="C35" s="516"/>
      <c r="D35" s="517" t="s">
        <v>213</v>
      </c>
      <c r="E35" s="516"/>
    </row>
    <row r="36" spans="1:14" x14ac:dyDescent="0.2">
      <c r="A36" s="390" t="s">
        <v>150</v>
      </c>
      <c r="B36" s="391">
        <f>'[1]Monthly Summary'!$B$32</f>
        <v>893040</v>
      </c>
      <c r="C36" s="392">
        <f>+B36/B38</f>
        <v>0.57942729453961273</v>
      </c>
      <c r="D36" s="393">
        <f>'[1]Monthly Summary'!$D$32</f>
        <v>4490287</v>
      </c>
      <c r="E36" s="394">
        <f>+D36/D38</f>
        <v>0.61926434443129375</v>
      </c>
    </row>
    <row r="37" spans="1:14" ht="13.5" thickBot="1" x14ac:dyDescent="0.25">
      <c r="A37" s="395" t="s">
        <v>151</v>
      </c>
      <c r="B37" s="396">
        <f>'[1]Monthly Summary'!$B$33</f>
        <v>648206</v>
      </c>
      <c r="C37" s="399">
        <f>+B37/B38</f>
        <v>0.42057270546038722</v>
      </c>
      <c r="D37" s="398">
        <f>'[1]Monthly Summary'!$D$33</f>
        <v>2760715</v>
      </c>
      <c r="E37" s="399">
        <f>+D37/D38</f>
        <v>0.38073565556870625</v>
      </c>
      <c r="M37" s="13"/>
    </row>
    <row r="38" spans="1:14" x14ac:dyDescent="0.2">
      <c r="B38" s="415">
        <f>+SUM(B36:B37)</f>
        <v>1541246</v>
      </c>
      <c r="D38" s="400">
        <f>SUM(D36:D37)</f>
        <v>7251002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A13" zoomScaleNormal="100" zoomScaleSheetLayoutView="100" workbookViewId="0">
      <selection activeCell="A27" sqref="A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43221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2" t="s">
        <v>144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4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[3]Delta!$FR$32</f>
        <v>67615</v>
      </c>
      <c r="C4" s="21">
        <f>'[3]Atlantic Southeast'!$FR$32</f>
        <v>0</v>
      </c>
      <c r="D4" s="21">
        <f>[3]Pinnacle!$FR$32</f>
        <v>3695</v>
      </c>
      <c r="E4" s="21">
        <f>[3]Compass!$FR$32</f>
        <v>0</v>
      </c>
      <c r="F4" s="21">
        <f>'[3]Sky West'!$FR$32</f>
        <v>11837</v>
      </c>
      <c r="G4" s="21">
        <f>'[3]Go Jet'!$FR$32</f>
        <v>3535</v>
      </c>
      <c r="H4" s="21">
        <f>'[3]Sun Country'!$FR$32</f>
        <v>2853</v>
      </c>
      <c r="I4" s="21">
        <f>[3]Icelandair!$FR$32</f>
        <v>4435</v>
      </c>
      <c r="J4" s="21">
        <f>[3]KLM!$FR$32</f>
        <v>3887</v>
      </c>
      <c r="K4" s="21">
        <f>'[3]Air Georgian'!$FR$32</f>
        <v>0</v>
      </c>
      <c r="L4" s="21">
        <f>'[3]Sky Regional'!$FR$32</f>
        <v>5017</v>
      </c>
      <c r="M4" s="21">
        <f>[3]Condor!$FR$32</f>
        <v>730</v>
      </c>
      <c r="N4" s="21">
        <f>'[3]Air France'!$FR$32</f>
        <v>3781</v>
      </c>
      <c r="O4" s="21">
        <f>'[3]Charter Misc'!$FR$32+[3]Ryan!$FR$32+[3]Omni!$FR$32</f>
        <v>0</v>
      </c>
      <c r="P4" s="281">
        <f>SUM(B4:O4)</f>
        <v>107385</v>
      </c>
    </row>
    <row r="5" spans="1:16" x14ac:dyDescent="0.2">
      <c r="A5" s="62" t="s">
        <v>31</v>
      </c>
      <c r="B5" s="14">
        <f>[3]Delta!$FR$33</f>
        <v>72768</v>
      </c>
      <c r="C5" s="14">
        <f>'[3]Atlantic Southeast'!$FR$33</f>
        <v>0</v>
      </c>
      <c r="D5" s="14">
        <f>[3]Pinnacle!$FR$33</f>
        <v>4029</v>
      </c>
      <c r="E5" s="14">
        <f>[3]Compass!$FR$33</f>
        <v>0</v>
      </c>
      <c r="F5" s="14">
        <f>'[3]Sky West'!$FR$33</f>
        <v>13215</v>
      </c>
      <c r="G5" s="14">
        <f>'[3]Go Jet'!$FR$33</f>
        <v>3400</v>
      </c>
      <c r="H5" s="14">
        <f>'[3]Sun Country'!$FR$33</f>
        <v>2375</v>
      </c>
      <c r="I5" s="14">
        <f>[3]Icelandair!$FR$33</f>
        <v>5599</v>
      </c>
      <c r="J5" s="14">
        <f>[3]KLM!$FR$33</f>
        <v>4354</v>
      </c>
      <c r="K5" s="14">
        <f>'[3]Air Georgian'!$FR$33</f>
        <v>0</v>
      </c>
      <c r="L5" s="14">
        <f>'[3]Sky Regional'!$FR$33</f>
        <v>5173</v>
      </c>
      <c r="M5" s="14">
        <f>[3]Condor!$FR$33</f>
        <v>972</v>
      </c>
      <c r="N5" s="14">
        <f>'[3]Air France'!$FR$33</f>
        <v>3802</v>
      </c>
      <c r="O5" s="14">
        <f>'[3]Charter Misc'!$FR$33++[3]Ryan!$FR$33+[3]Omni!$FR$33</f>
        <v>0</v>
      </c>
      <c r="P5" s="282">
        <f>SUM(B5:O5)</f>
        <v>115687</v>
      </c>
    </row>
    <row r="6" spans="1:16" ht="15" x14ac:dyDescent="0.25">
      <c r="A6" s="60" t="s">
        <v>7</v>
      </c>
      <c r="B6" s="34">
        <f t="shared" ref="B6:O6" si="0">SUM(B4:B5)</f>
        <v>140383</v>
      </c>
      <c r="C6" s="34">
        <f t="shared" si="0"/>
        <v>0</v>
      </c>
      <c r="D6" s="34">
        <f t="shared" si="0"/>
        <v>7724</v>
      </c>
      <c r="E6" s="34">
        <f t="shared" si="0"/>
        <v>0</v>
      </c>
      <c r="F6" s="34">
        <f t="shared" si="0"/>
        <v>25052</v>
      </c>
      <c r="G6" s="34">
        <f t="shared" ref="G6" si="1">SUM(G4:G5)</f>
        <v>6935</v>
      </c>
      <c r="H6" s="34">
        <f t="shared" si="0"/>
        <v>5228</v>
      </c>
      <c r="I6" s="34">
        <f t="shared" si="0"/>
        <v>10034</v>
      </c>
      <c r="J6" s="34">
        <f t="shared" ref="J6" si="2">SUM(J4:J5)</f>
        <v>8241</v>
      </c>
      <c r="K6" s="34">
        <f t="shared" si="0"/>
        <v>0</v>
      </c>
      <c r="L6" s="34">
        <f t="shared" ref="L6" si="3">SUM(L4:L5)</f>
        <v>10190</v>
      </c>
      <c r="M6" s="34">
        <f t="shared" ref="M6" si="4">SUM(M4:M5)</f>
        <v>1702</v>
      </c>
      <c r="N6" s="34">
        <f t="shared" si="0"/>
        <v>7583</v>
      </c>
      <c r="O6" s="34">
        <f t="shared" si="0"/>
        <v>0</v>
      </c>
      <c r="P6" s="283">
        <f>SUM(B6:O6)</f>
        <v>223072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[3]Delta!$FR$37</f>
        <v>20229</v>
      </c>
      <c r="C9" s="21">
        <f>'[3]Atlantic Southeast'!$FR$37</f>
        <v>0</v>
      </c>
      <c r="D9" s="21">
        <f>[3]Pinnacle!$FR$37</f>
        <v>57</v>
      </c>
      <c r="E9" s="21">
        <f>[3]Compass!$FR$37</f>
        <v>0</v>
      </c>
      <c r="F9" s="21">
        <f>'[3]Sky West'!$FR$37</f>
        <v>114</v>
      </c>
      <c r="G9" s="21">
        <f>'[3]Go Jet'!$FR$37</f>
        <v>60</v>
      </c>
      <c r="H9" s="21">
        <f>'[3]Sun Country'!$FR$37</f>
        <v>33</v>
      </c>
      <c r="I9" s="21">
        <f>[3]Icelandair!$FR$37</f>
        <v>75</v>
      </c>
      <c r="J9" s="21">
        <f>[3]KLM!$FR$37</f>
        <v>15</v>
      </c>
      <c r="K9" s="21">
        <f>'[3]Air Georgian'!$FR$37</f>
        <v>0</v>
      </c>
      <c r="L9" s="21">
        <f>'[3]Sky Regional'!$FR$37</f>
        <v>63</v>
      </c>
      <c r="M9" s="21">
        <f>[3]Condor!$FR$37</f>
        <v>5</v>
      </c>
      <c r="N9" s="21">
        <f>'[3]Air France'!$FR$37</f>
        <v>16</v>
      </c>
      <c r="O9" s="21">
        <f>'[3]Charter Misc'!$FR$37+[3]Ryan!$FR$37+[3]Omni!$FR$37</f>
        <v>0</v>
      </c>
      <c r="P9" s="281">
        <f>SUM(B9:O9)</f>
        <v>20667</v>
      </c>
    </row>
    <row r="10" spans="1:16" x14ac:dyDescent="0.2">
      <c r="A10" s="62" t="s">
        <v>33</v>
      </c>
      <c r="B10" s="14">
        <f>[3]Delta!$FR$38</f>
        <v>2116</v>
      </c>
      <c r="C10" s="14">
        <f>'[3]Atlantic Southeast'!$FR$38</f>
        <v>0</v>
      </c>
      <c r="D10" s="14">
        <f>[3]Pinnacle!$FR$38</f>
        <v>67</v>
      </c>
      <c r="E10" s="14">
        <f>[3]Compass!$FR$38</f>
        <v>0</v>
      </c>
      <c r="F10" s="14">
        <f>'[3]Sky West'!$FR$38</f>
        <v>124</v>
      </c>
      <c r="G10" s="14">
        <f>'[3]Go Jet'!$FR$38</f>
        <v>71</v>
      </c>
      <c r="H10" s="14">
        <f>'[3]Sun Country'!$FR$38</f>
        <v>27</v>
      </c>
      <c r="I10" s="14">
        <f>[3]Icelandair!$FR$38</f>
        <v>82</v>
      </c>
      <c r="J10" s="14">
        <f>[3]KLM!$FR$38</f>
        <v>16</v>
      </c>
      <c r="K10" s="14">
        <f>'[3]Air Georgian'!$FR$38</f>
        <v>0</v>
      </c>
      <c r="L10" s="14">
        <f>'[3]Sky Regional'!$FR$38</f>
        <v>75</v>
      </c>
      <c r="M10" s="14">
        <f>[3]Condor!$FR$38</f>
        <v>4</v>
      </c>
      <c r="N10" s="14">
        <f>'[3]Air France'!$FR$38</f>
        <v>13</v>
      </c>
      <c r="O10" s="14">
        <f>'[3]Charter Misc'!$FR$38+[3]Ryan!$FR$38+[3]Omni!$FR$38</f>
        <v>0</v>
      </c>
      <c r="P10" s="282">
        <f>SUM(B10:O10)</f>
        <v>2595</v>
      </c>
    </row>
    <row r="11" spans="1:16" ht="15.75" thickBot="1" x14ac:dyDescent="0.3">
      <c r="A11" s="63" t="s">
        <v>34</v>
      </c>
      <c r="B11" s="284">
        <f t="shared" ref="B11:H11" si="5">SUM(B9:B10)</f>
        <v>22345</v>
      </c>
      <c r="C11" s="284">
        <f t="shared" si="5"/>
        <v>0</v>
      </c>
      <c r="D11" s="284">
        <f t="shared" si="5"/>
        <v>124</v>
      </c>
      <c r="E11" s="284">
        <f t="shared" si="5"/>
        <v>0</v>
      </c>
      <c r="F11" s="284">
        <f t="shared" si="5"/>
        <v>238</v>
      </c>
      <c r="G11" s="284">
        <f t="shared" ref="G11" si="6">SUM(G9:G10)</f>
        <v>131</v>
      </c>
      <c r="H11" s="284">
        <f t="shared" si="5"/>
        <v>60</v>
      </c>
      <c r="I11" s="284">
        <f t="shared" ref="I11:O11" si="7">SUM(I9:I10)</f>
        <v>157</v>
      </c>
      <c r="J11" s="284">
        <f t="shared" ref="J11" si="8">SUM(J9:J10)</f>
        <v>31</v>
      </c>
      <c r="K11" s="284">
        <f t="shared" si="7"/>
        <v>0</v>
      </c>
      <c r="L11" s="284">
        <f t="shared" ref="L11" si="9">SUM(L9:L10)</f>
        <v>138</v>
      </c>
      <c r="M11" s="284">
        <f t="shared" si="7"/>
        <v>9</v>
      </c>
      <c r="N11" s="284">
        <f t="shared" si="7"/>
        <v>29</v>
      </c>
      <c r="O11" s="284">
        <f t="shared" si="7"/>
        <v>0</v>
      </c>
      <c r="P11" s="285">
        <f>SUM(B11:O11)</f>
        <v>23262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5" t="s">
        <v>146</v>
      </c>
      <c r="B14" s="556"/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7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SUM([3]Delta!$FN$32:$FR$32)</f>
        <v>415266</v>
      </c>
      <c r="C16" s="21">
        <f>SUM('[3]Atlantic Southeast'!$FN$32:$FR$32)</f>
        <v>2369</v>
      </c>
      <c r="D16" s="21">
        <f>SUM([3]Pinnacle!$FN$32:$FR$32)</f>
        <v>24894</v>
      </c>
      <c r="E16" s="21">
        <f>SUM([3]Compass!$FN$32:$FR$32)</f>
        <v>0</v>
      </c>
      <c r="F16" s="21">
        <f>SUM('[3]Sky West'!$FN$32:$FR$32)</f>
        <v>59694</v>
      </c>
      <c r="G16" s="21">
        <f>SUM('[3]Go Jet'!$FN$32:$FR$32)</f>
        <v>12811</v>
      </c>
      <c r="H16" s="21">
        <f>SUM('[3]Sun Country'!$FN$32:$FR$32)</f>
        <v>122848</v>
      </c>
      <c r="I16" s="21">
        <f>SUM([3]Icelandair!$FN$32:$FR$32)</f>
        <v>9978</v>
      </c>
      <c r="J16" s="21">
        <f>SUM([3]KLM!$FN$32:$FR$32)</f>
        <v>14888</v>
      </c>
      <c r="K16" s="21">
        <f>SUM('[3]Air Georgian'!$FN$32:$FR$32)</f>
        <v>0</v>
      </c>
      <c r="L16" s="21">
        <f>SUM('[3]Sky Regional'!$FN$32:$FR$32)</f>
        <v>21746</v>
      </c>
      <c r="M16" s="21">
        <f>SUM([3]Condor!$FN$32:$FR$32)</f>
        <v>730</v>
      </c>
      <c r="N16" s="21">
        <f>SUM('[3]Air France'!$FN$32:$FR$32)</f>
        <v>3781</v>
      </c>
      <c r="O16" s="21">
        <f>SUM('[3]Charter Misc'!$FN$32:$FR$32)+SUM([3]Ryan!$FN$32:$FR$32)+SUM([3]Omni!$FN$32:$FR$32)</f>
        <v>37</v>
      </c>
      <c r="P16" s="281">
        <f>SUM(B16:O16)</f>
        <v>689042</v>
      </c>
    </row>
    <row r="17" spans="1:19" x14ac:dyDescent="0.2">
      <c r="A17" s="62" t="s">
        <v>31</v>
      </c>
      <c r="B17" s="14">
        <f>SUM([3]Delta!$FN$33:$FR$33)</f>
        <v>406008</v>
      </c>
      <c r="C17" s="14">
        <f>SUM('[3]Atlantic Southeast'!$FN$33:$FR$33)</f>
        <v>3166</v>
      </c>
      <c r="D17" s="14">
        <f>SUM([3]Pinnacle!$FN$33:$FR$33)</f>
        <v>25358</v>
      </c>
      <c r="E17" s="14">
        <f>SUM([3]Compass!$FN$33:$FR$33)</f>
        <v>0</v>
      </c>
      <c r="F17" s="14">
        <f>SUM('[3]Sky West'!$FN$33:$FR$33)</f>
        <v>62295</v>
      </c>
      <c r="G17" s="14">
        <f>SUM('[3]Go Jet'!$FN$33:$FR$33)</f>
        <v>11842</v>
      </c>
      <c r="H17" s="14">
        <f>SUM('[3]Sun Country'!$FN$33:$FR$33)</f>
        <v>116472</v>
      </c>
      <c r="I17" s="14">
        <f>SUM([3]Icelandair!$FN$33:$FR$33)</f>
        <v>11391</v>
      </c>
      <c r="J17" s="14">
        <f>SUM([3]KLM!$FN$33:$FR$33)</f>
        <v>13365</v>
      </c>
      <c r="K17" s="14">
        <f>SUM('[3]Air Georgian'!$FN$33:$FR$33)</f>
        <v>0</v>
      </c>
      <c r="L17" s="14">
        <f>SUM('[3]Sky Regional'!$FN$33:$FR$33)</f>
        <v>20961</v>
      </c>
      <c r="M17" s="14">
        <f>SUM([3]Condor!$FN$33:$FR$33)</f>
        <v>972</v>
      </c>
      <c r="N17" s="14">
        <f>SUM('[3]Air France'!$FN$33:$FR$33)</f>
        <v>3802</v>
      </c>
      <c r="O17" s="14">
        <f>SUM('[3]Charter Misc'!$FN$33:$FR$33)++SUM([3]Ryan!$FN$33:$FR$33)+SUM([3]Omni!$FN$33:$FR$33)</f>
        <v>0</v>
      </c>
      <c r="P17" s="282">
        <f>SUM(B17:O17)</f>
        <v>675632</v>
      </c>
    </row>
    <row r="18" spans="1:19" ht="15" x14ac:dyDescent="0.25">
      <c r="A18" s="60" t="s">
        <v>7</v>
      </c>
      <c r="B18" s="34">
        <f t="shared" ref="B18:O18" si="10">SUM(B16:B17)</f>
        <v>821274</v>
      </c>
      <c r="C18" s="34">
        <f t="shared" si="10"/>
        <v>5535</v>
      </c>
      <c r="D18" s="34">
        <f t="shared" si="10"/>
        <v>50252</v>
      </c>
      <c r="E18" s="34">
        <f t="shared" si="10"/>
        <v>0</v>
      </c>
      <c r="F18" s="34">
        <f t="shared" si="10"/>
        <v>121989</v>
      </c>
      <c r="G18" s="34">
        <f t="shared" ref="G18" si="11">SUM(G16:G17)</f>
        <v>24653</v>
      </c>
      <c r="H18" s="34">
        <f t="shared" si="10"/>
        <v>239320</v>
      </c>
      <c r="I18" s="34">
        <f t="shared" si="10"/>
        <v>21369</v>
      </c>
      <c r="J18" s="34">
        <f t="shared" ref="J18" si="12">SUM(J16:J17)</f>
        <v>28253</v>
      </c>
      <c r="K18" s="34">
        <f t="shared" si="10"/>
        <v>0</v>
      </c>
      <c r="L18" s="34">
        <f t="shared" ref="L18" si="13">SUM(L16:L17)</f>
        <v>42707</v>
      </c>
      <c r="M18" s="34">
        <f t="shared" ref="M18" si="14">SUM(M16:M17)</f>
        <v>1702</v>
      </c>
      <c r="N18" s="34">
        <f t="shared" si="10"/>
        <v>7583</v>
      </c>
      <c r="O18" s="34">
        <f t="shared" si="10"/>
        <v>37</v>
      </c>
      <c r="P18" s="283">
        <f>SUM(B18:O18)</f>
        <v>1364674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SUM([3]Delta!$FN$37:$FR$37)</f>
        <v>29228</v>
      </c>
      <c r="C21" s="21">
        <f>SUM('[3]Atlantic Southeast'!$FN$37:$FR$37)</f>
        <v>48</v>
      </c>
      <c r="D21" s="21">
        <f>SUM([3]Pinnacle!$FN$37:$FR$37)</f>
        <v>398</v>
      </c>
      <c r="E21" s="21">
        <f>SUM([3]Compass!$FN$37:$FR$37)</f>
        <v>0</v>
      </c>
      <c r="F21" s="21">
        <f>SUM('[3]Sky West'!$FN$37:$FR$37)</f>
        <v>586</v>
      </c>
      <c r="G21" s="21">
        <f>SUM('[3]Go Jet'!$FN$37:$FR$37)</f>
        <v>195</v>
      </c>
      <c r="H21" s="21">
        <f>SUM('[3]Sun Country'!$FN$37:$FR$37)</f>
        <v>766</v>
      </c>
      <c r="I21" s="21">
        <f>SUM([3]Icelandair!$FN$37:$FR$37)</f>
        <v>222</v>
      </c>
      <c r="J21" s="21">
        <f>SUM([3]KLM!$FN$37:$FR$37)</f>
        <v>111</v>
      </c>
      <c r="K21" s="21">
        <f>SUM('[3]Air Georgian'!$FN$37:$FR$37)</f>
        <v>0</v>
      </c>
      <c r="L21" s="21">
        <f>SUM('[3]Sky Regional'!$FN$37:$FR$37)</f>
        <v>261</v>
      </c>
      <c r="M21" s="21">
        <f>SUM([3]Condor!$FN$37:$FR$37)</f>
        <v>5</v>
      </c>
      <c r="N21" s="21">
        <f>SUM('[3]Air France'!$FN$37:$FR$37)</f>
        <v>16</v>
      </c>
      <c r="O21" s="21">
        <f>SUM('[3]Charter Misc'!$FN$37:$FR$37)++SUM([3]Ryan!$FN$37:$FR$37)+SUM([3]Omni!$FN$37:$FR$37)</f>
        <v>0</v>
      </c>
      <c r="P21" s="281">
        <f>SUM(B21:O21)</f>
        <v>31836</v>
      </c>
    </row>
    <row r="22" spans="1:19" x14ac:dyDescent="0.2">
      <c r="A22" s="62" t="s">
        <v>33</v>
      </c>
      <c r="B22" s="14">
        <f>SUM([3]Delta!$FN$38:$FR$38)</f>
        <v>11251</v>
      </c>
      <c r="C22" s="14">
        <f>SUM('[3]Atlantic Southeast'!$FN$38:$FR$38)</f>
        <v>35</v>
      </c>
      <c r="D22" s="14">
        <f>SUM([3]Pinnacle!$FN$38:$FR$38)</f>
        <v>393</v>
      </c>
      <c r="E22" s="14">
        <f>SUM([3]Compass!$FN$38:$FR$38)</f>
        <v>0</v>
      </c>
      <c r="F22" s="14">
        <f>SUM('[3]Sky West'!$FN$38:$FR$38)</f>
        <v>585</v>
      </c>
      <c r="G22" s="14">
        <f>SUM('[3]Go Jet'!$FN$38:$FR$38)</f>
        <v>225</v>
      </c>
      <c r="H22" s="14">
        <f>SUM('[3]Sun Country'!$FN$38:$FR$38)</f>
        <v>925</v>
      </c>
      <c r="I22" s="14">
        <f>SUM([3]Icelandair!$FN$38:$FR$38)</f>
        <v>209</v>
      </c>
      <c r="J22" s="14">
        <f>SUM([3]KLM!$FN$38:$FR$38)</f>
        <v>98</v>
      </c>
      <c r="K22" s="14">
        <f>SUM('[3]Air Georgian'!$FN$38:$FR$38)</f>
        <v>0</v>
      </c>
      <c r="L22" s="14">
        <f>SUM('[3]Sky Regional'!$FN$38:$FR$38)</f>
        <v>284</v>
      </c>
      <c r="M22" s="14">
        <f>SUM([3]Condor!$FN$38:$FR$38)</f>
        <v>4</v>
      </c>
      <c r="N22" s="14">
        <f>SUM('[3]Air France'!$FN$38:$FR$38)</f>
        <v>13</v>
      </c>
      <c r="O22" s="14">
        <f>SUM('[3]Charter Misc'!$FN$38:$FR$38)++SUM([3]Ryan!$FN$38:$FR$38)+SUM([3]Omni!$FN$38:$FR$38)</f>
        <v>0</v>
      </c>
      <c r="P22" s="282">
        <f>SUM(B22:O22)</f>
        <v>14022</v>
      </c>
    </row>
    <row r="23" spans="1:19" ht="15.75" thickBot="1" x14ac:dyDescent="0.3">
      <c r="A23" s="63" t="s">
        <v>34</v>
      </c>
      <c r="B23" s="284">
        <f t="shared" ref="B23:O23" si="15">SUM(B21:B22)</f>
        <v>40479</v>
      </c>
      <c r="C23" s="284">
        <f t="shared" si="15"/>
        <v>83</v>
      </c>
      <c r="D23" s="284">
        <f t="shared" si="15"/>
        <v>791</v>
      </c>
      <c r="E23" s="284">
        <f t="shared" si="15"/>
        <v>0</v>
      </c>
      <c r="F23" s="284">
        <f t="shared" si="15"/>
        <v>1171</v>
      </c>
      <c r="G23" s="284">
        <f t="shared" ref="G23" si="16">SUM(G21:G22)</f>
        <v>420</v>
      </c>
      <c r="H23" s="284">
        <f t="shared" si="15"/>
        <v>1691</v>
      </c>
      <c r="I23" s="284">
        <f t="shared" si="15"/>
        <v>431</v>
      </c>
      <c r="J23" s="284">
        <f t="shared" ref="J23" si="17">SUM(J21:J22)</f>
        <v>209</v>
      </c>
      <c r="K23" s="284">
        <f t="shared" si="15"/>
        <v>0</v>
      </c>
      <c r="L23" s="284">
        <f t="shared" ref="L23" si="18">SUM(L21:L22)</f>
        <v>545</v>
      </c>
      <c r="M23" s="284">
        <f t="shared" ref="M23" si="19">SUM(M21:M22)</f>
        <v>9</v>
      </c>
      <c r="N23" s="284">
        <f t="shared" si="15"/>
        <v>29</v>
      </c>
      <c r="O23" s="284">
        <f t="shared" si="15"/>
        <v>0</v>
      </c>
      <c r="P23" s="285">
        <f>SUM(B23:O23)</f>
        <v>45858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58" t="s">
        <v>147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60"/>
    </row>
    <row r="27" spans="1:19" x14ac:dyDescent="0.2">
      <c r="A27" s="62" t="s">
        <v>22</v>
      </c>
      <c r="B27" s="21">
        <f>[3]Delta!$FR$15</f>
        <v>409</v>
      </c>
      <c r="C27" s="21">
        <f>'[3]Atlantic Southeast'!$FR$15</f>
        <v>0</v>
      </c>
      <c r="D27" s="21">
        <f>[3]Pinnacle!$FR$15</f>
        <v>61</v>
      </c>
      <c r="E27" s="21">
        <f>[3]Compass!$FR$15</f>
        <v>0</v>
      </c>
      <c r="F27" s="21">
        <f>'[3]Sky West'!$FR$15</f>
        <v>199</v>
      </c>
      <c r="G27" s="21">
        <f>'[3]Go Jet'!$FR$15</f>
        <v>55</v>
      </c>
      <c r="H27" s="21">
        <f>'[3]Sun Country'!$FR$15</f>
        <v>27</v>
      </c>
      <c r="I27" s="21">
        <f>[3]Icelandair!$FR$15</f>
        <v>37</v>
      </c>
      <c r="J27" s="21">
        <f>[3]KLM!$FR$15</f>
        <v>17</v>
      </c>
      <c r="K27" s="21">
        <f>'[3]Air Georgian'!$FR$15</f>
        <v>0</v>
      </c>
      <c r="L27" s="21">
        <f>'[3]Sky Regional'!$FR$15</f>
        <v>91</v>
      </c>
      <c r="M27" s="21">
        <f>[3]Condor!$FR$15</f>
        <v>4</v>
      </c>
      <c r="N27" s="21">
        <f>'[3]Air France'!$FR$15</f>
        <v>20</v>
      </c>
      <c r="O27" s="21">
        <f>'[3]Charter Misc'!$FR$15+[3]Ryan!$FR$15+[3]Omni!$FR$15</f>
        <v>0</v>
      </c>
      <c r="P27" s="281">
        <f>SUM(B27:O27)</f>
        <v>920</v>
      </c>
    </row>
    <row r="28" spans="1:19" x14ac:dyDescent="0.2">
      <c r="A28" s="62" t="s">
        <v>23</v>
      </c>
      <c r="B28" s="21">
        <f>[3]Delta!$FR$16</f>
        <v>409</v>
      </c>
      <c r="C28" s="21">
        <f>'[3]Atlantic Southeast'!$FR$16</f>
        <v>0</v>
      </c>
      <c r="D28" s="21">
        <f>[3]Pinnacle!$FR$16</f>
        <v>62</v>
      </c>
      <c r="E28" s="21">
        <f>[3]Compass!$FR$16</f>
        <v>0</v>
      </c>
      <c r="F28" s="21">
        <f>'[3]Sky West'!$FR$16</f>
        <v>203</v>
      </c>
      <c r="G28" s="21">
        <f>'[3]Go Jet'!$FR$16</f>
        <v>52</v>
      </c>
      <c r="H28" s="21">
        <f>'[3]Sun Country'!$FR$16</f>
        <v>26</v>
      </c>
      <c r="I28" s="21">
        <f>[3]Icelandair!$FR$16</f>
        <v>37</v>
      </c>
      <c r="J28" s="21">
        <f>[3]KLM!$FR$16</f>
        <v>17</v>
      </c>
      <c r="K28" s="21">
        <f>'[3]Air Georgian'!$FR$16</f>
        <v>0</v>
      </c>
      <c r="L28" s="21">
        <f>'[3]Sky Regional'!$FR$16</f>
        <v>91</v>
      </c>
      <c r="M28" s="21">
        <f>[3]Condor!$FR$16</f>
        <v>4</v>
      </c>
      <c r="N28" s="21">
        <f>'[3]Air France'!$FR$16</f>
        <v>20</v>
      </c>
      <c r="O28" s="21">
        <f>'[3]Charter Misc'!$FR$16+[3]Ryan!$FR$16+[3]Omni!$FR$16</f>
        <v>0</v>
      </c>
      <c r="P28" s="281">
        <f>SUM(B28:O28)</f>
        <v>921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818</v>
      </c>
      <c r="C30" s="381">
        <f t="shared" si="20"/>
        <v>0</v>
      </c>
      <c r="D30" s="381">
        <f t="shared" si="20"/>
        <v>123</v>
      </c>
      <c r="E30" s="381">
        <f t="shared" si="20"/>
        <v>0</v>
      </c>
      <c r="F30" s="381">
        <f>SUM(F27:F28)</f>
        <v>402</v>
      </c>
      <c r="G30" s="381">
        <f>SUM(G27:G28)</f>
        <v>107</v>
      </c>
      <c r="H30" s="381">
        <f t="shared" si="20"/>
        <v>53</v>
      </c>
      <c r="I30" s="381">
        <f t="shared" si="20"/>
        <v>74</v>
      </c>
      <c r="J30" s="381">
        <f t="shared" ref="J30" si="21">SUM(J27:J28)</f>
        <v>34</v>
      </c>
      <c r="K30" s="381">
        <f t="shared" si="20"/>
        <v>0</v>
      </c>
      <c r="L30" s="381">
        <f t="shared" ref="L30" si="22">SUM(L27:L28)</f>
        <v>182</v>
      </c>
      <c r="M30" s="381">
        <f>SUM(M27:M28)</f>
        <v>8</v>
      </c>
      <c r="N30" s="381">
        <f>SUM(N27:N28)</f>
        <v>40</v>
      </c>
      <c r="O30" s="381">
        <f>SUM(O27:O28)</f>
        <v>0</v>
      </c>
      <c r="P30" s="382">
        <f>SUM(B30:O30)</f>
        <v>1841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1" t="s">
        <v>148</v>
      </c>
      <c r="B33" s="562"/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562"/>
      <c r="P33" s="563"/>
    </row>
    <row r="34" spans="1:16" x14ac:dyDescent="0.2">
      <c r="A34" s="62" t="s">
        <v>22</v>
      </c>
      <c r="B34" s="21">
        <f>SUM([3]Delta!$FN$15:$FR$15)</f>
        <v>2555</v>
      </c>
      <c r="C34" s="21">
        <f>SUM('[3]Atlantic Southeast'!$FN$15:$FR$15)</f>
        <v>45</v>
      </c>
      <c r="D34" s="21">
        <f>SUM([3]Pinnacle!$FN$15:$FR$15)</f>
        <v>393</v>
      </c>
      <c r="E34" s="21">
        <f>SUM([3]Compass!$FN$15:$FR$15)</f>
        <v>1</v>
      </c>
      <c r="F34" s="21">
        <f>SUM('[3]Sky West'!$FN$15:$FR$15)</f>
        <v>981</v>
      </c>
      <c r="G34" s="21">
        <f>SUM('[3]Go Jet'!$FN$15:$FR$15)</f>
        <v>204</v>
      </c>
      <c r="H34" s="21">
        <f>SUM('[3]Sun Country'!$FN$15:$FR$15)</f>
        <v>1002</v>
      </c>
      <c r="I34" s="21">
        <f>SUM([3]Icelandair!$FN$15:$FR$15)</f>
        <v>79</v>
      </c>
      <c r="J34" s="21">
        <f>SUM([3]KLM!$FN$15:$FR$15)</f>
        <v>64</v>
      </c>
      <c r="K34" s="21">
        <f>SUM('[3]Air Georgian'!$FN$15:$FR$15)</f>
        <v>0</v>
      </c>
      <c r="L34" s="21">
        <f>SUM('[3]Sky Regional'!$FN$15:$FR$15)</f>
        <v>413</v>
      </c>
      <c r="M34" s="21">
        <f>SUM([3]Condor!$FN$15:$FR$15)</f>
        <v>4</v>
      </c>
      <c r="N34" s="21">
        <f>SUM('[3]Air France'!$FN$15:$FR$15)</f>
        <v>20</v>
      </c>
      <c r="O34" s="21">
        <f>SUM('[3]Charter Misc'!$FN$15:$FR$15)+SUM([3]Ryan!$FN$15:$FR$15)+SUM([3]Omni!$FN$15:$FR$15)</f>
        <v>0</v>
      </c>
      <c r="P34" s="281">
        <f>SUM(B34:O34)</f>
        <v>5761</v>
      </c>
    </row>
    <row r="35" spans="1:16" x14ac:dyDescent="0.2">
      <c r="A35" s="62" t="s">
        <v>23</v>
      </c>
      <c r="B35" s="21">
        <f>SUM([3]Delta!$FN$16:$FR$16)</f>
        <v>2575</v>
      </c>
      <c r="C35" s="21">
        <f>SUM('[3]Atlantic Southeast'!$FN$16:$FR$16)</f>
        <v>54</v>
      </c>
      <c r="D35" s="21">
        <f>SUM([3]Pinnacle!$FN$16:$FR$16)</f>
        <v>392</v>
      </c>
      <c r="E35" s="21">
        <f>SUM([3]Compass!$FN$16:$FR$16)</f>
        <v>0</v>
      </c>
      <c r="F35" s="21">
        <f>SUM('[3]Sky West'!$FN$16:$FR$16)</f>
        <v>988</v>
      </c>
      <c r="G35" s="21">
        <f>SUM('[3]Go Jet'!$FN$16:$FR$16)</f>
        <v>198</v>
      </c>
      <c r="H35" s="21">
        <f>SUM('[3]Sun Country'!$FN$16:$FR$16)</f>
        <v>995</v>
      </c>
      <c r="I35" s="21">
        <f>SUM([3]Icelandair!$FN$16:$FR$16)</f>
        <v>79</v>
      </c>
      <c r="J35" s="21">
        <f>SUM([3]KLM!$FN$16:$FR$16)</f>
        <v>64</v>
      </c>
      <c r="K35" s="21">
        <f>SUM('[3]Air Georgian'!$FN$16:$FR$16)</f>
        <v>0</v>
      </c>
      <c r="L35" s="21">
        <f>SUM('[3]Sky Regional'!$FN$16:$FR$16)</f>
        <v>413</v>
      </c>
      <c r="M35" s="21">
        <f>SUM([3]Condor!$FN$16:$FR$16)</f>
        <v>4</v>
      </c>
      <c r="N35" s="21">
        <f>SUM('[3]Air France'!$FN$16:$FR$16)</f>
        <v>20</v>
      </c>
      <c r="O35" s="21">
        <f>SUM('[3]Charter Misc'!$FN$16:$FR$16)+SUM([3]Ryan!$FN$16:$FR$16)+SUM([3]Omni!$FN$16:$FR$16)</f>
        <v>0</v>
      </c>
      <c r="P35" s="281">
        <f>SUM(B35:O35)</f>
        <v>5782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5130</v>
      </c>
      <c r="C37" s="381">
        <f t="shared" si="23"/>
        <v>99</v>
      </c>
      <c r="D37" s="381">
        <f t="shared" si="23"/>
        <v>785</v>
      </c>
      <c r="E37" s="381">
        <f t="shared" si="23"/>
        <v>1</v>
      </c>
      <c r="F37" s="381">
        <f>+SUM(F34:F35)</f>
        <v>1969</v>
      </c>
      <c r="G37" s="381">
        <f>+SUM(G34:G35)</f>
        <v>402</v>
      </c>
      <c r="H37" s="381">
        <f t="shared" si="23"/>
        <v>1997</v>
      </c>
      <c r="I37" s="381">
        <f t="shared" si="23"/>
        <v>158</v>
      </c>
      <c r="J37" s="381">
        <f t="shared" ref="J37" si="24">+SUM(J34:J35)</f>
        <v>128</v>
      </c>
      <c r="K37" s="381">
        <f t="shared" si="23"/>
        <v>0</v>
      </c>
      <c r="L37" s="381">
        <f t="shared" ref="L37" si="25">+SUM(L34:L35)</f>
        <v>826</v>
      </c>
      <c r="M37" s="381">
        <f>+SUM(M34:M35)</f>
        <v>8</v>
      </c>
      <c r="N37" s="381">
        <f>+SUM(N34:N35)</f>
        <v>40</v>
      </c>
      <c r="O37" s="381">
        <f>+SUM(O34:O35)</f>
        <v>0</v>
      </c>
      <c r="P37" s="382">
        <f>SUM(B37:O37)</f>
        <v>11543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&amp;"Arial,Bold"May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3"/>
  <sheetViews>
    <sheetView topLeftCell="A37" zoomScaleNormal="100" zoomScaleSheetLayoutView="85" workbookViewId="0">
      <selection activeCell="L72" sqref="L72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7" t="s">
        <v>135</v>
      </c>
      <c r="B1" s="568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3" t="s">
        <v>139</v>
      </c>
      <c r="K1" s="574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69">
        <v>43221</v>
      </c>
      <c r="B2" s="570"/>
      <c r="C2" s="571" t="s">
        <v>9</v>
      </c>
      <c r="D2" s="572"/>
      <c r="E2" s="572"/>
      <c r="F2" s="572"/>
      <c r="G2" s="572"/>
      <c r="H2" s="572"/>
      <c r="I2" s="454"/>
      <c r="J2" s="569">
        <f>+A2</f>
        <v>43221</v>
      </c>
      <c r="K2" s="570"/>
      <c r="L2" s="564" t="s">
        <v>141</v>
      </c>
      <c r="M2" s="565"/>
      <c r="N2" s="565"/>
      <c r="O2" s="565"/>
      <c r="P2" s="565"/>
      <c r="Q2" s="565"/>
      <c r="R2" s="566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182</v>
      </c>
      <c r="D4" s="352">
        <f>SUM(D5:D7)</f>
        <v>182</v>
      </c>
      <c r="E4" s="353">
        <f>(C4-D4)/D4</f>
        <v>0</v>
      </c>
      <c r="F4" s="350">
        <f>SUM(F5:F7)</f>
        <v>826</v>
      </c>
      <c r="G4" s="352">
        <f>SUM(G5:G7)</f>
        <v>856</v>
      </c>
      <c r="H4" s="351">
        <f>(F4-G4)/G4</f>
        <v>-3.5046728971962614E-2</v>
      </c>
      <c r="I4" s="353">
        <f>F4/$F$66</f>
        <v>5.5305957107752877E-3</v>
      </c>
      <c r="J4" s="349" t="s">
        <v>101</v>
      </c>
      <c r="K4" s="55"/>
      <c r="L4" s="350">
        <f>SUM(L5:L7)</f>
        <v>10190</v>
      </c>
      <c r="M4" s="352">
        <f>SUM(M5:M7)</f>
        <v>7632</v>
      </c>
      <c r="N4" s="353">
        <f>(L4-M4)/M4</f>
        <v>0.33516771488469604</v>
      </c>
      <c r="O4" s="350">
        <f>SUM(O5:O7)</f>
        <v>42707</v>
      </c>
      <c r="P4" s="352">
        <f>SUM(P5:P7)</f>
        <v>33624</v>
      </c>
      <c r="Q4" s="351">
        <f>(O4-P4)/P4</f>
        <v>0.27013442778967406</v>
      </c>
      <c r="R4" s="353">
        <f>O4/$O$66</f>
        <v>2.9411995620465905E-3</v>
      </c>
      <c r="S4" s="20"/>
    </row>
    <row r="5" spans="1:19" ht="14.1" customHeight="1" x14ac:dyDescent="0.2">
      <c r="A5" s="349"/>
      <c r="B5" s="425" t="s">
        <v>101</v>
      </c>
      <c r="C5" s="354">
        <f>+[3]AirCanada!$FR$19</f>
        <v>0</v>
      </c>
      <c r="D5" s="9">
        <f>+[3]AirCanada!$FD$19</f>
        <v>0</v>
      </c>
      <c r="E5" s="86" t="e">
        <f>(C5-D5)/D5</f>
        <v>#DIV/0!</v>
      </c>
      <c r="F5" s="295">
        <f>SUM([3]AirCanada!$FN$19:$FR$19)</f>
        <v>0</v>
      </c>
      <c r="G5" s="295">
        <f>SUM([3]AirCanada!$EZ$19:$FD$19)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+[3]AirCanada!$FR$41</f>
        <v>0</v>
      </c>
      <c r="M5" s="295">
        <f>+[3]AirCanada!$FD$41</f>
        <v>0</v>
      </c>
      <c r="N5" s="433" t="e">
        <f>(L5-M5)/M5</f>
        <v>#DIV/0!</v>
      </c>
      <c r="O5" s="431">
        <f>SUM([3]AirCanada!$FN$41:$FR$41)</f>
        <v>0</v>
      </c>
      <c r="P5" s="295">
        <f>SUM([3]AirCanada!$EZ$41:$FD$41)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Georgian'!$FR$19</f>
        <v>0</v>
      </c>
      <c r="D6" s="9">
        <f>'[3]Air Georgian'!$FD$19</f>
        <v>182</v>
      </c>
      <c r="E6" s="86">
        <f>(C6-D6)/D6</f>
        <v>-1</v>
      </c>
      <c r="F6" s="295">
        <f>SUM('[3]Air Georgian'!$FN$19:$FR$19)</f>
        <v>0</v>
      </c>
      <c r="G6" s="295">
        <f>SUM('[3]Air Georgian'!$EZ$19:$FD$19)</f>
        <v>856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Georgian'!$FR$41</f>
        <v>0</v>
      </c>
      <c r="M6" s="9">
        <f>'[3]Air Georgian'!$FD$41</f>
        <v>7632</v>
      </c>
      <c r="N6" s="86">
        <f>(L6-M6)/M6</f>
        <v>-1</v>
      </c>
      <c r="O6" s="354">
        <f>SUM('[3]Air Georgian'!$FN$41:$FR$41)</f>
        <v>0</v>
      </c>
      <c r="P6" s="9">
        <f>SUM('[3]Air Georgian'!$EZ$41:$FD$41)</f>
        <v>33624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Regional'!$FR$19</f>
        <v>182</v>
      </c>
      <c r="D7" s="9">
        <f>'[3]Sky Regional'!$FD$19</f>
        <v>0</v>
      </c>
      <c r="E7" s="86" t="e">
        <f>(C7-D7)/D7</f>
        <v>#DIV/0!</v>
      </c>
      <c r="F7" s="295">
        <f>SUM('[3]Sky Regional'!$FN$19:$FR$19)</f>
        <v>826</v>
      </c>
      <c r="G7" s="295">
        <f>SUM('[3]Sky Regional'!$EZ$19:$FD$19)</f>
        <v>0</v>
      </c>
      <c r="H7" s="432" t="e">
        <f>(F7-G7)/G7</f>
        <v>#DIV/0!</v>
      </c>
      <c r="I7" s="86">
        <f>F7/$F$66</f>
        <v>5.5305957107752877E-3</v>
      </c>
      <c r="J7" s="349"/>
      <c r="K7" s="425" t="s">
        <v>214</v>
      </c>
      <c r="L7" s="354">
        <f>'[3]Sky Regional'!$FR$41</f>
        <v>10190</v>
      </c>
      <c r="M7" s="9">
        <f>'[3]Sky Regional'!$FD$41</f>
        <v>0</v>
      </c>
      <c r="N7" s="86" t="e">
        <f>(L7-M7)/M7</f>
        <v>#DIV/0!</v>
      </c>
      <c r="O7" s="354">
        <f>SUM('[3]Sky Regional'!$FN$41:$FR$41)</f>
        <v>42707</v>
      </c>
      <c r="P7" s="9">
        <f>SUM('[3]Sky Regional'!$EZ$41:$FD$41)</f>
        <v>0</v>
      </c>
      <c r="Q7" s="39" t="e">
        <f>(O7-P7)/P7</f>
        <v>#DIV/0!</v>
      </c>
      <c r="R7" s="86">
        <f>O7/$O$66</f>
        <v>2.9411995620465905E-3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One'!$FR$19</f>
        <v>200</v>
      </c>
      <c r="D9" s="352">
        <f>'[3]Air Choice One'!$FD$19</f>
        <v>260</v>
      </c>
      <c r="E9" s="353">
        <f>(C9-D9)/D9</f>
        <v>-0.23076923076923078</v>
      </c>
      <c r="F9" s="352">
        <f>SUM('[3]Air Choice One'!$FN$19:$FR$19)</f>
        <v>1016</v>
      </c>
      <c r="G9" s="352">
        <f>SUM('[3]Air Choice One'!$EZ$19:$FD$19)</f>
        <v>1218</v>
      </c>
      <c r="H9" s="351">
        <f>(F9-G9)/G9</f>
        <v>-0.16584564860426929</v>
      </c>
      <c r="I9" s="353">
        <f>F9/$F$66</f>
        <v>6.8027666369826784E-3</v>
      </c>
      <c r="J9" s="349" t="s">
        <v>196</v>
      </c>
      <c r="K9" s="55"/>
      <c r="L9" s="350">
        <f>'[3]Air Choice One'!$FR$41</f>
        <v>846</v>
      </c>
      <c r="M9" s="352">
        <f>'[3]Air Choice One'!$FD$41</f>
        <v>805</v>
      </c>
      <c r="N9" s="353">
        <f>(L9-M9)/M9</f>
        <v>5.0931677018633541E-2</v>
      </c>
      <c r="O9" s="350">
        <f>SUM('[3]Air Choice One'!$FN$41:$FR$41)</f>
        <v>3980</v>
      </c>
      <c r="P9" s="352">
        <f>SUM('[3]Air Choice One'!$EZ$41:$FD$41)</f>
        <v>3914</v>
      </c>
      <c r="Q9" s="351">
        <f>(O9-P9)/P9</f>
        <v>1.6862544711292796E-2</v>
      </c>
      <c r="R9" s="353">
        <f>O9/$O$66</f>
        <v>2.7409966181060321E-4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France'!$FR$19</f>
        <v>40</v>
      </c>
      <c r="D11" s="352">
        <f>'[3]Air France'!$FD$19</f>
        <v>36</v>
      </c>
      <c r="E11" s="353">
        <f>(C11-D11)/D11</f>
        <v>0.1111111111111111</v>
      </c>
      <c r="F11" s="352">
        <f>SUM('[3]Air France'!$FN$19:$FR$19)</f>
        <v>40</v>
      </c>
      <c r="G11" s="352">
        <f>SUM('[3]Air France'!$EZ$19:$FD$19)</f>
        <v>36</v>
      </c>
      <c r="H11" s="351">
        <f>(F11-G11)/G11</f>
        <v>0.1111111111111111</v>
      </c>
      <c r="I11" s="353">
        <f>F11/$F$66</f>
        <v>2.6782545814892436E-4</v>
      </c>
      <c r="J11" s="349" t="s">
        <v>162</v>
      </c>
      <c r="K11" s="55"/>
      <c r="L11" s="350">
        <f>'[3]Air France'!$FR$41</f>
        <v>7583</v>
      </c>
      <c r="M11" s="352">
        <f>'[3]Air France'!$FD$41</f>
        <v>8704</v>
      </c>
      <c r="N11" s="353">
        <f>(L11-M11)/M11</f>
        <v>-0.12879136029411764</v>
      </c>
      <c r="O11" s="350">
        <f>SUM('[3]Air France'!$FN$41:$FR$41)</f>
        <v>7583</v>
      </c>
      <c r="P11" s="352">
        <f>SUM('[3]Air France'!$EZ$41:$FD$41)</f>
        <v>8704</v>
      </c>
      <c r="Q11" s="351">
        <f>(O11-P11)/P11</f>
        <v>-0.12879136029411764</v>
      </c>
      <c r="R11" s="353">
        <f>O11/$O$66</f>
        <v>5.2223561193713672E-4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342</v>
      </c>
      <c r="D13" s="352">
        <f>SUM(D14:D16)</f>
        <v>220</v>
      </c>
      <c r="E13" s="353">
        <f>(C13-D13)/D13</f>
        <v>0.55454545454545456</v>
      </c>
      <c r="F13" s="352">
        <f>SUM(F14:F16)</f>
        <v>1608</v>
      </c>
      <c r="G13" s="352">
        <f>SUM(G14:G16)</f>
        <v>854</v>
      </c>
      <c r="H13" s="351">
        <f>(F13-G13)/G13</f>
        <v>0.88290398126463698</v>
      </c>
      <c r="I13" s="353">
        <f>F13/$F$66</f>
        <v>1.0766583417586758E-2</v>
      </c>
      <c r="J13" s="349" t="s">
        <v>131</v>
      </c>
      <c r="K13" s="55"/>
      <c r="L13" s="350">
        <f>SUM(L14:L16)</f>
        <v>34032</v>
      </c>
      <c r="M13" s="352">
        <f>SUM(M14:M16)</f>
        <v>26599</v>
      </c>
      <c r="N13" s="353">
        <f>(L13-M13)/M13</f>
        <v>0.27944659573668185</v>
      </c>
      <c r="O13" s="350">
        <f>SUM(O14:O16)</f>
        <v>149994</v>
      </c>
      <c r="P13" s="352">
        <f>SUM(P14:P16)</f>
        <v>98899</v>
      </c>
      <c r="Q13" s="351">
        <f>(O13-P13)/P13</f>
        <v>0.51663818643262316</v>
      </c>
      <c r="R13" s="353">
        <f>O13/$O$66</f>
        <v>1.0329976048648144E-2</v>
      </c>
      <c r="S13" s="20"/>
    </row>
    <row r="14" spans="1:19" ht="14.1" customHeight="1" x14ac:dyDescent="0.2">
      <c r="A14" s="349"/>
      <c r="B14" s="425" t="s">
        <v>131</v>
      </c>
      <c r="C14" s="431">
        <f>[3]Alaska!$FR$19</f>
        <v>118</v>
      </c>
      <c r="D14" s="295">
        <f>[3]Alaska!$FD$19</f>
        <v>158</v>
      </c>
      <c r="E14" s="433">
        <f>(C14-D14)/D14</f>
        <v>-0.25316455696202533</v>
      </c>
      <c r="F14" s="295">
        <f>SUM([3]Alaska!$FN$19:$FR$19)</f>
        <v>580</v>
      </c>
      <c r="G14" s="295">
        <f>SUM([3]Alaska!$EZ$19:$FD$19)</f>
        <v>557</v>
      </c>
      <c r="H14" s="432">
        <f>(F14-G14)/G14</f>
        <v>4.1292639138240578E-2</v>
      </c>
      <c r="I14" s="433">
        <f>F14/$F$66</f>
        <v>3.8834691431594028E-3</v>
      </c>
      <c r="J14" s="349"/>
      <c r="K14" s="425" t="s">
        <v>131</v>
      </c>
      <c r="L14" s="431">
        <f>[3]Alaska!$FR$41</f>
        <v>18984</v>
      </c>
      <c r="M14" s="295">
        <f>[3]Alaska!$FD$41</f>
        <v>22390</v>
      </c>
      <c r="N14" s="433">
        <f>(L14-M14)/M14</f>
        <v>-0.15212148280482357</v>
      </c>
      <c r="O14" s="431">
        <f>SUM([3]Alaska!$FN$41:$FR$41)</f>
        <v>83759</v>
      </c>
      <c r="P14" s="295">
        <f>SUM([3]Alaska!$EZ$41:$FD$41)</f>
        <v>79479</v>
      </c>
      <c r="Q14" s="432">
        <f>(O14-P14)/P14</f>
        <v>5.3850702701342491E-2</v>
      </c>
      <c r="R14" s="433">
        <f>O14/$O$66</f>
        <v>5.7684204958779678E-3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West_AS'!$FR$19</f>
        <v>100</v>
      </c>
      <c r="D15" s="9">
        <f>'[3]Sky West_AS'!$FD$19</f>
        <v>62</v>
      </c>
      <c r="E15" s="86">
        <f>(C15-D15)/D15</f>
        <v>0.61290322580645162</v>
      </c>
      <c r="F15" s="9">
        <f>SUM('[3]Sky West_AS'!$FN$19:$FR$19)</f>
        <v>522</v>
      </c>
      <c r="G15" s="9">
        <f>SUM('[3]Sky West_AS'!$EZ$19:$FD$19)</f>
        <v>297</v>
      </c>
      <c r="H15" s="39">
        <f>(F15-G15)/G15</f>
        <v>0.75757575757575757</v>
      </c>
      <c r="I15" s="86">
        <f>F15/$F$66</f>
        <v>3.4951222288434627E-3</v>
      </c>
      <c r="J15" s="349"/>
      <c r="K15" s="425" t="s">
        <v>100</v>
      </c>
      <c r="L15" s="354">
        <f>'[3]Sky West_AS'!$FR$41</f>
        <v>6782</v>
      </c>
      <c r="M15" s="9">
        <f>'[3]Sky West_AS'!$FD$41</f>
        <v>4209</v>
      </c>
      <c r="N15" s="86">
        <f>(L15-M15)/M15</f>
        <v>0.61130909954858637</v>
      </c>
      <c r="O15" s="354">
        <f>SUM('[3]Sky West_AS'!$FN$41:$FR$41)</f>
        <v>34044</v>
      </c>
      <c r="P15" s="9">
        <f>SUM('[3]Sky West_AS'!$EZ$41:$FD$41)</f>
        <v>19420</v>
      </c>
      <c r="Q15" s="39">
        <f>(O15-P15)/P15</f>
        <v>0.75303810504634394</v>
      </c>
      <c r="R15" s="433">
        <f>O15/$O$66</f>
        <v>2.3445851474070793E-3</v>
      </c>
      <c r="S15" s="20"/>
    </row>
    <row r="16" spans="1:19" ht="14.1" customHeight="1" x14ac:dyDescent="0.2">
      <c r="A16" s="349"/>
      <c r="B16" s="425" t="s">
        <v>215</v>
      </c>
      <c r="C16" s="354">
        <f>[3]Horizon_AS!$FR$19</f>
        <v>124</v>
      </c>
      <c r="D16" s="9">
        <f>[3]Horizon_AS!$FD$19</f>
        <v>0</v>
      </c>
      <c r="E16" s="86" t="e">
        <f>(C16-D16)/D16</f>
        <v>#DIV/0!</v>
      </c>
      <c r="F16" s="9">
        <f>SUM([3]Horizon_AS!$FN$19:$FR$19)</f>
        <v>506</v>
      </c>
      <c r="G16" s="9">
        <f>SUM([3]Horizon_AS!$EZ$19:$FD$19)</f>
        <v>0</v>
      </c>
      <c r="H16" s="39" t="e">
        <f>(F16-G16)/G16</f>
        <v>#DIV/0!</v>
      </c>
      <c r="I16" s="86">
        <f>F16/$F$66</f>
        <v>3.3879920455838928E-3</v>
      </c>
      <c r="J16" s="349"/>
      <c r="K16" s="425" t="s">
        <v>215</v>
      </c>
      <c r="L16" s="354">
        <f>[3]Horizon_AS!$FR$41</f>
        <v>8266</v>
      </c>
      <c r="M16" s="9">
        <f>[3]Horizon_AS!$FD$41</f>
        <v>0</v>
      </c>
      <c r="N16" s="86" t="e">
        <f>(L16-M16)/M16</f>
        <v>#DIV/0!</v>
      </c>
      <c r="O16" s="354">
        <f>SUM([3]Horizon_AS!$FN$41:$FR$41)</f>
        <v>32191</v>
      </c>
      <c r="P16" s="9">
        <f>SUM([3]Horizon_AS!$EZ$41:$FD$41)</f>
        <v>0</v>
      </c>
      <c r="Q16" s="39" t="e">
        <f>(O16-P16)/P16</f>
        <v>#DIV/0!</v>
      </c>
      <c r="R16" s="433">
        <f>O16/$O$66</f>
        <v>2.2169704053630972E-3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1731</v>
      </c>
      <c r="D18" s="352">
        <f>SUM(D19:D25)</f>
        <v>2058</v>
      </c>
      <c r="E18" s="353">
        <f t="shared" ref="E18:E25" si="0">(C18-D18)/D18</f>
        <v>-0.15889212827988339</v>
      </c>
      <c r="F18" s="350">
        <f>SUM(F19:F25)</f>
        <v>8362</v>
      </c>
      <c r="G18" s="352">
        <f>SUM(G19:G25)</f>
        <v>9526</v>
      </c>
      <c r="H18" s="351">
        <f t="shared" ref="H18:H25" si="1">(F18-G18)/G18</f>
        <v>-0.12219189586395129</v>
      </c>
      <c r="I18" s="353">
        <f t="shared" ref="I18:I25" si="2">F18/$F$66</f>
        <v>5.5988912026032636E-2</v>
      </c>
      <c r="J18" s="349" t="s">
        <v>17</v>
      </c>
      <c r="K18" s="357"/>
      <c r="L18" s="350">
        <f>SUM(L19:L25)</f>
        <v>180747</v>
      </c>
      <c r="M18" s="352">
        <f>SUM(M19:M25)</f>
        <v>203000</v>
      </c>
      <c r="N18" s="353">
        <f t="shared" ref="N18:N25" si="3">(L18-M18)/M18</f>
        <v>-0.10962068965517241</v>
      </c>
      <c r="O18" s="350">
        <f>SUM(O19:O25)</f>
        <v>859325</v>
      </c>
      <c r="P18" s="352">
        <f>SUM(P19:P25)</f>
        <v>968434</v>
      </c>
      <c r="Q18" s="351">
        <f t="shared" ref="Q18:Q25" si="4">(O18-P18)/P18</f>
        <v>-0.112665395886555</v>
      </c>
      <c r="R18" s="353">
        <f t="shared" ref="R18:R25" si="5">O18/$O$66</f>
        <v>5.9181078363164975E-2</v>
      </c>
      <c r="S18" s="20"/>
    </row>
    <row r="19" spans="1:22" ht="14.1" customHeight="1" x14ac:dyDescent="0.2">
      <c r="A19" s="53"/>
      <c r="B19" s="359" t="s">
        <v>17</v>
      </c>
      <c r="C19" s="354">
        <f>[3]American!$FR$19</f>
        <v>1200</v>
      </c>
      <c r="D19" s="9">
        <f>[3]American!$FD$19</f>
        <v>1502</v>
      </c>
      <c r="E19" s="86">
        <f t="shared" si="0"/>
        <v>-0.20106524633821571</v>
      </c>
      <c r="F19" s="9">
        <f>SUM([3]American!$FN$19:$FR$19)</f>
        <v>5600</v>
      </c>
      <c r="G19" s="9">
        <f>SUM([3]American!$EZ$19:$FD$19)</f>
        <v>7498</v>
      </c>
      <c r="H19" s="39">
        <f t="shared" si="1"/>
        <v>-0.25313416911176312</v>
      </c>
      <c r="I19" s="86">
        <f t="shared" si="2"/>
        <v>3.7495564140849411E-2</v>
      </c>
      <c r="J19" s="53"/>
      <c r="K19" s="358" t="s">
        <v>17</v>
      </c>
      <c r="L19" s="354">
        <f>[3]American!$FR$41</f>
        <v>150413</v>
      </c>
      <c r="M19" s="9">
        <f>[3]American!$FD$41</f>
        <v>174826</v>
      </c>
      <c r="N19" s="86">
        <f t="shared" si="3"/>
        <v>-0.13964170089117178</v>
      </c>
      <c r="O19" s="354">
        <f>SUM([3]American!$FN$41:$FR$41)</f>
        <v>704761</v>
      </c>
      <c r="P19" s="9">
        <f>SUM([3]American!$EZ$41:$FD$41)</f>
        <v>871825</v>
      </c>
      <c r="Q19" s="39">
        <f t="shared" si="4"/>
        <v>-0.19162561293837641</v>
      </c>
      <c r="R19" s="86">
        <f t="shared" si="5"/>
        <v>4.8536369788266961E-2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Eagle'!$FR$19</f>
        <v>73</v>
      </c>
      <c r="D20" s="9">
        <f>'[3]American Eagle'!$FD$19</f>
        <v>28</v>
      </c>
      <c r="E20" s="86">
        <f t="shared" si="0"/>
        <v>1.6071428571428572</v>
      </c>
      <c r="F20" s="9">
        <f>SUM('[3]American Eagle'!$FN$19:$FR$19)</f>
        <v>324</v>
      </c>
      <c r="G20" s="9">
        <f>SUM('[3]American Eagle'!$EZ$19:$FD$19)</f>
        <v>100</v>
      </c>
      <c r="H20" s="39">
        <f t="shared" si="1"/>
        <v>2.2400000000000002</v>
      </c>
      <c r="I20" s="86">
        <f t="shared" si="2"/>
        <v>2.1693862110062872E-3</v>
      </c>
      <c r="J20" s="53"/>
      <c r="K20" s="424" t="s">
        <v>173</v>
      </c>
      <c r="L20" s="354">
        <f>'[3]American Eagle'!$FR$41</f>
        <v>4802</v>
      </c>
      <c r="M20" s="9">
        <f>'[3]American Eagle'!$FD$41</f>
        <v>1597</v>
      </c>
      <c r="N20" s="86">
        <f t="shared" si="3"/>
        <v>2.0068879148403256</v>
      </c>
      <c r="O20" s="354">
        <f>SUM('[3]American Eagle'!$FN$41:$FR$41)</f>
        <v>20630</v>
      </c>
      <c r="P20" s="9">
        <f>SUM('[3]American Eagle'!$EZ$41:$FD$41)</f>
        <v>5100</v>
      </c>
      <c r="Q20" s="39">
        <f t="shared" si="4"/>
        <v>3.0450980392156861</v>
      </c>
      <c r="R20" s="86">
        <f t="shared" si="5"/>
        <v>1.4207728701388803E-3</v>
      </c>
      <c r="S20" s="20"/>
    </row>
    <row r="21" spans="1:22" ht="14.1" customHeight="1" x14ac:dyDescent="0.2">
      <c r="A21" s="53"/>
      <c r="B21" s="426" t="s">
        <v>52</v>
      </c>
      <c r="C21" s="354">
        <f>[3]Republic!$FR$19</f>
        <v>444</v>
      </c>
      <c r="D21" s="9">
        <f>[3]Republic!$FD$19</f>
        <v>475</v>
      </c>
      <c r="E21" s="86">
        <f t="shared" si="0"/>
        <v>-6.5263157894736842E-2</v>
      </c>
      <c r="F21" s="9">
        <f>SUM([3]Republic!$FN$19:$FR$19)</f>
        <v>2033</v>
      </c>
      <c r="G21" s="9">
        <f>SUM([3]Republic!$EZ$19:$FD$19)</f>
        <v>1685</v>
      </c>
      <c r="H21" s="39">
        <f t="shared" si="1"/>
        <v>0.20652818991097924</v>
      </c>
      <c r="I21" s="86">
        <f t="shared" si="2"/>
        <v>1.3612228910419079E-2</v>
      </c>
      <c r="J21" s="363"/>
      <c r="K21" s="360" t="s">
        <v>52</v>
      </c>
      <c r="L21" s="354">
        <f>[3]Republic!$FR$41</f>
        <v>24807</v>
      </c>
      <c r="M21" s="9">
        <f>[3]Republic!$FD$41</f>
        <v>24030</v>
      </c>
      <c r="N21" s="86">
        <f t="shared" si="3"/>
        <v>3.2334581772784018E-2</v>
      </c>
      <c r="O21" s="354">
        <f>SUM([3]Republic!$FN$41:$FR$41)</f>
        <v>112425</v>
      </c>
      <c r="P21" s="9">
        <f>SUM([3]Republic!$EZ$41:$FD$41)</f>
        <v>80474</v>
      </c>
      <c r="Q21" s="39">
        <f t="shared" si="4"/>
        <v>0.39703506722668191</v>
      </c>
      <c r="R21" s="86">
        <f t="shared" si="5"/>
        <v>7.7426267535319259E-3</v>
      </c>
      <c r="S21" s="20"/>
    </row>
    <row r="22" spans="1:22" ht="14.1" customHeight="1" x14ac:dyDescent="0.2">
      <c r="A22" s="53"/>
      <c r="B22" s="426" t="s">
        <v>200</v>
      </c>
      <c r="C22" s="354">
        <f>[3]PSA!$FR$19</f>
        <v>0</v>
      </c>
      <c r="D22" s="9">
        <f>[3]PSA!$FD$19</f>
        <v>44</v>
      </c>
      <c r="E22" s="86">
        <f t="shared" si="0"/>
        <v>-1</v>
      </c>
      <c r="F22" s="9">
        <f>SUM([3]PSA!$FN$19:$FR$19)</f>
        <v>178</v>
      </c>
      <c r="G22" s="9">
        <f>SUM([3]PSA!$EZ$19:$FD$19)</f>
        <v>198</v>
      </c>
      <c r="H22" s="39">
        <f t="shared" si="1"/>
        <v>-0.10101010101010101</v>
      </c>
      <c r="I22" s="86">
        <f t="shared" si="2"/>
        <v>1.1918232887627132E-3</v>
      </c>
      <c r="J22" s="363"/>
      <c r="K22" s="426" t="s">
        <v>200</v>
      </c>
      <c r="L22" s="354">
        <f>[3]PSA!$FR$41</f>
        <v>0</v>
      </c>
      <c r="M22" s="9">
        <f>[3]PSA!$FD$41</f>
        <v>2094</v>
      </c>
      <c r="N22" s="86">
        <f t="shared" si="3"/>
        <v>-1</v>
      </c>
      <c r="O22" s="354">
        <f>SUM([3]PSA!$FN$41:$FR$41)</f>
        <v>7565</v>
      </c>
      <c r="P22" s="9">
        <f>SUM([3]PSA!$EZ$41:$FD$41)</f>
        <v>8740</v>
      </c>
      <c r="Q22" s="39">
        <f t="shared" si="4"/>
        <v>-0.13443935926773457</v>
      </c>
      <c r="R22" s="86">
        <f t="shared" si="5"/>
        <v>5.2099596522543041E-4</v>
      </c>
      <c r="S22" s="20"/>
    </row>
    <row r="23" spans="1:22" ht="14.1" customHeight="1" x14ac:dyDescent="0.2">
      <c r="A23" s="53"/>
      <c r="B23" s="425" t="s">
        <v>100</v>
      </c>
      <c r="C23" s="354">
        <f>'[3]Sky West_AA'!$FR$19</f>
        <v>14</v>
      </c>
      <c r="D23" s="9">
        <f>'[3]Sky West_AA'!$FD$19</f>
        <v>9</v>
      </c>
      <c r="E23" s="86">
        <f>(C23-D23)/D23</f>
        <v>0.55555555555555558</v>
      </c>
      <c r="F23" s="9">
        <f>SUM('[3]Sky West_AA'!$FN$19:$FR$19)</f>
        <v>227</v>
      </c>
      <c r="G23" s="9">
        <f>SUM('[3]Sky West_AA'!$EZ$19:$FD$19)</f>
        <v>43</v>
      </c>
      <c r="H23" s="39">
        <f>(F23-G23)/G23</f>
        <v>4.2790697674418601</v>
      </c>
      <c r="I23" s="86">
        <f t="shared" si="2"/>
        <v>1.5199094749951457E-3</v>
      </c>
      <c r="J23" s="363"/>
      <c r="K23" s="425" t="s">
        <v>100</v>
      </c>
      <c r="L23" s="354">
        <f>'[3]Sky West_AA'!$FR$41</f>
        <v>725</v>
      </c>
      <c r="M23" s="9">
        <f>'[3]Sky West_AA'!$FD$41</f>
        <v>453</v>
      </c>
      <c r="N23" s="86">
        <f>(L23-M23)/M23</f>
        <v>0.60044150110375272</v>
      </c>
      <c r="O23" s="354">
        <f>SUM('[3]Sky West_AA'!$FN$41:$FR$41)</f>
        <v>13944</v>
      </c>
      <c r="P23" s="9">
        <f>SUM('[3]Sky West_AA'!$EZ$41:$FD$41)</f>
        <v>2205</v>
      </c>
      <c r="Q23" s="39">
        <f>(O23-P23)/P23</f>
        <v>5.3238095238095235</v>
      </c>
      <c r="R23" s="433">
        <f t="shared" si="5"/>
        <v>9.6031298600177161E-4</v>
      </c>
      <c r="S23" s="20"/>
    </row>
    <row r="24" spans="1:22" ht="14.1" customHeight="1" x14ac:dyDescent="0.2">
      <c r="A24" s="53"/>
      <c r="B24" s="426" t="s">
        <v>51</v>
      </c>
      <c r="C24" s="354">
        <f>[3]MESA!$FR$19</f>
        <v>0</v>
      </c>
      <c r="D24" s="9">
        <f>[3]MESA!$FD$19</f>
        <v>0</v>
      </c>
      <c r="E24" s="86" t="e">
        <f t="shared" si="0"/>
        <v>#DIV/0!</v>
      </c>
      <c r="F24" s="9">
        <f>SUM([3]MESA!$FN$19:$FR$19)</f>
        <v>0</v>
      </c>
      <c r="G24" s="9">
        <f>SUM([3]MESA!$EZ$19:$FD$19)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[3]MESA!$FR$41</f>
        <v>0</v>
      </c>
      <c r="M24" s="9">
        <f>[3]MESA!$FD$41</f>
        <v>0</v>
      </c>
      <c r="N24" s="86" t="e">
        <f t="shared" si="3"/>
        <v>#DIV/0!</v>
      </c>
      <c r="O24" s="354">
        <f>SUM([3]MESA!$FN$41:$FR$41)</f>
        <v>0</v>
      </c>
      <c r="P24" s="9">
        <f>SUM([3]MESA!$EZ$41:$FD$41)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Wisconsin'!$FR$19</f>
        <v>0</v>
      </c>
      <c r="D25" s="9">
        <f>'[3]Air Wisconsin'!$FD$19</f>
        <v>0</v>
      </c>
      <c r="E25" s="86" t="e">
        <f t="shared" si="0"/>
        <v>#DIV/0!</v>
      </c>
      <c r="F25" s="9">
        <f>SUM('[3]Air Wisconsin'!$FN$19:$FR$19)</f>
        <v>0</v>
      </c>
      <c r="G25" s="9">
        <f>SUM('[3]Air Wisconsin'!$EZ$19:$FD$19)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Wisconsin'!$FR$41</f>
        <v>0</v>
      </c>
      <c r="M25" s="9">
        <f>'[3]Air Wisconsin'!$FD$41</f>
        <v>0</v>
      </c>
      <c r="N25" s="86" t="e">
        <f t="shared" si="3"/>
        <v>#DIV/0!</v>
      </c>
      <c r="O25" s="354">
        <f>SUM('[3]Air Wisconsin'!$FN$41:$FR$41)</f>
        <v>0</v>
      </c>
      <c r="P25" s="9">
        <f>SUM('[3]Air Wisconsin'!$EZ$41:$FD$41)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Air'!$FR$19</f>
        <v>158</v>
      </c>
      <c r="D27" s="352">
        <f>'[3]Boutique Air'!$FD$19</f>
        <v>166</v>
      </c>
      <c r="E27" s="353">
        <f>(C27-D27)/D27</f>
        <v>-4.8192771084337352E-2</v>
      </c>
      <c r="F27" s="352">
        <f>SUM('[3]Boutique Air'!$FN$19:$FR$19)</f>
        <v>746</v>
      </c>
      <c r="G27" s="352">
        <f>SUM('[3]Boutique Air'!$EZ$19:$FD$19)</f>
        <v>774</v>
      </c>
      <c r="H27" s="351">
        <f>(F27-G27)/G27</f>
        <v>-3.6175710594315243E-2</v>
      </c>
      <c r="I27" s="353">
        <f>F27/$F$66</f>
        <v>4.994944794477439E-3</v>
      </c>
      <c r="J27" s="349" t="s">
        <v>197</v>
      </c>
      <c r="K27" s="359"/>
      <c r="L27" s="350">
        <f>'[3]Boutique Air'!$FR$41</f>
        <v>894</v>
      </c>
      <c r="M27" s="352">
        <f>'[3]Boutique Air'!$FD$41</f>
        <v>1007</v>
      </c>
      <c r="N27" s="353">
        <f>(L27-M27)/M27</f>
        <v>-0.11221449851042702</v>
      </c>
      <c r="O27" s="350">
        <f>SUM('[3]Boutique Air'!$FN$41:$FR$41)</f>
        <v>3997</v>
      </c>
      <c r="P27" s="352">
        <f>SUM('[3]Boutique Air'!$EZ$41:$FD$41)</f>
        <v>5056</v>
      </c>
      <c r="Q27" s="351">
        <f>(O27-P27)/P27</f>
        <v>-0.20945411392405064</v>
      </c>
      <c r="R27" s="353">
        <f>O27/$O$66</f>
        <v>2.7527043926054801E-4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[3]Condor!$FR$19</f>
        <v>10</v>
      </c>
      <c r="D29" s="352">
        <f>[3]Condor!$FD$19</f>
        <v>18</v>
      </c>
      <c r="E29" s="353">
        <f>(C29-D29)/D29</f>
        <v>-0.44444444444444442</v>
      </c>
      <c r="F29" s="352">
        <f>SUM([3]Condor!$FN$19:$FR$19)</f>
        <v>10</v>
      </c>
      <c r="G29" s="352">
        <f>SUM([3]Condor!$EZ$19:$FD$19)</f>
        <v>18</v>
      </c>
      <c r="H29" s="351">
        <f>(F29-G29)/G29</f>
        <v>-0.44444444444444442</v>
      </c>
      <c r="I29" s="353">
        <f>F29/$F$66</f>
        <v>6.695636453723109E-5</v>
      </c>
      <c r="J29" s="349" t="s">
        <v>168</v>
      </c>
      <c r="K29" s="359"/>
      <c r="L29" s="350">
        <f>[3]Condor!$FR$41</f>
        <v>1702</v>
      </c>
      <c r="M29" s="352">
        <f>[3]Condor!$FD$41</f>
        <v>3438</v>
      </c>
      <c r="N29" s="353">
        <f>(L29-M29)/M29</f>
        <v>-0.50494473531122741</v>
      </c>
      <c r="O29" s="350">
        <f>SUM([3]Condor!$FN$41:$FR$41)</f>
        <v>1702</v>
      </c>
      <c r="P29" s="352">
        <f>SUM([3]Condor!$EZ$41:$FD$41)</f>
        <v>3438</v>
      </c>
      <c r="Q29" s="351">
        <f>(O29-P29)/P29</f>
        <v>-0.50494473531122741</v>
      </c>
      <c r="R29" s="353">
        <f>O29/$O$66</f>
        <v>1.1721548351800167E-4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23463</v>
      </c>
      <c r="D31" s="352">
        <f>SUM(D32:D38)</f>
        <v>23448</v>
      </c>
      <c r="E31" s="353">
        <f t="shared" ref="E31:E38" si="6">(C31-D31)/D31</f>
        <v>6.3971340839303996E-4</v>
      </c>
      <c r="F31" s="355">
        <f>SUM(F32:F38)</f>
        <v>108623</v>
      </c>
      <c r="G31" s="355">
        <f>SUM(G32:G38)</f>
        <v>109905</v>
      </c>
      <c r="H31" s="351">
        <f>(F31-G31)/G31</f>
        <v>-1.1664619444065329E-2</v>
      </c>
      <c r="I31" s="353">
        <f t="shared" ref="I31:I38" si="7">F31/$F$66</f>
        <v>0.72730011851276521</v>
      </c>
      <c r="J31" s="349" t="s">
        <v>18</v>
      </c>
      <c r="K31" s="361"/>
      <c r="L31" s="350">
        <f>SUM(L32:L38)</f>
        <v>2231715</v>
      </c>
      <c r="M31" s="352">
        <f>SUM(M32:M38)</f>
        <v>2224778</v>
      </c>
      <c r="N31" s="353">
        <f t="shared" ref="N31:N38" si="8">(L31-M31)/M31</f>
        <v>3.1180639146917129E-3</v>
      </c>
      <c r="O31" s="350">
        <f>SUM(O32:O38)</f>
        <v>10218080</v>
      </c>
      <c r="P31" s="352">
        <f>SUM(P32:P38)</f>
        <v>10148793</v>
      </c>
      <c r="Q31" s="351">
        <f t="shared" ref="Q31:Q38" si="9">(O31-P31)/P31</f>
        <v>6.827117273945779E-3</v>
      </c>
      <c r="R31" s="353">
        <f t="shared" ref="R31:R38" si="10">O31/$O$66</f>
        <v>0.70371162621951966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[3]Delta!$FR$19</f>
        <v>11674</v>
      </c>
      <c r="D32" s="9">
        <f>[3]Delta!$FD$19</f>
        <v>12068</v>
      </c>
      <c r="E32" s="86">
        <f t="shared" si="6"/>
        <v>-3.2648326151806427E-2</v>
      </c>
      <c r="F32" s="9">
        <f>SUM([3]Delta!$FN$19:$FR$19)</f>
        <v>55261</v>
      </c>
      <c r="G32" s="9">
        <f>SUM([3]Delta!$EZ$19:$FD$19)</f>
        <v>54634</v>
      </c>
      <c r="H32" s="39">
        <f t="shared" ref="H32:H38" si="11">(F32-G32)/G32</f>
        <v>1.1476370025991141E-2</v>
      </c>
      <c r="I32" s="86">
        <f t="shared" si="7"/>
        <v>0.37000756606919272</v>
      </c>
      <c r="J32" s="53"/>
      <c r="K32" s="358" t="s">
        <v>18</v>
      </c>
      <c r="L32" s="354">
        <f>[3]Delta!$FR$41</f>
        <v>1632259</v>
      </c>
      <c r="M32" s="9">
        <f>[3]Delta!$FD$41</f>
        <v>1656695</v>
      </c>
      <c r="N32" s="86">
        <f t="shared" si="8"/>
        <v>-1.474984834263398E-2</v>
      </c>
      <c r="O32" s="354">
        <f>SUM([3]Delta!$FN$41:$FR$41)</f>
        <v>7559095</v>
      </c>
      <c r="P32" s="9">
        <f>SUM([3]Delta!$EZ$41:$FD$41)</f>
        <v>7428923</v>
      </c>
      <c r="Q32" s="39">
        <f t="shared" si="9"/>
        <v>1.7522324568446865E-2</v>
      </c>
      <c r="R32" s="86">
        <f t="shared" si="10"/>
        <v>0.52058929223472905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[3]Compass!$FR$19</f>
        <v>0</v>
      </c>
      <c r="D33" s="9">
        <f>[3]Compass!$FD$19</f>
        <v>585</v>
      </c>
      <c r="E33" s="86">
        <f t="shared" si="6"/>
        <v>-1</v>
      </c>
      <c r="F33" s="9">
        <f>SUM([3]Compass!$FN$19:$FR$19)</f>
        <v>2</v>
      </c>
      <c r="G33" s="9">
        <f>SUM([3]Compass!$EZ$19:$FD$19)</f>
        <v>5437</v>
      </c>
      <c r="H33" s="39">
        <f t="shared" si="11"/>
        <v>-0.99963215008276618</v>
      </c>
      <c r="I33" s="86">
        <f t="shared" si="7"/>
        <v>1.3391272907446217E-5</v>
      </c>
      <c r="J33" s="53"/>
      <c r="K33" s="360" t="s">
        <v>120</v>
      </c>
      <c r="L33" s="354">
        <f>[3]Compass!$FR$41</f>
        <v>0</v>
      </c>
      <c r="M33" s="9">
        <f>[3]Compass!$FD$41</f>
        <v>35313</v>
      </c>
      <c r="N33" s="86">
        <f t="shared" si="8"/>
        <v>-1</v>
      </c>
      <c r="O33" s="354">
        <f>SUM([3]Compass!$FN$41:$FR$41)</f>
        <v>0</v>
      </c>
      <c r="P33" s="9">
        <f>SUM([3]Compass!$EZ$41:$FD$41)</f>
        <v>311856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[3]Pinnacle!$FR$19</f>
        <v>1613</v>
      </c>
      <c r="D34" s="9">
        <f>[3]Pinnacle!$FD$19</f>
        <v>2959</v>
      </c>
      <c r="E34" s="86">
        <f t="shared" si="6"/>
        <v>-0.45488340655626902</v>
      </c>
      <c r="F34" s="9">
        <f>SUM([3]Pinnacle!$FN$19:$FR$19)</f>
        <v>10068</v>
      </c>
      <c r="G34" s="9">
        <f>SUM([3]Pinnacle!$EZ$19:$FD$19)</f>
        <v>15293</v>
      </c>
      <c r="H34" s="39">
        <f t="shared" si="11"/>
        <v>-0.34165958281566727</v>
      </c>
      <c r="I34" s="86">
        <f t="shared" si="7"/>
        <v>6.7411667816084264E-2</v>
      </c>
      <c r="J34" s="53"/>
      <c r="K34" s="359" t="s">
        <v>164</v>
      </c>
      <c r="L34" s="354">
        <f>[3]Pinnacle!$FR$41</f>
        <v>95958</v>
      </c>
      <c r="M34" s="9">
        <f>[3]Pinnacle!$FD$41</f>
        <v>148960</v>
      </c>
      <c r="N34" s="86">
        <f t="shared" si="8"/>
        <v>-0.35581364124597209</v>
      </c>
      <c r="O34" s="354">
        <f>SUM([3]Pinnacle!$FN$41:$FR$41)</f>
        <v>575141</v>
      </c>
      <c r="P34" s="9">
        <f>SUM([3]Pinnacle!$EZ$41:$FD$41)</f>
        <v>756070</v>
      </c>
      <c r="Q34" s="39">
        <f t="shared" si="9"/>
        <v>-0.23930191648921395</v>
      </c>
      <c r="R34" s="86">
        <f t="shared" si="10"/>
        <v>3.9609536078746767E-2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Jet'!$FR$19</f>
        <v>848</v>
      </c>
      <c r="D35" s="9">
        <f>'[3]Go Jet'!$FD$19</f>
        <v>584</v>
      </c>
      <c r="E35" s="86">
        <f t="shared" si="6"/>
        <v>0.45205479452054792</v>
      </c>
      <c r="F35" s="9">
        <f>SUM('[3]Go Jet'!$FN$19:$FR$19)</f>
        <v>3346</v>
      </c>
      <c r="G35" s="9">
        <f>SUM('[3]Go Jet'!$EZ$19:$FD$19)</f>
        <v>2855</v>
      </c>
      <c r="H35" s="39">
        <f>(F35-G35)/G35</f>
        <v>0.17197898423817864</v>
      </c>
      <c r="I35" s="86">
        <f t="shared" si="7"/>
        <v>2.240359957415752E-2</v>
      </c>
      <c r="J35" s="53"/>
      <c r="K35" s="358" t="s">
        <v>160</v>
      </c>
      <c r="L35" s="354">
        <f>'[3]Go Jet'!$FR$41</f>
        <v>51273</v>
      </c>
      <c r="M35" s="9">
        <f>'[3]Go Jet'!$FD$41</f>
        <v>35163</v>
      </c>
      <c r="N35" s="86">
        <f t="shared" si="8"/>
        <v>0.4581520348093166</v>
      </c>
      <c r="O35" s="354">
        <f>SUM('[3]Go Jet'!$FN$41:$FR$41)</f>
        <v>192678</v>
      </c>
      <c r="P35" s="9">
        <f>SUM('[3]Go Jet'!$EZ$41:$FD$41)</f>
        <v>157863</v>
      </c>
      <c r="Q35" s="39">
        <f>(O35-P35)/P35</f>
        <v>0.22053932840500939</v>
      </c>
      <c r="R35" s="86">
        <f t="shared" si="10"/>
        <v>1.3269591617674222E-2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West'!$FR$19</f>
        <v>9053</v>
      </c>
      <c r="D36" s="9">
        <f>'[3]Sky West'!$FD$19</f>
        <v>6697</v>
      </c>
      <c r="E36" s="86">
        <f t="shared" si="6"/>
        <v>0.35179931312527996</v>
      </c>
      <c r="F36" s="9">
        <f>SUM('[3]Sky West'!$FN$19:$FR$19)</f>
        <v>38574</v>
      </c>
      <c r="G36" s="9">
        <f>SUM('[3]Sky West'!$EZ$19:$FD$19)</f>
        <v>27952</v>
      </c>
      <c r="H36" s="39">
        <f t="shared" si="11"/>
        <v>0.38000858614768174</v>
      </c>
      <c r="I36" s="86">
        <f t="shared" si="7"/>
        <v>0.25827748056591521</v>
      </c>
      <c r="J36" s="53"/>
      <c r="K36" s="359" t="s">
        <v>100</v>
      </c>
      <c r="L36" s="354">
        <f>'[3]Sky West'!$FR$41</f>
        <v>438002</v>
      </c>
      <c r="M36" s="9">
        <f>'[3]Sky West'!$FD$41</f>
        <v>315999</v>
      </c>
      <c r="N36" s="86">
        <f t="shared" si="8"/>
        <v>0.38608666483121784</v>
      </c>
      <c r="O36" s="354">
        <f>SUM('[3]Sky West'!$FN$41:$FR$41)</f>
        <v>1820339</v>
      </c>
      <c r="P36" s="9">
        <f>SUM('[3]Sky West'!$EZ$41:$FD$41)</f>
        <v>1282922</v>
      </c>
      <c r="Q36" s="39">
        <f t="shared" si="9"/>
        <v>0.41890075936027288</v>
      </c>
      <c r="R36" s="86">
        <f t="shared" si="10"/>
        <v>0.12536540308559085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America_Delta'!$FR$19</f>
        <v>0</v>
      </c>
      <c r="D37" s="9">
        <f>'[3]Shuttle America_Delta'!$FD$19</f>
        <v>0</v>
      </c>
      <c r="E37" s="86" t="e">
        <f t="shared" si="6"/>
        <v>#DIV/0!</v>
      </c>
      <c r="F37" s="9">
        <f>SUM('[3]Shuttle America_Delta'!$FN$19:$FR$19)</f>
        <v>76</v>
      </c>
      <c r="G37" s="9">
        <f>SUM('[3]Shuttle America_Delta'!$EZ$19:$FD$19)</f>
        <v>158</v>
      </c>
      <c r="H37" s="39">
        <f t="shared" si="11"/>
        <v>-0.51898734177215189</v>
      </c>
      <c r="I37" s="86">
        <f t="shared" si="7"/>
        <v>5.0886837048295626E-4</v>
      </c>
      <c r="J37" s="53"/>
      <c r="K37" s="359" t="s">
        <v>134</v>
      </c>
      <c r="L37" s="354">
        <f>'[3]Shuttle America_Delta'!$FR$41</f>
        <v>0</v>
      </c>
      <c r="M37" s="9">
        <f>'[3]Shuttle America_Delta'!$FD$41</f>
        <v>0</v>
      </c>
      <c r="N37" s="86" t="e">
        <f t="shared" si="8"/>
        <v>#DIV/0!</v>
      </c>
      <c r="O37" s="354">
        <f>SUM('[3]Shuttle America_Delta'!$FN$41:$FR$41)</f>
        <v>4528</v>
      </c>
      <c r="P37" s="9">
        <f>SUM('[3]Shuttle America_Delta'!$EZ$41:$FD$41)</f>
        <v>8496</v>
      </c>
      <c r="Q37" s="39">
        <f t="shared" si="9"/>
        <v>-0.46704331450094161</v>
      </c>
      <c r="R37" s="86">
        <f t="shared" si="10"/>
        <v>3.1184001725588224E-4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Southeast'!$FR$19</f>
        <v>275</v>
      </c>
      <c r="D38" s="9">
        <f>'[3]Atlantic Southeast'!$FD$19</f>
        <v>555</v>
      </c>
      <c r="E38" s="86">
        <f t="shared" si="6"/>
        <v>-0.50450450450450446</v>
      </c>
      <c r="F38" s="9">
        <f>SUM('[3]Atlantic Southeast'!$FN$19:$FR$19)</f>
        <v>1296</v>
      </c>
      <c r="G38" s="9">
        <f>SUM('[3]Atlantic Southeast'!$EZ$19:$FD$19)</f>
        <v>3576</v>
      </c>
      <c r="H38" s="39">
        <f t="shared" si="11"/>
        <v>-0.63758389261744963</v>
      </c>
      <c r="I38" s="86">
        <f t="shared" si="7"/>
        <v>8.677544844025149E-3</v>
      </c>
      <c r="J38" s="53"/>
      <c r="K38" s="426" t="s">
        <v>174</v>
      </c>
      <c r="L38" s="354">
        <f>'[3]Atlantic Southeast'!$FR$41</f>
        <v>14223</v>
      </c>
      <c r="M38" s="9">
        <f>'[3]Atlantic Southeast'!$FD$41</f>
        <v>32648</v>
      </c>
      <c r="N38" s="86">
        <f t="shared" si="8"/>
        <v>-0.56435309973045822</v>
      </c>
      <c r="O38" s="354">
        <f>SUM('[3]Atlantic Southeast'!$FN$41:$FR$41)</f>
        <v>66299</v>
      </c>
      <c r="P38" s="9">
        <f>SUM('[3]Atlantic Southeast'!$EZ$41:$FD$41)</f>
        <v>202663</v>
      </c>
      <c r="Q38" s="39">
        <f t="shared" si="9"/>
        <v>-0.67286085767999093</v>
      </c>
      <c r="R38" s="86">
        <f t="shared" si="10"/>
        <v>4.5659631855229097E-3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[3]Frontier!$FR$19</f>
        <v>326</v>
      </c>
      <c r="D40" s="352">
        <f>[3]Frontier!$FD$19</f>
        <v>186</v>
      </c>
      <c r="E40" s="353">
        <f>(C40-D40)/D40</f>
        <v>0.75268817204301075</v>
      </c>
      <c r="F40" s="352">
        <f>SUM([3]Frontier!$FN$19:$FR$19)</f>
        <v>1320</v>
      </c>
      <c r="G40" s="352">
        <f>SUM([3]Frontier!$EZ$19:$FD$19)</f>
        <v>871</v>
      </c>
      <c r="H40" s="351">
        <f>(F40-G40)/G40</f>
        <v>0.51549942594718712</v>
      </c>
      <c r="I40" s="353">
        <f>F40/$F$66</f>
        <v>8.8382401189145039E-3</v>
      </c>
      <c r="J40" s="349" t="s">
        <v>47</v>
      </c>
      <c r="K40" s="362"/>
      <c r="L40" s="350">
        <f>[3]Frontier!$FR$41</f>
        <v>45519</v>
      </c>
      <c r="M40" s="352">
        <f>[3]Frontier!$FD$41</f>
        <v>22573</v>
      </c>
      <c r="N40" s="353">
        <f>(L40-M40)/M40</f>
        <v>1.0165241660390731</v>
      </c>
      <c r="O40" s="350">
        <f>SUM([3]Frontier!$FN$41:$FR$41)</f>
        <v>198186</v>
      </c>
      <c r="P40" s="352">
        <f>SUM([3]Frontier!$EZ$41:$FD$41)</f>
        <v>138446</v>
      </c>
      <c r="Q40" s="351">
        <f>(O40-P40)/P40</f>
        <v>0.43150397989107664</v>
      </c>
      <c r="R40" s="353">
        <f>O40/$O$66</f>
        <v>1.3648923511456332E-2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[3]Icelandair!$FR$19</f>
        <v>74</v>
      </c>
      <c r="D42" s="352">
        <f>[3]Icelandair!$FD$19</f>
        <v>58</v>
      </c>
      <c r="E42" s="353">
        <f>(C42-D42)/D42</f>
        <v>0.27586206896551724</v>
      </c>
      <c r="F42" s="352">
        <f>SUM([3]Icelandair!$FN$19:$FR$19)</f>
        <v>158</v>
      </c>
      <c r="G42" s="352">
        <f>SUM([3]Icelandair!$EZ$19:$FD$19)</f>
        <v>200</v>
      </c>
      <c r="H42" s="351">
        <f>(F42-G42)/G42</f>
        <v>-0.21</v>
      </c>
      <c r="I42" s="353">
        <f>F42/$F$66</f>
        <v>1.0579105596882513E-3</v>
      </c>
      <c r="J42" s="349" t="s">
        <v>48</v>
      </c>
      <c r="K42" s="362"/>
      <c r="L42" s="350">
        <f>[3]Icelandair!$FR$41</f>
        <v>10034</v>
      </c>
      <c r="M42" s="352">
        <f>[3]Icelandair!$FD$41</f>
        <v>10582</v>
      </c>
      <c r="N42" s="353">
        <f>(L42-M42)/M42</f>
        <v>-5.1786051786051786E-2</v>
      </c>
      <c r="O42" s="350">
        <f>SUM([3]Icelandair!$FN$41:$FR$41)</f>
        <v>21369</v>
      </c>
      <c r="P42" s="352">
        <f>SUM([3]Icelandair!$EZ$41:$FD$41)</f>
        <v>30338</v>
      </c>
      <c r="Q42" s="351">
        <f>(O42-P42)/P42</f>
        <v>-0.2956358362449733</v>
      </c>
      <c r="R42" s="353">
        <f>O42/$O$66</f>
        <v>1.471667254580598E-3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230</v>
      </c>
      <c r="B44" s="362"/>
      <c r="C44" s="350">
        <f>'[3]Jet Blue'!$FR$19</f>
        <v>173</v>
      </c>
      <c r="D44" s="352">
        <f>'[3]Jet Blue'!$FD$19</f>
        <v>0</v>
      </c>
      <c r="E44" s="353" t="e">
        <f>(C44-D44)/D44</f>
        <v>#DIV/0!</v>
      </c>
      <c r="F44" s="352">
        <f>SUM('[3]Jet Blue'!$FN$19:$FR$19)</f>
        <v>173</v>
      </c>
      <c r="G44" s="352">
        <f>SUM('[3]Jet Blue'!$EZ$19:$FD$19)</f>
        <v>0</v>
      </c>
      <c r="H44" s="351" t="e">
        <f>(F44-G44)/G44</f>
        <v>#DIV/0!</v>
      </c>
      <c r="I44" s="353">
        <f>F44/$F$66</f>
        <v>1.1583451064940977E-3</v>
      </c>
      <c r="J44" s="349" t="s">
        <v>230</v>
      </c>
      <c r="K44" s="362"/>
      <c r="L44" s="350">
        <f>'[3]Jet Blue'!$FR$41</f>
        <v>19572</v>
      </c>
      <c r="M44" s="352">
        <f>'[3]Jet Blue'!$FD$41</f>
        <v>0</v>
      </c>
      <c r="N44" s="353" t="e">
        <f>(L44-M44)/M44</f>
        <v>#DIV/0!</v>
      </c>
      <c r="O44" s="350">
        <f>SUM('[3]Jet Blue'!$FN$41:$FR$41)</f>
        <v>19572</v>
      </c>
      <c r="P44" s="352">
        <f>SUM('[3]Jet Blue'!$EZ$41:$FD$41)</f>
        <v>0</v>
      </c>
      <c r="Q44" s="351" t="e">
        <f>(O44-P44)/P44</f>
        <v>#DIV/0!</v>
      </c>
      <c r="R44" s="353">
        <f>O44/$O$66</f>
        <v>1.3479091911952578E-3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[3]KLM!$FR$19</f>
        <v>34</v>
      </c>
      <c r="D46" s="352">
        <f>[3]KLM!$FD$19</f>
        <v>26</v>
      </c>
      <c r="E46" s="353">
        <f>(C46-D46)/D46</f>
        <v>0.30769230769230771</v>
      </c>
      <c r="F46" s="352">
        <f>SUM([3]KLM!$FN$19:$FR$19)</f>
        <v>128</v>
      </c>
      <c r="G46" s="352">
        <f>SUM([3]KLM!$EZ$19:$FD$19)</f>
        <v>56</v>
      </c>
      <c r="H46" s="351">
        <f>(F46-G46)/G46</f>
        <v>1.2857142857142858</v>
      </c>
      <c r="I46" s="353">
        <f>F46/$F$66</f>
        <v>8.5704146607655789E-4</v>
      </c>
      <c r="J46" s="349" t="s">
        <v>216</v>
      </c>
      <c r="K46" s="362"/>
      <c r="L46" s="350">
        <f>[3]KLM!$FR$41</f>
        <v>8241</v>
      </c>
      <c r="M46" s="352">
        <f>[3]KLM!$FD$41</f>
        <v>6155</v>
      </c>
      <c r="N46" s="353">
        <f>(L46-M46)/M46</f>
        <v>0.33891145410235579</v>
      </c>
      <c r="O46" s="350">
        <f>SUM([3]KLM!$FN$41:$FR$41)</f>
        <v>28253</v>
      </c>
      <c r="P46" s="352">
        <f>SUM([3]KLM!$EZ$41:$FD$41)</f>
        <v>12955</v>
      </c>
      <c r="Q46" s="351">
        <f>(O46-P46)/P46</f>
        <v>1.1808568120416827</v>
      </c>
      <c r="R46" s="353">
        <f>O46/$O$66</f>
        <v>1.9457632525464754E-3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357" t="s">
        <v>132</v>
      </c>
      <c r="C48" s="350">
        <f>[3]Southwest!$FR$19</f>
        <v>1372</v>
      </c>
      <c r="D48" s="352">
        <f>[3]Southwest!$FD$19</f>
        <v>1490</v>
      </c>
      <c r="E48" s="353">
        <f>(C48-D48)/D48</f>
        <v>-7.9194630872483227E-2</v>
      </c>
      <c r="F48" s="352">
        <f>SUM([3]Southwest!$FN$19:$FR$19)</f>
        <v>6497</v>
      </c>
      <c r="G48" s="352">
        <f>SUM([3]Southwest!$EZ$19:$FD$19)</f>
        <v>7479</v>
      </c>
      <c r="H48" s="351">
        <f>(F48-G48)/G48</f>
        <v>-0.13130097606631902</v>
      </c>
      <c r="I48" s="353">
        <f>F48/$F$66</f>
        <v>4.3501550039839035E-2</v>
      </c>
      <c r="J48" s="357" t="s">
        <v>132</v>
      </c>
      <c r="L48" s="350">
        <f>[3]Southwest!$FR$41</f>
        <v>161388</v>
      </c>
      <c r="M48" s="352">
        <f>[3]Southwest!$FD$41</f>
        <v>173900</v>
      </c>
      <c r="N48" s="353">
        <f>(L48-M48)/M48</f>
        <v>-7.1949396204715355E-2</v>
      </c>
      <c r="O48" s="350">
        <f>SUM([3]Southwest!$FN$41:$FR$41)</f>
        <v>776247</v>
      </c>
      <c r="P48" s="352">
        <f>SUM([3]Southwest!$EZ$41:$FD$41)</f>
        <v>848900</v>
      </c>
      <c r="Q48" s="351">
        <f>(O48-P48)/P48</f>
        <v>-8.5584874543526923E-2</v>
      </c>
      <c r="R48" s="353">
        <f>O48/$O$66</f>
        <v>5.3459557834546555E-2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[3]Spirit!$FR$19</f>
        <v>689</v>
      </c>
      <c r="D50" s="352">
        <f>[3]Spirit!$FD$19</f>
        <v>769</v>
      </c>
      <c r="E50" s="353">
        <f>(C50-D50)/D50</f>
        <v>-0.10403120936280884</v>
      </c>
      <c r="F50" s="352">
        <f>SUM([3]Spirit!$FN$19:$FR$19)</f>
        <v>3573</v>
      </c>
      <c r="G50" s="352">
        <f>SUM([3]Spirit!$EZ$19:$FD$19)</f>
        <v>3940</v>
      </c>
      <c r="H50" s="351">
        <f>(F50-G50)/G50</f>
        <v>-9.3147208121827405E-2</v>
      </c>
      <c r="I50" s="353">
        <f>F50/$F$66</f>
        <v>2.3923509049152667E-2</v>
      </c>
      <c r="J50" s="349" t="s">
        <v>161</v>
      </c>
      <c r="K50" s="55"/>
      <c r="L50" s="350">
        <f>[3]Spirit!$FR$41</f>
        <v>88010</v>
      </c>
      <c r="M50" s="352">
        <f>[3]Spirit!$FD$41</f>
        <v>98130</v>
      </c>
      <c r="N50" s="353">
        <f>(L50-M50)/M50</f>
        <v>-0.10312850300621625</v>
      </c>
      <c r="O50" s="350">
        <f>SUM([3]Spirit!$FN$41:$FR$41)</f>
        <v>470915</v>
      </c>
      <c r="P50" s="352">
        <f>SUM([3]Spirit!$EZ$41:$FD$41)</f>
        <v>526478</v>
      </c>
      <c r="Q50" s="351">
        <f>(O50-P50)/P50</f>
        <v>-0.10553717344314482</v>
      </c>
      <c r="R50" s="353">
        <f>O50/$O$66</f>
        <v>3.2431568402397033E-2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Country'!$FR$19</f>
        <v>1450</v>
      </c>
      <c r="D52" s="352">
        <f>'[3]Sun Country'!$FD$19</f>
        <v>1541</v>
      </c>
      <c r="E52" s="353">
        <f>(C52-D52)/D52</f>
        <v>-5.9052563270603507E-2</v>
      </c>
      <c r="F52" s="352">
        <f>SUM('[3]Sun Country'!$FN$19:$FR$19)</f>
        <v>9229</v>
      </c>
      <c r="G52" s="352">
        <f>SUM('[3]Sun Country'!$EZ$19:$FD$19)</f>
        <v>9444</v>
      </c>
      <c r="H52" s="351">
        <f>(F52-G52)/G52</f>
        <v>-2.2765777213045318E-2</v>
      </c>
      <c r="I52" s="353">
        <f>F52/$F$66</f>
        <v>6.1794028831410573E-2</v>
      </c>
      <c r="J52" s="349" t="s">
        <v>49</v>
      </c>
      <c r="K52" s="362"/>
      <c r="L52" s="350">
        <f>'[3]Sun Country'!$FR$41</f>
        <v>175056</v>
      </c>
      <c r="M52" s="352">
        <f>'[3]Sun Country'!$FD$41</f>
        <v>173119</v>
      </c>
      <c r="N52" s="353">
        <f>(L52-M52)/M52</f>
        <v>1.1188835425343262E-2</v>
      </c>
      <c r="O52" s="350">
        <f>SUM('[3]Sun Country'!$FN$41:$FR$41)</f>
        <v>1107984</v>
      </c>
      <c r="P52" s="352">
        <f>SUM('[3]Sun Country'!$EZ$41:$FD$41)</f>
        <v>1071919</v>
      </c>
      <c r="Q52" s="351">
        <f>(O52-P52)/P52</f>
        <v>3.3645266106860687E-2</v>
      </c>
      <c r="R52" s="353">
        <f>O52/$O$66</f>
        <v>7.6306040123507377E-2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1490</v>
      </c>
      <c r="D54" s="352">
        <f>SUM(D55:D61)</f>
        <v>1796</v>
      </c>
      <c r="E54" s="353">
        <f t="shared" ref="E54:E61" si="12">(C54-D54)/D54</f>
        <v>-0.17037861915367483</v>
      </c>
      <c r="F54" s="352">
        <f>SUM(F55:F61)</f>
        <v>7042</v>
      </c>
      <c r="G54" s="352">
        <f>SUM(G55:G61)</f>
        <v>7786</v>
      </c>
      <c r="H54" s="351">
        <f t="shared" ref="H54:H61" si="13">(F54-G54)/G54</f>
        <v>-9.5556126380683282E-2</v>
      </c>
      <c r="I54" s="353">
        <f t="shared" ref="I54:I61" si="14">F54/$F$66</f>
        <v>4.7150671907118129E-2</v>
      </c>
      <c r="J54" s="349" t="s">
        <v>19</v>
      </c>
      <c r="K54" s="357"/>
      <c r="L54" s="350">
        <f>SUM(L55:L61)</f>
        <v>127183</v>
      </c>
      <c r="M54" s="352">
        <f>SUM(M55:M61)</f>
        <v>140155</v>
      </c>
      <c r="N54" s="353">
        <f t="shared" ref="N54:N61" si="15">(L54-M54)/M54</f>
        <v>-9.2554671613570685E-2</v>
      </c>
      <c r="O54" s="350">
        <f>SUM(O55:O61)</f>
        <v>610372</v>
      </c>
      <c r="P54" s="352">
        <f>SUM(P55:P61)</f>
        <v>645108</v>
      </c>
      <c r="Q54" s="351">
        <f t="shared" ref="Q54:Q61" si="16">(O54-P54)/P54</f>
        <v>-5.3845247617453199E-2</v>
      </c>
      <c r="R54" s="353">
        <f t="shared" ref="R54:R61" si="17">O54/$O$66</f>
        <v>4.2035869039864698E-2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[3]United!$FR$19</f>
        <v>588</v>
      </c>
      <c r="D55" s="9">
        <f>[3]United!$FD$19+[3]Continental!$FD$19</f>
        <v>798</v>
      </c>
      <c r="E55" s="86">
        <f t="shared" si="12"/>
        <v>-0.26315789473684209</v>
      </c>
      <c r="F55" s="9">
        <f>SUM([3]United!$FN$19:$FR$19)</f>
        <v>2674</v>
      </c>
      <c r="G55" s="9">
        <f>SUM([3]United!$EZ$19:$FD$19)+SUM([3]Continental!$EZ$19:$FD$19)</f>
        <v>3244</v>
      </c>
      <c r="H55" s="39">
        <f t="shared" si="13"/>
        <v>-0.17570900123304561</v>
      </c>
      <c r="I55" s="86">
        <f t="shared" si="14"/>
        <v>1.7904131877255591E-2</v>
      </c>
      <c r="J55" s="363"/>
      <c r="K55" s="424" t="s">
        <v>19</v>
      </c>
      <c r="L55" s="354">
        <f>[3]United!$FR$41</f>
        <v>68557</v>
      </c>
      <c r="M55" s="9">
        <f>[3]United!$FD$41+[3]Continental!$FD$41</f>
        <v>86411</v>
      </c>
      <c r="N55" s="86">
        <f t="shared" si="15"/>
        <v>-0.20661721308629688</v>
      </c>
      <c r="O55" s="354">
        <f>SUM([3]United!$FN$41:$FR$41)</f>
        <v>334171</v>
      </c>
      <c r="P55" s="9">
        <f>SUM([3]United!$EZ$41:$FD$41)+SUM([3]Continental!$EZ$41:$FD$41)</f>
        <v>377587</v>
      </c>
      <c r="Q55" s="39">
        <f t="shared" si="16"/>
        <v>-0.114982772182305</v>
      </c>
      <c r="R55" s="86">
        <f t="shared" si="17"/>
        <v>2.3014110072088211E-2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Express'!$FR$19</f>
        <v>0</v>
      </c>
      <c r="D56" s="9">
        <f>'[3]Continental Express'!$FD$19</f>
        <v>2</v>
      </c>
      <c r="E56" s="86">
        <f t="shared" si="12"/>
        <v>-1</v>
      </c>
      <c r="F56" s="9">
        <f>SUM('[3]Continental Express'!$FN$19:$FR$19)</f>
        <v>52</v>
      </c>
      <c r="G56" s="9">
        <f>SUM('[3]Continental Express'!$EZ$19:$FD$19)</f>
        <v>114</v>
      </c>
      <c r="H56" s="39">
        <f t="shared" si="13"/>
        <v>-0.54385964912280704</v>
      </c>
      <c r="I56" s="86">
        <f t="shared" si="14"/>
        <v>3.4817309559360163E-4</v>
      </c>
      <c r="J56" s="53"/>
      <c r="K56" s="424" t="s">
        <v>174</v>
      </c>
      <c r="L56" s="354">
        <f>'[3]Continental Express'!$FR$41</f>
        <v>0</v>
      </c>
      <c r="M56" s="9">
        <f>'[3]Continental Express'!$FD$41</f>
        <v>77</v>
      </c>
      <c r="N56" s="86">
        <f t="shared" si="15"/>
        <v>-1</v>
      </c>
      <c r="O56" s="354">
        <f>SUM('[3]Continental Express'!$FN$41:$FR$41)</f>
        <v>1597</v>
      </c>
      <c r="P56" s="9">
        <f>SUM('[3]Continental Express'!$EZ$41:$FD$41)</f>
        <v>4570</v>
      </c>
      <c r="Q56" s="39">
        <f t="shared" si="16"/>
        <v>-0.65054704595185997</v>
      </c>
      <c r="R56" s="86">
        <f t="shared" si="17"/>
        <v>1.0998421103304856E-4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Jet_UA'!$FR$19</f>
        <v>0</v>
      </c>
      <c r="D57" s="9">
        <f>'[3]Go Jet_UA'!$FD$19</f>
        <v>8</v>
      </c>
      <c r="E57" s="86">
        <f t="shared" si="12"/>
        <v>-1</v>
      </c>
      <c r="F57" s="9">
        <f>SUM('[3]Go Jet_UA'!$FN$19:$FR$19)</f>
        <v>150</v>
      </c>
      <c r="G57" s="9">
        <f>SUM('[3]Go Jet_UA'!$EZ$19:$FD$19)</f>
        <v>84</v>
      </c>
      <c r="H57" s="39">
        <f t="shared" si="13"/>
        <v>0.7857142857142857</v>
      </c>
      <c r="I57" s="86">
        <f t="shared" si="14"/>
        <v>1.0043454680584664E-3</v>
      </c>
      <c r="J57" s="363"/>
      <c r="K57" s="358" t="s">
        <v>160</v>
      </c>
      <c r="L57" s="354">
        <f>'[3]Go Jet_UA'!$FR$41</f>
        <v>0</v>
      </c>
      <c r="M57" s="9">
        <f>'[3]Go Jet_UA'!$FD$41</f>
        <v>433</v>
      </c>
      <c r="N57" s="86">
        <f t="shared" si="15"/>
        <v>-1</v>
      </c>
      <c r="O57" s="354">
        <f>SUM('[3]Go Jet_UA'!$FN$41:$FR$41)</f>
        <v>9913</v>
      </c>
      <c r="P57" s="9">
        <f>SUM('[3]Go Jet_UA'!$EZ$41:$FD$41)</f>
        <v>5318</v>
      </c>
      <c r="Q57" s="39">
        <f t="shared" si="16"/>
        <v>0.86404663407295978</v>
      </c>
      <c r="R57" s="86">
        <f t="shared" si="17"/>
        <v>6.8270099184133406E-4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[3]MESA_UA!$FR$19</f>
        <v>328</v>
      </c>
      <c r="D58" s="9">
        <f>[3]MESA_UA!$FD$19</f>
        <v>304</v>
      </c>
      <c r="E58" s="86">
        <f t="shared" si="12"/>
        <v>7.8947368421052627E-2</v>
      </c>
      <c r="F58" s="9">
        <f>SUM([3]MESA_UA!$FN$19:$FR$19)</f>
        <v>1394</v>
      </c>
      <c r="G58" s="9">
        <f>SUM([3]MESA_UA!$EZ$19:$FD$19)</f>
        <v>1558</v>
      </c>
      <c r="H58" s="39">
        <f>(F58-G58)/G58</f>
        <v>-0.10526315789473684</v>
      </c>
      <c r="I58" s="86">
        <f t="shared" si="14"/>
        <v>9.3337172164900135E-3</v>
      </c>
      <c r="J58" s="363"/>
      <c r="K58" s="358" t="s">
        <v>51</v>
      </c>
      <c r="L58" s="354">
        <f>[3]MESA_UA!$FR$41</f>
        <v>20914</v>
      </c>
      <c r="M58" s="9">
        <f>[3]MESA_UA!$FD$41</f>
        <v>14898</v>
      </c>
      <c r="N58" s="86">
        <f t="shared" si="15"/>
        <v>0.40381259229426769</v>
      </c>
      <c r="O58" s="354">
        <f>SUM([3]MESA_UA!$FN$41:$FR$41)</f>
        <v>86428</v>
      </c>
      <c r="P58" s="9">
        <f>SUM([3]MESA_UA!$EZ$41:$FD$41)</f>
        <v>89134</v>
      </c>
      <c r="Q58" s="39">
        <f t="shared" si="16"/>
        <v>-3.0358785648574058E-2</v>
      </c>
      <c r="R58" s="86">
        <f t="shared" si="17"/>
        <v>5.9522325555192998E-3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[3]Republic_UA!$FR$19</f>
        <v>342</v>
      </c>
      <c r="D59" s="9">
        <f>[3]Republic_UA!$FD$19</f>
        <v>382</v>
      </c>
      <c r="E59" s="86">
        <f t="shared" si="12"/>
        <v>-0.10471204188481675</v>
      </c>
      <c r="F59" s="9">
        <f>SUM([3]Republic_UA!$FN$19:$FR$19)</f>
        <v>1826</v>
      </c>
      <c r="G59" s="9">
        <f>SUM([3]Republic_UA!$EZ$19:$FD$19)</f>
        <v>1380</v>
      </c>
      <c r="H59" s="39">
        <f t="shared" ref="H59" si="18">(F59-G59)/G59</f>
        <v>0.32318840579710145</v>
      </c>
      <c r="I59" s="86">
        <f t="shared" si="14"/>
        <v>1.2226232164498396E-2</v>
      </c>
      <c r="J59" s="363"/>
      <c r="K59" s="426" t="s">
        <v>52</v>
      </c>
      <c r="L59" s="354">
        <f>[3]Republic_UA!$FR$41</f>
        <v>22995</v>
      </c>
      <c r="M59" s="9">
        <f>[3]Republic_UA!$FD$41</f>
        <v>19962</v>
      </c>
      <c r="N59" s="86">
        <f t="shared" si="15"/>
        <v>0.15193868349864742</v>
      </c>
      <c r="O59" s="354">
        <f>SUM([3]Republic_UA!$FN$41:$FR$41)</f>
        <v>116205</v>
      </c>
      <c r="P59" s="9">
        <f>SUM([3]Republic_UA!$EZ$41:$FD$41)</f>
        <v>76999</v>
      </c>
      <c r="Q59" s="39">
        <f t="shared" si="16"/>
        <v>0.50917544383693292</v>
      </c>
      <c r="R59" s="86">
        <f t="shared" si="17"/>
        <v>8.0029525629902367E-3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West_UA'!$FR$19</f>
        <v>232</v>
      </c>
      <c r="D60" s="9">
        <f>'[3]Sky West_UA'!$FD$19+'[3]Sky West_CO'!$FD$19</f>
        <v>302</v>
      </c>
      <c r="E60" s="86">
        <f t="shared" si="12"/>
        <v>-0.23178807947019867</v>
      </c>
      <c r="F60" s="9">
        <f>SUM('[3]Sky West_UA'!$FN$19:$FR$19)</f>
        <v>946</v>
      </c>
      <c r="G60" s="9">
        <f>SUM('[3]Sky West_UA'!$EZ$19:$FD$19)+SUM('[3]Sky West_CO'!$EZ$19:$FD$19)</f>
        <v>1382</v>
      </c>
      <c r="H60" s="39">
        <f t="shared" si="13"/>
        <v>-0.31548480463096962</v>
      </c>
      <c r="I60" s="86">
        <f t="shared" si="14"/>
        <v>6.3340720852220608E-3</v>
      </c>
      <c r="J60" s="363"/>
      <c r="K60" s="358" t="s">
        <v>100</v>
      </c>
      <c r="L60" s="354">
        <f>'[3]Sky West_UA'!$FR$41</f>
        <v>14717</v>
      </c>
      <c r="M60" s="9">
        <f>'[3]Sky West_UA'!$FD$41+'[3]Sky West_CO'!$FD$41</f>
        <v>18374</v>
      </c>
      <c r="N60" s="86">
        <f t="shared" si="15"/>
        <v>-0.19903123979536302</v>
      </c>
      <c r="O60" s="354">
        <f>SUM('[3]Sky West_UA'!$FN$41:$FR$41)</f>
        <v>62058</v>
      </c>
      <c r="P60" s="9">
        <f>SUM('[3]Sky West_UA'!$EZ$41:$FD$41)+SUM('[3]Sky West_CO'!$EZ$41:$FD$41)</f>
        <v>90227</v>
      </c>
      <c r="Q60" s="39">
        <f t="shared" si="16"/>
        <v>-0.3122014474602946</v>
      </c>
      <c r="R60" s="86">
        <f t="shared" si="17"/>
        <v>4.2738886463925662E-3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America'!$FR$19</f>
        <v>0</v>
      </c>
      <c r="D61" s="9">
        <f>'[3]Shuttle America'!$FD$19</f>
        <v>0</v>
      </c>
      <c r="E61" s="86" t="e">
        <f t="shared" si="12"/>
        <v>#DIV/0!</v>
      </c>
      <c r="F61" s="9">
        <f>SUM('[3]Shuttle America'!$FN$19:$FR$19)</f>
        <v>0</v>
      </c>
      <c r="G61" s="9">
        <f>SUM('[3]Shuttle America'!$EZ$19:$FD$19)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America'!$FR$41</f>
        <v>0</v>
      </c>
      <c r="M61" s="9">
        <f>'[3]Shuttle America'!$FD$41</f>
        <v>0</v>
      </c>
      <c r="N61" s="86" t="e">
        <f t="shared" si="15"/>
        <v>#DIV/0!</v>
      </c>
      <c r="O61" s="354">
        <f>SUM('[3]Shuttle America'!$FN$41:$FR$41)</f>
        <v>0</v>
      </c>
      <c r="P61" s="9">
        <f>SUM('[3]Shuttle America'!$EZ$41:$FD$41)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18106</v>
      </c>
      <c r="D64" s="439">
        <f>+D66-D65</f>
        <v>19076</v>
      </c>
      <c r="E64" s="440">
        <f>(C64-D64)/D64</f>
        <v>-5.0849234640385828E-2</v>
      </c>
      <c r="F64" s="438">
        <f t="shared" ref="F64:G64" si="19">+F66-F65</f>
        <v>87005</v>
      </c>
      <c r="G64" s="439">
        <f t="shared" si="19"/>
        <v>89969</v>
      </c>
      <c r="H64" s="445">
        <f>(F64-G64)/G64</f>
        <v>-3.2944680945659062E-2</v>
      </c>
      <c r="I64" s="501">
        <f>F64/$F$66</f>
        <v>0.58255384965617907</v>
      </c>
      <c r="K64" s="372" t="s">
        <v>136</v>
      </c>
      <c r="L64" s="438">
        <f>+L66-L65</f>
        <v>2389058</v>
      </c>
      <c r="M64" s="439">
        <f>+M66-M65</f>
        <v>2438735</v>
      </c>
      <c r="N64" s="440">
        <f>(L64-M64)/M64</f>
        <v>-2.036998689894556E-2</v>
      </c>
      <c r="O64" s="438">
        <f t="shared" ref="O64" si="20">+O66-O65</f>
        <v>11321574</v>
      </c>
      <c r="P64" s="439">
        <f>+P66-P65</f>
        <v>11407962</v>
      </c>
      <c r="Q64" s="488">
        <f>(O64-P64)/P64</f>
        <v>-7.5726058694795791E-3</v>
      </c>
      <c r="R64" s="494">
        <f>+O64/O66</f>
        <v>0.77970844335771805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13628</v>
      </c>
      <c r="D65" s="373">
        <f>D61+D38+D36+D34+D33+D37+D20+D60+D57+D35+D56+D58+D25+D24+D21+D15+D6+D59+D22+D23+D7+D16</f>
        <v>13178</v>
      </c>
      <c r="E65" s="374">
        <f>(C65-D65)/D65</f>
        <v>3.4147822127788739E-2</v>
      </c>
      <c r="F65" s="441">
        <f>F61+F38+F36+F34+F33+F37+F20+F60+F57+F35+F56+F58+F25+F24+F21+F15+F6+F59+F22+F23+F7+F16</f>
        <v>62346</v>
      </c>
      <c r="G65" s="373">
        <f>G61+G38+G36+G34+G33+G37+G20+G60+G57+G35+G56+G58+G25+G24+G21+G15+G6+G59+G22+G23+G7+G16</f>
        <v>62994</v>
      </c>
      <c r="H65" s="446">
        <f>(F65-G65)/G65</f>
        <v>-1.0286693970854367E-2</v>
      </c>
      <c r="I65" s="502">
        <f>F65/$F$66</f>
        <v>0.41744615034382093</v>
      </c>
      <c r="K65" s="329" t="s">
        <v>137</v>
      </c>
      <c r="L65" s="441">
        <f>L61+L38+L36+L34+L33+L37+L20+L60+L57+L35+L56+L58+L25+L24+L21+L15+L6+L59+L22+L23+L7+L16</f>
        <v>713654</v>
      </c>
      <c r="M65" s="373">
        <f>M61+M38+M36+M34+M33+M37+M20+M60+M57+M35+M56+M58+M25+M24+M21+M15+M6+M59+M22+M23+M7+M16</f>
        <v>661842</v>
      </c>
      <c r="N65" s="374">
        <f>(L65-M65)/M65</f>
        <v>7.8284545254003218E-2</v>
      </c>
      <c r="O65" s="441">
        <f>O61+O38+O36+O34+O33+O37+O20+O60+O57+O35+O56+O58+O25+O24+O21+O15+O6+O59+O22+O23+O7+O16</f>
        <v>3198692</v>
      </c>
      <c r="P65" s="373">
        <f>P61+P38+P36+P34+P33+P37+P20+P60+P57+P35+P56+P58+P25+P24+P21+P15+P6+P59+P22+P23+P7+P16</f>
        <v>3137044</v>
      </c>
      <c r="Q65" s="486">
        <f>(O65-P65)/P65</f>
        <v>1.9651621080227118E-2</v>
      </c>
      <c r="R65" s="495">
        <f>+O65/O66</f>
        <v>0.22029155664228189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31734</v>
      </c>
      <c r="D66" s="443">
        <f>D54+D52+D42+D40+D31+D18+D13+D4+D50+D29+D27+D9+D46+D11+D44+D48</f>
        <v>32254</v>
      </c>
      <c r="E66" s="444">
        <f>(C66-D66)/D66</f>
        <v>-1.6122031375953371E-2</v>
      </c>
      <c r="F66" s="442">
        <f>F54+F52+F42+F40+F31+F18+F13+F4+F50+F29+F27+F9+F46+F11+F44+F48</f>
        <v>149351</v>
      </c>
      <c r="G66" s="443">
        <f>G54+G52+G42+G40+G31+G18+G13+G4+G50+G29+G27+G9+G46+G11+G44+G48</f>
        <v>152963</v>
      </c>
      <c r="H66" s="447">
        <f>(F66-G66)/G66</f>
        <v>-2.3613553604466441E-2</v>
      </c>
      <c r="I66" s="503">
        <f>+H66/H66</f>
        <v>1</v>
      </c>
      <c r="K66" s="329" t="s">
        <v>138</v>
      </c>
      <c r="L66" s="442">
        <f>L54+L52+L42+L40+L31+L18+L13+L4+L50+L29+L27+L9+L46+L11+L44+L48</f>
        <v>3102712</v>
      </c>
      <c r="M66" s="443">
        <f>M54+M52+M42+M40+M31+M18+M13+M4+M50+M29+M27+M9+M46+M11+M44+M48</f>
        <v>3100577</v>
      </c>
      <c r="N66" s="444">
        <f>(L66-M66)/M66</f>
        <v>6.8858151240881944E-4</v>
      </c>
      <c r="O66" s="442">
        <f>O54+O52+O42+O40+O31+O18+O13+O4+O50+O29+O27+O9+O46+O11+O44+O48</f>
        <v>14520266</v>
      </c>
      <c r="P66" s="443">
        <f>P54+P52+P42+P40+P31+P18+P13+P4+P50+P29+P27+P9+P46+P11+P44+P48</f>
        <v>14545006</v>
      </c>
      <c r="Q66" s="489">
        <f>(O66-P66)/P66</f>
        <v>-1.7009274523503118E-3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May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Normal="100" zoomScaleSheetLayoutView="100" workbookViewId="0">
      <selection activeCell="C15" sqref="C1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43221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230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[3]American!$FR$22</f>
        <v>77481</v>
      </c>
      <c r="C4" s="21">
        <f>[3]Delta!$FR$22+[3]Delta!$FR$32</f>
        <v>818879</v>
      </c>
      <c r="D4" s="21">
        <f>[3]United!$FR$22</f>
        <v>35475</v>
      </c>
      <c r="E4" s="21">
        <f>[3]Spirit!$FR$22</f>
        <v>44032</v>
      </c>
      <c r="F4" s="21">
        <f>[3]Condor!$FR$22+[3]Condor!$FR$32</f>
        <v>730</v>
      </c>
      <c r="G4" s="21">
        <f>'[3]Air France'!$FR$22+'[3]Air France'!$FR$32</f>
        <v>3781</v>
      </c>
      <c r="H4" s="21">
        <f>'[3]Jet Blue'!$FR$22</f>
        <v>9628</v>
      </c>
      <c r="I4" s="21">
        <f>[3]KLM!$FR$22+[3]KLM!$FR$32</f>
        <v>3887</v>
      </c>
      <c r="J4" s="21">
        <f>'Other Major Airline Stats'!J5</f>
        <v>208969</v>
      </c>
      <c r="K4" s="281">
        <f>SUM(B4:J4)</f>
        <v>1202862</v>
      </c>
    </row>
    <row r="5" spans="1:20" x14ac:dyDescent="0.2">
      <c r="A5" s="62" t="s">
        <v>31</v>
      </c>
      <c r="B5" s="14">
        <f>[3]American!$FR$23</f>
        <v>72932</v>
      </c>
      <c r="C5" s="14">
        <f>[3]Delta!$FR$23+[3]Delta!$FR$33</f>
        <v>813380</v>
      </c>
      <c r="D5" s="14">
        <f>[3]United!$FR$23</f>
        <v>33082</v>
      </c>
      <c r="E5" s="14">
        <f>[3]Spirit!$FR$23</f>
        <v>43978</v>
      </c>
      <c r="F5" s="14">
        <f>[3]Condor!$FR$23+[3]Condor!$FR$33</f>
        <v>972</v>
      </c>
      <c r="G5" s="14">
        <f>'[3]Air France'!$FR$23+'[3]Air France'!$FR$33</f>
        <v>3802</v>
      </c>
      <c r="H5" s="14">
        <f>'[3]Jet Blue'!$FR$23</f>
        <v>9944</v>
      </c>
      <c r="I5" s="14">
        <f>[3]KLM!$FR$23+[3]KLM!$FR$33</f>
        <v>4354</v>
      </c>
      <c r="J5" s="14">
        <f>'Other Major Airline Stats'!J6</f>
        <v>203752</v>
      </c>
      <c r="K5" s="282">
        <f>SUM(B5:J5)</f>
        <v>1186196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150413</v>
      </c>
      <c r="C6" s="34">
        <f t="shared" si="0"/>
        <v>1632259</v>
      </c>
      <c r="D6" s="34">
        <f t="shared" si="0"/>
        <v>68557</v>
      </c>
      <c r="E6" s="34">
        <f t="shared" si="0"/>
        <v>88010</v>
      </c>
      <c r="F6" s="34">
        <f t="shared" ref="F6:I6" si="1">SUM(F4:F5)</f>
        <v>1702</v>
      </c>
      <c r="G6" s="34">
        <f t="shared" si="1"/>
        <v>7583</v>
      </c>
      <c r="H6" s="34">
        <f t="shared" si="1"/>
        <v>19572</v>
      </c>
      <c r="I6" s="34">
        <f t="shared" si="1"/>
        <v>8241</v>
      </c>
      <c r="J6" s="34">
        <f t="shared" si="0"/>
        <v>412721</v>
      </c>
      <c r="K6" s="283">
        <f>SUM(B6:J6)</f>
        <v>2389058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[3]American!$FR$27</f>
        <v>3009</v>
      </c>
      <c r="C9" s="21">
        <f>[3]Delta!$FR$27+[3]Delta!$FR$37</f>
        <v>49375</v>
      </c>
      <c r="D9" s="21">
        <f>[3]United!$FR$27</f>
        <v>1324</v>
      </c>
      <c r="E9" s="21">
        <f>[3]Spirit!$FR$27</f>
        <v>285</v>
      </c>
      <c r="F9" s="21">
        <f>[3]Condor!$FR$27+[3]Condor!$FR$37</f>
        <v>5</v>
      </c>
      <c r="G9" s="21">
        <f>'[3]Air France'!$FR$27+'[3]Air France'!$FR$37</f>
        <v>16</v>
      </c>
      <c r="H9" s="21">
        <f>'[3]Jet Blue'!$FR$27</f>
        <v>299</v>
      </c>
      <c r="I9" s="21">
        <f>[3]KLM!$FR$27+[3]KLM!$FR$37</f>
        <v>15</v>
      </c>
      <c r="J9" s="21">
        <f>'Other Major Airline Stats'!J10</f>
        <v>4111</v>
      </c>
      <c r="K9" s="281">
        <f>SUM(B9:J9)</f>
        <v>58439</v>
      </c>
    </row>
    <row r="10" spans="1:20" x14ac:dyDescent="0.2">
      <c r="A10" s="62" t="s">
        <v>33</v>
      </c>
      <c r="B10" s="14">
        <f>[3]American!$FR$28</f>
        <v>3220</v>
      </c>
      <c r="C10" s="14">
        <f>[3]Delta!$FR$28+[3]Delta!$FR$38</f>
        <v>30395</v>
      </c>
      <c r="D10" s="14">
        <f>[3]United!$FR$28</f>
        <v>1603</v>
      </c>
      <c r="E10" s="14">
        <f>[3]Spirit!$FR$28</f>
        <v>285</v>
      </c>
      <c r="F10" s="14">
        <f>[3]Condor!$FR$28+[3]Condor!$FR$38</f>
        <v>4</v>
      </c>
      <c r="G10" s="14">
        <f>'[3]Air France'!$FR$28+'[3]Air France'!$FR$38</f>
        <v>13</v>
      </c>
      <c r="H10" s="14">
        <f>'[3]Jet Blue'!$FR$28</f>
        <v>336</v>
      </c>
      <c r="I10" s="14">
        <f>[3]KLM!$FR$28+[3]KLM!$FR$38</f>
        <v>16</v>
      </c>
      <c r="J10" s="14">
        <f>'Other Major Airline Stats'!J11</f>
        <v>3857</v>
      </c>
      <c r="K10" s="282">
        <f>SUM(B10:J10)</f>
        <v>39729</v>
      </c>
    </row>
    <row r="11" spans="1:20" ht="15.75" thickBot="1" x14ac:dyDescent="0.3">
      <c r="A11" s="63" t="s">
        <v>34</v>
      </c>
      <c r="B11" s="284">
        <f t="shared" ref="B11:J11" si="2">SUM(B9:B10)</f>
        <v>6229</v>
      </c>
      <c r="C11" s="284">
        <f t="shared" si="2"/>
        <v>79770</v>
      </c>
      <c r="D11" s="284">
        <f t="shared" si="2"/>
        <v>2927</v>
      </c>
      <c r="E11" s="284">
        <f t="shared" si="2"/>
        <v>570</v>
      </c>
      <c r="F11" s="284">
        <f t="shared" ref="F11:I11" si="3">SUM(F9:F10)</f>
        <v>9</v>
      </c>
      <c r="G11" s="284">
        <f t="shared" si="3"/>
        <v>29</v>
      </c>
      <c r="H11" s="284">
        <f t="shared" si="3"/>
        <v>635</v>
      </c>
      <c r="I11" s="284">
        <f t="shared" si="3"/>
        <v>31</v>
      </c>
      <c r="J11" s="284">
        <f t="shared" si="2"/>
        <v>7968</v>
      </c>
      <c r="K11" s="285">
        <f>SUM(B11:J11)</f>
        <v>98168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[3]American!$FR$4</f>
        <v>601</v>
      </c>
      <c r="C15" s="21">
        <f>[3]Delta!$FR$4+[3]Delta!$FR$15</f>
        <v>5836</v>
      </c>
      <c r="D15" s="21">
        <f>[3]United!$FR$4</f>
        <v>294</v>
      </c>
      <c r="E15" s="21">
        <f>[3]Spirit!$FR$4</f>
        <v>344</v>
      </c>
      <c r="F15" s="21">
        <f>[3]Condor!$FR$4+[3]Condor!$FR$15</f>
        <v>5</v>
      </c>
      <c r="G15" s="21">
        <f>'[3]Air France'!$FR$4+'[3]Air France'!$FR$15</f>
        <v>20</v>
      </c>
      <c r="H15" s="21">
        <f>'[3]Jet Blue'!$FR$4</f>
        <v>87</v>
      </c>
      <c r="I15" s="21">
        <f>[3]KLM!$FR$4+[3]KLM!$FR$15</f>
        <v>17</v>
      </c>
      <c r="J15" s="21">
        <f>'Other Major Airline Stats'!J16</f>
        <v>1780</v>
      </c>
      <c r="K15" s="27">
        <f>SUM(B15:J15)</f>
        <v>8984</v>
      </c>
    </row>
    <row r="16" spans="1:20" x14ac:dyDescent="0.2">
      <c r="A16" s="62" t="s">
        <v>23</v>
      </c>
      <c r="B16" s="14">
        <f>[3]American!$FR$5</f>
        <v>599</v>
      </c>
      <c r="C16" s="14">
        <f>[3]Delta!$FR$5+[3]Delta!$FR$16</f>
        <v>5827</v>
      </c>
      <c r="D16" s="14">
        <f>[3]United!$FR$5</f>
        <v>294</v>
      </c>
      <c r="E16" s="14">
        <f>[3]Spirit!$FR$5</f>
        <v>345</v>
      </c>
      <c r="F16" s="14">
        <f>[3]Condor!$FR$5+[3]Condor!$FR$16</f>
        <v>5</v>
      </c>
      <c r="G16" s="14">
        <f>'[3]Air France'!$FR$5+'[3]Air France'!$FR$16</f>
        <v>20</v>
      </c>
      <c r="H16" s="14">
        <f>'[3]Jet Blue'!$FR$5</f>
        <v>86</v>
      </c>
      <c r="I16" s="14">
        <f>[3]KLM!$FR$5+[3]KLM!$FR$16</f>
        <v>17</v>
      </c>
      <c r="J16" s="14">
        <f>'Other Major Airline Stats'!J17</f>
        <v>1779</v>
      </c>
      <c r="K16" s="33">
        <f>SUM(B16:J16)</f>
        <v>8972</v>
      </c>
    </row>
    <row r="17" spans="1:11" x14ac:dyDescent="0.2">
      <c r="A17" s="62" t="s">
        <v>24</v>
      </c>
      <c r="B17" s="288">
        <f t="shared" ref="B17:J17" si="4">SUM(B15:B16)</f>
        <v>1200</v>
      </c>
      <c r="C17" s="286">
        <f t="shared" si="4"/>
        <v>11663</v>
      </c>
      <c r="D17" s="286">
        <f t="shared" si="4"/>
        <v>588</v>
      </c>
      <c r="E17" s="286">
        <f t="shared" si="4"/>
        <v>689</v>
      </c>
      <c r="F17" s="286">
        <f t="shared" ref="F17:I17" si="5">SUM(F15:F16)</f>
        <v>10</v>
      </c>
      <c r="G17" s="286">
        <f t="shared" si="5"/>
        <v>40</v>
      </c>
      <c r="H17" s="286">
        <f t="shared" si="5"/>
        <v>173</v>
      </c>
      <c r="I17" s="286">
        <f t="shared" si="5"/>
        <v>34</v>
      </c>
      <c r="J17" s="286">
        <f t="shared" si="4"/>
        <v>3559</v>
      </c>
      <c r="K17" s="287">
        <f>SUM(B17:J17)</f>
        <v>17956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[3]American!$FR$8</f>
        <v>0</v>
      </c>
      <c r="C19" s="21">
        <f>[3]Delta!$FR$8</f>
        <v>3</v>
      </c>
      <c r="D19" s="21">
        <f>[3]United!$FR$8</f>
        <v>0</v>
      </c>
      <c r="E19" s="21">
        <f>[3]Spirit!$FR$8</f>
        <v>0</v>
      </c>
      <c r="F19" s="21">
        <f>[3]Condor!$FR$8</f>
        <v>0</v>
      </c>
      <c r="G19" s="21">
        <f>'[3]Air France'!$FR$8</f>
        <v>0</v>
      </c>
      <c r="H19" s="21">
        <f>'[3]Jet Blue'!$FR$8</f>
        <v>0</v>
      </c>
      <c r="I19" s="21">
        <f>[3]KLM!$FR$8</f>
        <v>0</v>
      </c>
      <c r="J19" s="21">
        <f>'Other Major Airline Stats'!J20</f>
        <v>68</v>
      </c>
      <c r="K19" s="27">
        <f>SUM(B19:J19)</f>
        <v>71</v>
      </c>
    </row>
    <row r="20" spans="1:11" x14ac:dyDescent="0.2">
      <c r="A20" s="62" t="s">
        <v>26</v>
      </c>
      <c r="B20" s="14">
        <f>[3]American!$FR$9</f>
        <v>0</v>
      </c>
      <c r="C20" s="14">
        <f>[3]Delta!$FR$9</f>
        <v>8</v>
      </c>
      <c r="D20" s="14">
        <f>[3]United!$FR$9</f>
        <v>0</v>
      </c>
      <c r="E20" s="14">
        <f>[3]Spirit!$FR$9</f>
        <v>0</v>
      </c>
      <c r="F20" s="14">
        <f>[3]Condor!$FR$9</f>
        <v>0</v>
      </c>
      <c r="G20" s="14">
        <f>'[3]Air France'!$FR$9</f>
        <v>0</v>
      </c>
      <c r="H20" s="14">
        <f>'[3]Jet Blue'!$FR$9</f>
        <v>0</v>
      </c>
      <c r="I20" s="14">
        <f>[3]KLM!$FR$9</f>
        <v>0</v>
      </c>
      <c r="J20" s="14">
        <f>'Other Major Airline Stats'!J21</f>
        <v>71</v>
      </c>
      <c r="K20" s="33">
        <f>SUM(B20:J20)</f>
        <v>79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11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139</v>
      </c>
      <c r="K21" s="176">
        <f>SUM(B21:J21)</f>
        <v>150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1200</v>
      </c>
      <c r="C23" s="28">
        <f t="shared" si="8"/>
        <v>11674</v>
      </c>
      <c r="D23" s="28">
        <f t="shared" si="8"/>
        <v>588</v>
      </c>
      <c r="E23" s="28">
        <f>E17+E21</f>
        <v>689</v>
      </c>
      <c r="F23" s="28">
        <f t="shared" ref="F23:I23" si="9">F17+F21</f>
        <v>10</v>
      </c>
      <c r="G23" s="28">
        <f t="shared" si="9"/>
        <v>40</v>
      </c>
      <c r="H23" s="28">
        <f t="shared" si="9"/>
        <v>173</v>
      </c>
      <c r="I23" s="28">
        <f t="shared" si="9"/>
        <v>34</v>
      </c>
      <c r="J23" s="28">
        <f t="shared" si="8"/>
        <v>3698</v>
      </c>
      <c r="K23" s="29">
        <f>SUM(B23:J23)</f>
        <v>18106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[3]American!$FR$47</f>
        <v>52431</v>
      </c>
      <c r="C28" s="21">
        <f>[3]Delta!$FR$47</f>
        <v>4712636</v>
      </c>
      <c r="D28" s="21">
        <f>[3]United!$FR$47</f>
        <v>47983</v>
      </c>
      <c r="E28" s="21">
        <f>[3]Spirit!$FR$47</f>
        <v>0</v>
      </c>
      <c r="F28" s="21">
        <f>[3]Condor!$FR$47</f>
        <v>51140</v>
      </c>
      <c r="G28" s="21">
        <f>'[3]Air France'!$FR$47</f>
        <v>144058</v>
      </c>
      <c r="H28" s="21">
        <f>'[3]Jet Blue'!$FR$47</f>
        <v>0</v>
      </c>
      <c r="I28" s="21">
        <f>[3]KLM!$FR$47</f>
        <v>350944</v>
      </c>
      <c r="J28" s="21">
        <f>'Other Major Airline Stats'!J28</f>
        <v>403249</v>
      </c>
      <c r="K28" s="27">
        <f>SUM(B28:J28)</f>
        <v>5762441</v>
      </c>
    </row>
    <row r="29" spans="1:11" x14ac:dyDescent="0.2">
      <c r="A29" s="62" t="s">
        <v>38</v>
      </c>
      <c r="B29" s="14">
        <f>[3]American!$FR$48</f>
        <v>14395</v>
      </c>
      <c r="C29" s="14">
        <f>[3]Delta!$FR$48</f>
        <v>1479586</v>
      </c>
      <c r="D29" s="14">
        <f>[3]United!$FR$48</f>
        <v>9310</v>
      </c>
      <c r="E29" s="14">
        <f>[3]Spirit!$FR$48</f>
        <v>0</v>
      </c>
      <c r="F29" s="14">
        <f>[3]Condor!$FR$48</f>
        <v>0</v>
      </c>
      <c r="G29" s="14">
        <f>'[3]Air France'!$FR$48</f>
        <v>0</v>
      </c>
      <c r="H29" s="14">
        <f>'[3]Jet Blue'!$FR$48</f>
        <v>0</v>
      </c>
      <c r="I29" s="14">
        <f>[3]KLM!$FR$48</f>
        <v>0</v>
      </c>
      <c r="J29" s="14">
        <f>'Other Major Airline Stats'!J29</f>
        <v>509864</v>
      </c>
      <c r="K29" s="33">
        <f>SUM(B29:J29)</f>
        <v>2013155</v>
      </c>
    </row>
    <row r="30" spans="1:11" x14ac:dyDescent="0.2">
      <c r="A30" s="66" t="s">
        <v>39</v>
      </c>
      <c r="B30" s="288">
        <f t="shared" ref="B30:J30" si="10">SUM(B28:B29)</f>
        <v>66826</v>
      </c>
      <c r="C30" s="288">
        <f t="shared" si="10"/>
        <v>6192222</v>
      </c>
      <c r="D30" s="288">
        <f t="shared" si="10"/>
        <v>57293</v>
      </c>
      <c r="E30" s="288">
        <f t="shared" si="10"/>
        <v>0</v>
      </c>
      <c r="F30" s="288">
        <f t="shared" ref="F30:I30" si="11">SUM(F28:F29)</f>
        <v>51140</v>
      </c>
      <c r="G30" s="288">
        <f t="shared" si="11"/>
        <v>144058</v>
      </c>
      <c r="H30" s="288">
        <f t="shared" si="11"/>
        <v>0</v>
      </c>
      <c r="I30" s="288">
        <f t="shared" si="11"/>
        <v>350944</v>
      </c>
      <c r="J30" s="288">
        <f t="shared" si="10"/>
        <v>913113</v>
      </c>
      <c r="K30" s="27">
        <f>SUM(B30:J30)</f>
        <v>7775596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[3]American!$FR$52</f>
        <v>11107</v>
      </c>
      <c r="C33" s="21">
        <f>[3]Delta!$FR$52</f>
        <v>2141586</v>
      </c>
      <c r="D33" s="21">
        <f>[3]United!$FR$52</f>
        <v>15151</v>
      </c>
      <c r="E33" s="21">
        <f>[3]Spirit!$FR$52</f>
        <v>0</v>
      </c>
      <c r="F33" s="21">
        <f>[3]Condor!$FR$52</f>
        <v>32202</v>
      </c>
      <c r="G33" s="21">
        <f>'[3]Air France'!$FR$52</f>
        <v>94173</v>
      </c>
      <c r="H33" s="21">
        <f>'[3]Jet Blue'!$FR$52</f>
        <v>0</v>
      </c>
      <c r="I33" s="21">
        <f>[3]KLM!$FR$52</f>
        <v>125624</v>
      </c>
      <c r="J33" s="21">
        <f>'Other Major Airline Stats'!J33</f>
        <v>156521</v>
      </c>
      <c r="K33" s="27">
        <f t="shared" si="12"/>
        <v>2576364</v>
      </c>
    </row>
    <row r="34" spans="1:11" x14ac:dyDescent="0.2">
      <c r="A34" s="62" t="s">
        <v>38</v>
      </c>
      <c r="B34" s="14">
        <f>[3]American!$FR$53</f>
        <v>51684</v>
      </c>
      <c r="C34" s="14">
        <f>[3]Delta!$FR$53</f>
        <v>1837301</v>
      </c>
      <c r="D34" s="14">
        <f>[3]United!$FR$53</f>
        <v>39017</v>
      </c>
      <c r="E34" s="14">
        <f>[3]Spirit!$FR$53</f>
        <v>0</v>
      </c>
      <c r="F34" s="14">
        <f>[3]Condor!$FR$53</f>
        <v>0</v>
      </c>
      <c r="G34" s="14">
        <f>'[3]Air France'!$FR$53</f>
        <v>0</v>
      </c>
      <c r="H34" s="14">
        <f>'[3]Jet Blue'!$FR$53</f>
        <v>0</v>
      </c>
      <c r="I34" s="14">
        <f>[3]KLM!$FR$53</f>
        <v>0</v>
      </c>
      <c r="J34" s="14">
        <f>'Other Major Airline Stats'!J34</f>
        <v>380551</v>
      </c>
      <c r="K34" s="33">
        <f t="shared" si="12"/>
        <v>2308553</v>
      </c>
    </row>
    <row r="35" spans="1:11" x14ac:dyDescent="0.2">
      <c r="A35" s="66" t="s">
        <v>41</v>
      </c>
      <c r="B35" s="288">
        <f t="shared" ref="B35:J35" si="13">SUM(B33:B34)</f>
        <v>62791</v>
      </c>
      <c r="C35" s="288">
        <f t="shared" si="13"/>
        <v>3978887</v>
      </c>
      <c r="D35" s="288">
        <f t="shared" si="13"/>
        <v>54168</v>
      </c>
      <c r="E35" s="288">
        <f t="shared" si="13"/>
        <v>0</v>
      </c>
      <c r="F35" s="288">
        <f t="shared" ref="F35:I35" si="14">SUM(F33:F34)</f>
        <v>32202</v>
      </c>
      <c r="G35" s="288">
        <f t="shared" si="14"/>
        <v>94173</v>
      </c>
      <c r="H35" s="288">
        <f t="shared" si="14"/>
        <v>0</v>
      </c>
      <c r="I35" s="288">
        <f t="shared" si="14"/>
        <v>125624</v>
      </c>
      <c r="J35" s="288">
        <f t="shared" si="13"/>
        <v>537072</v>
      </c>
      <c r="K35" s="27">
        <f t="shared" si="12"/>
        <v>4884917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[3]American!$FR$57</f>
        <v>0</v>
      </c>
      <c r="C38" s="21">
        <f>[3]Delta!$FR$57</f>
        <v>0</v>
      </c>
      <c r="D38" s="21">
        <f>[3]United!$FR$57</f>
        <v>0</v>
      </c>
      <c r="E38" s="21">
        <f>[3]Spirit!$FR$57</f>
        <v>0</v>
      </c>
      <c r="F38" s="21">
        <f>[3]Condor!$FR$57</f>
        <v>0</v>
      </c>
      <c r="G38" s="21">
        <f>'[3]Air France'!$FR$57</f>
        <v>0</v>
      </c>
      <c r="H38" s="21">
        <f>'[3]Jet Blue'!$FR$57</f>
        <v>0</v>
      </c>
      <c r="I38" s="21">
        <f>[3]KLM!$FR$57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[3]American!$FR$58</f>
        <v>0</v>
      </c>
      <c r="C39" s="14">
        <f>[3]Delta!$FR$58</f>
        <v>0</v>
      </c>
      <c r="D39" s="14">
        <f>[3]United!$FR$58</f>
        <v>0</v>
      </c>
      <c r="E39" s="14">
        <f>[3]Spirit!$FR$58</f>
        <v>0</v>
      </c>
      <c r="F39" s="14">
        <f>[3]Condor!$FR$58</f>
        <v>0</v>
      </c>
      <c r="G39" s="14">
        <f>'[3]Air France'!$FR$58</f>
        <v>0</v>
      </c>
      <c r="H39" s="14">
        <f>'[3]Jet Blue'!$FR$58</f>
        <v>0</v>
      </c>
      <c r="I39" s="14">
        <f>[3]KLM!$FR$58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63538</v>
      </c>
      <c r="C43" s="21">
        <f t="shared" si="17"/>
        <v>6854222</v>
      </c>
      <c r="D43" s="21">
        <f t="shared" si="17"/>
        <v>63134</v>
      </c>
      <c r="E43" s="21">
        <f>E28+E33+E38</f>
        <v>0</v>
      </c>
      <c r="F43" s="21">
        <f t="shared" ref="F43:I43" si="18">F28+F33+F38</f>
        <v>83342</v>
      </c>
      <c r="G43" s="21">
        <f t="shared" si="18"/>
        <v>238231</v>
      </c>
      <c r="H43" s="21">
        <f t="shared" si="18"/>
        <v>0</v>
      </c>
      <c r="I43" s="21">
        <f t="shared" si="18"/>
        <v>476568</v>
      </c>
      <c r="J43" s="21">
        <f t="shared" si="17"/>
        <v>559770</v>
      </c>
      <c r="K43" s="27">
        <f>SUM(B43:J43)</f>
        <v>8338805</v>
      </c>
    </row>
    <row r="44" spans="1:11" x14ac:dyDescent="0.2">
      <c r="A44" s="62" t="s">
        <v>38</v>
      </c>
      <c r="B44" s="14">
        <f t="shared" si="17"/>
        <v>66079</v>
      </c>
      <c r="C44" s="14">
        <f t="shared" si="17"/>
        <v>3316887</v>
      </c>
      <c r="D44" s="14">
        <f t="shared" si="17"/>
        <v>48327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890415</v>
      </c>
      <c r="K44" s="27">
        <f>SUM(B44:J44)</f>
        <v>4321708</v>
      </c>
    </row>
    <row r="45" spans="1:11" ht="15.75" thickBot="1" x14ac:dyDescent="0.3">
      <c r="A45" s="63" t="s">
        <v>46</v>
      </c>
      <c r="B45" s="289">
        <f t="shared" ref="B45:J45" si="20">SUM(B43:B44)</f>
        <v>129617</v>
      </c>
      <c r="C45" s="289">
        <f t="shared" si="20"/>
        <v>10171109</v>
      </c>
      <c r="D45" s="289">
        <f t="shared" si="20"/>
        <v>111461</v>
      </c>
      <c r="E45" s="289">
        <f t="shared" si="20"/>
        <v>0</v>
      </c>
      <c r="F45" s="289">
        <f t="shared" ref="F45:I45" si="21">SUM(F43:F44)</f>
        <v>83342</v>
      </c>
      <c r="G45" s="289">
        <f t="shared" si="21"/>
        <v>238231</v>
      </c>
      <c r="H45" s="289">
        <f t="shared" si="21"/>
        <v>0</v>
      </c>
      <c r="I45" s="289">
        <f t="shared" si="21"/>
        <v>476568</v>
      </c>
      <c r="J45" s="289">
        <f t="shared" si="20"/>
        <v>1450185</v>
      </c>
      <c r="K45" s="290">
        <f>SUM(B45:J45)</f>
        <v>12660513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[3]Delta!$FR$70+[3]Delta!$FR$73</f>
        <v>421331</v>
      </c>
      <c r="D47" s="306"/>
      <c r="E47" s="306"/>
      <c r="F47" s="306"/>
      <c r="G47" s="306"/>
      <c r="H47" s="306"/>
      <c r="I47" s="306"/>
      <c r="J47" s="306"/>
      <c r="K47" s="307">
        <f>SUM(B47:J47)</f>
        <v>421331</v>
      </c>
    </row>
    <row r="48" spans="1:11" hidden="1" x14ac:dyDescent="0.2">
      <c r="A48" s="376" t="s">
        <v>125</v>
      </c>
      <c r="C48" s="319">
        <f>[3]Delta!$FR$71+[3]Delta!$FR$74</f>
        <v>392049</v>
      </c>
      <c r="D48" s="306"/>
      <c r="E48" s="306"/>
      <c r="F48" s="306"/>
      <c r="G48" s="306"/>
      <c r="H48" s="306"/>
      <c r="I48" s="306"/>
      <c r="J48" s="306"/>
      <c r="K48" s="307">
        <f>SUM(B48:J48)</f>
        <v>392049</v>
      </c>
    </row>
    <row r="49" spans="1:11" hidden="1" x14ac:dyDescent="0.2">
      <c r="A49" s="377" t="s">
        <v>126</v>
      </c>
      <c r="C49" s="320">
        <f>SUM(C47:C48)</f>
        <v>813380</v>
      </c>
      <c r="K49" s="307">
        <f>SUM(B49:J49)</f>
        <v>813380</v>
      </c>
    </row>
    <row r="50" spans="1:11" x14ac:dyDescent="0.2">
      <c r="A50" s="375" t="s">
        <v>124</v>
      </c>
      <c r="B50" s="387"/>
      <c r="C50" s="322">
        <f>[3]Delta!$FR$70+[3]Delta!$FR$73</f>
        <v>421331</v>
      </c>
      <c r="D50" s="387"/>
      <c r="E50" s="322">
        <f>[3]Spirit!$FR$70+[3]Spirit!$FR$73</f>
        <v>0</v>
      </c>
      <c r="F50" s="387"/>
      <c r="G50" s="387"/>
      <c r="H50" s="387"/>
      <c r="I50" s="387"/>
      <c r="J50" s="321">
        <f>'Other Major Airline Stats'!J48</f>
        <v>159648</v>
      </c>
      <c r="K50" s="310">
        <f>SUM(B50:J50)</f>
        <v>580979</v>
      </c>
    </row>
    <row r="51" spans="1:11" x14ac:dyDescent="0.2">
      <c r="A51" s="389" t="s">
        <v>125</v>
      </c>
      <c r="B51" s="387"/>
      <c r="C51" s="322">
        <f>[3]Delta!$FR$71+[3]Delta!$FR$74</f>
        <v>392049</v>
      </c>
      <c r="D51" s="387"/>
      <c r="E51" s="322">
        <f>[3]Spirit!$FR$71+[3]Spirit!$FR$74</f>
        <v>0</v>
      </c>
      <c r="F51" s="387"/>
      <c r="G51" s="387"/>
      <c r="H51" s="387"/>
      <c r="I51" s="387"/>
      <c r="J51" s="321">
        <f>+'Other Major Airline Stats'!J49</f>
        <v>5289</v>
      </c>
      <c r="K51" s="310">
        <f>SUM(B51:J51)</f>
        <v>397338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N8" sqref="N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43221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[3]Frontier!$FR$22</f>
        <v>22822</v>
      </c>
      <c r="C5" s="146">
        <f>'[3]Great Lakes'!$FR$22</f>
        <v>0</v>
      </c>
      <c r="D5" s="118">
        <f>'[3]Air Choice One'!$FR$22</f>
        <v>420</v>
      </c>
      <c r="E5" s="118">
        <f>'[3]Boutique Air'!$FR$22</f>
        <v>465</v>
      </c>
      <c r="F5" s="146">
        <f>[3]Icelandair!$FR$32</f>
        <v>4435</v>
      </c>
      <c r="G5" s="118">
        <f>[3]Southwest!$FR$22</f>
        <v>82734</v>
      </c>
      <c r="H5" s="118">
        <f>'[3]Sun Country'!$FR$22+'[3]Sun Country'!$FR$32</f>
        <v>88773</v>
      </c>
      <c r="I5" s="118">
        <f>[3]Alaska!$FR$22</f>
        <v>9320</v>
      </c>
      <c r="J5" s="147">
        <f>SUM(B5:I5)</f>
        <v>208969</v>
      </c>
      <c r="M5" s="130"/>
    </row>
    <row r="6" spans="1:13" x14ac:dyDescent="0.2">
      <c r="A6" s="62" t="s">
        <v>31</v>
      </c>
      <c r="B6" s="146">
        <f>[3]Frontier!$FR$23</f>
        <v>22697</v>
      </c>
      <c r="C6" s="146">
        <f>'[3]Great Lakes'!$FR$23</f>
        <v>0</v>
      </c>
      <c r="D6" s="118">
        <f>'[3]Air Choice One'!$FR$23</f>
        <v>426</v>
      </c>
      <c r="E6" s="118">
        <f>'[3]Boutique Air'!$FR$23</f>
        <v>429</v>
      </c>
      <c r="F6" s="146">
        <f>[3]Icelandair!$FR$33</f>
        <v>5599</v>
      </c>
      <c r="G6" s="118">
        <f>[3]Southwest!$FR$23</f>
        <v>78654</v>
      </c>
      <c r="H6" s="118">
        <f>'[3]Sun Country'!$FR$23+'[3]Sun Country'!$FR$33</f>
        <v>86283</v>
      </c>
      <c r="I6" s="118">
        <f>[3]Alaska!$FR$23</f>
        <v>9664</v>
      </c>
      <c r="J6" s="147">
        <f>SUM(B6:I6)</f>
        <v>203752</v>
      </c>
    </row>
    <row r="7" spans="1:13" ht="15" x14ac:dyDescent="0.25">
      <c r="A7" s="60" t="s">
        <v>7</v>
      </c>
      <c r="B7" s="155">
        <f t="shared" ref="B7:I7" si="0">SUM(B5:B6)</f>
        <v>45519</v>
      </c>
      <c r="C7" s="155">
        <f t="shared" si="0"/>
        <v>0</v>
      </c>
      <c r="D7" s="155">
        <f t="shared" ref="D7:E7" si="1">SUM(D5:D6)</f>
        <v>846</v>
      </c>
      <c r="E7" s="155">
        <f t="shared" si="1"/>
        <v>894</v>
      </c>
      <c r="F7" s="155">
        <f t="shared" si="0"/>
        <v>10034</v>
      </c>
      <c r="G7" s="155">
        <f t="shared" si="0"/>
        <v>161388</v>
      </c>
      <c r="H7" s="155">
        <f>SUM(H5:H6)</f>
        <v>175056</v>
      </c>
      <c r="I7" s="155">
        <f t="shared" si="0"/>
        <v>18984</v>
      </c>
      <c r="J7" s="156">
        <f>SUM(B7:I7)</f>
        <v>412721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[3]Frontier!$FR$27</f>
        <v>167</v>
      </c>
      <c r="C10" s="154">
        <f>'[3]Great Lakes'!$FR$27</f>
        <v>0</v>
      </c>
      <c r="D10" s="154">
        <f>'[3]Air Choice One'!$FR$27</f>
        <v>0</v>
      </c>
      <c r="E10" s="154">
        <f>'[3]Boutique Air'!$FR$27</f>
        <v>0</v>
      </c>
      <c r="F10" s="154">
        <f>[3]Icelandair!$FR$37</f>
        <v>75</v>
      </c>
      <c r="G10" s="154">
        <f>[3]Southwest!$FR$27</f>
        <v>1625</v>
      </c>
      <c r="H10" s="154">
        <f>'[3]Sun Country'!$FR$27+'[3]Sun Country'!$FR$37</f>
        <v>1881</v>
      </c>
      <c r="I10" s="154">
        <f>[3]Alaska!$FR$27</f>
        <v>363</v>
      </c>
      <c r="J10" s="147">
        <f>SUM(B10:I10)</f>
        <v>4111</v>
      </c>
    </row>
    <row r="11" spans="1:13" x14ac:dyDescent="0.2">
      <c r="A11" s="62" t="s">
        <v>33</v>
      </c>
      <c r="B11" s="157">
        <f>[3]Frontier!$FR$28</f>
        <v>147</v>
      </c>
      <c r="C11" s="157">
        <f>'[3]Great Lakes'!$FR$28</f>
        <v>0</v>
      </c>
      <c r="D11" s="157">
        <f>'[3]Air Choice One'!$FR$28</f>
        <v>0</v>
      </c>
      <c r="E11" s="157">
        <f>'[3]Boutique Air'!$FR$28</f>
        <v>0</v>
      </c>
      <c r="F11" s="157">
        <f>[3]Icelandair!$FR$38</f>
        <v>82</v>
      </c>
      <c r="G11" s="157">
        <f>[3]Southwest!$FR$28</f>
        <v>1698</v>
      </c>
      <c r="H11" s="157">
        <f>'[3]Sun Country'!$FR$28+'[3]Sun Country'!$FR$38</f>
        <v>1546</v>
      </c>
      <c r="I11" s="157">
        <f>[3]Alaska!$FR$28</f>
        <v>384</v>
      </c>
      <c r="J11" s="147">
        <f>SUM(B11:I11)</f>
        <v>3857</v>
      </c>
    </row>
    <row r="12" spans="1:13" ht="15.75" thickBot="1" x14ac:dyDescent="0.3">
      <c r="A12" s="63" t="s">
        <v>34</v>
      </c>
      <c r="B12" s="150">
        <f t="shared" ref="B12:I12" si="2">SUM(B10:B11)</f>
        <v>314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157</v>
      </c>
      <c r="G12" s="150">
        <f t="shared" si="2"/>
        <v>3323</v>
      </c>
      <c r="H12" s="150">
        <f>SUM(H10:H11)</f>
        <v>3427</v>
      </c>
      <c r="I12" s="150">
        <f t="shared" si="2"/>
        <v>747</v>
      </c>
      <c r="J12" s="158">
        <f>SUM(B12:I12)</f>
        <v>7968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[3]Frontier!$FR$4</f>
        <v>163</v>
      </c>
      <c r="C16" s="146">
        <f>'[3]Great Lakes'!$FR$4</f>
        <v>0</v>
      </c>
      <c r="D16" s="106">
        <f>'[3]Air Choice One'!$FR$4</f>
        <v>100</v>
      </c>
      <c r="E16" s="106">
        <f>'[3]Boutique Air'!$FR$4</f>
        <v>79</v>
      </c>
      <c r="F16" s="146">
        <f>[3]Icelandair!$FR$15</f>
        <v>37</v>
      </c>
      <c r="G16" s="106">
        <f>[3]Southwest!$FR$4</f>
        <v>686</v>
      </c>
      <c r="H16" s="118">
        <f>'[3]Sun Country'!$FR$4+'[3]Sun Country'!$FR$15</f>
        <v>656</v>
      </c>
      <c r="I16" s="118">
        <f>[3]Alaska!$FR$4</f>
        <v>59</v>
      </c>
      <c r="J16" s="147">
        <f>SUM(B16:I16)</f>
        <v>1780</v>
      </c>
    </row>
    <row r="17" spans="1:257" x14ac:dyDescent="0.2">
      <c r="A17" s="62" t="s">
        <v>23</v>
      </c>
      <c r="B17" s="146">
        <f>[3]Frontier!$FR$5</f>
        <v>163</v>
      </c>
      <c r="C17" s="146">
        <f>'[3]Great Lakes'!$FR$5</f>
        <v>0</v>
      </c>
      <c r="D17" s="106">
        <f>'[3]Air Choice One'!$FR$5</f>
        <v>100</v>
      </c>
      <c r="E17" s="106">
        <f>'[3]Boutique Air'!$FR$5</f>
        <v>79</v>
      </c>
      <c r="F17" s="146">
        <f>[3]Icelandair!$FR$16</f>
        <v>37</v>
      </c>
      <c r="G17" s="106">
        <f>[3]Southwest!$FR$5</f>
        <v>686</v>
      </c>
      <c r="H17" s="118">
        <f>'[3]Sun Country'!$FR$5+'[3]Sun Country'!$FR$16</f>
        <v>655</v>
      </c>
      <c r="I17" s="118">
        <f>[3]Alaska!$FR$5</f>
        <v>59</v>
      </c>
      <c r="J17" s="147">
        <f>SUM(B17:I17)</f>
        <v>1779</v>
      </c>
    </row>
    <row r="18" spans="1:257" x14ac:dyDescent="0.2">
      <c r="A18" s="66" t="s">
        <v>24</v>
      </c>
      <c r="B18" s="148">
        <f t="shared" ref="B18:I18" si="4">SUM(B16:B17)</f>
        <v>326</v>
      </c>
      <c r="C18" s="148">
        <f t="shared" si="4"/>
        <v>0</v>
      </c>
      <c r="D18" s="148">
        <f t="shared" ref="D18:E18" si="5">SUM(D16:D17)</f>
        <v>200</v>
      </c>
      <c r="E18" s="148">
        <f t="shared" si="5"/>
        <v>158</v>
      </c>
      <c r="F18" s="148">
        <f t="shared" si="4"/>
        <v>74</v>
      </c>
      <c r="G18" s="148">
        <f t="shared" si="4"/>
        <v>1372</v>
      </c>
      <c r="H18" s="148">
        <f t="shared" si="4"/>
        <v>1311</v>
      </c>
      <c r="I18" s="148">
        <f t="shared" si="4"/>
        <v>118</v>
      </c>
      <c r="J18" s="149">
        <f>SUM(B18:I18)</f>
        <v>3559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[3]Frontier!$FR$8</f>
        <v>0</v>
      </c>
      <c r="C20" s="146">
        <f>'[3]Great Lakes'!$FR$8</f>
        <v>0</v>
      </c>
      <c r="D20" s="118">
        <f>'[3]Air Choice One'!$FR$8</f>
        <v>0</v>
      </c>
      <c r="E20" s="118">
        <f>'[3]Boutique Air'!$FR$8</f>
        <v>0</v>
      </c>
      <c r="F20" s="146">
        <f>[3]Icelandair!$FR$8</f>
        <v>0</v>
      </c>
      <c r="G20" s="118">
        <f>[3]Southwest!$FR$8</f>
        <v>0</v>
      </c>
      <c r="H20" s="118">
        <f>'[3]Sun Country'!$FR$8</f>
        <v>68</v>
      </c>
      <c r="I20" s="118">
        <f>[3]Alaska!$FR$8</f>
        <v>0</v>
      </c>
      <c r="J20" s="147">
        <f>SUM(B20:I20)</f>
        <v>68</v>
      </c>
    </row>
    <row r="21" spans="1:257" x14ac:dyDescent="0.2">
      <c r="A21" s="62" t="s">
        <v>26</v>
      </c>
      <c r="B21" s="146">
        <f>[3]Frontier!$FR$9</f>
        <v>0</v>
      </c>
      <c r="C21" s="146">
        <f>'[3]Great Lakes'!$FR$9</f>
        <v>0</v>
      </c>
      <c r="D21" s="118">
        <f>'[3]Air Choice One'!$FR$9</f>
        <v>0</v>
      </c>
      <c r="E21" s="118">
        <f>'[3]Boutique Air'!$FR$9</f>
        <v>0</v>
      </c>
      <c r="F21" s="146">
        <f>[3]Icelandair!$FR$9</f>
        <v>0</v>
      </c>
      <c r="G21" s="118">
        <f>[3]Southwest!$FR$9</f>
        <v>0</v>
      </c>
      <c r="H21" s="118">
        <f>'[3]Sun Country'!$FR$9</f>
        <v>71</v>
      </c>
      <c r="I21" s="118">
        <f>[3]Alaska!$FR$9</f>
        <v>0</v>
      </c>
      <c r="J21" s="147">
        <f>SUM(B21:I21)</f>
        <v>71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139</v>
      </c>
      <c r="I22" s="148">
        <f t="shared" si="6"/>
        <v>0</v>
      </c>
      <c r="J22" s="149">
        <f>SUM(B22:I22)</f>
        <v>139</v>
      </c>
    </row>
    <row r="23" spans="1:257" ht="15.75" thickBot="1" x14ac:dyDescent="0.3">
      <c r="A23" s="63" t="s">
        <v>28</v>
      </c>
      <c r="B23" s="150">
        <f t="shared" ref="B23:I23" si="8">B22+B18</f>
        <v>326</v>
      </c>
      <c r="C23" s="150">
        <f t="shared" si="8"/>
        <v>0</v>
      </c>
      <c r="D23" s="150">
        <f t="shared" ref="D23:E23" si="9">D22+D18</f>
        <v>200</v>
      </c>
      <c r="E23" s="150">
        <f t="shared" si="9"/>
        <v>158</v>
      </c>
      <c r="F23" s="150">
        <f t="shared" si="8"/>
        <v>74</v>
      </c>
      <c r="G23" s="150">
        <f t="shared" si="8"/>
        <v>1372</v>
      </c>
      <c r="H23" s="150">
        <f t="shared" si="8"/>
        <v>1450</v>
      </c>
      <c r="I23" s="150">
        <f t="shared" si="8"/>
        <v>118</v>
      </c>
      <c r="J23" s="151">
        <f>SUM(B23:I23)</f>
        <v>3698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[3]Frontier!$FR$47</f>
        <v>0</v>
      </c>
      <c r="C28" s="146">
        <f>'[3]Great Lakes'!$FR$47</f>
        <v>0</v>
      </c>
      <c r="D28" s="118">
        <f>'[3]Air Choice One'!$FR$47</f>
        <v>0</v>
      </c>
      <c r="E28" s="118">
        <f>'[3]Boutique Air'!$FR$47</f>
        <v>0</v>
      </c>
      <c r="F28" s="146">
        <f>[3]Icelandair!$FR$47</f>
        <v>38104</v>
      </c>
      <c r="G28" s="118">
        <f>[3]Southwest!$FR$47</f>
        <v>239815</v>
      </c>
      <c r="H28" s="118">
        <f>'[3]Sun Country'!$FR$47</f>
        <v>103119</v>
      </c>
      <c r="I28" s="118">
        <f>[3]Alaska!$FR$47</f>
        <v>22211</v>
      </c>
      <c r="J28" s="147">
        <f>SUM(B28:I28)</f>
        <v>403249</v>
      </c>
    </row>
    <row r="29" spans="1:257" x14ac:dyDescent="0.2">
      <c r="A29" s="62" t="s">
        <v>38</v>
      </c>
      <c r="B29" s="146">
        <f>[3]Frontier!$FR$48</f>
        <v>0</v>
      </c>
      <c r="C29" s="146">
        <f>'[3]Great Lakes'!$FR$48</f>
        <v>0</v>
      </c>
      <c r="D29" s="118">
        <f>'[3]Air Choice One'!$FR$48</f>
        <v>0</v>
      </c>
      <c r="E29" s="118">
        <f>'[3]Boutique Air'!$FR$48</f>
        <v>0</v>
      </c>
      <c r="F29" s="146">
        <f>[3]Icelandair!$FR$48</f>
        <v>0</v>
      </c>
      <c r="G29" s="118">
        <f>[3]Southwest!$FR$48</f>
        <v>0</v>
      </c>
      <c r="H29" s="118">
        <f>'[3]Sun Country'!$FR$48</f>
        <v>509312</v>
      </c>
      <c r="I29" s="118">
        <f>[3]Alaska!$FR$48</f>
        <v>552</v>
      </c>
      <c r="J29" s="147">
        <f>SUM(B29:I29)</f>
        <v>509864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38104</v>
      </c>
      <c r="G30" s="162">
        <f t="shared" si="10"/>
        <v>239815</v>
      </c>
      <c r="H30" s="162">
        <f t="shared" si="10"/>
        <v>612431</v>
      </c>
      <c r="I30" s="162">
        <f t="shared" si="10"/>
        <v>22763</v>
      </c>
      <c r="J30" s="165">
        <f>SUM(B30:I30)</f>
        <v>913113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[3]Frontier!$FR$52</f>
        <v>0</v>
      </c>
      <c r="C33" s="146">
        <f>'[3]Great Lakes'!$FR$52</f>
        <v>0</v>
      </c>
      <c r="D33" s="118">
        <f>'[3]Air Choice One'!$FR$52</f>
        <v>0</v>
      </c>
      <c r="E33" s="118">
        <f>'[3]Boutique Air'!$FR$52</f>
        <v>0</v>
      </c>
      <c r="F33" s="146">
        <f>[3]Icelandair!$FR$52</f>
        <v>165</v>
      </c>
      <c r="G33" s="118">
        <f>[3]Southwest!$FR$52</f>
        <v>85216</v>
      </c>
      <c r="H33" s="118">
        <f>'[3]Sun Country'!$FR$52</f>
        <v>64776</v>
      </c>
      <c r="I33" s="118">
        <f>[3]Alaska!$FR$52</f>
        <v>6364</v>
      </c>
      <c r="J33" s="147">
        <f>SUM(B33:I33)</f>
        <v>156521</v>
      </c>
    </row>
    <row r="34" spans="1:10" x14ac:dyDescent="0.2">
      <c r="A34" s="62" t="s">
        <v>38</v>
      </c>
      <c r="B34" s="146">
        <f>[3]Frontier!$FR$53</f>
        <v>0</v>
      </c>
      <c r="C34" s="146">
        <f>'[3]Great Lakes'!$FR$53</f>
        <v>0</v>
      </c>
      <c r="D34" s="118">
        <f>'[3]Air Choice One'!$FR$53</f>
        <v>0</v>
      </c>
      <c r="E34" s="118">
        <f>'[3]Boutique Air'!$FR$53</f>
        <v>0</v>
      </c>
      <c r="F34" s="146">
        <f>[3]Icelandair!$FR$53</f>
        <v>0</v>
      </c>
      <c r="G34" s="118">
        <f>[3]Southwest!$FR$53</f>
        <v>0</v>
      </c>
      <c r="H34" s="118">
        <f>'[3]Sun Country'!$FR$53</f>
        <v>374670</v>
      </c>
      <c r="I34" s="118">
        <f>[3]Alaska!$FR$53</f>
        <v>5881</v>
      </c>
      <c r="J34" s="163">
        <f>SUM(B34:I34)</f>
        <v>380551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165</v>
      </c>
      <c r="G35" s="164">
        <f t="shared" si="12"/>
        <v>85216</v>
      </c>
      <c r="H35" s="164">
        <f t="shared" si="12"/>
        <v>439446</v>
      </c>
      <c r="I35" s="164">
        <f t="shared" si="12"/>
        <v>12245</v>
      </c>
      <c r="J35" s="165">
        <f>SUM(B35:I35)</f>
        <v>537072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[3]Frontier!$FR$57</f>
        <v>0</v>
      </c>
      <c r="C38" s="154">
        <f>'[3]Great Lakes'!$FR$57</f>
        <v>0</v>
      </c>
      <c r="D38" s="154">
        <f>'[3]Air Choice One'!$FR$57</f>
        <v>0</v>
      </c>
      <c r="E38" s="154">
        <f>'[3]Boutique Air'!$FR$57</f>
        <v>0</v>
      </c>
      <c r="F38" s="154">
        <f>[3]Icelandair!$FR$57</f>
        <v>0</v>
      </c>
      <c r="G38" s="154">
        <f>[3]Southwest!$FR$57</f>
        <v>0</v>
      </c>
      <c r="H38" s="154">
        <f>'[3]Sun Country'!$FR$57</f>
        <v>0</v>
      </c>
      <c r="I38" s="154">
        <f>[3]Alaska!$FR$57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[3]Frontier!$FR$58</f>
        <v>0</v>
      </c>
      <c r="C39" s="157">
        <f>'[3]Great Lakes'!$FR$58</f>
        <v>0</v>
      </c>
      <c r="D39" s="157">
        <f>'[3]Air Choice One'!$FR$58</f>
        <v>0</v>
      </c>
      <c r="E39" s="157">
        <f>'[3]Boutique Air'!$FR$58</f>
        <v>0</v>
      </c>
      <c r="F39" s="157">
        <f>[3]Icelandair!$FR$58</f>
        <v>0</v>
      </c>
      <c r="G39" s="157">
        <f>[3]Southwest!$FR$58</f>
        <v>0</v>
      </c>
      <c r="H39" s="157">
        <f>'[3]Sun Country'!$FR$58</f>
        <v>0</v>
      </c>
      <c r="I39" s="157">
        <f>[3]Alaska!$FR$58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38269</v>
      </c>
      <c r="G43" s="154">
        <f t="shared" si="16"/>
        <v>325031</v>
      </c>
      <c r="H43" s="154">
        <f t="shared" si="16"/>
        <v>167895</v>
      </c>
      <c r="I43" s="154">
        <f t="shared" si="16"/>
        <v>28575</v>
      </c>
      <c r="J43" s="147">
        <f>SUM(B43:I43)</f>
        <v>559770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883982</v>
      </c>
      <c r="I44" s="157">
        <f t="shared" si="18"/>
        <v>6433</v>
      </c>
      <c r="J44" s="147">
        <f>SUM(B44:I44)</f>
        <v>890415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38269</v>
      </c>
      <c r="G45" s="167">
        <f t="shared" si="20"/>
        <v>325031</v>
      </c>
      <c r="H45" s="167">
        <f t="shared" si="20"/>
        <v>1051877</v>
      </c>
      <c r="I45" s="167">
        <f t="shared" si="20"/>
        <v>35008</v>
      </c>
      <c r="J45" s="168">
        <f>SUM(B45:I45)</f>
        <v>1450185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[3]Southwest!$FR$70+[3]Southwest!$FR$73</f>
        <v>78009</v>
      </c>
      <c r="H48" s="322">
        <f>'[3]Sun Country'!$FR$70+'[3]Sun Country'!$FR$73</f>
        <v>81639</v>
      </c>
      <c r="I48" s="387"/>
      <c r="J48" s="310">
        <f>SUM(B48:I48)</f>
        <v>159648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[3]Southwest!$FR$71+[3]Southwest!$FR$74</f>
        <v>645</v>
      </c>
      <c r="H49" s="322">
        <f>'[3]Sun Country'!$FR$71+'[3]Sun Country'!$FR$74</f>
        <v>4644</v>
      </c>
      <c r="I49" s="387"/>
      <c r="J49" s="310">
        <f>SUM(B49:I49)</f>
        <v>5289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H12" sqref="H1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43221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[3]Pinnacle!$FR$22+[3]Pinnacle!$FR$32</f>
        <v>48067</v>
      </c>
      <c r="C5" s="132">
        <f>[3]MESA_UA!$FR$22</f>
        <v>10471</v>
      </c>
      <c r="D5" s="130">
        <f>'[3]Sky West'!$FR$22+'[3]Sky West'!$FR$32</f>
        <v>219540</v>
      </c>
      <c r="E5" s="130">
        <f>'[3]Sky West_UA'!$FR$22</f>
        <v>7205</v>
      </c>
      <c r="F5" s="130">
        <f>'[3]Sky West_AS'!$FR$22</f>
        <v>3425</v>
      </c>
      <c r="G5" s="130">
        <f>'[3]Sky West_AA'!$FR$22</f>
        <v>387</v>
      </c>
      <c r="H5" s="130">
        <f>[3]Republic!$FR$22</f>
        <v>12566</v>
      </c>
      <c r="I5" s="130">
        <f>[3]Republic_UA!$FR$22</f>
        <v>11426</v>
      </c>
      <c r="J5" s="130">
        <f>'[3]Sky Regional'!$FR$32</f>
        <v>5017</v>
      </c>
      <c r="K5" s="130">
        <f>'[3]American Eagle'!$FR$22</f>
        <v>2365</v>
      </c>
      <c r="L5" s="130">
        <f>'Other Regional'!M5</f>
        <v>37293</v>
      </c>
      <c r="M5" s="110">
        <f>SUM(B5:L5)</f>
        <v>357762</v>
      </c>
    </row>
    <row r="6" spans="1:13" s="10" customFormat="1" x14ac:dyDescent="0.2">
      <c r="A6" s="62" t="s">
        <v>31</v>
      </c>
      <c r="B6" s="131">
        <f>[3]Pinnacle!$FR$23+[3]Pinnacle!$FR$33</f>
        <v>47891</v>
      </c>
      <c r="C6" s="132">
        <f>[3]MESA_UA!$FR$23</f>
        <v>10443</v>
      </c>
      <c r="D6" s="130">
        <f>'[3]Sky West'!$FR$23+'[3]Sky West'!$FR$33</f>
        <v>218462</v>
      </c>
      <c r="E6" s="130">
        <f>'[3]Sky West_UA'!$FR$23</f>
        <v>7512</v>
      </c>
      <c r="F6" s="130">
        <f>'[3]Sky West_AS'!$FR$23</f>
        <v>3357</v>
      </c>
      <c r="G6" s="130">
        <f>'[3]Sky West_AA'!$FR$23</f>
        <v>338</v>
      </c>
      <c r="H6" s="130">
        <f>[3]Republic!$FR$23</f>
        <v>12241</v>
      </c>
      <c r="I6" s="130">
        <f>[3]Republic_UA!$FR$23</f>
        <v>11569</v>
      </c>
      <c r="J6" s="130">
        <f>'[3]Sky Regional'!$FR$33</f>
        <v>5173</v>
      </c>
      <c r="K6" s="130">
        <f>'[3]American Eagle'!$FR$23</f>
        <v>2437</v>
      </c>
      <c r="L6" s="130">
        <f>'Other Regional'!M6</f>
        <v>36469</v>
      </c>
      <c r="M6" s="115">
        <f>SUM(B6:L6)</f>
        <v>355892</v>
      </c>
    </row>
    <row r="7" spans="1:13" ht="15" thickBot="1" x14ac:dyDescent="0.25">
      <c r="A7" s="73" t="s">
        <v>7</v>
      </c>
      <c r="B7" s="133">
        <f>SUM(B5:B6)</f>
        <v>95958</v>
      </c>
      <c r="C7" s="133">
        <f t="shared" ref="C7:L7" si="0">SUM(C5:C6)</f>
        <v>20914</v>
      </c>
      <c r="D7" s="133">
        <f t="shared" si="0"/>
        <v>438002</v>
      </c>
      <c r="E7" s="133">
        <f t="shared" si="0"/>
        <v>14717</v>
      </c>
      <c r="F7" s="133">
        <f t="shared" ref="F7:G7" si="1">SUM(F5:F6)</f>
        <v>6782</v>
      </c>
      <c r="G7" s="133">
        <f t="shared" si="1"/>
        <v>725</v>
      </c>
      <c r="H7" s="133">
        <f t="shared" si="0"/>
        <v>24807</v>
      </c>
      <c r="I7" s="133">
        <f t="shared" si="0"/>
        <v>22995</v>
      </c>
      <c r="J7" s="133">
        <f t="shared" si="0"/>
        <v>10190</v>
      </c>
      <c r="K7" s="133">
        <f t="shared" si="0"/>
        <v>4802</v>
      </c>
      <c r="L7" s="133">
        <f t="shared" si="0"/>
        <v>73762</v>
      </c>
      <c r="M7" s="134">
        <f>SUM(B7:L7)</f>
        <v>713654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[3]Pinnacle!$FR$27+[3]Pinnacle!$FR$37</f>
        <v>1818</v>
      </c>
      <c r="C10" s="132">
        <f>[3]MESA_UA!$FR$27</f>
        <v>328</v>
      </c>
      <c r="D10" s="130">
        <f>'[3]Sky West'!$FR$27+'[3]Sky West'!$FR$37</f>
        <v>8190</v>
      </c>
      <c r="E10" s="130">
        <f>'[3]Sky West_UA'!$FR$27</f>
        <v>341</v>
      </c>
      <c r="F10" s="130">
        <f>'[3]Sky West_AS'!$FR$27</f>
        <v>77</v>
      </c>
      <c r="G10" s="130">
        <f>'[3]Sky West_AA'!$FR$27</f>
        <v>11</v>
      </c>
      <c r="H10" s="130">
        <f>[3]Republic!$FR$27</f>
        <v>545</v>
      </c>
      <c r="I10" s="130">
        <f>[3]Republic_UA!$FR$27</f>
        <v>468</v>
      </c>
      <c r="J10" s="130">
        <f>'[3]Sky Regional'!$FR$37</f>
        <v>63</v>
      </c>
      <c r="K10" s="130">
        <f>'[3]American Eagle'!$FR$27</f>
        <v>161</v>
      </c>
      <c r="L10" s="130">
        <f>'Other Regional'!M10</f>
        <v>1212</v>
      </c>
      <c r="M10" s="110">
        <f>SUM(B10:L10)</f>
        <v>13214</v>
      </c>
    </row>
    <row r="11" spans="1:13" x14ac:dyDescent="0.2">
      <c r="A11" s="62" t="s">
        <v>33</v>
      </c>
      <c r="B11" s="131">
        <f>[3]Pinnacle!$FR$28+[3]Pinnacle!$FR$38</f>
        <v>1760</v>
      </c>
      <c r="C11" s="132">
        <f>[3]MESA_UA!$FR$28</f>
        <v>285</v>
      </c>
      <c r="D11" s="130">
        <f>'[3]Sky West'!$FR$28+'[3]Sky West'!$FR$38</f>
        <v>8275</v>
      </c>
      <c r="E11" s="130">
        <f>'[3]Sky West_UA'!$FR$28</f>
        <v>304</v>
      </c>
      <c r="F11" s="130">
        <f>'[3]Sky West_AS'!$FR$28</f>
        <v>99</v>
      </c>
      <c r="G11" s="130">
        <f>'[3]Sky West_AA'!$FR$28</f>
        <v>20</v>
      </c>
      <c r="H11" s="130">
        <f>[3]Republic!$FR$28</f>
        <v>521</v>
      </c>
      <c r="I11" s="130">
        <f>[3]Republic_UA!$FR$28</f>
        <v>365</v>
      </c>
      <c r="J11" s="130">
        <f>'[3]Sky Regional'!$FR$38</f>
        <v>75</v>
      </c>
      <c r="K11" s="130">
        <f>'[3]American Eagle'!$FR$28</f>
        <v>143</v>
      </c>
      <c r="L11" s="130">
        <f>'Other Regional'!M11</f>
        <v>1178</v>
      </c>
      <c r="M11" s="115">
        <f>SUM(B11:L11)</f>
        <v>13025</v>
      </c>
    </row>
    <row r="12" spans="1:13" ht="15" thickBot="1" x14ac:dyDescent="0.25">
      <c r="A12" s="74" t="s">
        <v>34</v>
      </c>
      <c r="B12" s="136">
        <f t="shared" ref="B12:L12" si="2">SUM(B10:B11)</f>
        <v>3578</v>
      </c>
      <c r="C12" s="136">
        <f t="shared" si="2"/>
        <v>613</v>
      </c>
      <c r="D12" s="136">
        <f t="shared" si="2"/>
        <v>16465</v>
      </c>
      <c r="E12" s="136">
        <f t="shared" si="2"/>
        <v>645</v>
      </c>
      <c r="F12" s="136">
        <f t="shared" ref="F12:G12" si="3">SUM(F10:F11)</f>
        <v>176</v>
      </c>
      <c r="G12" s="136">
        <f t="shared" si="3"/>
        <v>31</v>
      </c>
      <c r="H12" s="136">
        <f t="shared" si="2"/>
        <v>1066</v>
      </c>
      <c r="I12" s="136">
        <f t="shared" si="2"/>
        <v>833</v>
      </c>
      <c r="J12" s="136">
        <f t="shared" si="2"/>
        <v>138</v>
      </c>
      <c r="K12" s="136">
        <f t="shared" si="2"/>
        <v>304</v>
      </c>
      <c r="L12" s="136">
        <f t="shared" si="2"/>
        <v>2390</v>
      </c>
      <c r="M12" s="137">
        <f>SUM(B12:L12)</f>
        <v>26239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[3]Pinnacle!$FR$4+[3]Pinnacle!$FR$15</f>
        <v>807</v>
      </c>
      <c r="C15" s="108">
        <f>[3]MESA_UA!$FR$4</f>
        <v>164</v>
      </c>
      <c r="D15" s="106">
        <f>'[3]Sky West'!$FR$4+'[3]Sky West'!$FR$15</f>
        <v>4526</v>
      </c>
      <c r="E15" s="106">
        <f>'[3]Sky West_UA'!$FR$4</f>
        <v>116</v>
      </c>
      <c r="F15" s="106">
        <f>'[3]Sky West_AS'!$FR$4</f>
        <v>50</v>
      </c>
      <c r="G15" s="106">
        <f>'[3]Sky West_AA'!$FR$4</f>
        <v>7</v>
      </c>
      <c r="H15" s="109">
        <f>[3]Republic!$FR$4</f>
        <v>222</v>
      </c>
      <c r="I15" s="455">
        <f>[3]Republic_UA!$FR$4</f>
        <v>171</v>
      </c>
      <c r="J15" s="455">
        <f>'[3]Sky Regional'!$FR$15</f>
        <v>91</v>
      </c>
      <c r="K15" s="109">
        <f>'[3]American Eagle'!$FR$4</f>
        <v>36</v>
      </c>
      <c r="L15" s="107">
        <f>'Other Regional'!M15</f>
        <v>623</v>
      </c>
      <c r="M15" s="110">
        <f t="shared" ref="M15:M21" si="5">SUM(B15:L15)</f>
        <v>6813</v>
      </c>
    </row>
    <row r="16" spans="1:13" x14ac:dyDescent="0.2">
      <c r="A16" s="62" t="s">
        <v>54</v>
      </c>
      <c r="B16" s="14">
        <f>[3]Pinnacle!$FR$5+[3]Pinnacle!$FR$16</f>
        <v>806</v>
      </c>
      <c r="C16" s="113">
        <f>[3]MESA_UA!$FR$5</f>
        <v>164</v>
      </c>
      <c r="D16" s="111">
        <f>'[3]Sky West'!$FR$5+'[3]Sky West'!$FR$16</f>
        <v>4517</v>
      </c>
      <c r="E16" s="111">
        <f>'[3]Sky West_UA'!$FR$5</f>
        <v>116</v>
      </c>
      <c r="F16" s="111">
        <f>'[3]Sky West_AS'!$FR$5</f>
        <v>50</v>
      </c>
      <c r="G16" s="111">
        <f>'[3]Sky West_AA'!$FR$5</f>
        <v>7</v>
      </c>
      <c r="H16" s="114">
        <f>[3]Republic!$FR$5</f>
        <v>222</v>
      </c>
      <c r="I16" s="297">
        <f>[3]Republic_UA!$FR$5</f>
        <v>171</v>
      </c>
      <c r="J16" s="297">
        <f>'[3]Sky Regional'!$FR$16</f>
        <v>91</v>
      </c>
      <c r="K16" s="114">
        <f>'[3]American Eagle'!$FR$5</f>
        <v>37</v>
      </c>
      <c r="L16" s="112">
        <f>'Other Regional'!M16</f>
        <v>624</v>
      </c>
      <c r="M16" s="115">
        <f t="shared" si="5"/>
        <v>6805</v>
      </c>
    </row>
    <row r="17" spans="1:13" x14ac:dyDescent="0.2">
      <c r="A17" s="71" t="s">
        <v>55</v>
      </c>
      <c r="B17" s="116">
        <f t="shared" ref="B17:K17" si="6">SUM(B15:B16)</f>
        <v>1613</v>
      </c>
      <c r="C17" s="116">
        <f t="shared" si="6"/>
        <v>328</v>
      </c>
      <c r="D17" s="116">
        <f t="shared" si="6"/>
        <v>9043</v>
      </c>
      <c r="E17" s="116">
        <f t="shared" si="6"/>
        <v>232</v>
      </c>
      <c r="F17" s="116">
        <f t="shared" ref="F17:G17" si="7">SUM(F15:F16)</f>
        <v>100</v>
      </c>
      <c r="G17" s="116">
        <f t="shared" si="7"/>
        <v>14</v>
      </c>
      <c r="H17" s="116">
        <f t="shared" si="6"/>
        <v>444</v>
      </c>
      <c r="I17" s="116">
        <f t="shared" ref="I17:J17" si="8">SUM(I15:I16)</f>
        <v>342</v>
      </c>
      <c r="J17" s="116">
        <f t="shared" si="8"/>
        <v>182</v>
      </c>
      <c r="K17" s="116">
        <f t="shared" si="6"/>
        <v>73</v>
      </c>
      <c r="L17" s="116">
        <f>SUM(L15:L16)</f>
        <v>1247</v>
      </c>
      <c r="M17" s="117">
        <f t="shared" si="5"/>
        <v>13618</v>
      </c>
    </row>
    <row r="18" spans="1:13" x14ac:dyDescent="0.2">
      <c r="A18" s="62" t="s">
        <v>56</v>
      </c>
      <c r="B18" s="118">
        <f>[3]Pinnacle!$FR$8</f>
        <v>0</v>
      </c>
      <c r="C18" s="119">
        <f>[3]MESA_UA!$FR$8</f>
        <v>0</v>
      </c>
      <c r="D18" s="118">
        <f>'[3]Sky West'!$FR$8</f>
        <v>1</v>
      </c>
      <c r="E18" s="118">
        <f>'[3]Sky West_UA'!$FR$8</f>
        <v>0</v>
      </c>
      <c r="F18" s="118">
        <f>'[3]Sky West_AS'!$FR$8</f>
        <v>0</v>
      </c>
      <c r="G18" s="118">
        <f>'[3]Sky West_AA'!$FR$8</f>
        <v>0</v>
      </c>
      <c r="H18" s="118">
        <f>[3]Republic!$FR$8</f>
        <v>0</v>
      </c>
      <c r="I18" s="118">
        <f>[3]Republic_UA!$FR$8</f>
        <v>0</v>
      </c>
      <c r="J18" s="118">
        <f>'[3]Sky Regional'!$FR$8</f>
        <v>0</v>
      </c>
      <c r="K18" s="118">
        <f>'[3]American Eagle'!$FR$8</f>
        <v>0</v>
      </c>
      <c r="L18" s="118">
        <f>'Other Regional'!M18</f>
        <v>0</v>
      </c>
      <c r="M18" s="110">
        <f t="shared" si="5"/>
        <v>1</v>
      </c>
    </row>
    <row r="19" spans="1:13" x14ac:dyDescent="0.2">
      <c r="A19" s="62" t="s">
        <v>57</v>
      </c>
      <c r="B19" s="120">
        <f>[3]Pinnacle!$FR$9</f>
        <v>0</v>
      </c>
      <c r="C19" s="121">
        <f>[3]MESA_UA!$FR$9</f>
        <v>0</v>
      </c>
      <c r="D19" s="120">
        <f>'[3]Sky West'!$FR$9</f>
        <v>9</v>
      </c>
      <c r="E19" s="120">
        <f>'[3]Sky West_UA'!$FR$9</f>
        <v>0</v>
      </c>
      <c r="F19" s="120">
        <f>'[3]Sky West_AS'!$FR$9</f>
        <v>0</v>
      </c>
      <c r="G19" s="120">
        <f>'[3]Sky West_AA'!$FR$9</f>
        <v>0</v>
      </c>
      <c r="H19" s="120">
        <f>[3]Republic!$FR$9</f>
        <v>0</v>
      </c>
      <c r="I19" s="120">
        <f>[3]Republic_UA!$FR$9</f>
        <v>0</v>
      </c>
      <c r="J19" s="120">
        <f>'[3]Sky Regional'!$FR$9</f>
        <v>0</v>
      </c>
      <c r="K19" s="120">
        <f>'[3]American Eagle'!$FR$9</f>
        <v>0</v>
      </c>
      <c r="L19" s="120">
        <f>'Other Regional'!M19</f>
        <v>0</v>
      </c>
      <c r="M19" s="115">
        <f t="shared" si="5"/>
        <v>9</v>
      </c>
    </row>
    <row r="20" spans="1:13" x14ac:dyDescent="0.2">
      <c r="A20" s="71" t="s">
        <v>58</v>
      </c>
      <c r="B20" s="116">
        <f t="shared" ref="B20:L20" si="9">SUM(B18:B19)</f>
        <v>0</v>
      </c>
      <c r="C20" s="116">
        <f t="shared" si="9"/>
        <v>0</v>
      </c>
      <c r="D20" s="116">
        <f t="shared" si="9"/>
        <v>10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10</v>
      </c>
    </row>
    <row r="21" spans="1:13" ht="15.75" thickBot="1" x14ac:dyDescent="0.3">
      <c r="A21" s="72" t="s">
        <v>28</v>
      </c>
      <c r="B21" s="122">
        <f t="shared" ref="B21:K21" si="11">SUM(B20,B17)</f>
        <v>1613</v>
      </c>
      <c r="C21" s="122">
        <f t="shared" si="11"/>
        <v>328</v>
      </c>
      <c r="D21" s="122">
        <f t="shared" si="11"/>
        <v>9053</v>
      </c>
      <c r="E21" s="122">
        <f t="shared" si="11"/>
        <v>232</v>
      </c>
      <c r="F21" s="122">
        <f t="shared" ref="F21:G21" si="12">SUM(F20,F17)</f>
        <v>100</v>
      </c>
      <c r="G21" s="122">
        <f t="shared" si="12"/>
        <v>14</v>
      </c>
      <c r="H21" s="122">
        <f t="shared" si="11"/>
        <v>444</v>
      </c>
      <c r="I21" s="122">
        <f t="shared" si="11"/>
        <v>342</v>
      </c>
      <c r="J21" s="122">
        <f t="shared" si="11"/>
        <v>182</v>
      </c>
      <c r="K21" s="122">
        <f t="shared" si="11"/>
        <v>73</v>
      </c>
      <c r="L21" s="122">
        <f>SUM(L20,L17)</f>
        <v>1247</v>
      </c>
      <c r="M21" s="123">
        <f t="shared" si="5"/>
        <v>13628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[3]Pinnacle!$FR$47</f>
        <v>0</v>
      </c>
      <c r="C25" s="132">
        <f>[3]MESA_UA!$FR$47</f>
        <v>0</v>
      </c>
      <c r="D25" s="130">
        <f>'[3]Sky West'!$FR$47</f>
        <v>0</v>
      </c>
      <c r="E25" s="130">
        <f>'[3]Sky West_UA'!$FR$47</f>
        <v>0</v>
      </c>
      <c r="F25" s="130">
        <f>'[3]Sky West_AS'!$FR$47</f>
        <v>0</v>
      </c>
      <c r="G25" s="130">
        <f>'[3]Sky West_AA'!$FR$47</f>
        <v>96</v>
      </c>
      <c r="H25" s="130">
        <f>[3]Republic!$FR$47</f>
        <v>0</v>
      </c>
      <c r="I25" s="130">
        <f>[3]Republic_UA!$FR$47</f>
        <v>0</v>
      </c>
      <c r="J25" s="130">
        <f>'[3]Sky Regional'!$FR$47</f>
        <v>0</v>
      </c>
      <c r="K25" s="130">
        <f>'[3]American Eagle'!$FR$47</f>
        <v>0</v>
      </c>
      <c r="L25" s="130">
        <f>'Other Regional'!M25</f>
        <v>1428</v>
      </c>
      <c r="M25" s="110">
        <f>SUM(B25:L25)</f>
        <v>1524</v>
      </c>
    </row>
    <row r="26" spans="1:13" x14ac:dyDescent="0.2">
      <c r="A26" s="75" t="s">
        <v>38</v>
      </c>
      <c r="B26" s="130">
        <f>[3]Pinnacle!$FR$48</f>
        <v>0</v>
      </c>
      <c r="C26" s="132">
        <f>[3]MESA_UA!$FR$48</f>
        <v>0</v>
      </c>
      <c r="D26" s="130">
        <f>'[3]Sky West'!$FR$48</f>
        <v>0</v>
      </c>
      <c r="E26" s="130">
        <f>'[3]Sky West_UA'!$FR$48</f>
        <v>0</v>
      </c>
      <c r="F26" s="130">
        <f>'[3]Sky West_AS'!$FR$48</f>
        <v>0</v>
      </c>
      <c r="G26" s="130">
        <f>'[3]Sky West_AA'!$FR$48</f>
        <v>0</v>
      </c>
      <c r="H26" s="130">
        <f>[3]Republic!$FR$48</f>
        <v>0</v>
      </c>
      <c r="I26" s="130">
        <f>[3]Republic_UA!$FR$48</f>
        <v>0</v>
      </c>
      <c r="J26" s="130">
        <f>'[3]Sky Regional'!$FR$48</f>
        <v>0</v>
      </c>
      <c r="K26" s="130">
        <f>'[3]American Eagle'!$FR$48</f>
        <v>0</v>
      </c>
      <c r="L26" s="130">
        <f>'Other Regional'!M26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96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1428</v>
      </c>
      <c r="M27" s="134">
        <f>SUM(B27:L27)</f>
        <v>1524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[3]Pinnacle!$FR$52</f>
        <v>0</v>
      </c>
      <c r="C30" s="132">
        <f>[3]MESA_UA!$FR$52</f>
        <v>0</v>
      </c>
      <c r="D30" s="130">
        <f>'[3]Sky West'!$FR$52</f>
        <v>0</v>
      </c>
      <c r="E30" s="130">
        <f>'[3]Sky West_UA'!$FR$52</f>
        <v>0</v>
      </c>
      <c r="F30" s="130">
        <f>'[3]Sky West_AS'!$FR$52</f>
        <v>230</v>
      </c>
      <c r="G30" s="130">
        <f>'[3]Sky West_AA'!$FR$52</f>
        <v>0</v>
      </c>
      <c r="H30" s="130">
        <f>[3]Republic!$FR$52</f>
        <v>0</v>
      </c>
      <c r="I30" s="130">
        <f>[3]Republic_UA!$FR$52</f>
        <v>0</v>
      </c>
      <c r="J30" s="130">
        <f>'[3]Sky Regional'!$FR$52</f>
        <v>0</v>
      </c>
      <c r="K30" s="130">
        <f>'[3]American Eagle'!$FR$52</f>
        <v>0</v>
      </c>
      <c r="L30" s="130">
        <f>'Other Regional'!M30</f>
        <v>398</v>
      </c>
      <c r="M30" s="110">
        <f t="shared" ref="M30:M37" si="15">SUM(B30:L30)</f>
        <v>628</v>
      </c>
    </row>
    <row r="31" spans="1:13" x14ac:dyDescent="0.2">
      <c r="A31" s="75" t="s">
        <v>60</v>
      </c>
      <c r="B31" s="130">
        <f>[3]Pinnacle!$FR$53</f>
        <v>0</v>
      </c>
      <c r="C31" s="132">
        <f>[3]MESA_UA!$FR$53</f>
        <v>0</v>
      </c>
      <c r="D31" s="130">
        <f>'[3]Sky West'!$FR$53</f>
        <v>0</v>
      </c>
      <c r="E31" s="130">
        <f>'[3]Sky West_UA'!$FR$53</f>
        <v>0</v>
      </c>
      <c r="F31" s="130">
        <f>'[3]Sky West_AS'!$FR$53</f>
        <v>1263</v>
      </c>
      <c r="G31" s="130">
        <f>'[3]Sky West_AA'!$FR$53</f>
        <v>0</v>
      </c>
      <c r="H31" s="130">
        <f>[3]Republic!$FR$53</f>
        <v>0</v>
      </c>
      <c r="I31" s="130">
        <f>[3]Republic_UA!$FR$53</f>
        <v>0</v>
      </c>
      <c r="J31" s="130">
        <f>'[3]Sky Regional'!$FR$53</f>
        <v>0</v>
      </c>
      <c r="K31" s="130">
        <f>'[3]American Eagle'!$FR$53</f>
        <v>0</v>
      </c>
      <c r="L31" s="130">
        <f>'Other Regional'!M31</f>
        <v>0</v>
      </c>
      <c r="M31" s="110">
        <f t="shared" si="15"/>
        <v>1263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1493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398</v>
      </c>
      <c r="M32" s="134">
        <f t="shared" si="15"/>
        <v>1891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[3]Pinnacle!$FR$57</f>
        <v>0</v>
      </c>
      <c r="C35" s="132">
        <f>[3]MESA_UA!$FR$57</f>
        <v>0</v>
      </c>
      <c r="D35" s="130">
        <f>'[3]Sky West'!$FR$57</f>
        <v>0</v>
      </c>
      <c r="E35" s="130">
        <f>'[3]Sky West_UA'!$FR$57</f>
        <v>0</v>
      </c>
      <c r="F35" s="130">
        <f>'[3]Sky West_AS'!$FR$57</f>
        <v>0</v>
      </c>
      <c r="G35" s="130">
        <f>'[3]Sky West_AA'!$FR$57</f>
        <v>0</v>
      </c>
      <c r="H35" s="130">
        <f>[3]Republic!$FR$57</f>
        <v>0</v>
      </c>
      <c r="I35" s="130">
        <f>[3]Republic!$FR$57</f>
        <v>0</v>
      </c>
      <c r="J35" s="130">
        <f>[3]Republic!$FR$57</f>
        <v>0</v>
      </c>
      <c r="K35" s="130">
        <f>'[3]American Eagle'!$FR$57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[3]Pinnacle!$FR$58</f>
        <v>0</v>
      </c>
      <c r="C36" s="132">
        <f>[3]MESA_UA!$FR$58</f>
        <v>0</v>
      </c>
      <c r="D36" s="130">
        <f>'[3]Sky West'!$FR$58</f>
        <v>0</v>
      </c>
      <c r="E36" s="130">
        <f>'[3]Sky West_UA'!$FR$58</f>
        <v>0</v>
      </c>
      <c r="F36" s="130">
        <f>'[3]Sky West_AS'!$FR$58</f>
        <v>0</v>
      </c>
      <c r="G36" s="130">
        <f>'[3]Sky West_AA'!$FR$58</f>
        <v>0</v>
      </c>
      <c r="H36" s="130">
        <f>[3]Republic!$FR$58</f>
        <v>0</v>
      </c>
      <c r="I36" s="130">
        <f>[3]Republic!$FR$58</f>
        <v>0</v>
      </c>
      <c r="J36" s="130">
        <f>[3]Republic!$FR$58</f>
        <v>0</v>
      </c>
      <c r="K36" s="130">
        <f>'[3]American Eagle'!$FR$58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230</v>
      </c>
      <c r="G40" s="130">
        <f t="shared" ref="G40" si="22">SUM(G35,G30,G25)</f>
        <v>96</v>
      </c>
      <c r="H40" s="130">
        <f t="shared" si="20"/>
        <v>0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1826</v>
      </c>
      <c r="M40" s="110">
        <f>SUM(B40:L40)</f>
        <v>2152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1263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1263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1493</v>
      </c>
      <c r="G42" s="136">
        <f t="shared" ref="G42" si="24">SUM(G37,G32,G27)</f>
        <v>96</v>
      </c>
      <c r="H42" s="136">
        <f t="shared" si="20"/>
        <v>0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1826</v>
      </c>
      <c r="M42" s="137">
        <f>SUM(B42:L42)</f>
        <v>3415</v>
      </c>
    </row>
    <row r="44" spans="1:13" x14ac:dyDescent="0.2">
      <c r="A44" s="375" t="s">
        <v>124</v>
      </c>
      <c r="B44" s="321">
        <f>[3]Pinnacle!$FR$70+[3]Pinnacle!$FR$73</f>
        <v>21120</v>
      </c>
      <c r="D44" s="322">
        <f>'[3]Sky West'!$FR$70+'[3]Sky West'!$FR$73</f>
        <v>70782</v>
      </c>
      <c r="E44" s="5"/>
      <c r="F44" s="5"/>
      <c r="G44" s="5"/>
      <c r="L44" s="322">
        <f>+'Other Regional'!M46</f>
        <v>13663</v>
      </c>
      <c r="M44" s="310">
        <f>SUM(B44:L44)</f>
        <v>105565</v>
      </c>
    </row>
    <row r="45" spans="1:13" x14ac:dyDescent="0.2">
      <c r="A45" s="389" t="s">
        <v>125</v>
      </c>
      <c r="B45" s="321">
        <f>[3]Pinnacle!$FR$71+[3]Pinnacle!$FR$74</f>
        <v>26771</v>
      </c>
      <c r="D45" s="322">
        <f>'[3]Sky West'!$FR$71+'[3]Sky West'!$FR$74</f>
        <v>147680</v>
      </c>
      <c r="E45" s="5"/>
      <c r="F45" s="5"/>
      <c r="G45" s="5"/>
      <c r="L45" s="322">
        <f>+'Other Regional'!M47</f>
        <v>18690</v>
      </c>
      <c r="M45" s="310">
        <f>SUM(B45:L45)</f>
        <v>193141</v>
      </c>
    </row>
    <row r="46" spans="1:13" x14ac:dyDescent="0.2">
      <c r="A46" s="312" t="s">
        <v>126</v>
      </c>
      <c r="B46" s="313">
        <f>SUM(B44:B45)</f>
        <v>47891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May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F11" sqref="F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43221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America'!$FR$22</f>
        <v>0</v>
      </c>
      <c r="C5" s="131">
        <f>'[3]Shuttle America_Delta'!$FR$22</f>
        <v>0</v>
      </c>
      <c r="D5" s="456">
        <f>[3]Horizon_AS!$FR$22</f>
        <v>4150</v>
      </c>
      <c r="E5" s="456">
        <f>[3]PSA!$FR$22</f>
        <v>0</v>
      </c>
      <c r="F5" s="21">
        <f>[3]Compass!$FR$22+[3]Compass!$FR$32</f>
        <v>0</v>
      </c>
      <c r="G5" s="131">
        <f>'[3]Atlantic Southeast'!$FR$22+'[3]Atlantic Southeast'!$FR$32</f>
        <v>7283</v>
      </c>
      <c r="H5" s="131">
        <f>'[3]Continental Express'!$FR$22</f>
        <v>0</v>
      </c>
      <c r="I5" s="130">
        <f>'[3]Go Jet_UA'!$FR$22</f>
        <v>0</v>
      </c>
      <c r="J5" s="21">
        <f>'[3]Go Jet'!$FR$22+'[3]Go Jet'!$FR$32</f>
        <v>25860</v>
      </c>
      <c r="K5" s="132">
        <f>'[3]Air Wisconsin'!$FR$22</f>
        <v>0</v>
      </c>
      <c r="L5" s="130">
        <f>[3]MESA!$FR$22</f>
        <v>0</v>
      </c>
      <c r="M5" s="110">
        <f>SUM(B5:L5)</f>
        <v>37293</v>
      </c>
    </row>
    <row r="6" spans="1:13" s="10" customFormat="1" x14ac:dyDescent="0.2">
      <c r="A6" s="62" t="s">
        <v>31</v>
      </c>
      <c r="B6" s="131">
        <f>'[3]Shuttle America'!$FR$23</f>
        <v>0</v>
      </c>
      <c r="C6" s="131">
        <f>'[3]Shuttle America_Delta'!$FR$23</f>
        <v>0</v>
      </c>
      <c r="D6" s="456">
        <f>[3]Horizon_AS!$FR$23</f>
        <v>4116</v>
      </c>
      <c r="E6" s="456">
        <f>[3]PSA!$FR$23</f>
        <v>0</v>
      </c>
      <c r="F6" s="14">
        <f>[3]Compass!$FR$23+[3]Compass!$FR$33</f>
        <v>0</v>
      </c>
      <c r="G6" s="131">
        <f>'[3]Atlantic Southeast'!$FR$23+'[3]Atlantic Southeast'!$FR$33</f>
        <v>6940</v>
      </c>
      <c r="H6" s="131">
        <f>'[3]Continental Express'!$FR$23</f>
        <v>0</v>
      </c>
      <c r="I6" s="130">
        <f>'[3]Go Jet_UA'!$FR$23</f>
        <v>0</v>
      </c>
      <c r="J6" s="14">
        <f>'[3]Go Jet'!$FR$23+'[3]Go Jet'!$FR$33</f>
        <v>25413</v>
      </c>
      <c r="K6" s="132">
        <f>'[3]Air Wisconsin'!$FR$23</f>
        <v>0</v>
      </c>
      <c r="L6" s="130">
        <f>[3]MESA!$FR$23</f>
        <v>0</v>
      </c>
      <c r="M6" s="115">
        <f>SUM(B6:L6)</f>
        <v>36469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ref="D7" si="1">SUM(D5:D6)</f>
        <v>8266</v>
      </c>
      <c r="E7" s="133">
        <f t="shared" si="0"/>
        <v>0</v>
      </c>
      <c r="F7" s="133">
        <f>SUM(F5:F6)</f>
        <v>0</v>
      </c>
      <c r="G7" s="133">
        <f t="shared" si="0"/>
        <v>14223</v>
      </c>
      <c r="H7" s="133">
        <f t="shared" si="0"/>
        <v>0</v>
      </c>
      <c r="I7" s="133">
        <f t="shared" si="0"/>
        <v>0</v>
      </c>
      <c r="J7" s="133">
        <f>SUM(J5:J6)</f>
        <v>51273</v>
      </c>
      <c r="K7" s="133">
        <f t="shared" si="0"/>
        <v>0</v>
      </c>
      <c r="L7" s="133">
        <f t="shared" si="0"/>
        <v>0</v>
      </c>
      <c r="M7" s="134">
        <f>SUM(B7:L7)</f>
        <v>73762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America'!$FR$27</f>
        <v>0</v>
      </c>
      <c r="C10" s="131">
        <f>'[3]Shuttle America_Delta'!$FR$27</f>
        <v>0</v>
      </c>
      <c r="D10" s="456">
        <f>[3]Horizon_AS!$FR$27</f>
        <v>90</v>
      </c>
      <c r="E10" s="456">
        <f>[3]PSA!$FR$27</f>
        <v>0</v>
      </c>
      <c r="F10" s="21">
        <f>[3]Compass!$FR$27+[3]Compass!$FR$37</f>
        <v>0</v>
      </c>
      <c r="G10" s="21">
        <f>'[3]Atlantic Southeast'!$FR$27+'[3]Atlantic Southeast'!$FR$37</f>
        <v>243</v>
      </c>
      <c r="H10" s="131">
        <f>'[3]Continental Express'!$FR$27</f>
        <v>0</v>
      </c>
      <c r="I10" s="130">
        <f>'[3]Go Jet_UA'!$FR$27</f>
        <v>0</v>
      </c>
      <c r="J10" s="21">
        <f>'[3]Go Jet'!$FR$27+'[3]Go Jet'!$FR$37</f>
        <v>879</v>
      </c>
      <c r="K10" s="132">
        <f>'[3]Air Wisconsin'!$FR$27</f>
        <v>0</v>
      </c>
      <c r="L10" s="130">
        <f>[3]MESA!$FR$27</f>
        <v>0</v>
      </c>
      <c r="M10" s="110">
        <f>SUM(B10:L10)</f>
        <v>1212</v>
      </c>
    </row>
    <row r="11" spans="1:13" x14ac:dyDescent="0.2">
      <c r="A11" s="62" t="s">
        <v>33</v>
      </c>
      <c r="B11" s="131">
        <f>'[3]Shuttle America'!$FR$28</f>
        <v>0</v>
      </c>
      <c r="C11" s="131">
        <f>'[3]Shuttle America_Delta'!$FR$28</f>
        <v>0</v>
      </c>
      <c r="D11" s="456">
        <f>[3]Horizon_AS!$FR$28</f>
        <v>97</v>
      </c>
      <c r="E11" s="456">
        <f>[3]PSA!$FR$28</f>
        <v>0</v>
      </c>
      <c r="F11" s="14">
        <f>[3]Compass!$FR$28+[3]Compass!$FR$38</f>
        <v>0</v>
      </c>
      <c r="G11" s="14">
        <f>'[3]Atlantic Southeast'!$FR$28+'[3]Atlantic Southeast'!$FR$38</f>
        <v>243</v>
      </c>
      <c r="H11" s="131">
        <f>'[3]Continental Express'!$FR$28</f>
        <v>0</v>
      </c>
      <c r="I11" s="130">
        <f>'[3]Go Jet_UA'!$FR$28</f>
        <v>0</v>
      </c>
      <c r="J11" s="14">
        <f>'[3]Go Jet'!$FR$28+'[3]Go Jet'!$FR$38</f>
        <v>838</v>
      </c>
      <c r="K11" s="132">
        <f>'[3]Air Wisconsin'!$FR$28</f>
        <v>0</v>
      </c>
      <c r="L11" s="130">
        <f>[3]MESA!$FR$28</f>
        <v>0</v>
      </c>
      <c r="M11" s="115">
        <f>SUM(B11:L11)</f>
        <v>1178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187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486</v>
      </c>
      <c r="H12" s="136">
        <f t="shared" si="3"/>
        <v>0</v>
      </c>
      <c r="I12" s="136">
        <f t="shared" si="3"/>
        <v>0</v>
      </c>
      <c r="J12" s="136">
        <f t="shared" ref="J12" si="4">SUM(J10:J11)</f>
        <v>1717</v>
      </c>
      <c r="K12" s="136">
        <f t="shared" si="3"/>
        <v>0</v>
      </c>
      <c r="L12" s="136">
        <f t="shared" si="3"/>
        <v>0</v>
      </c>
      <c r="M12" s="137">
        <f>SUM(B12:L12)</f>
        <v>2390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America'!$FR$4</f>
        <v>0</v>
      </c>
      <c r="C15" s="106">
        <f>'[3]Shuttle America_Delta'!$FR$4</f>
        <v>0</v>
      </c>
      <c r="D15" s="457">
        <f>[3]Horizon_AS!$FR$4</f>
        <v>62</v>
      </c>
      <c r="E15" s="457">
        <f>[3]PSA!$FR$4</f>
        <v>0</v>
      </c>
      <c r="F15" s="21">
        <f>[3]Compass!$FR$4+[3]Compass!$FR$15</f>
        <v>0</v>
      </c>
      <c r="G15" s="107">
        <f>'[3]Atlantic Southeast'!$FR$4+'[3]Atlantic Southeast'!$FR$15</f>
        <v>137</v>
      </c>
      <c r="H15" s="107">
        <f>'[3]Continental Express'!$FR$4</f>
        <v>0</v>
      </c>
      <c r="I15" s="106">
        <f>'[3]Go Jet_UA'!$FR$4</f>
        <v>0</v>
      </c>
      <c r="J15" s="21">
        <f>'[3]Go Jet'!$FR$4+'[3]Go Jet'!$FR$15</f>
        <v>424</v>
      </c>
      <c r="K15" s="108">
        <f>'[3]Air Wisconsin'!$FR$4</f>
        <v>0</v>
      </c>
      <c r="L15" s="106">
        <f>[3]MESA!$FR$4</f>
        <v>0</v>
      </c>
      <c r="M15" s="110">
        <f t="shared" ref="M15:M21" si="5">SUM(B15:L15)</f>
        <v>623</v>
      </c>
    </row>
    <row r="16" spans="1:13" x14ac:dyDescent="0.2">
      <c r="A16" s="62" t="s">
        <v>54</v>
      </c>
      <c r="B16" s="111">
        <f>'[3]Shuttle America'!$FR$5</f>
        <v>0</v>
      </c>
      <c r="C16" s="111">
        <f>'[3]Shuttle America_Delta'!$FR$5</f>
        <v>0</v>
      </c>
      <c r="D16" s="458">
        <f>[3]Horizon_AS!$FR$5</f>
        <v>62</v>
      </c>
      <c r="E16" s="458">
        <f>[3]PSA!$FR$5</f>
        <v>0</v>
      </c>
      <c r="F16" s="14">
        <f>[3]Compass!$FR$5+[3]Compass!$FR$16</f>
        <v>0</v>
      </c>
      <c r="G16" s="112">
        <f>'[3]Atlantic Southeast'!$FR$5+'[3]Atlantic Southeast'!$FR$16</f>
        <v>138</v>
      </c>
      <c r="H16" s="112">
        <f>'[3]Continental Express'!$FR$5</f>
        <v>0</v>
      </c>
      <c r="I16" s="111">
        <f>'[3]Go Jet_UA'!$FR$5</f>
        <v>0</v>
      </c>
      <c r="J16" s="14">
        <f>'[3]Go Jet'!$FR$5+'[3]Go Jet'!$FR$16</f>
        <v>424</v>
      </c>
      <c r="K16" s="113">
        <f>'[3]Air Wisconsin'!$FR$5</f>
        <v>0</v>
      </c>
      <c r="L16" s="111">
        <f>[3]MESA!$FR$5</f>
        <v>0</v>
      </c>
      <c r="M16" s="115">
        <f t="shared" si="5"/>
        <v>624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124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275</v>
      </c>
      <c r="H17" s="116">
        <f t="shared" si="7"/>
        <v>0</v>
      </c>
      <c r="I17" s="116">
        <f t="shared" si="7"/>
        <v>0</v>
      </c>
      <c r="J17" s="286">
        <f>SUM(J15:J16)</f>
        <v>848</v>
      </c>
      <c r="K17" s="116">
        <f t="shared" si="7"/>
        <v>0</v>
      </c>
      <c r="L17" s="116">
        <f t="shared" si="7"/>
        <v>0</v>
      </c>
      <c r="M17" s="117">
        <f t="shared" si="5"/>
        <v>1247</v>
      </c>
    </row>
    <row r="18" spans="1:13" x14ac:dyDescent="0.2">
      <c r="A18" s="62" t="s">
        <v>56</v>
      </c>
      <c r="B18" s="118">
        <f>'[3]Shuttle America'!$FR$8</f>
        <v>0</v>
      </c>
      <c r="C18" s="118">
        <f>'[3]Shuttle America_Delta'!$FR$8</f>
        <v>0</v>
      </c>
      <c r="D18" s="118">
        <f>[3]Horizon_AS!$FR$8</f>
        <v>0</v>
      </c>
      <c r="E18" s="118">
        <f>[3]PSA!$FR$8</f>
        <v>0</v>
      </c>
      <c r="F18" s="21">
        <f>[3]Compass!$FR$8</f>
        <v>0</v>
      </c>
      <c r="G18" s="109">
        <f>'[3]Atlantic Southeast'!$FR$8</f>
        <v>0</v>
      </c>
      <c r="H18" s="109">
        <f>'[3]Continental Express'!$FR$8</f>
        <v>0</v>
      </c>
      <c r="I18" s="118">
        <f>'[3]Go Jet_UA'!$FR$8</f>
        <v>0</v>
      </c>
      <c r="J18" s="21">
        <f>'[3]Go Jet'!$FR$8</f>
        <v>0</v>
      </c>
      <c r="K18" s="119">
        <f>'[3]Air Wisconsin'!$FR$8</f>
        <v>0</v>
      </c>
      <c r="L18" s="118">
        <f>[3]MESA!$FR$8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America'!$FR$9</f>
        <v>0</v>
      </c>
      <c r="C19" s="120">
        <f>'[3]Shuttle America_Delta'!$FR$9</f>
        <v>0</v>
      </c>
      <c r="D19" s="120">
        <f>[3]Horizon_AS!$FR$9</f>
        <v>0</v>
      </c>
      <c r="E19" s="120">
        <f>[3]PSA!$FR$9</f>
        <v>0</v>
      </c>
      <c r="F19" s="14">
        <f>[3]Compass!$FR$9</f>
        <v>0</v>
      </c>
      <c r="G19" s="114">
        <f>'[3]Atlantic Southeast'!$FR$9</f>
        <v>0</v>
      </c>
      <c r="H19" s="114">
        <f>'[3]Continental Express'!$FR$9</f>
        <v>0</v>
      </c>
      <c r="I19" s="120">
        <f>'[3]Go Jet_UA'!$FR$9</f>
        <v>0</v>
      </c>
      <c r="J19" s="14">
        <f>'[3]Go Jet'!$FR$9</f>
        <v>0</v>
      </c>
      <c r="K19" s="121">
        <f>'[3]Air Wisconsin'!$FR$9</f>
        <v>0</v>
      </c>
      <c r="L19" s="120">
        <f>[3]MESA!$FR$9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124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275</v>
      </c>
      <c r="H21" s="122">
        <f t="shared" si="11"/>
        <v>0</v>
      </c>
      <c r="I21" s="122">
        <f t="shared" si="11"/>
        <v>0</v>
      </c>
      <c r="J21" s="122">
        <f t="shared" ref="J21" si="12">SUM(J20,J17)</f>
        <v>848</v>
      </c>
      <c r="K21" s="122">
        <f t="shared" si="11"/>
        <v>0</v>
      </c>
      <c r="L21" s="122">
        <f t="shared" si="11"/>
        <v>0</v>
      </c>
      <c r="M21" s="123">
        <f t="shared" si="5"/>
        <v>1247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America'!$FR$47</f>
        <v>0</v>
      </c>
      <c r="C25" s="130">
        <f>'[3]Shuttle America_Delta'!$FR$47</f>
        <v>0</v>
      </c>
      <c r="D25" s="130">
        <f>[3]Horizon_AS!$FR$47</f>
        <v>1140</v>
      </c>
      <c r="E25" s="130">
        <f>[3]PSA!$FR$47</f>
        <v>0</v>
      </c>
      <c r="F25" s="130">
        <f>[3]Compass!$FR$47</f>
        <v>0</v>
      </c>
      <c r="G25" s="131">
        <f>'[3]Atlantic Southeast'!$FR$47</f>
        <v>0</v>
      </c>
      <c r="H25" s="131">
        <f>'[3]Continental Express'!$FR$47</f>
        <v>0</v>
      </c>
      <c r="I25" s="130">
        <f>'[3]Go Jet_UA'!$FR$47</f>
        <v>0</v>
      </c>
      <c r="J25" s="130">
        <f>'[3]Go Jet'!$FR$47</f>
        <v>288</v>
      </c>
      <c r="K25" s="132">
        <f>'[3]Air Wisconsin'!$FR$47</f>
        <v>0</v>
      </c>
      <c r="L25" s="130">
        <f>[3]MESA!$FR$47</f>
        <v>0</v>
      </c>
      <c r="M25" s="110">
        <f>SUM(B25:L25)</f>
        <v>1428</v>
      </c>
    </row>
    <row r="26" spans="1:13" x14ac:dyDescent="0.2">
      <c r="A26" s="75" t="s">
        <v>38</v>
      </c>
      <c r="B26" s="130">
        <f>'[3]Shuttle America'!$FR$48</f>
        <v>0</v>
      </c>
      <c r="C26" s="130">
        <f>'[3]Shuttle America_Delta'!$FR$48</f>
        <v>0</v>
      </c>
      <c r="D26" s="130">
        <f>[3]Horizon_AS!$FR$48</f>
        <v>0</v>
      </c>
      <c r="E26" s="130">
        <f>[3]PSA!$FR$48</f>
        <v>0</v>
      </c>
      <c r="F26" s="130">
        <f>[3]Compass!$FR$48</f>
        <v>0</v>
      </c>
      <c r="G26" s="131">
        <f>'[3]Atlantic Southeast'!$FR$48</f>
        <v>0</v>
      </c>
      <c r="H26" s="131">
        <f>'[3]Continental Express'!$FR$48</f>
        <v>0</v>
      </c>
      <c r="I26" s="130">
        <f>'[3]Go Jet_UA'!$FR$48</f>
        <v>0</v>
      </c>
      <c r="J26" s="130">
        <f>'[3]Go Jet'!$FR$48</f>
        <v>0</v>
      </c>
      <c r="K26" s="132">
        <f>'[3]Air Wisconsin'!$FR$48</f>
        <v>0</v>
      </c>
      <c r="L26" s="130">
        <f>[3]MESA!$FR$48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1140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288</v>
      </c>
      <c r="K27" s="133">
        <f t="shared" si="14"/>
        <v>0</v>
      </c>
      <c r="L27" s="133">
        <f t="shared" si="14"/>
        <v>0</v>
      </c>
      <c r="M27" s="134">
        <f>SUM(B27:L27)</f>
        <v>1428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America'!$FR$52</f>
        <v>0</v>
      </c>
      <c r="C30" s="130">
        <f>'[3]Shuttle America_Delta'!$FR$52</f>
        <v>0</v>
      </c>
      <c r="D30" s="130">
        <f>[3]Horizon_AS!$FR$52</f>
        <v>398</v>
      </c>
      <c r="E30" s="130">
        <f>[3]PSA!$FR$52</f>
        <v>0</v>
      </c>
      <c r="F30" s="130">
        <f>[3]Compass!$FR$52</f>
        <v>0</v>
      </c>
      <c r="G30" s="131">
        <f>'[3]Atlantic Southeast'!$FR$52</f>
        <v>0</v>
      </c>
      <c r="H30" s="131">
        <f>'[3]Continental Express'!$FR$52</f>
        <v>0</v>
      </c>
      <c r="I30" s="130">
        <f>'[3]Go Jet_UA'!$FR$52</f>
        <v>0</v>
      </c>
      <c r="J30" s="130">
        <f>'[3]Go Jet'!$FR$52</f>
        <v>0</v>
      </c>
      <c r="K30" s="132">
        <f>'[3]Air Wisconsin'!BH$52</f>
        <v>0</v>
      </c>
      <c r="L30" s="130">
        <f>[3]MESA!$FR$52</f>
        <v>0</v>
      </c>
      <c r="M30" s="110">
        <f>SUM(B30:L30)</f>
        <v>398</v>
      </c>
    </row>
    <row r="31" spans="1:13" x14ac:dyDescent="0.2">
      <c r="A31" s="75" t="s">
        <v>60</v>
      </c>
      <c r="B31" s="130">
        <f>'[3]Shuttle America'!$FR$53</f>
        <v>0</v>
      </c>
      <c r="C31" s="130">
        <f>'[3]Shuttle America_Delta'!$FR$53</f>
        <v>0</v>
      </c>
      <c r="D31" s="130">
        <f>[3]Horizon_AS!$FR$53</f>
        <v>0</v>
      </c>
      <c r="E31" s="130">
        <f>[3]PSA!$FR$53</f>
        <v>0</v>
      </c>
      <c r="F31" s="130">
        <f>[3]Compass!$FR$53</f>
        <v>0</v>
      </c>
      <c r="G31" s="131">
        <f>'[3]Atlantic Southeast'!$FR$53</f>
        <v>0</v>
      </c>
      <c r="H31" s="131">
        <f>'[3]Continental Express'!$FR$53</f>
        <v>0</v>
      </c>
      <c r="I31" s="130">
        <f>'[3]Go Jet_UA'!$FR$53</f>
        <v>0</v>
      </c>
      <c r="J31" s="130">
        <f>'[3]Go Jet'!$FR$53</f>
        <v>0</v>
      </c>
      <c r="K31" s="132">
        <f>'[3]Air Wisconsin'!$FR$53</f>
        <v>0</v>
      </c>
      <c r="L31" s="130">
        <f>[3]MESA!$FR$53</f>
        <v>0</v>
      </c>
      <c r="M31" s="110">
        <f>SUM(B31:L31)</f>
        <v>0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398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398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America'!$FR$57</f>
        <v>0</v>
      </c>
      <c r="C35" s="130">
        <f>'[3]Shuttle America_Delta'!$FR$57</f>
        <v>0</v>
      </c>
      <c r="D35" s="130">
        <f>[3]Horizon_AS!$FR$57</f>
        <v>0</v>
      </c>
      <c r="E35" s="130">
        <f>[3]PSA!$FR$57</f>
        <v>0</v>
      </c>
      <c r="F35" s="130">
        <f>[3]Compass!$FR$57</f>
        <v>0</v>
      </c>
      <c r="G35" s="131">
        <f>'[3]Atlantic Southeast'!$FR$57</f>
        <v>0</v>
      </c>
      <c r="H35" s="131">
        <f>'[3]Continental Express'!$FR$57</f>
        <v>0</v>
      </c>
      <c r="I35" s="130">
        <f>'[3]Go Jet_UA'!$AJ$57</f>
        <v>0</v>
      </c>
      <c r="J35" s="130">
        <f>'[3]Go Jet'!$FR$57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1538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288</v>
      </c>
      <c r="K40" s="130">
        <f t="shared" si="20"/>
        <v>0</v>
      </c>
      <c r="L40" s="130">
        <f t="shared" si="20"/>
        <v>0</v>
      </c>
      <c r="M40" s="110">
        <f>SUM(B40:L40)</f>
        <v>1826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0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0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1538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288</v>
      </c>
      <c r="K42" s="136">
        <f t="shared" si="26"/>
        <v>0</v>
      </c>
      <c r="L42" s="136">
        <f t="shared" si="26"/>
        <v>0</v>
      </c>
      <c r="M42" s="137">
        <f>SUM(B42:L42)</f>
        <v>1826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America_Delta'!$FR$70+'[3]Shuttle America_Delta'!$FR$73</f>
        <v>0</v>
      </c>
      <c r="D46" s="5"/>
      <c r="F46" s="322">
        <f>[3]Compass!$FR$70+[3]Compass!$FR$73</f>
        <v>0</v>
      </c>
      <c r="G46" s="322">
        <f>'[3]Atlantic Southeast'!$FR$70+'[3]Atlantic Southeast'!$FR$73</f>
        <v>2075</v>
      </c>
      <c r="J46" s="322">
        <f>'[3]Go Jet'!$FR$70+'[3]Go Jet'!$FR$73</f>
        <v>11588</v>
      </c>
      <c r="M46" s="388">
        <f>SUM(B46:L46)</f>
        <v>13663</v>
      </c>
    </row>
    <row r="47" spans="1:13" x14ac:dyDescent="0.2">
      <c r="A47" s="389" t="s">
        <v>125</v>
      </c>
      <c r="C47" s="322">
        <f>'[3]Shuttle America_Delta'!$FR$71+'[3]Shuttle America_Delta'!$FR$74</f>
        <v>0</v>
      </c>
      <c r="D47" s="5"/>
      <c r="F47" s="322">
        <f>[3]Compass!$FR$71+[3]Compass!$FR$74</f>
        <v>0</v>
      </c>
      <c r="G47" s="322">
        <f>'[3]Atlantic Southeast'!$FR$71+'[3]Atlantic Southeast'!$FR$74</f>
        <v>4865</v>
      </c>
      <c r="J47" s="322">
        <f>'[3]Go Jet'!$FR$71+'[3]Go Jet'!$FR$74</f>
        <v>13825</v>
      </c>
      <c r="M47" s="388">
        <f>SUM(B47:L47)</f>
        <v>18690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May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43221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Misc'!$FR$22</f>
        <v>132</v>
      </c>
      <c r="C5" s="184">
        <f>[3]Ryan!$FR$22</f>
        <v>0</v>
      </c>
      <c r="D5" s="184">
        <f>'[3]Charter Misc'!$FR$32</f>
        <v>0</v>
      </c>
      <c r="E5" s="184">
        <f>[3]Omni!$FR$32</f>
        <v>0</v>
      </c>
      <c r="F5" s="184">
        <f>[3]Xtra!$FR$32+[3]Xtra!$FR$22</f>
        <v>0</v>
      </c>
      <c r="G5" s="339">
        <f>SUM(B5:F5)</f>
        <v>132</v>
      </c>
    </row>
    <row r="6" spans="1:17" x14ac:dyDescent="0.2">
      <c r="A6" s="62" t="s">
        <v>31</v>
      </c>
      <c r="B6" s="418">
        <f>'[3]Charter Misc'!$FR$23</f>
        <v>239</v>
      </c>
      <c r="C6" s="187">
        <f>[3]Ryan!$FR$23</f>
        <v>0</v>
      </c>
      <c r="D6" s="187">
        <f>'[3]Charter Misc'!$FR$33</f>
        <v>0</v>
      </c>
      <c r="E6" s="187">
        <f>[3]Omni!$FR$33</f>
        <v>0</v>
      </c>
      <c r="F6" s="187">
        <f>[3]Xtra!$FR$33+[3]Xtra!$FR$23</f>
        <v>0</v>
      </c>
      <c r="G6" s="338">
        <f>SUM(B6:F6)</f>
        <v>239</v>
      </c>
    </row>
    <row r="7" spans="1:17" ht="15.75" thickBot="1" x14ac:dyDescent="0.3">
      <c r="A7" s="183" t="s">
        <v>7</v>
      </c>
      <c r="B7" s="419">
        <f>SUM(B5:B6)</f>
        <v>371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371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Misc'!$FR$4</f>
        <v>1</v>
      </c>
      <c r="C10" s="184">
        <f>[3]Ryan!$FR$4</f>
        <v>0</v>
      </c>
      <c r="D10" s="184">
        <f>'[3]Charter Misc'!$FR$15</f>
        <v>0</v>
      </c>
      <c r="E10" s="184">
        <f>[3]Omni!$FR$15+[3]Omni!$FR$8</f>
        <v>1</v>
      </c>
      <c r="F10" s="184">
        <f>[3]Xtra!$FR$15+[3]Xtra!$FR$4</f>
        <v>0</v>
      </c>
      <c r="G10" s="338">
        <f>SUM(B10:F10)</f>
        <v>2</v>
      </c>
    </row>
    <row r="11" spans="1:17" x14ac:dyDescent="0.2">
      <c r="A11" s="182" t="s">
        <v>81</v>
      </c>
      <c r="B11" s="417">
        <f>'[3]Charter Misc'!$FR$5</f>
        <v>3</v>
      </c>
      <c r="C11" s="184">
        <f>[3]Ryan!$FR$5</f>
        <v>0</v>
      </c>
      <c r="D11" s="184">
        <f>'[3]Charter Misc'!$FR$16</f>
        <v>0</v>
      </c>
      <c r="E11" s="184">
        <f>[3]Omni!$FR$16</f>
        <v>0</v>
      </c>
      <c r="F11" s="184">
        <f>[3]Xtra!$FR$16+[3]Xtra!$FR$5</f>
        <v>0</v>
      </c>
      <c r="G11" s="338">
        <f>SUM(B11:F11)</f>
        <v>3</v>
      </c>
    </row>
    <row r="12" spans="1:17" ht="15.75" thickBot="1" x14ac:dyDescent="0.3">
      <c r="A12" s="277" t="s">
        <v>28</v>
      </c>
      <c r="B12" s="421">
        <f>SUM(B10:B11)</f>
        <v>4</v>
      </c>
      <c r="C12" s="300">
        <f>SUM(C10:C11)</f>
        <v>0</v>
      </c>
      <c r="D12" s="300">
        <f>SUM(D10:D11)</f>
        <v>0</v>
      </c>
      <c r="E12" s="300">
        <f>SUM(E10:E11)</f>
        <v>1</v>
      </c>
      <c r="F12" s="300">
        <f>SUM(F10:F11)</f>
        <v>0</v>
      </c>
      <c r="G12" s="301">
        <f>SUM(B12:F12)</f>
        <v>5</v>
      </c>
      <c r="Q12" s="130"/>
    </row>
    <row r="17" spans="1:16" x14ac:dyDescent="0.2">
      <c r="B17" s="521" t="s">
        <v>155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3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4" t="s">
        <v>121</v>
      </c>
      <c r="C19" s="525"/>
      <c r="D19" s="525"/>
      <c r="E19" s="526"/>
      <c r="G19" s="524" t="s">
        <v>122</v>
      </c>
      <c r="H19" s="527"/>
      <c r="I19" s="527"/>
      <c r="J19" s="528"/>
      <c r="L19" s="529" t="s">
        <v>123</v>
      </c>
      <c r="M19" s="530"/>
      <c r="N19" s="530"/>
      <c r="O19" s="531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>SUM(G21:H21)</f>
        <v>2415973</v>
      </c>
      <c r="J21" s="335">
        <f>[5]Charter!$I$21</f>
        <v>2435679</v>
      </c>
      <c r="K21" s="247">
        <f t="shared" ref="K21:K32" si="2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32" si="3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4">SUM(B22:C22)</f>
        <v>285115</v>
      </c>
      <c r="E22" s="336">
        <f>[7]Charter!D22</f>
        <v>272463</v>
      </c>
      <c r="F22" s="334">
        <f t="shared" si="1"/>
        <v>4.6435662823943069E-2</v>
      </c>
      <c r="G22" s="331">
        <f>+[6]Charter!$G22</f>
        <v>1192631</v>
      </c>
      <c r="H22" s="333">
        <f>+[6]Charter!$H22</f>
        <v>1233627</v>
      </c>
      <c r="I22" s="507">
        <f>SUM(G22:H22)</f>
        <v>2426258</v>
      </c>
      <c r="J22" s="336">
        <f>[7]Charter!I22</f>
        <v>2337959</v>
      </c>
      <c r="K22" s="250">
        <f t="shared" si="2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5">SUM(L22:M22)</f>
        <v>2711373</v>
      </c>
      <c r="O22" s="336">
        <f>[7]Charter!N22</f>
        <v>2610422</v>
      </c>
      <c r="P22" s="249">
        <f t="shared" ref="P22:P32" si="6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331">
        <f>+[8]Charter!$G23</f>
        <v>1511202</v>
      </c>
      <c r="H23" s="333">
        <f>+[8]Charter!$H23</f>
        <v>1531837</v>
      </c>
      <c r="I23" s="332">
        <f>SUM(G23:H23)</f>
        <v>3043039</v>
      </c>
      <c r="J23" s="336">
        <f>[9]Charter!I23</f>
        <v>3083230</v>
      </c>
      <c r="K23" s="250">
        <f t="shared" si="2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3"/>
        <v>3410867</v>
      </c>
      <c r="O23" s="336">
        <f>[9]Charter!N23</f>
        <v>3431681</v>
      </c>
      <c r="P23" s="249">
        <f t="shared" si="6"/>
        <v>-6.0652490718105792E-3</v>
      </c>
    </row>
    <row r="24" spans="1:16" ht="14.1" customHeight="1" x14ac:dyDescent="0.2">
      <c r="A24" s="248" t="s">
        <v>108</v>
      </c>
      <c r="B24" s="331">
        <f>+[2]Charter!$B24</f>
        <v>130702</v>
      </c>
      <c r="C24" s="333">
        <f>+[2]Charter!$C24</f>
        <v>111716</v>
      </c>
      <c r="D24" s="332">
        <f t="shared" ref="D24" si="7">SUM(B24:C24)</f>
        <v>242418</v>
      </c>
      <c r="E24" s="336">
        <f>[10]Charter!D24</f>
        <v>251391</v>
      </c>
      <c r="F24" s="249">
        <f t="shared" si="1"/>
        <v>-3.5693401911762949E-2</v>
      </c>
      <c r="G24" s="506">
        <f>L24-B24</f>
        <v>1413434</v>
      </c>
      <c r="H24" s="507">
        <f>M24-C24</f>
        <v>1337410</v>
      </c>
      <c r="I24" s="332">
        <f>SUM(G24:H24)</f>
        <v>2750844</v>
      </c>
      <c r="J24" s="336">
        <f>[10]Charter!I24</f>
        <v>2843673</v>
      </c>
      <c r="K24" s="250">
        <f t="shared" si="2"/>
        <v>-3.2644048735561371E-2</v>
      </c>
      <c r="L24" s="331">
        <f>+[2]Charter!$L24</f>
        <v>1544136</v>
      </c>
      <c r="M24" s="333">
        <f>+[2]Charter!$M24</f>
        <v>1449126</v>
      </c>
      <c r="N24" s="332">
        <f t="shared" ref="N24" si="8">SUM(L24:M24)</f>
        <v>2993262</v>
      </c>
      <c r="O24" s="336">
        <f>[10]Charter!N24</f>
        <v>3095064</v>
      </c>
      <c r="P24" s="249">
        <f t="shared" si="6"/>
        <v>-3.2891726956211564E-2</v>
      </c>
    </row>
    <row r="25" spans="1:16" ht="14.1" customHeight="1" x14ac:dyDescent="0.2">
      <c r="A25" s="235" t="s">
        <v>76</v>
      </c>
      <c r="B25" s="506">
        <f>'Intl Detail'!$P$4+'Intl Detail'!$P$9</f>
        <v>128052</v>
      </c>
      <c r="C25" s="507">
        <f>'Intl Detail'!$P$5+'Intl Detail'!$P$10</f>
        <v>118282</v>
      </c>
      <c r="D25" s="332">
        <f t="shared" ref="D25" si="9">SUM(B25:C25)</f>
        <v>246334</v>
      </c>
      <c r="E25" s="336">
        <f>[1]Charter!D25</f>
        <v>225442</v>
      </c>
      <c r="F25" s="238">
        <f t="shared" si="1"/>
        <v>9.2671285740900097E-2</v>
      </c>
      <c r="G25" s="506">
        <f>L25-B25</f>
        <v>1504357</v>
      </c>
      <c r="H25" s="507">
        <f>M25-C25</f>
        <v>1476799</v>
      </c>
      <c r="I25" s="332">
        <f>SUM(G25:H25)</f>
        <v>2981156</v>
      </c>
      <c r="J25" s="336">
        <f>[1]Charter!I25</f>
        <v>2980236</v>
      </c>
      <c r="K25" s="244">
        <f t="shared" si="2"/>
        <v>3.0870038480174052E-4</v>
      </c>
      <c r="L25" s="506">
        <f>'Monthly Summary'!$B$11</f>
        <v>1632409</v>
      </c>
      <c r="M25" s="507">
        <f>'Monthly Summary'!$C$11</f>
        <v>1595081</v>
      </c>
      <c r="N25" s="332">
        <f t="shared" ref="N25" si="10">SUM(L25:M25)</f>
        <v>3227490</v>
      </c>
      <c r="O25" s="336">
        <f>[1]Charter!N25</f>
        <v>3205678</v>
      </c>
      <c r="P25" s="238">
        <f t="shared" si="6"/>
        <v>6.8041768387217929E-3</v>
      </c>
    </row>
    <row r="26" spans="1:16" ht="14.1" customHeight="1" x14ac:dyDescent="0.2">
      <c r="A26" s="248" t="s">
        <v>109</v>
      </c>
      <c r="B26" s="331"/>
      <c r="C26" s="333"/>
      <c r="D26" s="332">
        <f t="shared" si="0"/>
        <v>0</v>
      </c>
      <c r="E26" s="336"/>
      <c r="F26" s="249" t="e">
        <f t="shared" si="1"/>
        <v>#DIV/0!</v>
      </c>
      <c r="G26" s="331"/>
      <c r="H26" s="333"/>
      <c r="I26" s="332">
        <f t="shared" ref="I26:I32" si="11">SUM(G26:H26)</f>
        <v>0</v>
      </c>
      <c r="J26" s="336"/>
      <c r="K26" s="250" t="e">
        <f t="shared" si="2"/>
        <v>#DIV/0!</v>
      </c>
      <c r="L26" s="331"/>
      <c r="M26" s="333"/>
      <c r="N26" s="332">
        <f t="shared" si="3"/>
        <v>0</v>
      </c>
      <c r="O26" s="336"/>
      <c r="P26" s="249" t="e">
        <f t="shared" si="6"/>
        <v>#DIV/0!</v>
      </c>
    </row>
    <row r="27" spans="1:16" ht="14.1" customHeight="1" x14ac:dyDescent="0.2">
      <c r="A27" s="235" t="s">
        <v>110</v>
      </c>
      <c r="B27" s="331"/>
      <c r="C27" s="333"/>
      <c r="D27" s="332">
        <f t="shared" si="0"/>
        <v>0</v>
      </c>
      <c r="E27" s="336"/>
      <c r="F27" s="238" t="e">
        <f t="shared" si="1"/>
        <v>#DIV/0!</v>
      </c>
      <c r="G27" s="331"/>
      <c r="H27" s="333"/>
      <c r="I27" s="332">
        <f t="shared" si="11"/>
        <v>0</v>
      </c>
      <c r="J27" s="336"/>
      <c r="K27" s="244" t="e">
        <f t="shared" si="2"/>
        <v>#DIV/0!</v>
      </c>
      <c r="L27" s="331"/>
      <c r="M27" s="333"/>
      <c r="N27" s="332">
        <f t="shared" si="3"/>
        <v>0</v>
      </c>
      <c r="O27" s="336"/>
      <c r="P27" s="238" t="e">
        <f t="shared" si="6"/>
        <v>#DIV/0!</v>
      </c>
    </row>
    <row r="28" spans="1:16" ht="14.1" customHeight="1" x14ac:dyDescent="0.2">
      <c r="A28" s="248" t="s">
        <v>111</v>
      </c>
      <c r="B28" s="331"/>
      <c r="C28" s="333"/>
      <c r="D28" s="332">
        <f t="shared" si="0"/>
        <v>0</v>
      </c>
      <c r="E28" s="336"/>
      <c r="F28" s="249" t="e">
        <f t="shared" si="1"/>
        <v>#DIV/0!</v>
      </c>
      <c r="G28" s="331"/>
      <c r="H28" s="333"/>
      <c r="I28" s="332">
        <f t="shared" si="11"/>
        <v>0</v>
      </c>
      <c r="J28" s="336"/>
      <c r="K28" s="250" t="e">
        <f t="shared" si="2"/>
        <v>#DIV/0!</v>
      </c>
      <c r="L28" s="331"/>
      <c r="M28" s="333"/>
      <c r="N28" s="332">
        <f t="shared" si="3"/>
        <v>0</v>
      </c>
      <c r="O28" s="336"/>
      <c r="P28" s="249" t="e">
        <f t="shared" si="6"/>
        <v>#DIV/0!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6"/>
      <c r="F29" s="238" t="e">
        <f t="shared" si="1"/>
        <v>#DIV/0!</v>
      </c>
      <c r="G29" s="331"/>
      <c r="H29" s="333"/>
      <c r="I29" s="332">
        <f t="shared" si="11"/>
        <v>0</v>
      </c>
      <c r="J29" s="336"/>
      <c r="K29" s="244" t="e">
        <f t="shared" si="2"/>
        <v>#DIV/0!</v>
      </c>
      <c r="L29" s="331"/>
      <c r="M29" s="333"/>
      <c r="N29" s="332">
        <f t="shared" si="3"/>
        <v>0</v>
      </c>
      <c r="O29" s="336"/>
      <c r="P29" s="238" t="e">
        <f t="shared" si="6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2"/>
        <v>#DIV/0!</v>
      </c>
      <c r="L30" s="331"/>
      <c r="M30" s="333"/>
      <c r="N30" s="332">
        <f>SUM(L30:M30)</f>
        <v>0</v>
      </c>
      <c r="O30" s="336"/>
      <c r="P30" s="249" t="e">
        <f t="shared" si="6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si="11"/>
        <v>0</v>
      </c>
      <c r="J31" s="336"/>
      <c r="K31" s="244" t="e">
        <f t="shared" si="2"/>
        <v>#DIV/0!</v>
      </c>
      <c r="L31" s="331"/>
      <c r="M31" s="333"/>
      <c r="N31" s="332">
        <f>SUM(L31:M31)</f>
        <v>0</v>
      </c>
      <c r="O31" s="336"/>
      <c r="P31" s="238" t="e">
        <f t="shared" si="6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11"/>
        <v>0</v>
      </c>
      <c r="J32" s="336"/>
      <c r="K32" s="252" t="e">
        <f t="shared" si="2"/>
        <v>#DIV/0!</v>
      </c>
      <c r="L32" s="331"/>
      <c r="M32" s="333"/>
      <c r="N32" s="161">
        <f t="shared" si="3"/>
        <v>0</v>
      </c>
      <c r="O32" s="336"/>
      <c r="P32" s="252" t="e">
        <f t="shared" si="6"/>
        <v>#DIV/0!</v>
      </c>
    </row>
    <row r="33" spans="1:16" ht="13.5" thickBot="1" x14ac:dyDescent="0.25">
      <c r="A33" s="245" t="s">
        <v>77</v>
      </c>
      <c r="B33" s="255">
        <f>SUM(B21:B32)</f>
        <v>720878</v>
      </c>
      <c r="C33" s="256">
        <f>SUM(C21:C32)</f>
        <v>689654</v>
      </c>
      <c r="D33" s="256">
        <f>SUM(D21:D32)</f>
        <v>1410532</v>
      </c>
      <c r="E33" s="257">
        <f>SUM(E21:E32)</f>
        <v>1354494</v>
      </c>
      <c r="F33" s="240">
        <f>(D33-E33)/E33</f>
        <v>4.1371907147613796E-2</v>
      </c>
      <c r="G33" s="258">
        <f>SUM(G21:G32)</f>
        <v>6824315</v>
      </c>
      <c r="H33" s="256">
        <f>SUM(H21:H32)</f>
        <v>6792955</v>
      </c>
      <c r="I33" s="256">
        <f>SUM(I21:I32)</f>
        <v>13617270</v>
      </c>
      <c r="J33" s="259">
        <f>SUM(J21:J32)</f>
        <v>13680777</v>
      </c>
      <c r="K33" s="241">
        <f>(I33-J33)/J33</f>
        <v>-4.6420609004883279E-3</v>
      </c>
      <c r="L33" s="258">
        <f>SUM(L21:L32)</f>
        <v>7545193</v>
      </c>
      <c r="M33" s="256">
        <f>SUM(M21:M32)</f>
        <v>7482609</v>
      </c>
      <c r="N33" s="256">
        <f>SUM(N21:N32)</f>
        <v>15027802</v>
      </c>
      <c r="O33" s="257">
        <f>SUM(O21:O32)</f>
        <v>15035271</v>
      </c>
      <c r="P33" s="239">
        <f>(N33-O33)/O33</f>
        <v>-4.9676523954905771E-4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May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G10" sqref="G10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5"/>
      <c r="C1" s="535"/>
      <c r="D1" s="535"/>
      <c r="E1" s="448"/>
      <c r="F1" s="536" t="s">
        <v>94</v>
      </c>
      <c r="G1" s="537"/>
      <c r="H1" s="537"/>
      <c r="I1" s="537"/>
      <c r="J1" s="537"/>
      <c r="K1" s="537"/>
      <c r="L1" s="538"/>
    </row>
    <row r="2" spans="1:20" s="191" customFormat="1" ht="30.75" customHeight="1" thickBot="1" x14ac:dyDescent="0.25">
      <c r="A2" s="378">
        <v>43221</v>
      </c>
      <c r="B2" s="437" t="s">
        <v>186</v>
      </c>
      <c r="C2" s="8" t="s">
        <v>82</v>
      </c>
      <c r="D2" s="8" t="s">
        <v>83</v>
      </c>
      <c r="E2" s="199"/>
      <c r="F2" s="180" t="s">
        <v>84</v>
      </c>
      <c r="G2" s="180" t="s">
        <v>187</v>
      </c>
      <c r="H2" s="180" t="s">
        <v>167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[3]DHL!$FR$4</f>
        <v>21</v>
      </c>
      <c r="C4" s="161">
        <f>[3]FedEx!$FR$4+[3]FedEx!$FR$15</f>
        <v>116</v>
      </c>
      <c r="D4" s="161">
        <f>[3]UPS!$FR$4+[3]UPS!$FR$15</f>
        <v>129</v>
      </c>
      <c r="E4" s="192"/>
      <c r="F4" s="118">
        <f>[3]ATI_BAX!$FR$4</f>
        <v>0</v>
      </c>
      <c r="G4" s="161">
        <f>[3]IFL!$FR$4+[3]IFL!$FR$15</f>
        <v>22</v>
      </c>
      <c r="H4" s="118">
        <f>'[3]Suburban Air Freight'!$FR$15</f>
        <v>0</v>
      </c>
      <c r="I4" s="118">
        <f>[3]Bemidji!$FR$4</f>
        <v>295</v>
      </c>
      <c r="J4" s="118">
        <f>'[3]CSA Air'!$FR$4</f>
        <v>0</v>
      </c>
      <c r="K4" s="118">
        <f>'[3]Mountain Cargo'!$FR$4</f>
        <v>22</v>
      </c>
      <c r="L4" s="118">
        <f>'[3]Misc Cargo'!$FR$4</f>
        <v>44</v>
      </c>
      <c r="M4" s="204">
        <f>SUM(B4:L4)</f>
        <v>649</v>
      </c>
    </row>
    <row r="5" spans="1:20" x14ac:dyDescent="0.2">
      <c r="A5" s="53" t="s">
        <v>54</v>
      </c>
      <c r="B5" s="198">
        <f>[3]DHL!$FR$5</f>
        <v>21</v>
      </c>
      <c r="C5" s="198">
        <f>[3]FedEx!$FR$5</f>
        <v>116</v>
      </c>
      <c r="D5" s="198">
        <f>[3]UPS!$FR$5+[3]UPS!$FR$16</f>
        <v>129</v>
      </c>
      <c r="E5" s="192"/>
      <c r="F5" s="120">
        <f>[3]ATI_BAX!$FR$5</f>
        <v>0</v>
      </c>
      <c r="G5" s="198">
        <f>[3]IFL!$FR$5</f>
        <v>22</v>
      </c>
      <c r="H5" s="120">
        <f>'[3]Suburban Air Freight'!$FR$16</f>
        <v>0</v>
      </c>
      <c r="I5" s="120">
        <f>[3]Bemidji!$FR$5</f>
        <v>295</v>
      </c>
      <c r="J5" s="120">
        <f>'[3]CSA Air'!$FR$5</f>
        <v>4</v>
      </c>
      <c r="K5" s="120">
        <f>'[3]Mountain Cargo'!$FR$5</f>
        <v>22</v>
      </c>
      <c r="L5" s="120">
        <f>'[3]Misc Cargo'!$FR$5</f>
        <v>44</v>
      </c>
      <c r="M5" s="208">
        <f>SUM(B5:L5)</f>
        <v>653</v>
      </c>
    </row>
    <row r="6" spans="1:20" s="189" customFormat="1" x14ac:dyDescent="0.2">
      <c r="A6" s="205" t="s">
        <v>55</v>
      </c>
      <c r="B6" s="206">
        <f>SUM(B4:B5)</f>
        <v>42</v>
      </c>
      <c r="C6" s="206">
        <f>SUM(C4:C5)</f>
        <v>232</v>
      </c>
      <c r="D6" s="206">
        <f>SUM(D4:D5)</f>
        <v>258</v>
      </c>
      <c r="E6" s="193"/>
      <c r="F6" s="188">
        <f t="shared" ref="F6:L6" si="0">SUM(F4:F5)</f>
        <v>0</v>
      </c>
      <c r="G6" s="206">
        <f>SUM(G4:G5)</f>
        <v>44</v>
      </c>
      <c r="H6" s="188">
        <f t="shared" si="0"/>
        <v>0</v>
      </c>
      <c r="I6" s="188">
        <f t="shared" si="0"/>
        <v>590</v>
      </c>
      <c r="J6" s="188">
        <f t="shared" si="0"/>
        <v>4</v>
      </c>
      <c r="K6" s="188">
        <f t="shared" si="0"/>
        <v>44</v>
      </c>
      <c r="L6" s="188">
        <f t="shared" si="0"/>
        <v>88</v>
      </c>
      <c r="M6" s="207">
        <f>SUM(B6:L6)</f>
        <v>1302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Cargo'!$FR$8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Cargo'!$FR$9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42</v>
      </c>
      <c r="C12" s="210">
        <f>C6+C10</f>
        <v>232</v>
      </c>
      <c r="D12" s="210">
        <f>D6+D10</f>
        <v>258</v>
      </c>
      <c r="E12" s="211"/>
      <c r="F12" s="212">
        <f t="shared" ref="F12:L12" si="2">F6+F10</f>
        <v>0</v>
      </c>
      <c r="G12" s="210">
        <f>G6+G10</f>
        <v>44</v>
      </c>
      <c r="H12" s="212">
        <f t="shared" si="2"/>
        <v>0</v>
      </c>
      <c r="I12" s="212">
        <f t="shared" si="2"/>
        <v>590</v>
      </c>
      <c r="J12" s="212">
        <f t="shared" si="2"/>
        <v>4</v>
      </c>
      <c r="K12" s="212">
        <f t="shared" si="2"/>
        <v>44</v>
      </c>
      <c r="L12" s="212">
        <f t="shared" si="2"/>
        <v>88</v>
      </c>
      <c r="M12" s="213">
        <f>SUM(B12:L12)</f>
        <v>1302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[3]DHL!$FR$47</f>
        <v>572596</v>
      </c>
      <c r="C16" s="161">
        <f>[3]FedEx!$FR$47</f>
        <v>9379290</v>
      </c>
      <c r="D16" s="161">
        <f>[3]UPS!$FR$47</f>
        <v>6413442</v>
      </c>
      <c r="E16" s="192"/>
      <c r="F16" s="118">
        <f>[3]ATI_BAX!$FR$47</f>
        <v>0</v>
      </c>
      <c r="G16" s="161">
        <f>[3]IFL!$FR$47</f>
        <v>24753</v>
      </c>
      <c r="H16" s="118">
        <f>'[3]Suburban Air Freight'!$FR$47</f>
        <v>0</v>
      </c>
      <c r="I16" s="532" t="s">
        <v>88</v>
      </c>
      <c r="J16" s="118">
        <f>'[3]CSA Air'!$FR$47</f>
        <v>0</v>
      </c>
      <c r="K16" s="118">
        <f>'[3]Mountain Cargo'!$FR$47</f>
        <v>0</v>
      </c>
      <c r="L16" s="118">
        <f>'[3]Misc Cargo'!$FR$47</f>
        <v>79720</v>
      </c>
      <c r="M16" s="204">
        <f>SUM(B16:H16)+SUM(J16:L16)</f>
        <v>16469801</v>
      </c>
    </row>
    <row r="17" spans="1:14" x14ac:dyDescent="0.2">
      <c r="A17" s="53" t="s">
        <v>38</v>
      </c>
      <c r="B17" s="161">
        <f>[3]DHL!$FR$48</f>
        <v>0</v>
      </c>
      <c r="C17" s="161">
        <f>[3]FedEx!$FR$48</f>
        <v>0</v>
      </c>
      <c r="D17" s="161">
        <f>[3]UPS!$FR$48</f>
        <v>1754</v>
      </c>
      <c r="E17" s="192"/>
      <c r="F17" s="118">
        <f>[3]ATI_BAX!$FR$48</f>
        <v>0</v>
      </c>
      <c r="G17" s="161">
        <f>[3]IFL!$FR$48</f>
        <v>0</v>
      </c>
      <c r="H17" s="118">
        <f>'[3]Suburban Air Freight'!$FR$48</f>
        <v>0</v>
      </c>
      <c r="I17" s="533"/>
      <c r="J17" s="118">
        <f>'[3]CSA Air'!$FR$48</f>
        <v>0</v>
      </c>
      <c r="K17" s="118">
        <f>'[3]Mountain Cargo'!$FR$48</f>
        <v>0</v>
      </c>
      <c r="L17" s="118">
        <f>'[3]Misc Cargo'!$FR$48</f>
        <v>0</v>
      </c>
      <c r="M17" s="204">
        <f>SUM(B17:H17)+SUM(J17:L17)</f>
        <v>1754</v>
      </c>
    </row>
    <row r="18" spans="1:14" ht="18" customHeight="1" x14ac:dyDescent="0.2">
      <c r="A18" s="219" t="s">
        <v>39</v>
      </c>
      <c r="B18" s="302">
        <f>SUM(B16:B17)</f>
        <v>572596</v>
      </c>
      <c r="C18" s="302">
        <f>SUM(C16:C17)</f>
        <v>9379290</v>
      </c>
      <c r="D18" s="302">
        <f>SUM(D16:D17)</f>
        <v>6415196</v>
      </c>
      <c r="E18" s="197"/>
      <c r="F18" s="303">
        <f>SUM(F16:F17)</f>
        <v>0</v>
      </c>
      <c r="G18" s="302">
        <f>SUM(G16:G17)</f>
        <v>24753</v>
      </c>
      <c r="H18" s="303">
        <f>SUM(H16:H17)</f>
        <v>0</v>
      </c>
      <c r="I18" s="533"/>
      <c r="J18" s="303">
        <f>SUM(J16:J17)</f>
        <v>0</v>
      </c>
      <c r="K18" s="303">
        <f>SUM(K16:K17)</f>
        <v>0</v>
      </c>
      <c r="L18" s="303">
        <f>SUM(L16:L17)</f>
        <v>79720</v>
      </c>
      <c r="M18" s="220">
        <f>SUM(B18:H18)+SUM(J18:L18)</f>
        <v>16471555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3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3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[3]DHL!$FR$52</f>
        <v>814908</v>
      </c>
      <c r="C21" s="161">
        <f>[3]FedEx!$FR$52</f>
        <v>8298026</v>
      </c>
      <c r="D21" s="161">
        <f>[3]UPS!$FR$52</f>
        <v>5108064</v>
      </c>
      <c r="E21" s="192"/>
      <c r="F21" s="118">
        <f>[3]ATI_BAX!$FR$52</f>
        <v>0</v>
      </c>
      <c r="G21" s="161">
        <f>[3]IFL!$FR$52</f>
        <v>0</v>
      </c>
      <c r="H21" s="118">
        <f>'[3]Suburban Air Freight'!$FR$52</f>
        <v>0</v>
      </c>
      <c r="I21" s="533"/>
      <c r="J21" s="118">
        <f>'[3]CSA Air'!$FR$52</f>
        <v>0</v>
      </c>
      <c r="K21" s="118">
        <f>'[3]Mountain Cargo'!$FR$52</f>
        <v>0</v>
      </c>
      <c r="L21" s="118">
        <f>'[3]Misc Cargo'!$FR$52</f>
        <v>36594</v>
      </c>
      <c r="M21" s="204">
        <f>SUM(B21:H21)+SUM(J21:L21)</f>
        <v>14257592</v>
      </c>
    </row>
    <row r="22" spans="1:14" x14ac:dyDescent="0.2">
      <c r="A22" s="53" t="s">
        <v>60</v>
      </c>
      <c r="B22" s="161">
        <f>[3]DHL!$FR$53</f>
        <v>0</v>
      </c>
      <c r="C22" s="161">
        <f>[3]FedEx!$FR$53</f>
        <v>0</v>
      </c>
      <c r="D22" s="161">
        <f>[3]UPS!$FR$53</f>
        <v>617472</v>
      </c>
      <c r="E22" s="192"/>
      <c r="F22" s="118">
        <f>[3]ATI_BAX!$FR$53</f>
        <v>0</v>
      </c>
      <c r="G22" s="161">
        <f>[3]IFL!$FR$53</f>
        <v>0</v>
      </c>
      <c r="H22" s="118">
        <f>'[3]Suburban Air Freight'!$FR$53</f>
        <v>0</v>
      </c>
      <c r="I22" s="533"/>
      <c r="J22" s="118">
        <f>'[3]CSA Air'!$FR$53</f>
        <v>0</v>
      </c>
      <c r="K22" s="118">
        <f>'[3]Mountain Cargo'!$FR$53</f>
        <v>0</v>
      </c>
      <c r="L22" s="118">
        <f>'[3]Misc Cargo'!$FR$53</f>
        <v>0</v>
      </c>
      <c r="M22" s="204">
        <f>SUM(B22:H22)+SUM(J22:L22)</f>
        <v>617472</v>
      </c>
    </row>
    <row r="23" spans="1:14" ht="18" customHeight="1" x14ac:dyDescent="0.2">
      <c r="A23" s="219" t="s">
        <v>41</v>
      </c>
      <c r="B23" s="302">
        <f>SUM(B21:B22)</f>
        <v>814908</v>
      </c>
      <c r="C23" s="302">
        <f>SUM(C21:C22)</f>
        <v>8298026</v>
      </c>
      <c r="D23" s="302">
        <f>SUM(D21:D22)</f>
        <v>5725536</v>
      </c>
      <c r="E23" s="197"/>
      <c r="F23" s="303">
        <f>SUM(F21:F22)</f>
        <v>0</v>
      </c>
      <c r="G23" s="302">
        <f>SUM(G21:G22)</f>
        <v>0</v>
      </c>
      <c r="H23" s="303">
        <f>SUM(H21:H22)</f>
        <v>0</v>
      </c>
      <c r="I23" s="533"/>
      <c r="J23" s="303">
        <f>SUM(J21:J22)</f>
        <v>0</v>
      </c>
      <c r="K23" s="303">
        <f>SUM(K21:K22)</f>
        <v>0</v>
      </c>
      <c r="L23" s="303">
        <f>SUM(L21:L22)</f>
        <v>36594</v>
      </c>
      <c r="M23" s="220">
        <f>SUM(B23:H23)+SUM(J23:L23)</f>
        <v>14875064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3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3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[3]DHL!$FR$57</f>
        <v>0</v>
      </c>
      <c r="C26" s="161">
        <f>[3]FedEx!$FR$57</f>
        <v>0</v>
      </c>
      <c r="D26" s="161">
        <f>[3]UPS!$FR$57</f>
        <v>0</v>
      </c>
      <c r="E26" s="192"/>
      <c r="F26" s="118">
        <f>[3]ATI_BAX!$FR$57</f>
        <v>0</v>
      </c>
      <c r="G26" s="161">
        <f>[3]IFL!$FR$57</f>
        <v>0</v>
      </c>
      <c r="H26" s="118">
        <f>'[3]Suburban Air Freight'!$FR$57</f>
        <v>0</v>
      </c>
      <c r="I26" s="533"/>
      <c r="J26" s="118">
        <f>'[3]CSA Air'!$FR$57</f>
        <v>0</v>
      </c>
      <c r="K26" s="118">
        <f>'[3]Mountain Cargo'!$FR$57</f>
        <v>0</v>
      </c>
      <c r="L26" s="118">
        <f>'[3]Misc Cargo'!$FR$57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[3]DHL!$FR$58</f>
        <v>0</v>
      </c>
      <c r="C27" s="161">
        <f>[3]FedEx!$FR$58</f>
        <v>0</v>
      </c>
      <c r="D27" s="161">
        <f>[3]UPS!$FR$58</f>
        <v>0</v>
      </c>
      <c r="E27" s="192"/>
      <c r="F27" s="118">
        <f>[3]ATI_BAX!$FR$58</f>
        <v>0</v>
      </c>
      <c r="G27" s="161">
        <f>[3]IFL!$FR$58</f>
        <v>0</v>
      </c>
      <c r="H27" s="118">
        <f>'[3]Suburban Air Freight'!$FR$58</f>
        <v>0</v>
      </c>
      <c r="I27" s="533"/>
      <c r="J27" s="118">
        <f>'[3]CSA Air'!$FR$58</f>
        <v>0</v>
      </c>
      <c r="K27" s="118">
        <f>'[3]Mountain Cargo'!$FR$58</f>
        <v>0</v>
      </c>
      <c r="L27" s="118">
        <f>'[3]Misc Cargo'!$FR$58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3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3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3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1387504</v>
      </c>
      <c r="C31" s="161">
        <f t="shared" si="3"/>
        <v>17677316</v>
      </c>
      <c r="D31" s="161">
        <f t="shared" si="3"/>
        <v>11521506</v>
      </c>
      <c r="E31" s="192"/>
      <c r="F31" s="118">
        <f t="shared" ref="F31:H33" si="4">F26+F21+F16</f>
        <v>0</v>
      </c>
      <c r="G31" s="161">
        <f t="shared" si="4"/>
        <v>24753</v>
      </c>
      <c r="H31" s="118">
        <f t="shared" si="4"/>
        <v>0</v>
      </c>
      <c r="I31" s="533"/>
      <c r="J31" s="118">
        <f t="shared" ref="J31:L33" si="5">J26+J21+J16</f>
        <v>0</v>
      </c>
      <c r="K31" s="118">
        <f t="shared" si="5"/>
        <v>0</v>
      </c>
      <c r="L31" s="118">
        <f>L26+L21+L16</f>
        <v>116314</v>
      </c>
      <c r="M31" s="204">
        <f>SUM(B31:H31)+SUM(J31:L31)</f>
        <v>30727393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619226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4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619226</v>
      </c>
    </row>
    <row r="33" spans="1:13" ht="18" customHeight="1" thickBot="1" x14ac:dyDescent="0.25">
      <c r="A33" s="209" t="s">
        <v>46</v>
      </c>
      <c r="B33" s="210">
        <f t="shared" si="3"/>
        <v>1387504</v>
      </c>
      <c r="C33" s="210">
        <f t="shared" si="3"/>
        <v>17677316</v>
      </c>
      <c r="D33" s="210">
        <f t="shared" si="3"/>
        <v>12140732</v>
      </c>
      <c r="E33" s="223"/>
      <c r="F33" s="212">
        <f t="shared" si="4"/>
        <v>0</v>
      </c>
      <c r="G33" s="210">
        <f t="shared" si="4"/>
        <v>24753</v>
      </c>
      <c r="H33" s="212">
        <f t="shared" si="4"/>
        <v>0</v>
      </c>
      <c r="I33" s="304">
        <f>I28+I23+I18</f>
        <v>0</v>
      </c>
      <c r="J33" s="212">
        <f t="shared" si="5"/>
        <v>0</v>
      </c>
      <c r="K33" s="212">
        <f t="shared" si="5"/>
        <v>0</v>
      </c>
      <c r="L33" s="212">
        <f t="shared" si="5"/>
        <v>116314</v>
      </c>
      <c r="M33" s="213">
        <f>SUM(B33:H33)+SUM(J33:L33)</f>
        <v>31346619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4" orientation="landscape" r:id="rId1"/>
  <headerFooter alignWithMargins="0">
    <oddHeader>&amp;L
Schedule 7
&amp;CMinneapolis-St. Paul International Airport
&amp;"Arial,Bold"Cargo
May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F11" sqref="F1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43221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5762441</v>
      </c>
      <c r="C5" s="118">
        <f>'Regional Major'!M25</f>
        <v>1524</v>
      </c>
      <c r="D5" s="118">
        <f>Cargo!M16</f>
        <v>16469801</v>
      </c>
      <c r="E5" s="118">
        <f>SUM(B5:D5)</f>
        <v>22233766</v>
      </c>
      <c r="F5" s="118">
        <f>E5*0.00045359237</f>
        <v>10085.06661396542</v>
      </c>
      <c r="G5" s="146">
        <f>'[1]Cargo Summary'!F5</f>
        <v>9878.6961469788894</v>
      </c>
      <c r="H5" s="98">
        <f>(F5-G5)/G5</f>
        <v>2.0890455978812894E-2</v>
      </c>
      <c r="I5" s="146">
        <f>+F5+'[2]Cargo Summary'!I5</f>
        <v>46175.862023329501</v>
      </c>
      <c r="J5" s="146">
        <f>'[1]Cargo Summary'!I5</f>
        <v>44246.164415295149</v>
      </c>
      <c r="K5" s="85">
        <f>(I5-J5)/J5</f>
        <v>4.3612765841625996E-2</v>
      </c>
      <c r="M5" s="35"/>
    </row>
    <row r="6" spans="1:18" x14ac:dyDescent="0.2">
      <c r="A6" s="62" t="s">
        <v>16</v>
      </c>
      <c r="B6" s="169">
        <f>'Major Airline Stats'!K29</f>
        <v>2013155</v>
      </c>
      <c r="C6" s="118">
        <f>'Regional Major'!M26</f>
        <v>0</v>
      </c>
      <c r="D6" s="118">
        <f>Cargo!M17</f>
        <v>1754</v>
      </c>
      <c r="E6" s="118">
        <f>SUM(B6:D6)</f>
        <v>2014909</v>
      </c>
      <c r="F6" s="118">
        <f>E6*0.00045359237</f>
        <v>913.94734864432996</v>
      </c>
      <c r="G6" s="146">
        <f>'[1]Cargo Summary'!F6</f>
        <v>924.87030650629993</v>
      </c>
      <c r="H6" s="37">
        <f>(F6-G6)/G6</f>
        <v>-1.1810259000779758E-2</v>
      </c>
      <c r="I6" s="146">
        <f>+F6+'[2]Cargo Summary'!I6</f>
        <v>4187.78838087841</v>
      </c>
      <c r="J6" s="146">
        <f>'[1]Cargo Summary'!I6</f>
        <v>4222.5598647778697</v>
      </c>
      <c r="K6" s="85">
        <f>(I6-J6)/J6</f>
        <v>-8.2346929381636978E-3</v>
      </c>
      <c r="M6" s="35"/>
    </row>
    <row r="7" spans="1:18" ht="18" customHeight="1" thickBot="1" x14ac:dyDescent="0.25">
      <c r="A7" s="73" t="s">
        <v>72</v>
      </c>
      <c r="B7" s="171">
        <f>SUM(B5:B6)</f>
        <v>7775596</v>
      </c>
      <c r="C7" s="133">
        <f t="shared" ref="C7:J7" si="0">SUM(C5:C6)</f>
        <v>1524</v>
      </c>
      <c r="D7" s="133">
        <f t="shared" si="0"/>
        <v>16471555</v>
      </c>
      <c r="E7" s="133">
        <f t="shared" si="0"/>
        <v>24248675</v>
      </c>
      <c r="F7" s="133">
        <f t="shared" si="0"/>
        <v>10999.01396260975</v>
      </c>
      <c r="G7" s="133">
        <f t="shared" si="0"/>
        <v>10803.566453485189</v>
      </c>
      <c r="H7" s="44">
        <f>(F7-G7)/G7</f>
        <v>1.8091017440033403E-2</v>
      </c>
      <c r="I7" s="133">
        <f t="shared" si="0"/>
        <v>50363.65040420791</v>
      </c>
      <c r="J7" s="133">
        <f t="shared" si="0"/>
        <v>48468.724280073016</v>
      </c>
      <c r="K7" s="318">
        <f>(I7-J7)/J7</f>
        <v>3.909585309456879E-2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2576364</v>
      </c>
      <c r="C10" s="118">
        <f>'Regional Major'!M30</f>
        <v>628</v>
      </c>
      <c r="D10" s="118">
        <f>Cargo!M21</f>
        <v>14257592</v>
      </c>
      <c r="E10" s="118">
        <f>SUM(B10:D10)</f>
        <v>16834584</v>
      </c>
      <c r="F10" s="118">
        <f>E10*0.00045359237</f>
        <v>7636.0388545240794</v>
      </c>
      <c r="G10" s="146">
        <f>'[1]Cargo Summary'!F10</f>
        <v>7502.9521316118598</v>
      </c>
      <c r="H10" s="37">
        <f>(F10-G10)/G10</f>
        <v>1.7737914433905433E-2</v>
      </c>
      <c r="I10" s="146">
        <f>+F10+'[2]Cargo Summary'!I10</f>
        <v>36613.150114694225</v>
      </c>
      <c r="J10" s="146">
        <f>'[1]Cargo Summary'!I10</f>
        <v>37178.577951479579</v>
      </c>
      <c r="K10" s="85">
        <f>(I10-J10)/J10</f>
        <v>-1.5208430982036869E-2</v>
      </c>
      <c r="M10" s="35"/>
    </row>
    <row r="11" spans="1:18" x14ac:dyDescent="0.2">
      <c r="A11" s="62" t="s">
        <v>16</v>
      </c>
      <c r="B11" s="169">
        <f>'Major Airline Stats'!K34</f>
        <v>2308553</v>
      </c>
      <c r="C11" s="118">
        <f>'Regional Major'!M31</f>
        <v>1263</v>
      </c>
      <c r="D11" s="118">
        <f>Cargo!M22</f>
        <v>617472</v>
      </c>
      <c r="E11" s="118">
        <f>SUM(B11:D11)</f>
        <v>2927288</v>
      </c>
      <c r="F11" s="118">
        <f>E11*0.00045359237</f>
        <v>1327.79550159256</v>
      </c>
      <c r="G11" s="146">
        <f>'[1]Cargo Summary'!F11</f>
        <v>1374.7876711245599</v>
      </c>
      <c r="H11" s="35">
        <f>(F11-G11)/G11</f>
        <v>-3.4181401622230802E-2</v>
      </c>
      <c r="I11" s="146">
        <f>+F11+'[2]Cargo Summary'!I11</f>
        <v>6266.4171469014509</v>
      </c>
      <c r="J11" s="146">
        <f>'[1]Cargo Summary'!I11</f>
        <v>5653.8492694714796</v>
      </c>
      <c r="K11" s="85">
        <f>(I11-J11)/J11</f>
        <v>0.10834527916009229</v>
      </c>
      <c r="M11" s="35"/>
    </row>
    <row r="12" spans="1:18" ht="18" customHeight="1" thickBot="1" x14ac:dyDescent="0.25">
      <c r="A12" s="73" t="s">
        <v>73</v>
      </c>
      <c r="B12" s="171">
        <f>SUM(B10:B11)</f>
        <v>4884917</v>
      </c>
      <c r="C12" s="133">
        <f t="shared" ref="C12:J12" si="1">SUM(C10:C11)</f>
        <v>1891</v>
      </c>
      <c r="D12" s="133">
        <f t="shared" si="1"/>
        <v>14875064</v>
      </c>
      <c r="E12" s="133">
        <f t="shared" si="1"/>
        <v>19761872</v>
      </c>
      <c r="F12" s="133">
        <f t="shared" si="1"/>
        <v>8963.8343561166403</v>
      </c>
      <c r="G12" s="133">
        <f t="shared" si="1"/>
        <v>8877.7398027364197</v>
      </c>
      <c r="H12" s="44">
        <f>(F12-G12)/G12</f>
        <v>9.6978009373155181E-3</v>
      </c>
      <c r="I12" s="133">
        <f t="shared" si="1"/>
        <v>42879.567261595672</v>
      </c>
      <c r="J12" s="133">
        <f t="shared" si="1"/>
        <v>42832.42722095106</v>
      </c>
      <c r="K12" s="318">
        <f>(I12-J12)/J12</f>
        <v>1.1005689778316786E-3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8338805</v>
      </c>
      <c r="C20" s="118">
        <f t="shared" si="3"/>
        <v>2152</v>
      </c>
      <c r="D20" s="118">
        <f t="shared" si="3"/>
        <v>30727393</v>
      </c>
      <c r="E20" s="118">
        <f>SUM(B20:D20)</f>
        <v>39068350</v>
      </c>
      <c r="F20" s="118">
        <f>E20*0.00045359237</f>
        <v>17721.105468489499</v>
      </c>
      <c r="G20" s="146">
        <f>'[1]Cargo Summary'!F20</f>
        <v>17381.64827859075</v>
      </c>
      <c r="H20" s="37">
        <f>(F20-G20)/G20</f>
        <v>1.9529631739060301E-2</v>
      </c>
      <c r="I20" s="146">
        <f>+F20+'[2]Cargo Summary'!I20</f>
        <v>82789.01213802374</v>
      </c>
      <c r="J20" s="146">
        <f>+J5+J10+J15</f>
        <v>81424.742366774735</v>
      </c>
      <c r="K20" s="85">
        <f>(I20-J20)/J20</f>
        <v>1.675497805204838E-2</v>
      </c>
      <c r="M20" s="35"/>
    </row>
    <row r="21" spans="1:13" x14ac:dyDescent="0.2">
      <c r="A21" s="62" t="s">
        <v>16</v>
      </c>
      <c r="B21" s="169">
        <f t="shared" si="3"/>
        <v>4321708</v>
      </c>
      <c r="C21" s="120">
        <f t="shared" si="3"/>
        <v>1263</v>
      </c>
      <c r="D21" s="120">
        <f t="shared" si="3"/>
        <v>619226</v>
      </c>
      <c r="E21" s="118">
        <f>SUM(B21:D21)</f>
        <v>4942197</v>
      </c>
      <c r="F21" s="118">
        <f>E21*0.00045359237</f>
        <v>2241.7428502368898</v>
      </c>
      <c r="G21" s="146">
        <f>'[1]Cargo Summary'!F21</f>
        <v>2299.6579776308599</v>
      </c>
      <c r="H21" s="37">
        <f>(F21-G21)/G21</f>
        <v>-2.518423520250394E-2</v>
      </c>
      <c r="I21" s="146">
        <f>+F21+'[2]Cargo Summary'!I21</f>
        <v>10454.205527779859</v>
      </c>
      <c r="J21" s="146">
        <f>+J6+J11+J16</f>
        <v>9876.4091342493484</v>
      </c>
      <c r="K21" s="85">
        <f>(I21-J21)/J21</f>
        <v>5.8502679028031752E-2</v>
      </c>
      <c r="M21" s="35"/>
    </row>
    <row r="22" spans="1:13" ht="18" customHeight="1" thickBot="1" x14ac:dyDescent="0.25">
      <c r="A22" s="88" t="s">
        <v>62</v>
      </c>
      <c r="B22" s="172">
        <f>SUM(B20:B21)</f>
        <v>12660513</v>
      </c>
      <c r="C22" s="173">
        <f t="shared" ref="C22:J22" si="4">SUM(C20:C21)</f>
        <v>3415</v>
      </c>
      <c r="D22" s="173">
        <f t="shared" si="4"/>
        <v>31346619</v>
      </c>
      <c r="E22" s="173">
        <f t="shared" si="4"/>
        <v>44010547</v>
      </c>
      <c r="F22" s="173">
        <f t="shared" si="4"/>
        <v>19962.848318726388</v>
      </c>
      <c r="G22" s="173">
        <f t="shared" si="4"/>
        <v>19681.306256221611</v>
      </c>
      <c r="H22" s="324">
        <f>(F22-G22)/G22</f>
        <v>1.4305049616093283E-2</v>
      </c>
      <c r="I22" s="173">
        <f t="shared" si="4"/>
        <v>93243.217665803604</v>
      </c>
      <c r="J22" s="173">
        <f t="shared" si="4"/>
        <v>91301.151501024084</v>
      </c>
      <c r="K22" s="325">
        <f>(I22-J22)/J22</f>
        <v>2.1270993112915308E-2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K15" sqref="K1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5" t="s">
        <v>206</v>
      </c>
      <c r="B2" s="546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5" t="s">
        <v>201</v>
      </c>
      <c r="K2" s="546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7">
        <v>43221</v>
      </c>
      <c r="B3" s="548"/>
      <c r="C3" s="549" t="s">
        <v>9</v>
      </c>
      <c r="D3" s="550"/>
      <c r="E3" s="550"/>
      <c r="F3" s="550"/>
      <c r="G3" s="550"/>
      <c r="H3" s="551"/>
      <c r="I3" s="466"/>
      <c r="J3" s="547">
        <f>+A3</f>
        <v>43221</v>
      </c>
      <c r="K3" s="548"/>
      <c r="L3" s="539" t="s">
        <v>202</v>
      </c>
      <c r="M3" s="540"/>
      <c r="N3" s="540"/>
      <c r="O3" s="540"/>
      <c r="P3" s="540"/>
      <c r="Q3" s="540"/>
      <c r="R3" s="541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+[3]DHL!$FR$12</f>
        <v>42</v>
      </c>
      <c r="D5" s="352">
        <f>+[3]DHL!$FD$12</f>
        <v>44</v>
      </c>
      <c r="E5" s="353">
        <f>(C5-D5)/D5</f>
        <v>-4.5454545454545456E-2</v>
      </c>
      <c r="F5" s="350">
        <f>+SUM([3]DHL!$FN$12:$FR$12)</f>
        <v>196</v>
      </c>
      <c r="G5" s="352">
        <f>+SUM([3]DHL!$EZ$12:$FD$12)</f>
        <v>212</v>
      </c>
      <c r="H5" s="351">
        <f>(F5-G5)/G5</f>
        <v>-7.5471698113207544E-2</v>
      </c>
      <c r="I5" s="353">
        <f>+F5/$F$24</f>
        <v>3.302443133951137E-2</v>
      </c>
      <c r="J5" s="349" t="s">
        <v>203</v>
      </c>
      <c r="K5" s="55"/>
      <c r="L5" s="350">
        <f>+[3]DHL!$FR$64</f>
        <v>1387504</v>
      </c>
      <c r="M5" s="352">
        <f>+[3]DHL!$FD$64</f>
        <v>1377240</v>
      </c>
      <c r="N5" s="353">
        <f>(L5-M5)/M5</f>
        <v>7.4525863320844586E-3</v>
      </c>
      <c r="O5" s="350">
        <f>+SUM([3]DHL!$FN$64:$FR$64)</f>
        <v>5919536</v>
      </c>
      <c r="P5" s="352">
        <f>+SUM([3]DHL!$EZ$64:$FD$64)</f>
        <v>6095408</v>
      </c>
      <c r="Q5" s="351">
        <f>(O5-P5)/P5</f>
        <v>-2.8853195717169385E-2</v>
      </c>
      <c r="R5" s="353">
        <f>O5/$O$24</f>
        <v>4.0696649807812194E-2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+[3]FedEx!$FR$12</f>
        <v>232</v>
      </c>
      <c r="D7" s="352">
        <f>+[3]FedEx!$FD$12</f>
        <v>173</v>
      </c>
      <c r="E7" s="353">
        <f>(C7-D7)/D7</f>
        <v>0.34104046242774566</v>
      </c>
      <c r="F7" s="350">
        <f>+SUM([3]FedEx!$FN$12:$FR$12)</f>
        <v>1204</v>
      </c>
      <c r="G7" s="352">
        <f>+SUM([3]FedEx!$EZ$12:$FD$12)</f>
        <v>891</v>
      </c>
      <c r="H7" s="351">
        <f t="shared" ref="H7" si="0">(F7-G7)/G7</f>
        <v>0.35129068462401797</v>
      </c>
      <c r="I7" s="353">
        <f>+F7/$F$24</f>
        <v>0.20286436394271273</v>
      </c>
      <c r="J7" s="349" t="s">
        <v>204</v>
      </c>
      <c r="K7" s="55"/>
      <c r="L7" s="350">
        <f>+[3]FedEx!$FR$64</f>
        <v>17677316</v>
      </c>
      <c r="M7" s="352">
        <f>+[3]FedEx!$FD$64</f>
        <v>16566746</v>
      </c>
      <c r="N7" s="353">
        <f>(L7-M7)/M7</f>
        <v>6.7036097493134744E-2</v>
      </c>
      <c r="O7" s="350">
        <f>+SUM([3]FedEx!$FN$64:$FR$64)</f>
        <v>84444146</v>
      </c>
      <c r="P7" s="352">
        <f>+SUM([3]FedEx!$EZ$64:$FD$64)</f>
        <v>83023696</v>
      </c>
      <c r="Q7" s="351">
        <f t="shared" ref="Q7" si="1">(O7-P7)/P7</f>
        <v>1.7108970913557016E-2</v>
      </c>
      <c r="R7" s="353">
        <f>O7/$O$24</f>
        <v>0.58055121855526592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+[3]UPS!$FR$12</f>
        <v>222</v>
      </c>
      <c r="D9" s="352">
        <f>+[3]UPS!$FD$12</f>
        <v>196</v>
      </c>
      <c r="E9" s="353">
        <f>(C9-D9)/D9</f>
        <v>0.1326530612244898</v>
      </c>
      <c r="F9" s="350">
        <f>+SUM([3]UPS!$FN$12:$FR$12)</f>
        <v>998</v>
      </c>
      <c r="G9" s="352">
        <f>+SUM([3]UPS!$EZ$12:$FD$12)</f>
        <v>928</v>
      </c>
      <c r="H9" s="351">
        <f>(F9-G9)/G9</f>
        <v>7.5431034482758619E-2</v>
      </c>
      <c r="I9" s="353">
        <f>+F9/$F$24</f>
        <v>0.16815501263689975</v>
      </c>
      <c r="J9" s="349" t="s">
        <v>83</v>
      </c>
      <c r="K9" s="55"/>
      <c r="L9" s="350">
        <f>+[3]UPS!$FR$64</f>
        <v>12140732</v>
      </c>
      <c r="M9" s="352">
        <f>+[3]UPS!$FD$64</f>
        <v>11726316</v>
      </c>
      <c r="N9" s="353">
        <f>(L9-M9)/M9</f>
        <v>3.5340681591729234E-2</v>
      </c>
      <c r="O9" s="350">
        <f>+SUM([3]UPS!$FN$64:$FR$64)</f>
        <v>54008500</v>
      </c>
      <c r="P9" s="352">
        <f>+SUM([3]UPS!$EZ$64:$FD$64)</f>
        <v>50646525</v>
      </c>
      <c r="Q9" s="351">
        <f>(O9-P9)/P9</f>
        <v>6.6381158430909123E-2</v>
      </c>
      <c r="R9" s="353">
        <f>O9/$O$24</f>
        <v>0.37130697594291595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2"/>
      <c r="C11" s="350">
        <f>+[3]IFL!$FR$12</f>
        <v>44</v>
      </c>
      <c r="D11" s="352">
        <f>+[3]IFL!$FD$12</f>
        <v>66</v>
      </c>
      <c r="E11" s="353">
        <f>(C11-D11)/D11</f>
        <v>-0.33333333333333331</v>
      </c>
      <c r="F11" s="350">
        <f>+SUM([3]IFL!$FN$12:$FR$12)</f>
        <v>222</v>
      </c>
      <c r="G11" s="352">
        <f>+SUM([3]IFL!$EZ$12:$FD$12)</f>
        <v>324</v>
      </c>
      <c r="H11" s="351">
        <f>(F11-G11)/G11</f>
        <v>-0.31481481481481483</v>
      </c>
      <c r="I11" s="353">
        <f>+F11/$F$24</f>
        <v>3.7405223251895534E-2</v>
      </c>
      <c r="J11" s="349" t="s">
        <v>187</v>
      </c>
      <c r="K11" s="55"/>
      <c r="L11" s="350">
        <f>+[3]IFL!$FR$64</f>
        <v>24753</v>
      </c>
      <c r="M11" s="352">
        <f>+[3]IFL!$FD$64</f>
        <v>75044</v>
      </c>
      <c r="N11" s="353">
        <f>(L11-M11)/M11</f>
        <v>-0.67015350994083467</v>
      </c>
      <c r="O11" s="350">
        <f>+SUM([3]IFL!$FN$64:$FR$64)</f>
        <v>101998</v>
      </c>
      <c r="P11" s="352">
        <f>+SUM([3]IFL!$EZ$64:$FD$64)</f>
        <v>418401</v>
      </c>
      <c r="Q11" s="351">
        <f>(O11-P11)/P11</f>
        <v>-0.75621951190365222</v>
      </c>
      <c r="R11" s="353">
        <f>O11/$O$24</f>
        <v>7.0123348976967588E-4</v>
      </c>
      <c r="S11" s="20"/>
    </row>
    <row r="12" spans="1:19" ht="14.1" customHeight="1" x14ac:dyDescent="0.2">
      <c r="A12" s="349"/>
      <c r="B12" s="362"/>
      <c r="C12" s="350"/>
      <c r="D12" s="355"/>
      <c r="E12" s="353"/>
      <c r="F12" s="468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1"/>
      <c r="C13" s="350">
        <f>+'[3]Suburban Air Freight'!$FR$12</f>
        <v>0</v>
      </c>
      <c r="D13" s="352">
        <f>+'[3]Suburban Air Freight'!$FD$12</f>
        <v>0</v>
      </c>
      <c r="E13" s="353" t="e">
        <f>(C13-D13)/D13</f>
        <v>#DIV/0!</v>
      </c>
      <c r="F13" s="350">
        <f>+SUM('[3]Suburban Air Freight'!$FN$12:$FR$12)</f>
        <v>0</v>
      </c>
      <c r="G13" s="352">
        <f>+SUM('[3]Suburban Air Freight'!$EZ$12:$FD$12)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Freight'!$FR$64</f>
        <v>0</v>
      </c>
      <c r="M13" s="352">
        <f>+'[3]Suburban Air Freight'!$FD$64</f>
        <v>102302</v>
      </c>
      <c r="N13" s="353">
        <f>(L13-M13)/M13</f>
        <v>-1</v>
      </c>
      <c r="O13" s="350">
        <f>+SUM('[3]Suburban Air Freight'!$FN$64:$FR$64)</f>
        <v>0</v>
      </c>
      <c r="P13" s="352">
        <f>+SUM('[3]Suburban Air Freight'!$EZ$64:$FD$64)</f>
        <v>494902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+[3]Bemidji!$FR$12</f>
        <v>590</v>
      </c>
      <c r="D15" s="352">
        <f>+[3]Bemidji!$FD$12</f>
        <v>576</v>
      </c>
      <c r="E15" s="353">
        <f>(C15-D15)/D15</f>
        <v>2.4305555555555556E-2</v>
      </c>
      <c r="F15" s="350">
        <f>+SUM([3]Bemidji!$FN$12:$FR$12)</f>
        <v>2798</v>
      </c>
      <c r="G15" s="352">
        <f>+SUM([3]Bemidji!$EZ$12:$FD$12)</f>
        <v>2668</v>
      </c>
      <c r="H15" s="351">
        <f t="shared" ref="H15" si="4">(F15-G15)/G15</f>
        <v>4.8725637181409293E-2</v>
      </c>
      <c r="I15" s="353">
        <f>+F15/$F$24</f>
        <v>0.47144060657118786</v>
      </c>
      <c r="J15" s="349" t="s">
        <v>85</v>
      </c>
      <c r="K15" s="359"/>
      <c r="L15" s="542" t="s">
        <v>207</v>
      </c>
      <c r="M15" s="543"/>
      <c r="N15" s="543"/>
      <c r="O15" s="543"/>
      <c r="P15" s="543"/>
      <c r="Q15" s="543"/>
      <c r="R15" s="544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Air'!$FR$12</f>
        <v>4</v>
      </c>
      <c r="D17" s="352">
        <f>+'[3]CSA Air'!$FD$12</f>
        <v>48</v>
      </c>
      <c r="E17" s="353">
        <f>(C17-D17)/D17</f>
        <v>-0.91666666666666663</v>
      </c>
      <c r="F17" s="350">
        <f>+SUM('[3]CSA Air'!$FN$12:$FR$12)</f>
        <v>6</v>
      </c>
      <c r="G17" s="352">
        <f>+SUM('[3]CSA Air'!$EZ$12:$FD$12)</f>
        <v>218</v>
      </c>
      <c r="H17" s="351">
        <f t="shared" ref="H17" si="5">(F17-G17)/G17</f>
        <v>-0.97247706422018354</v>
      </c>
      <c r="I17" s="353">
        <f>+F17/$F$24</f>
        <v>1.0109519797809603E-3</v>
      </c>
      <c r="J17" s="349" t="s">
        <v>86</v>
      </c>
      <c r="K17" s="359"/>
      <c r="L17" s="350">
        <f>+'[3]CSA Air'!$FR$64</f>
        <v>0</v>
      </c>
      <c r="M17" s="352">
        <f>+'[3]CSA Air'!$FD$64</f>
        <v>62797</v>
      </c>
      <c r="N17" s="353">
        <f>(L17-M17)/M17</f>
        <v>-1</v>
      </c>
      <c r="O17" s="350">
        <f>+SUM('[3]CSA Air'!$FN$64:$FR$64)</f>
        <v>3414</v>
      </c>
      <c r="P17" s="352">
        <f>+SUM('[3]CSA Air'!$EZ$64:$FD$64)</f>
        <v>310605</v>
      </c>
      <c r="Q17" s="351">
        <f t="shared" ref="Q17" si="6">(O17-P17)/P17</f>
        <v>-0.98900854783406578</v>
      </c>
      <c r="R17" s="353">
        <f>O17/$O$24</f>
        <v>2.3471157611655849E-5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1"/>
      <c r="C19" s="350">
        <f>+'[3]Mountain Cargo'!$FR$12</f>
        <v>44</v>
      </c>
      <c r="D19" s="352">
        <f>+'[3]Mountain Cargo'!$FD$12</f>
        <v>42</v>
      </c>
      <c r="E19" s="353">
        <f>(C19-D19)/D19</f>
        <v>4.7619047619047616E-2</v>
      </c>
      <c r="F19" s="350">
        <f>+SUM('[3]Mountain Cargo'!$FN$12:$FR$12)</f>
        <v>196</v>
      </c>
      <c r="G19" s="352">
        <f>+SUM('[3]Mountain Cargo'!$EZ$12:$FD$12)</f>
        <v>204</v>
      </c>
      <c r="H19" s="351">
        <f>(F19-G19)/G19</f>
        <v>-3.9215686274509803E-2</v>
      </c>
      <c r="I19" s="353">
        <f>+F19/$F$24</f>
        <v>3.302443133951137E-2</v>
      </c>
      <c r="J19" s="349" t="s">
        <v>87</v>
      </c>
      <c r="K19" s="361"/>
      <c r="L19" s="350">
        <f>+'[3]Mountain Cargo'!$FR$64</f>
        <v>0</v>
      </c>
      <c r="M19" s="352">
        <f>+'[3]Mountain Cargo'!$FD$64</f>
        <v>202827</v>
      </c>
      <c r="N19" s="353">
        <f>(L19-M19)/M19</f>
        <v>-1</v>
      </c>
      <c r="O19" s="350">
        <f>+SUM('[3]Mountain Cargo'!$FN$64:$FR$64)</f>
        <v>507777</v>
      </c>
      <c r="P19" s="352">
        <f>+SUM('[3]Mountain Cargo'!$EZ$64:$FD$64)</f>
        <v>860259</v>
      </c>
      <c r="Q19" s="351">
        <f t="shared" ref="Q19" si="7">(O19-P19)/P19</f>
        <v>-0.40973939243878876</v>
      </c>
      <c r="R19" s="353">
        <f>O19/$O$24</f>
        <v>3.4909531337357271E-3</v>
      </c>
      <c r="S19" s="414"/>
    </row>
    <row r="20" spans="1:19" ht="14.1" customHeight="1" x14ac:dyDescent="0.2">
      <c r="A20" s="53"/>
      <c r="B20" s="426"/>
      <c r="C20" s="350"/>
      <c r="D20" s="9"/>
      <c r="E20" s="86"/>
      <c r="F20" s="354"/>
      <c r="G20" s="9"/>
      <c r="H20" s="39"/>
      <c r="I20" s="86"/>
      <c r="J20" s="53"/>
      <c r="K20" s="426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2"/>
      <c r="C21" s="350">
        <f>+'[3]Misc Cargo'!$FR$12</f>
        <v>88</v>
      </c>
      <c r="D21" s="352">
        <f>+'[3]Misc Cargo'!$FD$12</f>
        <v>46</v>
      </c>
      <c r="E21" s="353">
        <f>(C21-D21)/D21</f>
        <v>0.91304347826086951</v>
      </c>
      <c r="F21" s="350">
        <f>+SUM('[3]Misc Cargo'!$FN$12:$FR$12)</f>
        <v>315</v>
      </c>
      <c r="G21" s="352">
        <f>+SUM('[3]Misc Cargo'!$EZ$12:$FD$12)</f>
        <v>215</v>
      </c>
      <c r="H21" s="351">
        <f>(F21-G21)/G21</f>
        <v>0.46511627906976744</v>
      </c>
      <c r="I21" s="353">
        <f>+F21/$F$24</f>
        <v>5.3074978938500418E-2</v>
      </c>
      <c r="J21" s="349" t="s">
        <v>130</v>
      </c>
      <c r="K21" s="362"/>
      <c r="L21" s="350">
        <f>+'[3]Misc Cargo'!$FR$64</f>
        <v>116314</v>
      </c>
      <c r="M21" s="352">
        <f>+'[3]Misc Cargo'!$FD$64</f>
        <v>104850</v>
      </c>
      <c r="N21" s="353">
        <f>(L21-M21)/M21</f>
        <v>0.10933714830710539</v>
      </c>
      <c r="O21" s="350">
        <f>+SUM('[3]Misc Cargo'!$FN$64:$FR$64)</f>
        <v>469747</v>
      </c>
      <c r="P21" s="352">
        <f>+SUM('[3]Misc Cargo'!$EZ$64:$FD$64)</f>
        <v>433331</v>
      </c>
      <c r="Q21" s="351">
        <f>(O21-P21)/P21</f>
        <v>8.4037375585868546E-2</v>
      </c>
      <c r="R21" s="353">
        <f>O21/$O$24</f>
        <v>3.2294979128888405E-3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9"/>
      <c r="K22" s="362"/>
      <c r="L22" s="364"/>
      <c r="M22" s="368"/>
      <c r="N22" s="367"/>
      <c r="O22" s="364"/>
      <c r="P22" s="368"/>
      <c r="Q22" s="365"/>
      <c r="R22" s="471"/>
      <c r="S22" s="469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205</v>
      </c>
      <c r="C24" s="478">
        <f>+SUM(C5:C21)</f>
        <v>1266</v>
      </c>
      <c r="D24" s="479">
        <f>SUM(D5:D22)</f>
        <v>1191</v>
      </c>
      <c r="E24" s="480">
        <f>(C24-D24)/D24</f>
        <v>6.2972292191435769E-2</v>
      </c>
      <c r="F24" s="478">
        <f>+SUM(F5:F21)</f>
        <v>5935</v>
      </c>
      <c r="G24" s="478">
        <f>+SUM(G5:G21)</f>
        <v>5660</v>
      </c>
      <c r="H24" s="481">
        <f>(F24-G24)/G24</f>
        <v>4.8586572438162542E-2</v>
      </c>
      <c r="I24" s="497"/>
      <c r="K24" s="477" t="s">
        <v>205</v>
      </c>
      <c r="L24" s="478">
        <f>+SUM(L5:L21)</f>
        <v>31346619</v>
      </c>
      <c r="M24" s="482">
        <f>SUM(M5:M22)</f>
        <v>30218122</v>
      </c>
      <c r="N24" s="483">
        <f>(L24-M24)/M24</f>
        <v>3.7345040833444247E-2</v>
      </c>
      <c r="O24" s="478">
        <f>+SUM(O5:O21)</f>
        <v>145455118</v>
      </c>
      <c r="P24" s="478">
        <f>+SUM(P5:P21)</f>
        <v>142283127</v>
      </c>
      <c r="Q24" s="481">
        <f t="shared" ref="Q24" si="8">(O24-P24)/P24</f>
        <v>2.2293514817115313E-2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May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2018-05-22T18:32:18Z</cp:lastPrinted>
  <dcterms:created xsi:type="dcterms:W3CDTF">2007-09-24T12:26:24Z</dcterms:created>
  <dcterms:modified xsi:type="dcterms:W3CDTF">2019-05-19T07:38:08Z</dcterms:modified>
</cp:coreProperties>
</file>